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O:\BUDJET\2019\Рішення від  .04.2019 року №\"/>
    </mc:Choice>
  </mc:AlternateContent>
  <xr:revisionPtr revIDLastSave="0" documentId="13_ncr:1_{6BAB2E2B-93CE-44E4-9A08-EA3ED090F381}" xr6:coauthVersionLast="41" xr6:coauthVersionMax="41" xr10:uidLastSave="{00000000-0000-0000-0000-000000000000}"/>
  <bookViews>
    <workbookView xWindow="-120" yWindow="-120" windowWidth="29040" windowHeight="15840" tabRatio="585" firstSheet="1" activeTab="12" xr2:uid="{00000000-000D-0000-FFFF-FFFF00000000}"/>
  </bookViews>
  <sheets>
    <sheet name="дод1" sheetId="126" r:id="rId1"/>
    <sheet name="dod2" sheetId="127" r:id="rId2"/>
    <sheet name="dod3" sheetId="97" r:id="rId3"/>
    <sheet name="dod4" sheetId="107" r:id="rId4"/>
    <sheet name="dod5" sheetId="98" r:id="rId5"/>
    <sheet name="dod6" sheetId="108" r:id="rId6"/>
    <sheet name="dod7" sheetId="116" r:id="rId7"/>
    <sheet name="dod8" sheetId="125" r:id="rId8"/>
    <sheet name="dod9" sheetId="128" r:id="rId9"/>
    <sheet name="dod3 - базовий бюджет" sheetId="133" r:id="rId10"/>
    <sheet name="РІЗНИЦЯ" sheetId="134" r:id="rId11"/>
    <sheet name="dod3 - до МВК" sheetId="135" r:id="rId12"/>
    <sheet name="Різниця - МВК" sheetId="136" r:id="rId13"/>
  </sheets>
  <definedNames>
    <definedName name="_GoBack" localSheetId="4">'dod5'!#REF!</definedName>
    <definedName name="_xlnm.Print_Titles" localSheetId="2">'dod3'!$9:$12</definedName>
    <definedName name="_xlnm.Print_Titles" localSheetId="9">'dod3 - базовий бюджет'!$8:$11</definedName>
    <definedName name="_xlnm.Print_Titles" localSheetId="11">'dod3 - до МВК'!$9:$12</definedName>
    <definedName name="_xlnm.Print_Titles" localSheetId="4">'dod5'!$4:$5</definedName>
    <definedName name="_xlnm.Print_Titles" localSheetId="7">'dod8'!$8:$10</definedName>
    <definedName name="_xlnm.Print_Titles" localSheetId="10">РІЗНИЦЯ!$8:$11</definedName>
    <definedName name="_xlnm.Print_Titles" localSheetId="12">'Різниця - МВК'!$9:$12</definedName>
    <definedName name="_xlnm.Print_Area" localSheetId="1">'dod2'!$A$1:$F$38</definedName>
    <definedName name="_xlnm.Print_Area" localSheetId="2">'dod3'!$A$2:$P$190</definedName>
    <definedName name="_xlnm.Print_Area" localSheetId="9">'dod3 - базовий бюджет'!$B$1:$Q$170</definedName>
    <definedName name="_xlnm.Print_Area" localSheetId="11">'dod3 - до МВК'!$A$2:$P$190</definedName>
    <definedName name="_xlnm.Print_Area" localSheetId="3">'dod4'!$B$1:$Q$18</definedName>
    <definedName name="_xlnm.Print_Area" localSheetId="4">'dod5'!$B$1:$J$174</definedName>
    <definedName name="_xlnm.Print_Area" localSheetId="5">'dod6'!$A$1:$E$35</definedName>
    <definedName name="_xlnm.Print_Area" localSheetId="6">'dod7'!$A$1:$F$21</definedName>
    <definedName name="_xlnm.Print_Area" localSheetId="7">'dod8'!$A$1:$J$214</definedName>
    <definedName name="_xlnm.Print_Area" localSheetId="0">дод1!$A$1:$F$111</definedName>
    <definedName name="_xlnm.Print_Area" localSheetId="10">РІЗНИЦЯ!$A$1:$P$184</definedName>
    <definedName name="_xlnm.Print_Area" localSheetId="12">'Різниця - МВК'!$A$2:$P$182</definedName>
    <definedName name="С16" localSheetId="1">#REF!</definedName>
    <definedName name="С16" localSheetId="9">#REF!</definedName>
    <definedName name="С16" localSheetId="11">#REF!</definedName>
    <definedName name="С16" localSheetId="7">#REF!</definedName>
    <definedName name="С16" localSheetId="0">#REF!</definedName>
    <definedName name="С16" localSheetId="10">#REF!</definedName>
    <definedName name="С16" localSheetId="12">#REF!</definedName>
    <definedName name="С16">#REF!</definedName>
  </definedNames>
  <calcPr calcId="181029"/>
</workbook>
</file>

<file path=xl/calcChain.xml><?xml version="1.0" encoding="utf-8"?>
<calcChain xmlns="http://schemas.openxmlformats.org/spreadsheetml/2006/main">
  <c r="P181" i="136" l="1"/>
  <c r="O181" i="136"/>
  <c r="N181" i="136"/>
  <c r="M181" i="136"/>
  <c r="L181" i="136"/>
  <c r="K181" i="136"/>
  <c r="J181" i="136"/>
  <c r="I181" i="136"/>
  <c r="H181" i="136"/>
  <c r="G181" i="136"/>
  <c r="F181" i="136"/>
  <c r="E181" i="136"/>
  <c r="P180" i="136"/>
  <c r="O180" i="136"/>
  <c r="N180" i="136"/>
  <c r="M180" i="136"/>
  <c r="L180" i="136"/>
  <c r="K180" i="136"/>
  <c r="J180" i="136"/>
  <c r="I180" i="136"/>
  <c r="H180" i="136"/>
  <c r="G180" i="136"/>
  <c r="F180" i="136"/>
  <c r="E180" i="136"/>
  <c r="P179" i="136"/>
  <c r="O179" i="136"/>
  <c r="N179" i="136"/>
  <c r="M179" i="136"/>
  <c r="L179" i="136"/>
  <c r="K179" i="136"/>
  <c r="J179" i="136"/>
  <c r="I179" i="136"/>
  <c r="H179" i="136"/>
  <c r="G179" i="136"/>
  <c r="F179" i="136"/>
  <c r="E179" i="136"/>
  <c r="P178" i="136"/>
  <c r="O178" i="136"/>
  <c r="N178" i="136"/>
  <c r="M178" i="136"/>
  <c r="M177" i="136" s="1"/>
  <c r="M176" i="136" s="1"/>
  <c r="L178" i="136"/>
  <c r="K178" i="136"/>
  <c r="J178" i="136"/>
  <c r="I178" i="136"/>
  <c r="I177" i="136" s="1"/>
  <c r="I176" i="136" s="1"/>
  <c r="H178" i="136"/>
  <c r="G178" i="136"/>
  <c r="F178" i="136"/>
  <c r="E178" i="136"/>
  <c r="P175" i="136"/>
  <c r="O175" i="136"/>
  <c r="N175" i="136"/>
  <c r="M175" i="136"/>
  <c r="L175" i="136"/>
  <c r="K175" i="136"/>
  <c r="J175" i="136"/>
  <c r="I175" i="136"/>
  <c r="H175" i="136"/>
  <c r="G175" i="136"/>
  <c r="F175" i="136"/>
  <c r="E175" i="136"/>
  <c r="P174" i="136"/>
  <c r="O174" i="136"/>
  <c r="N174" i="136"/>
  <c r="M174" i="136"/>
  <c r="L174" i="136"/>
  <c r="K174" i="136"/>
  <c r="J174" i="136"/>
  <c r="I174" i="136"/>
  <c r="H174" i="136"/>
  <c r="G174" i="136"/>
  <c r="F174" i="136"/>
  <c r="E174" i="136"/>
  <c r="P173" i="136"/>
  <c r="O173" i="136"/>
  <c r="N173" i="136"/>
  <c r="M173" i="136"/>
  <c r="L173" i="136"/>
  <c r="K173" i="136"/>
  <c r="J173" i="136"/>
  <c r="I173" i="136"/>
  <c r="I172" i="136" s="1"/>
  <c r="I171" i="136" s="1"/>
  <c r="H173" i="136"/>
  <c r="G173" i="136"/>
  <c r="F173" i="136"/>
  <c r="E173" i="136"/>
  <c r="P170" i="136"/>
  <c r="O170" i="136"/>
  <c r="N170" i="136"/>
  <c r="M170" i="136"/>
  <c r="L170" i="136"/>
  <c r="K170" i="136"/>
  <c r="J170" i="136"/>
  <c r="I170" i="136"/>
  <c r="H170" i="136"/>
  <c r="G170" i="136"/>
  <c r="F170" i="136"/>
  <c r="E170" i="136"/>
  <c r="P169" i="136"/>
  <c r="O169" i="136"/>
  <c r="N169" i="136"/>
  <c r="M169" i="136"/>
  <c r="L169" i="136"/>
  <c r="K169" i="136"/>
  <c r="J169" i="136"/>
  <c r="I169" i="136"/>
  <c r="H169" i="136"/>
  <c r="G169" i="136"/>
  <c r="F169" i="136"/>
  <c r="E169" i="136"/>
  <c r="P168" i="136"/>
  <c r="O168" i="136"/>
  <c r="N168" i="136"/>
  <c r="M168" i="136"/>
  <c r="L168" i="136"/>
  <c r="K168" i="136"/>
  <c r="J168" i="136"/>
  <c r="I168" i="136"/>
  <c r="H168" i="136"/>
  <c r="G168" i="136"/>
  <c r="F168" i="136"/>
  <c r="E168" i="136"/>
  <c r="P167" i="136"/>
  <c r="O167" i="136"/>
  <c r="N167" i="136"/>
  <c r="M167" i="136"/>
  <c r="M166" i="136" s="1"/>
  <c r="M165" i="136" s="1"/>
  <c r="L167" i="136"/>
  <c r="K167" i="136"/>
  <c r="J167" i="136"/>
  <c r="I167" i="136"/>
  <c r="H167" i="136"/>
  <c r="G167" i="136"/>
  <c r="F167" i="136"/>
  <c r="E167" i="136"/>
  <c r="P164" i="136"/>
  <c r="O164" i="136"/>
  <c r="N164" i="136"/>
  <c r="M164" i="136"/>
  <c r="L164" i="136"/>
  <c r="K164" i="136"/>
  <c r="J164" i="136"/>
  <c r="I164" i="136"/>
  <c r="H164" i="136"/>
  <c r="G164" i="136"/>
  <c r="F164" i="136"/>
  <c r="E164" i="136"/>
  <c r="P163" i="136"/>
  <c r="O163" i="136"/>
  <c r="N163" i="136"/>
  <c r="M163" i="136"/>
  <c r="L163" i="136"/>
  <c r="K163" i="136"/>
  <c r="J163" i="136"/>
  <c r="I163" i="136"/>
  <c r="H163" i="136"/>
  <c r="G163" i="136"/>
  <c r="F163" i="136"/>
  <c r="E163" i="136"/>
  <c r="P162" i="136"/>
  <c r="O162" i="136"/>
  <c r="N162" i="136"/>
  <c r="M162" i="136"/>
  <c r="L162" i="136"/>
  <c r="K162" i="136"/>
  <c r="J162" i="136"/>
  <c r="I162" i="136"/>
  <c r="H162" i="136"/>
  <c r="G162" i="136"/>
  <c r="F162" i="136"/>
  <c r="E162" i="136"/>
  <c r="P161" i="136"/>
  <c r="O161" i="136"/>
  <c r="N161" i="136"/>
  <c r="M161" i="136"/>
  <c r="M159" i="136" s="1"/>
  <c r="M158" i="136" s="1"/>
  <c r="L161" i="136"/>
  <c r="K161" i="136"/>
  <c r="J161" i="136"/>
  <c r="I161" i="136"/>
  <c r="H161" i="136"/>
  <c r="G161" i="136"/>
  <c r="F161" i="136"/>
  <c r="E161" i="136"/>
  <c r="P157" i="136"/>
  <c r="O157" i="136"/>
  <c r="N157" i="136"/>
  <c r="M157" i="136"/>
  <c r="L157" i="136"/>
  <c r="K157" i="136"/>
  <c r="J157" i="136"/>
  <c r="I157" i="136"/>
  <c r="H157" i="136"/>
  <c r="G157" i="136"/>
  <c r="F157" i="136"/>
  <c r="E157" i="136"/>
  <c r="P156" i="136"/>
  <c r="O156" i="136"/>
  <c r="N156" i="136"/>
  <c r="M156" i="136"/>
  <c r="M155" i="136" s="1"/>
  <c r="M154" i="136" s="1"/>
  <c r="L156" i="136"/>
  <c r="K156" i="136"/>
  <c r="J156" i="136"/>
  <c r="I156" i="136"/>
  <c r="I155" i="136" s="1"/>
  <c r="I154" i="136" s="1"/>
  <c r="H156" i="136"/>
  <c r="G156" i="136"/>
  <c r="F156" i="136"/>
  <c r="E156" i="136"/>
  <c r="P153" i="136"/>
  <c r="O153" i="136"/>
  <c r="N153" i="136"/>
  <c r="M153" i="136"/>
  <c r="L153" i="136"/>
  <c r="K153" i="136"/>
  <c r="J153" i="136"/>
  <c r="I153" i="136"/>
  <c r="H153" i="136"/>
  <c r="G153" i="136"/>
  <c r="F153" i="136"/>
  <c r="E153" i="136"/>
  <c r="P152" i="136"/>
  <c r="O152" i="136"/>
  <c r="N152" i="136"/>
  <c r="M152" i="136"/>
  <c r="L152" i="136"/>
  <c r="K152" i="136"/>
  <c r="J152" i="136"/>
  <c r="I152" i="136"/>
  <c r="H152" i="136"/>
  <c r="G152" i="136"/>
  <c r="F152" i="136"/>
  <c r="E152" i="136"/>
  <c r="P151" i="136"/>
  <c r="O151" i="136"/>
  <c r="N151" i="136"/>
  <c r="M151" i="136"/>
  <c r="L151" i="136"/>
  <c r="K151" i="136"/>
  <c r="J151" i="136"/>
  <c r="I151" i="136"/>
  <c r="H151" i="136"/>
  <c r="G151" i="136"/>
  <c r="F151" i="136"/>
  <c r="E151" i="136"/>
  <c r="P150" i="136"/>
  <c r="O150" i="136"/>
  <c r="N150" i="136"/>
  <c r="M150" i="136"/>
  <c r="L150" i="136"/>
  <c r="K150" i="136"/>
  <c r="J150" i="136"/>
  <c r="I150" i="136"/>
  <c r="H150" i="136"/>
  <c r="G150" i="136"/>
  <c r="F150" i="136"/>
  <c r="E150" i="136"/>
  <c r="P149" i="136"/>
  <c r="O149" i="136"/>
  <c r="N149" i="136"/>
  <c r="M149" i="136"/>
  <c r="L149" i="136"/>
  <c r="K149" i="136"/>
  <c r="J149" i="136"/>
  <c r="I149" i="136"/>
  <c r="H149" i="136"/>
  <c r="G149" i="136"/>
  <c r="F149" i="136"/>
  <c r="E149" i="136"/>
  <c r="P148" i="136"/>
  <c r="O148" i="136"/>
  <c r="N148" i="136"/>
  <c r="M148" i="136"/>
  <c r="L148" i="136"/>
  <c r="K148" i="136"/>
  <c r="J148" i="136"/>
  <c r="I148" i="136"/>
  <c r="H148" i="136"/>
  <c r="G148" i="136"/>
  <c r="F148" i="136"/>
  <c r="E148" i="136"/>
  <c r="P147" i="136"/>
  <c r="O147" i="136"/>
  <c r="N147" i="136"/>
  <c r="M147" i="136"/>
  <c r="M146" i="136" s="1"/>
  <c r="M145" i="136" s="1"/>
  <c r="L147" i="136"/>
  <c r="K147" i="136"/>
  <c r="J147" i="136"/>
  <c r="I147" i="136"/>
  <c r="H147" i="136"/>
  <c r="G147" i="136"/>
  <c r="F147" i="136"/>
  <c r="E147" i="136"/>
  <c r="P142" i="136"/>
  <c r="O142" i="136"/>
  <c r="N142" i="136"/>
  <c r="M142" i="136"/>
  <c r="L142" i="136"/>
  <c r="K142" i="136"/>
  <c r="J142" i="136"/>
  <c r="I142" i="136"/>
  <c r="H142" i="136"/>
  <c r="G142" i="136"/>
  <c r="F142" i="136"/>
  <c r="P144" i="136"/>
  <c r="O144" i="136"/>
  <c r="N144" i="136"/>
  <c r="M144" i="136"/>
  <c r="L144" i="136"/>
  <c r="K144" i="136"/>
  <c r="J144" i="136"/>
  <c r="I144" i="136"/>
  <c r="H144" i="136"/>
  <c r="G144" i="136"/>
  <c r="F144" i="136"/>
  <c r="E144" i="136"/>
  <c r="E142" i="136"/>
  <c r="P141" i="136"/>
  <c r="O141" i="136"/>
  <c r="N141" i="136"/>
  <c r="M141" i="136"/>
  <c r="L141" i="136"/>
  <c r="K141" i="136"/>
  <c r="J141" i="136"/>
  <c r="I141" i="136"/>
  <c r="H141" i="136"/>
  <c r="G141" i="136"/>
  <c r="F141" i="136"/>
  <c r="E141" i="136"/>
  <c r="P140" i="136"/>
  <c r="O140" i="136"/>
  <c r="N140" i="136"/>
  <c r="M140" i="136"/>
  <c r="L140" i="136"/>
  <c r="K140" i="136"/>
  <c r="J140" i="136"/>
  <c r="I140" i="136"/>
  <c r="H140" i="136"/>
  <c r="G140" i="136"/>
  <c r="F140" i="136"/>
  <c r="E140" i="136"/>
  <c r="P139" i="136"/>
  <c r="O139" i="136"/>
  <c r="N139" i="136"/>
  <c r="M139" i="136"/>
  <c r="L139" i="136"/>
  <c r="K139" i="136"/>
  <c r="J139" i="136"/>
  <c r="I139" i="136"/>
  <c r="H139" i="136"/>
  <c r="G139" i="136"/>
  <c r="F139" i="136"/>
  <c r="E139" i="136"/>
  <c r="P138" i="136"/>
  <c r="O138" i="136"/>
  <c r="N138" i="136"/>
  <c r="M138" i="136"/>
  <c r="L138" i="136"/>
  <c r="K138" i="136"/>
  <c r="J138" i="136"/>
  <c r="I138" i="136"/>
  <c r="H138" i="136"/>
  <c r="G138" i="136"/>
  <c r="F138" i="136"/>
  <c r="E138" i="136"/>
  <c r="P137" i="136"/>
  <c r="O137" i="136"/>
  <c r="N137" i="136"/>
  <c r="M137" i="136"/>
  <c r="L137" i="136"/>
  <c r="K137" i="136"/>
  <c r="J137" i="136"/>
  <c r="I137" i="136"/>
  <c r="H137" i="136"/>
  <c r="G137" i="136"/>
  <c r="F137" i="136"/>
  <c r="E137" i="136"/>
  <c r="P136" i="136"/>
  <c r="O136" i="136"/>
  <c r="N136" i="136"/>
  <c r="M136" i="136"/>
  <c r="L136" i="136"/>
  <c r="K136" i="136"/>
  <c r="J136" i="136"/>
  <c r="I136" i="136"/>
  <c r="H136" i="136"/>
  <c r="G136" i="136"/>
  <c r="F136" i="136"/>
  <c r="E136" i="136"/>
  <c r="P135" i="136"/>
  <c r="O135" i="136"/>
  <c r="N135" i="136"/>
  <c r="M135" i="136"/>
  <c r="L135" i="136"/>
  <c r="K135" i="136"/>
  <c r="J135" i="136"/>
  <c r="I135" i="136"/>
  <c r="H135" i="136"/>
  <c r="G135" i="136"/>
  <c r="F135" i="136"/>
  <c r="E135" i="136"/>
  <c r="P134" i="136"/>
  <c r="O134" i="136"/>
  <c r="N134" i="136"/>
  <c r="M134" i="136"/>
  <c r="L134" i="136"/>
  <c r="K134" i="136"/>
  <c r="J134" i="136"/>
  <c r="I134" i="136"/>
  <c r="H134" i="136"/>
  <c r="G134" i="136"/>
  <c r="F134" i="136"/>
  <c r="E134" i="136"/>
  <c r="P133" i="136"/>
  <c r="O133" i="136"/>
  <c r="N133" i="136"/>
  <c r="M133" i="136"/>
  <c r="L133" i="136"/>
  <c r="K133" i="136"/>
  <c r="J133" i="136"/>
  <c r="I133" i="136"/>
  <c r="H133" i="136"/>
  <c r="G133" i="136"/>
  <c r="F133" i="136"/>
  <c r="E133" i="136"/>
  <c r="P132" i="136"/>
  <c r="O132" i="136"/>
  <c r="N132" i="136"/>
  <c r="M132" i="136"/>
  <c r="L132" i="136"/>
  <c r="K132" i="136"/>
  <c r="J132" i="136"/>
  <c r="I132" i="136"/>
  <c r="H132" i="136"/>
  <c r="G132" i="136"/>
  <c r="F132" i="136"/>
  <c r="E132" i="136"/>
  <c r="P131" i="136"/>
  <c r="O131" i="136"/>
  <c r="N131" i="136"/>
  <c r="M131" i="136"/>
  <c r="L131" i="136"/>
  <c r="K131" i="136"/>
  <c r="J131" i="136"/>
  <c r="I131" i="136"/>
  <c r="H131" i="136"/>
  <c r="G131" i="136"/>
  <c r="F131" i="136"/>
  <c r="E131" i="136"/>
  <c r="P130" i="136"/>
  <c r="O130" i="136"/>
  <c r="N130" i="136"/>
  <c r="M130" i="136"/>
  <c r="L130" i="136"/>
  <c r="K130" i="136"/>
  <c r="J130" i="136"/>
  <c r="I130" i="136"/>
  <c r="H130" i="136"/>
  <c r="G130" i="136"/>
  <c r="F130" i="136"/>
  <c r="E130" i="136"/>
  <c r="P129" i="136"/>
  <c r="O129" i="136"/>
  <c r="N129" i="136"/>
  <c r="M129" i="136"/>
  <c r="L129" i="136"/>
  <c r="K129" i="136"/>
  <c r="J129" i="136"/>
  <c r="I129" i="136"/>
  <c r="H129" i="136"/>
  <c r="G129" i="136"/>
  <c r="F129" i="136"/>
  <c r="E129" i="136"/>
  <c r="P128" i="136"/>
  <c r="O128" i="136"/>
  <c r="N128" i="136"/>
  <c r="M128" i="136"/>
  <c r="L128" i="136"/>
  <c r="K128" i="136"/>
  <c r="J128" i="136"/>
  <c r="I128" i="136"/>
  <c r="H128" i="136"/>
  <c r="G128" i="136"/>
  <c r="F128" i="136"/>
  <c r="E128" i="136"/>
  <c r="P127" i="136"/>
  <c r="O127" i="136"/>
  <c r="N127" i="136"/>
  <c r="M127" i="136"/>
  <c r="L127" i="136"/>
  <c r="K127" i="136"/>
  <c r="J127" i="136"/>
  <c r="I127" i="136"/>
  <c r="H127" i="136"/>
  <c r="G127" i="136"/>
  <c r="F127" i="136"/>
  <c r="E127" i="136"/>
  <c r="P126" i="136"/>
  <c r="O126" i="136"/>
  <c r="N126" i="136"/>
  <c r="M126" i="136"/>
  <c r="M125" i="136" s="1"/>
  <c r="M124" i="136" s="1"/>
  <c r="L126" i="136"/>
  <c r="K126" i="136"/>
  <c r="J126" i="136"/>
  <c r="I126" i="136"/>
  <c r="H126" i="136"/>
  <c r="G126" i="136"/>
  <c r="F126" i="136"/>
  <c r="E126" i="136"/>
  <c r="P123" i="136"/>
  <c r="O123" i="136"/>
  <c r="N123" i="136"/>
  <c r="M123" i="136"/>
  <c r="L123" i="136"/>
  <c r="K123" i="136"/>
  <c r="J123" i="136"/>
  <c r="I123" i="136"/>
  <c r="H123" i="136"/>
  <c r="G123" i="136"/>
  <c r="F123" i="136"/>
  <c r="E123" i="136"/>
  <c r="P122" i="136"/>
  <c r="O122" i="136"/>
  <c r="N122" i="136"/>
  <c r="M122" i="136"/>
  <c r="L122" i="136"/>
  <c r="K122" i="136"/>
  <c r="J122" i="136"/>
  <c r="I122" i="136"/>
  <c r="H122" i="136"/>
  <c r="G122" i="136"/>
  <c r="F122" i="136"/>
  <c r="E122" i="136"/>
  <c r="P121" i="136"/>
  <c r="O121" i="136"/>
  <c r="N121" i="136"/>
  <c r="M121" i="136"/>
  <c r="L121" i="136"/>
  <c r="K121" i="136"/>
  <c r="J121" i="136"/>
  <c r="I121" i="136"/>
  <c r="H121" i="136"/>
  <c r="G121" i="136"/>
  <c r="F121" i="136"/>
  <c r="E121" i="136"/>
  <c r="P120" i="136"/>
  <c r="O120" i="136"/>
  <c r="N120" i="136"/>
  <c r="M120" i="136"/>
  <c r="L120" i="136"/>
  <c r="K120" i="136"/>
  <c r="J120" i="136"/>
  <c r="I120" i="136"/>
  <c r="H120" i="136"/>
  <c r="G120" i="136"/>
  <c r="F120" i="136"/>
  <c r="E120" i="136"/>
  <c r="P119" i="136"/>
  <c r="O119" i="136"/>
  <c r="N119" i="136"/>
  <c r="M119" i="136"/>
  <c r="L119" i="136"/>
  <c r="K119" i="136"/>
  <c r="J119" i="136"/>
  <c r="I119" i="136"/>
  <c r="H119" i="136"/>
  <c r="G119" i="136"/>
  <c r="F119" i="136"/>
  <c r="E119" i="136"/>
  <c r="P118" i="136"/>
  <c r="O118" i="136"/>
  <c r="N118" i="136"/>
  <c r="M118" i="136"/>
  <c r="L118" i="136"/>
  <c r="K118" i="136"/>
  <c r="J118" i="136"/>
  <c r="I118" i="136"/>
  <c r="H118" i="136"/>
  <c r="G118" i="136"/>
  <c r="F118" i="136"/>
  <c r="E118" i="136"/>
  <c r="P117" i="136"/>
  <c r="O117" i="136"/>
  <c r="N117" i="136"/>
  <c r="M117" i="136"/>
  <c r="L117" i="136"/>
  <c r="K117" i="136"/>
  <c r="J117" i="136"/>
  <c r="I117" i="136"/>
  <c r="H117" i="136"/>
  <c r="G117" i="136"/>
  <c r="F117" i="136"/>
  <c r="E117" i="136"/>
  <c r="P116" i="136"/>
  <c r="O116" i="136"/>
  <c r="N116" i="136"/>
  <c r="M116" i="136"/>
  <c r="L116" i="136"/>
  <c r="K116" i="136"/>
  <c r="J116" i="136"/>
  <c r="I116" i="136"/>
  <c r="H116" i="136"/>
  <c r="G116" i="136"/>
  <c r="F116" i="136"/>
  <c r="E116" i="136"/>
  <c r="P115" i="136"/>
  <c r="O115" i="136"/>
  <c r="N115" i="136"/>
  <c r="M115" i="136"/>
  <c r="L115" i="136"/>
  <c r="K115" i="136"/>
  <c r="J115" i="136"/>
  <c r="I115" i="136"/>
  <c r="H115" i="136"/>
  <c r="G115" i="136"/>
  <c r="F115" i="136"/>
  <c r="E115" i="136"/>
  <c r="P114" i="136"/>
  <c r="O114" i="136"/>
  <c r="N114" i="136"/>
  <c r="M114" i="136"/>
  <c r="L114" i="136"/>
  <c r="K114" i="136"/>
  <c r="J114" i="136"/>
  <c r="I114" i="136"/>
  <c r="H114" i="136"/>
  <c r="G114" i="136"/>
  <c r="F114" i="136"/>
  <c r="E114" i="136"/>
  <c r="P113" i="136"/>
  <c r="O113" i="136"/>
  <c r="N113" i="136"/>
  <c r="M113" i="136"/>
  <c r="L113" i="136"/>
  <c r="K113" i="136"/>
  <c r="J113" i="136"/>
  <c r="I113" i="136"/>
  <c r="H113" i="136"/>
  <c r="G113" i="136"/>
  <c r="F113" i="136"/>
  <c r="E113" i="136"/>
  <c r="P112" i="136"/>
  <c r="O112" i="136"/>
  <c r="N112" i="136"/>
  <c r="M112" i="136"/>
  <c r="L112" i="136"/>
  <c r="K112" i="136"/>
  <c r="J112" i="136"/>
  <c r="I112" i="136"/>
  <c r="H112" i="136"/>
  <c r="G112" i="136"/>
  <c r="F112" i="136"/>
  <c r="E112" i="136"/>
  <c r="P111" i="136"/>
  <c r="O111" i="136"/>
  <c r="N111" i="136"/>
  <c r="M111" i="136"/>
  <c r="L111" i="136"/>
  <c r="K111" i="136"/>
  <c r="J111" i="136"/>
  <c r="I111" i="136"/>
  <c r="H111" i="136"/>
  <c r="G111" i="136"/>
  <c r="F111" i="136"/>
  <c r="E111" i="136"/>
  <c r="P110" i="136"/>
  <c r="O110" i="136"/>
  <c r="N110" i="136"/>
  <c r="M110" i="136"/>
  <c r="M109" i="136" s="1"/>
  <c r="M108" i="136" s="1"/>
  <c r="L110" i="136"/>
  <c r="K110" i="136"/>
  <c r="J110" i="136"/>
  <c r="I110" i="136"/>
  <c r="I109" i="136" s="1"/>
  <c r="I108" i="136" s="1"/>
  <c r="H110" i="136"/>
  <c r="G110" i="136"/>
  <c r="F110" i="136"/>
  <c r="E110" i="136"/>
  <c r="F100" i="136"/>
  <c r="G100" i="136"/>
  <c r="H100" i="136"/>
  <c r="I100" i="136"/>
  <c r="I99" i="136" s="1"/>
  <c r="I98" i="136" s="1"/>
  <c r="J100" i="136"/>
  <c r="K100" i="136"/>
  <c r="L100" i="136"/>
  <c r="M100" i="136"/>
  <c r="M99" i="136" s="1"/>
  <c r="M98" i="136" s="1"/>
  <c r="N100" i="136"/>
  <c r="O100" i="136"/>
  <c r="P100" i="136"/>
  <c r="F101" i="136"/>
  <c r="G101" i="136"/>
  <c r="H101" i="136"/>
  <c r="I101" i="136"/>
  <c r="J101" i="136"/>
  <c r="K101" i="136"/>
  <c r="L101" i="136"/>
  <c r="M101" i="136"/>
  <c r="N101" i="136"/>
  <c r="O101" i="136"/>
  <c r="P101" i="136"/>
  <c r="F102" i="136"/>
  <c r="G102" i="136"/>
  <c r="H102" i="136"/>
  <c r="I102" i="136"/>
  <c r="J102" i="136"/>
  <c r="K102" i="136"/>
  <c r="L102" i="136"/>
  <c r="M102" i="136"/>
  <c r="N102" i="136"/>
  <c r="O102" i="136"/>
  <c r="P102" i="136"/>
  <c r="F103" i="136"/>
  <c r="G103" i="136"/>
  <c r="H103" i="136"/>
  <c r="H99" i="136" s="1"/>
  <c r="H98" i="136" s="1"/>
  <c r="I103" i="136"/>
  <c r="J103" i="136"/>
  <c r="K103" i="136"/>
  <c r="L103" i="136"/>
  <c r="L99" i="136" s="1"/>
  <c r="L98" i="136" s="1"/>
  <c r="M103" i="136"/>
  <c r="N103" i="136"/>
  <c r="O103" i="136"/>
  <c r="P103" i="136"/>
  <c r="F104" i="136"/>
  <c r="G104" i="136"/>
  <c r="H104" i="136"/>
  <c r="I104" i="136"/>
  <c r="J104" i="136"/>
  <c r="K104" i="136"/>
  <c r="L104" i="136"/>
  <c r="M104" i="136"/>
  <c r="N104" i="136"/>
  <c r="O104" i="136"/>
  <c r="P104" i="136"/>
  <c r="F105" i="136"/>
  <c r="G105" i="136"/>
  <c r="H105" i="136"/>
  <c r="I105" i="136"/>
  <c r="J105" i="136"/>
  <c r="K105" i="136"/>
  <c r="L105" i="136"/>
  <c r="M105" i="136"/>
  <c r="N105" i="136"/>
  <c r="O105" i="136"/>
  <c r="P105" i="136"/>
  <c r="F106" i="136"/>
  <c r="G106" i="136"/>
  <c r="H106" i="136"/>
  <c r="I106" i="136"/>
  <c r="J106" i="136"/>
  <c r="K106" i="136"/>
  <c r="L106" i="136"/>
  <c r="M106" i="136"/>
  <c r="N106" i="136"/>
  <c r="O106" i="136"/>
  <c r="P106" i="136"/>
  <c r="F107" i="136"/>
  <c r="G107" i="136"/>
  <c r="H107" i="136"/>
  <c r="I107" i="136"/>
  <c r="J107" i="136"/>
  <c r="K107" i="136"/>
  <c r="L107" i="136"/>
  <c r="M107" i="136"/>
  <c r="N107" i="136"/>
  <c r="O107" i="136"/>
  <c r="P107" i="136"/>
  <c r="E107" i="136"/>
  <c r="E106" i="136"/>
  <c r="E105" i="136"/>
  <c r="E104" i="136"/>
  <c r="E103" i="136"/>
  <c r="E102" i="136"/>
  <c r="E101" i="136"/>
  <c r="E100" i="136"/>
  <c r="P96" i="136"/>
  <c r="O96" i="136"/>
  <c r="N96" i="136"/>
  <c r="M96" i="136"/>
  <c r="L96" i="136"/>
  <c r="K96" i="136"/>
  <c r="J96" i="136"/>
  <c r="I96" i="136"/>
  <c r="H96" i="136"/>
  <c r="G96" i="136"/>
  <c r="F96" i="136"/>
  <c r="P89" i="136"/>
  <c r="O89" i="136"/>
  <c r="N89" i="136"/>
  <c r="M89" i="136"/>
  <c r="L89" i="136"/>
  <c r="K89" i="136"/>
  <c r="J89" i="136"/>
  <c r="I89" i="136"/>
  <c r="H89" i="136"/>
  <c r="G89" i="136"/>
  <c r="F89" i="136"/>
  <c r="P78" i="136"/>
  <c r="O78" i="136"/>
  <c r="N78" i="136"/>
  <c r="M78" i="136"/>
  <c r="L78" i="136"/>
  <c r="K78" i="136"/>
  <c r="J78" i="136"/>
  <c r="I78" i="136"/>
  <c r="H78" i="136"/>
  <c r="G78" i="136"/>
  <c r="F78" i="136"/>
  <c r="P95" i="136"/>
  <c r="O95" i="136"/>
  <c r="N95" i="136"/>
  <c r="M95" i="136"/>
  <c r="L95" i="136"/>
  <c r="K95" i="136"/>
  <c r="J95" i="136"/>
  <c r="I95" i="136"/>
  <c r="H95" i="136"/>
  <c r="G95" i="136"/>
  <c r="F95" i="136"/>
  <c r="P94" i="136"/>
  <c r="O94" i="136"/>
  <c r="N94" i="136"/>
  <c r="M94" i="136"/>
  <c r="L94" i="136"/>
  <c r="K94" i="136"/>
  <c r="J94" i="136"/>
  <c r="I94" i="136"/>
  <c r="H94" i="136"/>
  <c r="G94" i="136"/>
  <c r="F94" i="136"/>
  <c r="P93" i="136"/>
  <c r="O93" i="136"/>
  <c r="N93" i="136"/>
  <c r="M93" i="136"/>
  <c r="L93" i="136"/>
  <c r="K93" i="136"/>
  <c r="J93" i="136"/>
  <c r="I93" i="136"/>
  <c r="H93" i="136"/>
  <c r="G93" i="136"/>
  <c r="F93" i="136"/>
  <c r="P92" i="136"/>
  <c r="O92" i="136"/>
  <c r="N92" i="136"/>
  <c r="M92" i="136"/>
  <c r="L92" i="136"/>
  <c r="K92" i="136"/>
  <c r="J92" i="136"/>
  <c r="I92" i="136"/>
  <c r="H92" i="136"/>
  <c r="G92" i="136"/>
  <c r="F92" i="136"/>
  <c r="P88" i="136"/>
  <c r="O88" i="136"/>
  <c r="N88" i="136"/>
  <c r="M88" i="136"/>
  <c r="L88" i="136"/>
  <c r="K88" i="136"/>
  <c r="J88" i="136"/>
  <c r="I88" i="136"/>
  <c r="H88" i="136"/>
  <c r="G88" i="136"/>
  <c r="F88" i="136"/>
  <c r="P87" i="136"/>
  <c r="O87" i="136"/>
  <c r="N87" i="136"/>
  <c r="M87" i="136"/>
  <c r="L87" i="136"/>
  <c r="K87" i="136"/>
  <c r="J87" i="136"/>
  <c r="I87" i="136"/>
  <c r="H87" i="136"/>
  <c r="G87" i="136"/>
  <c r="F87" i="136"/>
  <c r="P86" i="136"/>
  <c r="O86" i="136"/>
  <c r="N86" i="136"/>
  <c r="M86" i="136"/>
  <c r="L86" i="136"/>
  <c r="K86" i="136"/>
  <c r="J86" i="136"/>
  <c r="I86" i="136"/>
  <c r="H86" i="136"/>
  <c r="G86" i="136"/>
  <c r="F86" i="136"/>
  <c r="P85" i="136"/>
  <c r="O85" i="136"/>
  <c r="N85" i="136"/>
  <c r="M85" i="136"/>
  <c r="L85" i="136"/>
  <c r="K85" i="136"/>
  <c r="J85" i="136"/>
  <c r="I85" i="136"/>
  <c r="H85" i="136"/>
  <c r="G85" i="136"/>
  <c r="F85" i="136"/>
  <c r="P84" i="136"/>
  <c r="O84" i="136"/>
  <c r="N84" i="136"/>
  <c r="M84" i="136"/>
  <c r="L84" i="136"/>
  <c r="K84" i="136"/>
  <c r="J84" i="136"/>
  <c r="I84" i="136"/>
  <c r="H84" i="136"/>
  <c r="G84" i="136"/>
  <c r="F84" i="136"/>
  <c r="P83" i="136"/>
  <c r="O83" i="136"/>
  <c r="N83" i="136"/>
  <c r="M83" i="136"/>
  <c r="L83" i="136"/>
  <c r="K83" i="136"/>
  <c r="J83" i="136"/>
  <c r="I83" i="136"/>
  <c r="H83" i="136"/>
  <c r="G83" i="136"/>
  <c r="F83" i="136"/>
  <c r="P82" i="136"/>
  <c r="O82" i="136"/>
  <c r="N82" i="136"/>
  <c r="M82" i="136"/>
  <c r="L82" i="136"/>
  <c r="K82" i="136"/>
  <c r="J82" i="136"/>
  <c r="I82" i="136"/>
  <c r="H82" i="136"/>
  <c r="G82" i="136"/>
  <c r="F82" i="136"/>
  <c r="P81" i="136"/>
  <c r="O81" i="136"/>
  <c r="N81" i="136"/>
  <c r="M81" i="136"/>
  <c r="L81" i="136"/>
  <c r="K81" i="136"/>
  <c r="J81" i="136"/>
  <c r="I81" i="136"/>
  <c r="H81" i="136"/>
  <c r="G81" i="136"/>
  <c r="F81" i="136"/>
  <c r="P80" i="136"/>
  <c r="O80" i="136"/>
  <c r="N80" i="136"/>
  <c r="M80" i="136"/>
  <c r="L80" i="136"/>
  <c r="K80" i="136"/>
  <c r="J80" i="136"/>
  <c r="I80" i="136"/>
  <c r="H80" i="136"/>
  <c r="G80" i="136"/>
  <c r="F80" i="136"/>
  <c r="P77" i="136"/>
  <c r="O77" i="136"/>
  <c r="N77" i="136"/>
  <c r="M77" i="136"/>
  <c r="L77" i="136"/>
  <c r="K77" i="136"/>
  <c r="J77" i="136"/>
  <c r="I77" i="136"/>
  <c r="H77" i="136"/>
  <c r="G77" i="136"/>
  <c r="F77" i="136"/>
  <c r="P76" i="136"/>
  <c r="O76" i="136"/>
  <c r="N76" i="136"/>
  <c r="M76" i="136"/>
  <c r="L76" i="136"/>
  <c r="K76" i="136"/>
  <c r="J76" i="136"/>
  <c r="I76" i="136"/>
  <c r="H76" i="136"/>
  <c r="G76" i="136"/>
  <c r="F76" i="136"/>
  <c r="P75" i="136"/>
  <c r="O75" i="136"/>
  <c r="N75" i="136"/>
  <c r="M75" i="136"/>
  <c r="L75" i="136"/>
  <c r="K75" i="136"/>
  <c r="J75" i="136"/>
  <c r="I75" i="136"/>
  <c r="H75" i="136"/>
  <c r="G75" i="136"/>
  <c r="F75" i="136"/>
  <c r="P74" i="136"/>
  <c r="O74" i="136"/>
  <c r="N74" i="136"/>
  <c r="M74" i="136"/>
  <c r="L74" i="136"/>
  <c r="K74" i="136"/>
  <c r="J74" i="136"/>
  <c r="I74" i="136"/>
  <c r="H74" i="136"/>
  <c r="G74" i="136"/>
  <c r="F74" i="136"/>
  <c r="P73" i="136"/>
  <c r="O73" i="136"/>
  <c r="N73" i="136"/>
  <c r="M73" i="136"/>
  <c r="L73" i="136"/>
  <c r="K73" i="136"/>
  <c r="J73" i="136"/>
  <c r="I73" i="136"/>
  <c r="H73" i="136"/>
  <c r="G73" i="136"/>
  <c r="F73" i="136"/>
  <c r="P72" i="136"/>
  <c r="O72" i="136"/>
  <c r="N72" i="136"/>
  <c r="M72" i="136"/>
  <c r="L72" i="136"/>
  <c r="K72" i="136"/>
  <c r="J72" i="136"/>
  <c r="I72" i="136"/>
  <c r="H72" i="136"/>
  <c r="G72" i="136"/>
  <c r="F72" i="136"/>
  <c r="P71" i="136"/>
  <c r="O71" i="136"/>
  <c r="N71" i="136"/>
  <c r="M71" i="136"/>
  <c r="L71" i="136"/>
  <c r="K71" i="136"/>
  <c r="J71" i="136"/>
  <c r="I71" i="136"/>
  <c r="H71" i="136"/>
  <c r="G71" i="136"/>
  <c r="F71" i="136"/>
  <c r="P70" i="136"/>
  <c r="O70" i="136"/>
  <c r="N70" i="136"/>
  <c r="M70" i="136"/>
  <c r="L70" i="136"/>
  <c r="K70" i="136"/>
  <c r="J70" i="136"/>
  <c r="I70" i="136"/>
  <c r="H70" i="136"/>
  <c r="G70" i="136"/>
  <c r="F70" i="136"/>
  <c r="P69" i="136"/>
  <c r="O69" i="136"/>
  <c r="N69" i="136"/>
  <c r="M69" i="136"/>
  <c r="L69" i="136"/>
  <c r="K69" i="136"/>
  <c r="J69" i="136"/>
  <c r="I69" i="136"/>
  <c r="H69" i="136"/>
  <c r="G69" i="136"/>
  <c r="F69" i="136"/>
  <c r="P68" i="136"/>
  <c r="O68" i="136"/>
  <c r="N68" i="136"/>
  <c r="M68" i="136"/>
  <c r="L68" i="136"/>
  <c r="K68" i="136"/>
  <c r="J68" i="136"/>
  <c r="I68" i="136"/>
  <c r="H68" i="136"/>
  <c r="G68" i="136"/>
  <c r="F68" i="136"/>
  <c r="P67" i="136"/>
  <c r="O67" i="136"/>
  <c r="N67" i="136"/>
  <c r="M67" i="136"/>
  <c r="L67" i="136"/>
  <c r="K67" i="136"/>
  <c r="J67" i="136"/>
  <c r="I67" i="136"/>
  <c r="H67" i="136"/>
  <c r="G67" i="136"/>
  <c r="F67" i="136"/>
  <c r="P66" i="136"/>
  <c r="O66" i="136"/>
  <c r="N66" i="136"/>
  <c r="M66" i="136"/>
  <c r="L66" i="136"/>
  <c r="K66" i="136"/>
  <c r="J66" i="136"/>
  <c r="I66" i="136"/>
  <c r="H66" i="136"/>
  <c r="G66" i="136"/>
  <c r="F66" i="136"/>
  <c r="P65" i="136"/>
  <c r="O65" i="136"/>
  <c r="N65" i="136"/>
  <c r="M65" i="136"/>
  <c r="L65" i="136"/>
  <c r="K65" i="136"/>
  <c r="J65" i="136"/>
  <c r="I65" i="136"/>
  <c r="H65" i="136"/>
  <c r="G65" i="136"/>
  <c r="F65" i="136"/>
  <c r="P64" i="136"/>
  <c r="O64" i="136"/>
  <c r="N64" i="136"/>
  <c r="M64" i="136"/>
  <c r="L64" i="136"/>
  <c r="K64" i="136"/>
  <c r="J64" i="136"/>
  <c r="I64" i="136"/>
  <c r="H64" i="136"/>
  <c r="G64" i="136"/>
  <c r="F64" i="136"/>
  <c r="P63" i="136"/>
  <c r="O63" i="136"/>
  <c r="N63" i="136"/>
  <c r="M63" i="136"/>
  <c r="L63" i="136"/>
  <c r="K63" i="136"/>
  <c r="J63" i="136"/>
  <c r="I63" i="136"/>
  <c r="H63" i="136"/>
  <c r="G63" i="136"/>
  <c r="F63" i="136"/>
  <c r="P62" i="136"/>
  <c r="O62" i="136"/>
  <c r="N62" i="136"/>
  <c r="M62" i="136"/>
  <c r="L62" i="136"/>
  <c r="K62" i="136"/>
  <c r="J62" i="136"/>
  <c r="I62" i="136"/>
  <c r="H62" i="136"/>
  <c r="G62" i="136"/>
  <c r="F62" i="136"/>
  <c r="P61" i="136"/>
  <c r="O61" i="136"/>
  <c r="N61" i="136"/>
  <c r="M61" i="136"/>
  <c r="L61" i="136"/>
  <c r="K61" i="136"/>
  <c r="J61" i="136"/>
  <c r="I61" i="136"/>
  <c r="H61" i="136"/>
  <c r="G61" i="136"/>
  <c r="F61" i="136"/>
  <c r="P60" i="136"/>
  <c r="O60" i="136"/>
  <c r="N60" i="136"/>
  <c r="M60" i="136"/>
  <c r="L60" i="136"/>
  <c r="K60" i="136"/>
  <c r="J60" i="136"/>
  <c r="I60" i="136"/>
  <c r="H60" i="136"/>
  <c r="G60" i="136"/>
  <c r="F60" i="136"/>
  <c r="P59" i="136"/>
  <c r="O59" i="136"/>
  <c r="N59" i="136"/>
  <c r="M59" i="136"/>
  <c r="L59" i="136"/>
  <c r="K59" i="136"/>
  <c r="J59" i="136"/>
  <c r="I59" i="136"/>
  <c r="H59" i="136"/>
  <c r="G59" i="136"/>
  <c r="F59" i="136"/>
  <c r="P58" i="136"/>
  <c r="O58" i="136"/>
  <c r="N58" i="136"/>
  <c r="M58" i="136"/>
  <c r="L58" i="136"/>
  <c r="K58" i="136"/>
  <c r="J58" i="136"/>
  <c r="I58" i="136"/>
  <c r="H58" i="136"/>
  <c r="G58" i="136"/>
  <c r="F58" i="136"/>
  <c r="P57" i="136"/>
  <c r="O57" i="136"/>
  <c r="N57" i="136"/>
  <c r="M57" i="136"/>
  <c r="L57" i="136"/>
  <c r="K57" i="136"/>
  <c r="J57" i="136"/>
  <c r="I57" i="136"/>
  <c r="H57" i="136"/>
  <c r="G57" i="136"/>
  <c r="F57" i="136"/>
  <c r="P56" i="136"/>
  <c r="O56" i="136"/>
  <c r="N56" i="136"/>
  <c r="M56" i="136"/>
  <c r="L56" i="136"/>
  <c r="L53" i="136" s="1"/>
  <c r="L52" i="136" s="1"/>
  <c r="K56" i="136"/>
  <c r="J56" i="136"/>
  <c r="I56" i="136"/>
  <c r="H56" i="136"/>
  <c r="H53" i="136" s="1"/>
  <c r="H52" i="136" s="1"/>
  <c r="G56" i="136"/>
  <c r="F56" i="136"/>
  <c r="P55" i="136"/>
  <c r="O55" i="136"/>
  <c r="N55" i="136"/>
  <c r="M55" i="136"/>
  <c r="L55" i="136"/>
  <c r="K55" i="136"/>
  <c r="J55" i="136"/>
  <c r="I55" i="136"/>
  <c r="H55" i="136"/>
  <c r="G55" i="136"/>
  <c r="F55" i="136"/>
  <c r="P54" i="136"/>
  <c r="O54" i="136"/>
  <c r="N54" i="136"/>
  <c r="M54" i="136"/>
  <c r="L54" i="136"/>
  <c r="K54" i="136"/>
  <c r="J54" i="136"/>
  <c r="I54" i="136"/>
  <c r="H54" i="136"/>
  <c r="G54" i="136"/>
  <c r="F54" i="136"/>
  <c r="E96" i="136"/>
  <c r="E95" i="136"/>
  <c r="E94" i="136"/>
  <c r="E93" i="136"/>
  <c r="E92" i="136"/>
  <c r="E89" i="136"/>
  <c r="E88" i="136"/>
  <c r="E87" i="136"/>
  <c r="E86" i="136"/>
  <c r="E85" i="136"/>
  <c r="E84" i="136"/>
  <c r="E83" i="136"/>
  <c r="E82" i="136"/>
  <c r="E81" i="136"/>
  <c r="E80" i="136"/>
  <c r="E78" i="136"/>
  <c r="E77" i="136"/>
  <c r="E76" i="136"/>
  <c r="E75" i="136"/>
  <c r="E74" i="136"/>
  <c r="E73" i="136"/>
  <c r="E72" i="136"/>
  <c r="E71" i="136"/>
  <c r="E70" i="136"/>
  <c r="E69" i="136"/>
  <c r="E68" i="136"/>
  <c r="E67" i="136"/>
  <c r="E66" i="136"/>
  <c r="E65" i="136"/>
  <c r="E64" i="136"/>
  <c r="E63" i="136"/>
  <c r="E62" i="136"/>
  <c r="E61" i="136"/>
  <c r="E60" i="136"/>
  <c r="E59" i="136"/>
  <c r="E58" i="136"/>
  <c r="E57" i="136"/>
  <c r="E56" i="136"/>
  <c r="E55" i="136"/>
  <c r="E54" i="136"/>
  <c r="F40" i="136"/>
  <c r="G40" i="136"/>
  <c r="H40" i="136"/>
  <c r="I40" i="136"/>
  <c r="J40" i="136"/>
  <c r="K40" i="136"/>
  <c r="L40" i="136"/>
  <c r="M40" i="136"/>
  <c r="M39" i="136" s="1"/>
  <c r="M38" i="136" s="1"/>
  <c r="N40" i="136"/>
  <c r="O40" i="136"/>
  <c r="P40" i="136"/>
  <c r="F41" i="136"/>
  <c r="G41" i="136"/>
  <c r="H41" i="136"/>
  <c r="I41" i="136"/>
  <c r="J41" i="136"/>
  <c r="K41" i="136"/>
  <c r="L41" i="136"/>
  <c r="M41" i="136"/>
  <c r="N41" i="136"/>
  <c r="N39" i="136" s="1"/>
  <c r="N38" i="136" s="1"/>
  <c r="O41" i="136"/>
  <c r="P41" i="136"/>
  <c r="F42" i="136"/>
  <c r="G42" i="136"/>
  <c r="G39" i="136" s="1"/>
  <c r="G38" i="136" s="1"/>
  <c r="H42" i="136"/>
  <c r="I42" i="136"/>
  <c r="J42" i="136"/>
  <c r="K42" i="136"/>
  <c r="L42" i="136"/>
  <c r="M42" i="136"/>
  <c r="N42" i="136"/>
  <c r="O42" i="136"/>
  <c r="P42" i="136"/>
  <c r="F43" i="136"/>
  <c r="G43" i="136"/>
  <c r="H43" i="136"/>
  <c r="H39" i="136" s="1"/>
  <c r="H38" i="136" s="1"/>
  <c r="I43" i="136"/>
  <c r="J43" i="136"/>
  <c r="K43" i="136"/>
  <c r="L43" i="136"/>
  <c r="L39" i="136" s="1"/>
  <c r="L38" i="136" s="1"/>
  <c r="M43" i="136"/>
  <c r="N43" i="136"/>
  <c r="O43" i="136"/>
  <c r="P43" i="136"/>
  <c r="F44" i="136"/>
  <c r="G44" i="136"/>
  <c r="H44" i="136"/>
  <c r="I44" i="136"/>
  <c r="J44" i="136"/>
  <c r="K44" i="136"/>
  <c r="L44" i="136"/>
  <c r="M44" i="136"/>
  <c r="N44" i="136"/>
  <c r="O44" i="136"/>
  <c r="P44" i="136"/>
  <c r="F45" i="136"/>
  <c r="G45" i="136"/>
  <c r="H45" i="136"/>
  <c r="I45" i="136"/>
  <c r="J45" i="136"/>
  <c r="K45" i="136"/>
  <c r="L45" i="136"/>
  <c r="M45" i="136"/>
  <c r="N45" i="136"/>
  <c r="O45" i="136"/>
  <c r="P45" i="136"/>
  <c r="F46" i="136"/>
  <c r="G46" i="136"/>
  <c r="H46" i="136"/>
  <c r="I46" i="136"/>
  <c r="J46" i="136"/>
  <c r="K46" i="136"/>
  <c r="L46" i="136"/>
  <c r="M46" i="136"/>
  <c r="N46" i="136"/>
  <c r="O46" i="136"/>
  <c r="P46" i="136"/>
  <c r="F47" i="136"/>
  <c r="G47" i="136"/>
  <c r="H47" i="136"/>
  <c r="I47" i="136"/>
  <c r="J47" i="136"/>
  <c r="K47" i="136"/>
  <c r="L47" i="136"/>
  <c r="M47" i="136"/>
  <c r="N47" i="136"/>
  <c r="O47" i="136"/>
  <c r="P47" i="136"/>
  <c r="F48" i="136"/>
  <c r="G48" i="136"/>
  <c r="H48" i="136"/>
  <c r="I48" i="136"/>
  <c r="J48" i="136"/>
  <c r="K48" i="136"/>
  <c r="L48" i="136"/>
  <c r="M48" i="136"/>
  <c r="N48" i="136"/>
  <c r="O48" i="136"/>
  <c r="P48" i="136"/>
  <c r="F49" i="136"/>
  <c r="G49" i="136"/>
  <c r="H49" i="136"/>
  <c r="I49" i="136"/>
  <c r="J49" i="136"/>
  <c r="K49" i="136"/>
  <c r="L49" i="136"/>
  <c r="M49" i="136"/>
  <c r="N49" i="136"/>
  <c r="O49" i="136"/>
  <c r="P49" i="136"/>
  <c r="F50" i="136"/>
  <c r="G50" i="136"/>
  <c r="H50" i="136"/>
  <c r="I50" i="136"/>
  <c r="J50" i="136"/>
  <c r="K50" i="136"/>
  <c r="L50" i="136"/>
  <c r="M50" i="136"/>
  <c r="N50" i="136"/>
  <c r="O50" i="136"/>
  <c r="P50" i="136"/>
  <c r="F51" i="136"/>
  <c r="G51" i="136"/>
  <c r="H51" i="136"/>
  <c r="I51" i="136"/>
  <c r="J51" i="136"/>
  <c r="K51" i="136"/>
  <c r="L51" i="136"/>
  <c r="M51" i="136"/>
  <c r="N51" i="136"/>
  <c r="O51" i="136"/>
  <c r="P51" i="136"/>
  <c r="E41" i="136"/>
  <c r="E42" i="136"/>
  <c r="E43" i="136"/>
  <c r="E44" i="136"/>
  <c r="E45" i="136"/>
  <c r="E46" i="136"/>
  <c r="E47" i="136"/>
  <c r="E48" i="136"/>
  <c r="E49" i="136"/>
  <c r="E50" i="136"/>
  <c r="E51" i="136"/>
  <c r="E40" i="136"/>
  <c r="F27" i="136"/>
  <c r="G27" i="136"/>
  <c r="H27" i="136"/>
  <c r="I27" i="136"/>
  <c r="I26" i="136" s="1"/>
  <c r="I25" i="136" s="1"/>
  <c r="J27" i="136"/>
  <c r="K27" i="136"/>
  <c r="L27" i="136"/>
  <c r="M27" i="136"/>
  <c r="M26" i="136" s="1"/>
  <c r="M25" i="136" s="1"/>
  <c r="N27" i="136"/>
  <c r="O27" i="136"/>
  <c r="P27" i="136"/>
  <c r="F28" i="136"/>
  <c r="G28" i="136"/>
  <c r="H28" i="136"/>
  <c r="I28" i="136"/>
  <c r="J28" i="136"/>
  <c r="K28" i="136"/>
  <c r="L28" i="136"/>
  <c r="M28" i="136"/>
  <c r="N28" i="136"/>
  <c r="N26" i="136" s="1"/>
  <c r="N25" i="136" s="1"/>
  <c r="O28" i="136"/>
  <c r="P28" i="136"/>
  <c r="F29" i="136"/>
  <c r="G29" i="136"/>
  <c r="H29" i="136"/>
  <c r="I29" i="136"/>
  <c r="J29" i="136"/>
  <c r="K29" i="136"/>
  <c r="L29" i="136"/>
  <c r="M29" i="136"/>
  <c r="N29" i="136"/>
  <c r="O29" i="136"/>
  <c r="P29" i="136"/>
  <c r="F30" i="136"/>
  <c r="G30" i="136"/>
  <c r="H30" i="136"/>
  <c r="H26" i="136" s="1"/>
  <c r="H25" i="136" s="1"/>
  <c r="I30" i="136"/>
  <c r="J30" i="136"/>
  <c r="K30" i="136"/>
  <c r="L30" i="136"/>
  <c r="M30" i="136"/>
  <c r="N30" i="136"/>
  <c r="O30" i="136"/>
  <c r="P30" i="136"/>
  <c r="F31" i="136"/>
  <c r="G31" i="136"/>
  <c r="H31" i="136"/>
  <c r="I31" i="136"/>
  <c r="J31" i="136"/>
  <c r="K31" i="136"/>
  <c r="L31" i="136"/>
  <c r="M31" i="136"/>
  <c r="N31" i="136"/>
  <c r="O31" i="136"/>
  <c r="P31" i="136"/>
  <c r="F32" i="136"/>
  <c r="G32" i="136"/>
  <c r="H32" i="136"/>
  <c r="I32" i="136"/>
  <c r="J32" i="136"/>
  <c r="K32" i="136"/>
  <c r="L32" i="136"/>
  <c r="M32" i="136"/>
  <c r="N32" i="136"/>
  <c r="O32" i="136"/>
  <c r="P32" i="136"/>
  <c r="F33" i="136"/>
  <c r="G33" i="136"/>
  <c r="H33" i="136"/>
  <c r="I33" i="136"/>
  <c r="J33" i="136"/>
  <c r="K33" i="136"/>
  <c r="L33" i="136"/>
  <c r="M33" i="136"/>
  <c r="N33" i="136"/>
  <c r="O33" i="136"/>
  <c r="P33" i="136"/>
  <c r="F34" i="136"/>
  <c r="G34" i="136"/>
  <c r="H34" i="136"/>
  <c r="I34" i="136"/>
  <c r="J34" i="136"/>
  <c r="K34" i="136"/>
  <c r="L34" i="136"/>
  <c r="M34" i="136"/>
  <c r="N34" i="136"/>
  <c r="O34" i="136"/>
  <c r="P34" i="136"/>
  <c r="F35" i="136"/>
  <c r="G35" i="136"/>
  <c r="H35" i="136"/>
  <c r="I35" i="136"/>
  <c r="J35" i="136"/>
  <c r="K35" i="136"/>
  <c r="L35" i="136"/>
  <c r="M35" i="136"/>
  <c r="N35" i="136"/>
  <c r="O35" i="136"/>
  <c r="P35" i="136"/>
  <c r="F36" i="136"/>
  <c r="G36" i="136"/>
  <c r="H36" i="136"/>
  <c r="I36" i="136"/>
  <c r="J36" i="136"/>
  <c r="K36" i="136"/>
  <c r="L36" i="136"/>
  <c r="M36" i="136"/>
  <c r="N36" i="136"/>
  <c r="O36" i="136"/>
  <c r="P36" i="136"/>
  <c r="F37" i="136"/>
  <c r="G37" i="136"/>
  <c r="H37" i="136"/>
  <c r="I37" i="136"/>
  <c r="J37" i="136"/>
  <c r="K37" i="136"/>
  <c r="L37" i="136"/>
  <c r="M37" i="136"/>
  <c r="N37" i="136"/>
  <c r="O37" i="136"/>
  <c r="P37" i="136"/>
  <c r="E37" i="136"/>
  <c r="E28" i="136"/>
  <c r="E29" i="136"/>
  <c r="E30" i="136"/>
  <c r="E31" i="136"/>
  <c r="E32" i="136"/>
  <c r="E33" i="136"/>
  <c r="E34" i="136"/>
  <c r="E35" i="136"/>
  <c r="E36" i="136"/>
  <c r="E27" i="136"/>
  <c r="P19" i="136"/>
  <c r="O19" i="136"/>
  <c r="N19" i="136"/>
  <c r="M19" i="136"/>
  <c r="L19" i="136"/>
  <c r="K19" i="136"/>
  <c r="J19" i="136"/>
  <c r="I19" i="136"/>
  <c r="H19" i="136"/>
  <c r="G19" i="136"/>
  <c r="F19" i="136"/>
  <c r="F21" i="136"/>
  <c r="G21" i="136"/>
  <c r="H21" i="136"/>
  <c r="I21" i="136"/>
  <c r="J21" i="136"/>
  <c r="K21" i="136"/>
  <c r="L21" i="136"/>
  <c r="M21" i="136"/>
  <c r="N21" i="136"/>
  <c r="O21" i="136"/>
  <c r="P21" i="136"/>
  <c r="F22" i="136"/>
  <c r="G22" i="136"/>
  <c r="H22" i="136"/>
  <c r="I22" i="136"/>
  <c r="J22" i="136"/>
  <c r="K22" i="136"/>
  <c r="L22" i="136"/>
  <c r="M22" i="136"/>
  <c r="N22" i="136"/>
  <c r="N14" i="136" s="1"/>
  <c r="N13" i="136" s="1"/>
  <c r="O22" i="136"/>
  <c r="P22" i="136"/>
  <c r="F23" i="136"/>
  <c r="G23" i="136"/>
  <c r="H23" i="136"/>
  <c r="I23" i="136"/>
  <c r="J23" i="136"/>
  <c r="K23" i="136"/>
  <c r="L23" i="136"/>
  <c r="M23" i="136"/>
  <c r="N23" i="136"/>
  <c r="O23" i="136"/>
  <c r="P23" i="136"/>
  <c r="F24" i="136"/>
  <c r="G24" i="136"/>
  <c r="H24" i="136"/>
  <c r="I24" i="136"/>
  <c r="J24" i="136"/>
  <c r="K24" i="136"/>
  <c r="L24" i="136"/>
  <c r="M24" i="136"/>
  <c r="N24" i="136"/>
  <c r="O24" i="136"/>
  <c r="P24" i="136"/>
  <c r="E21" i="136"/>
  <c r="E22" i="136"/>
  <c r="E23" i="136"/>
  <c r="E24" i="136"/>
  <c r="E19" i="136"/>
  <c r="E16" i="136"/>
  <c r="F16" i="136"/>
  <c r="G16" i="136"/>
  <c r="H16" i="136"/>
  <c r="I16" i="136"/>
  <c r="J16" i="136"/>
  <c r="K16" i="136"/>
  <c r="L16" i="136"/>
  <c r="M16" i="136"/>
  <c r="N16" i="136"/>
  <c r="O16" i="136"/>
  <c r="P16" i="136"/>
  <c r="E17" i="136"/>
  <c r="F17" i="136"/>
  <c r="G17" i="136"/>
  <c r="H17" i="136"/>
  <c r="I17" i="136"/>
  <c r="J17" i="136"/>
  <c r="K17" i="136"/>
  <c r="L17" i="136"/>
  <c r="M17" i="136"/>
  <c r="N17" i="136"/>
  <c r="O17" i="136"/>
  <c r="P17" i="136"/>
  <c r="E18" i="136"/>
  <c r="F18" i="136"/>
  <c r="G18" i="136"/>
  <c r="H18" i="136"/>
  <c r="I18" i="136"/>
  <c r="J18" i="136"/>
  <c r="K18" i="136"/>
  <c r="L18" i="136"/>
  <c r="M18" i="136"/>
  <c r="N18" i="136"/>
  <c r="O18" i="136"/>
  <c r="P18" i="136"/>
  <c r="F15" i="136"/>
  <c r="G15" i="136"/>
  <c r="H15" i="136"/>
  <c r="I15" i="136"/>
  <c r="J15" i="136"/>
  <c r="K15" i="136"/>
  <c r="L15" i="136"/>
  <c r="M15" i="136"/>
  <c r="N15" i="136"/>
  <c r="O15" i="136"/>
  <c r="P15" i="136"/>
  <c r="E15" i="136"/>
  <c r="N177" i="136"/>
  <c r="L177" i="136"/>
  <c r="L176" i="136" s="1"/>
  <c r="K177" i="136"/>
  <c r="K176" i="136" s="1"/>
  <c r="H177" i="136"/>
  <c r="H176" i="136" s="1"/>
  <c r="G177" i="136"/>
  <c r="N176" i="136"/>
  <c r="G176" i="136"/>
  <c r="N172" i="136"/>
  <c r="N171" i="136" s="1"/>
  <c r="M172" i="136"/>
  <c r="M171" i="136" s="1"/>
  <c r="L172" i="136"/>
  <c r="K172" i="136"/>
  <c r="K171" i="136" s="1"/>
  <c r="H172" i="136"/>
  <c r="H171" i="136" s="1"/>
  <c r="G172" i="136"/>
  <c r="G171" i="136"/>
  <c r="L166" i="136"/>
  <c r="L165" i="136" s="1"/>
  <c r="N166" i="136"/>
  <c r="N165" i="136" s="1"/>
  <c r="K166" i="136"/>
  <c r="K165" i="136" s="1"/>
  <c r="I166" i="136"/>
  <c r="I165" i="136" s="1"/>
  <c r="H166" i="136"/>
  <c r="H165" i="136" s="1"/>
  <c r="G166" i="136"/>
  <c r="G165" i="136" s="1"/>
  <c r="K160" i="136"/>
  <c r="O160" i="136" s="1"/>
  <c r="E160" i="136"/>
  <c r="N159" i="136"/>
  <c r="L159" i="136"/>
  <c r="L158" i="136" s="1"/>
  <c r="I159" i="136"/>
  <c r="I158" i="136" s="1"/>
  <c r="H159" i="136"/>
  <c r="H158" i="136" s="1"/>
  <c r="G159" i="136"/>
  <c r="G158" i="136" s="1"/>
  <c r="N158" i="136"/>
  <c r="N155" i="136"/>
  <c r="N154" i="136" s="1"/>
  <c r="L155" i="136"/>
  <c r="H155" i="136"/>
  <c r="H154" i="136" s="1"/>
  <c r="G155" i="136"/>
  <c r="L154" i="136"/>
  <c r="G154" i="136"/>
  <c r="N146" i="136"/>
  <c r="N145" i="136" s="1"/>
  <c r="L146" i="136"/>
  <c r="L145" i="136" s="1"/>
  <c r="I146" i="136"/>
  <c r="I145" i="136" s="1"/>
  <c r="H146" i="136"/>
  <c r="H145" i="136" s="1"/>
  <c r="G146" i="136"/>
  <c r="G145" i="136" s="1"/>
  <c r="N125" i="136"/>
  <c r="N124" i="136" s="1"/>
  <c r="L125" i="136"/>
  <c r="L124" i="136" s="1"/>
  <c r="H125" i="136"/>
  <c r="H124" i="136" s="1"/>
  <c r="N109" i="136"/>
  <c r="N108" i="136" s="1"/>
  <c r="L109" i="136"/>
  <c r="L108" i="136" s="1"/>
  <c r="H109" i="136"/>
  <c r="H108" i="136" s="1"/>
  <c r="N99" i="136"/>
  <c r="N98" i="136" s="1"/>
  <c r="G99" i="136"/>
  <c r="G98" i="136" s="1"/>
  <c r="M53" i="136"/>
  <c r="M52" i="136" s="1"/>
  <c r="I39" i="136"/>
  <c r="I38" i="136" s="1"/>
  <c r="L26" i="136"/>
  <c r="L25" i="136" s="1"/>
  <c r="H14" i="136"/>
  <c r="H13" i="136" s="1"/>
  <c r="F49" i="97"/>
  <c r="F180" i="97"/>
  <c r="K141" i="135"/>
  <c r="K125" i="135" s="1"/>
  <c r="K124" i="135" s="1"/>
  <c r="K139" i="135"/>
  <c r="O139" i="135" s="1"/>
  <c r="J139" i="135" s="1"/>
  <c r="O184" i="135"/>
  <c r="M184" i="135"/>
  <c r="L184" i="135"/>
  <c r="K184" i="135"/>
  <c r="J184" i="135"/>
  <c r="H184" i="135"/>
  <c r="G184" i="135"/>
  <c r="F184" i="135"/>
  <c r="E184" i="135"/>
  <c r="O181" i="135"/>
  <c r="J181" i="135"/>
  <c r="E181" i="135"/>
  <c r="O180" i="135"/>
  <c r="J180" i="135"/>
  <c r="F180" i="135"/>
  <c r="O179" i="135"/>
  <c r="J179" i="135" s="1"/>
  <c r="E179" i="135"/>
  <c r="P179" i="135" s="1"/>
  <c r="O178" i="135"/>
  <c r="F178" i="135"/>
  <c r="E178" i="135" s="1"/>
  <c r="R177" i="135"/>
  <c r="N177" i="135"/>
  <c r="N176" i="135" s="1"/>
  <c r="M177" i="135"/>
  <c r="L177" i="135"/>
  <c r="K177" i="135"/>
  <c r="I177" i="135"/>
  <c r="H177" i="135"/>
  <c r="G177" i="135"/>
  <c r="F177" i="135"/>
  <c r="F176" i="135" s="1"/>
  <c r="M176" i="135"/>
  <c r="L176" i="135"/>
  <c r="K176" i="135"/>
  <c r="I176" i="135"/>
  <c r="H176" i="135"/>
  <c r="G176" i="135"/>
  <c r="O175" i="135"/>
  <c r="J175" i="135"/>
  <c r="E175" i="135"/>
  <c r="P175" i="135" s="1"/>
  <c r="O174" i="135"/>
  <c r="J174" i="135"/>
  <c r="E174" i="135"/>
  <c r="P174" i="135" s="1"/>
  <c r="O173" i="135"/>
  <c r="J173" i="135"/>
  <c r="F173" i="135"/>
  <c r="E173" i="135" s="1"/>
  <c r="O172" i="135"/>
  <c r="N172" i="135"/>
  <c r="M172" i="135"/>
  <c r="L172" i="135"/>
  <c r="J172" i="135" s="1"/>
  <c r="J171" i="135" s="1"/>
  <c r="K172" i="135"/>
  <c r="R172" i="135" s="1"/>
  <c r="I172" i="135"/>
  <c r="I171" i="135" s="1"/>
  <c r="H172" i="135"/>
  <c r="G172" i="135"/>
  <c r="E172" i="135"/>
  <c r="O171" i="135"/>
  <c r="N171" i="135"/>
  <c r="M171" i="135"/>
  <c r="L171" i="135"/>
  <c r="K171" i="135"/>
  <c r="H171" i="135"/>
  <c r="G171" i="135"/>
  <c r="O170" i="135"/>
  <c r="J170" i="135" s="1"/>
  <c r="P170" i="135" s="1"/>
  <c r="O169" i="135"/>
  <c r="J169" i="135" s="1"/>
  <c r="P169" i="135" s="1"/>
  <c r="E169" i="135"/>
  <c r="O168" i="135"/>
  <c r="L168" i="135"/>
  <c r="J168" i="135" s="1"/>
  <c r="E168" i="135"/>
  <c r="P168" i="135" s="1"/>
  <c r="O167" i="135"/>
  <c r="J167" i="135" s="1"/>
  <c r="F167" i="135"/>
  <c r="O166" i="135"/>
  <c r="N166" i="135"/>
  <c r="M166" i="135"/>
  <c r="L166" i="135"/>
  <c r="K166" i="135"/>
  <c r="I166" i="135"/>
  <c r="H166" i="135"/>
  <c r="G166" i="135"/>
  <c r="O165" i="135"/>
  <c r="N165" i="135"/>
  <c r="M165" i="135"/>
  <c r="K165" i="135"/>
  <c r="I165" i="135"/>
  <c r="H165" i="135"/>
  <c r="G165" i="135"/>
  <c r="R164" i="135"/>
  <c r="O164" i="135"/>
  <c r="K164" i="135"/>
  <c r="J164" i="135"/>
  <c r="E164" i="135"/>
  <c r="O163" i="135"/>
  <c r="J163" i="135" s="1"/>
  <c r="K163" i="135"/>
  <c r="R163" i="135" s="1"/>
  <c r="F163" i="135"/>
  <c r="E163" i="135"/>
  <c r="O162" i="135"/>
  <c r="J162" i="135" s="1"/>
  <c r="E162" i="135"/>
  <c r="K161" i="135"/>
  <c r="F161" i="135"/>
  <c r="E161" i="135" s="1"/>
  <c r="K160" i="135"/>
  <c r="O160" i="135" s="1"/>
  <c r="E160" i="135"/>
  <c r="N159" i="135"/>
  <c r="M159" i="135"/>
  <c r="L159" i="135"/>
  <c r="K159" i="135"/>
  <c r="R159" i="135" s="1"/>
  <c r="I159" i="135"/>
  <c r="H159" i="135"/>
  <c r="G159" i="135"/>
  <c r="F159" i="135"/>
  <c r="N158" i="135"/>
  <c r="M158" i="135"/>
  <c r="L158" i="135"/>
  <c r="K158" i="135"/>
  <c r="I158" i="135"/>
  <c r="H158" i="135"/>
  <c r="G158" i="135"/>
  <c r="F158" i="135"/>
  <c r="O157" i="135"/>
  <c r="J157" i="135" s="1"/>
  <c r="K157" i="135"/>
  <c r="E157" i="135"/>
  <c r="O156" i="135"/>
  <c r="J156" i="135" s="1"/>
  <c r="P156" i="135" s="1"/>
  <c r="F156" i="135"/>
  <c r="E156" i="135"/>
  <c r="E155" i="135" s="1"/>
  <c r="N155" i="135"/>
  <c r="M155" i="135"/>
  <c r="L155" i="135"/>
  <c r="K155" i="135"/>
  <c r="R155" i="135" s="1"/>
  <c r="I155" i="135"/>
  <c r="H155" i="135"/>
  <c r="G155" i="135"/>
  <c r="F155" i="135"/>
  <c r="N154" i="135"/>
  <c r="M154" i="135"/>
  <c r="L154" i="135"/>
  <c r="K154" i="135"/>
  <c r="I154" i="135"/>
  <c r="H154" i="135"/>
  <c r="G154" i="135"/>
  <c r="F154" i="135"/>
  <c r="O153" i="135"/>
  <c r="J153" i="135" s="1"/>
  <c r="K153" i="135"/>
  <c r="E153" i="135"/>
  <c r="P153" i="135" s="1"/>
  <c r="P152" i="135"/>
  <c r="K152" i="135"/>
  <c r="O152" i="135" s="1"/>
  <c r="J152" i="135" s="1"/>
  <c r="E152" i="135"/>
  <c r="O151" i="135"/>
  <c r="K151" i="135"/>
  <c r="J151" i="135"/>
  <c r="E151" i="135"/>
  <c r="K150" i="135"/>
  <c r="E150" i="135"/>
  <c r="O149" i="135"/>
  <c r="K149" i="135"/>
  <c r="E149" i="135"/>
  <c r="O148" i="135"/>
  <c r="J148" i="135"/>
  <c r="F148" i="135"/>
  <c r="E148" i="135"/>
  <c r="P148" i="135" s="1"/>
  <c r="R147" i="135"/>
  <c r="O147" i="135"/>
  <c r="J147" i="135"/>
  <c r="F147" i="135"/>
  <c r="E147" i="135" s="1"/>
  <c r="P147" i="135" s="1"/>
  <c r="N146" i="135"/>
  <c r="M146" i="135"/>
  <c r="M145" i="135" s="1"/>
  <c r="L146" i="135"/>
  <c r="I146" i="135"/>
  <c r="H146" i="135"/>
  <c r="G146" i="135"/>
  <c r="N145" i="135"/>
  <c r="L145" i="135"/>
  <c r="I145" i="135"/>
  <c r="H145" i="135"/>
  <c r="G145" i="135"/>
  <c r="O144" i="135"/>
  <c r="J144" i="135" s="1"/>
  <c r="G144" i="135"/>
  <c r="E144" i="135"/>
  <c r="O142" i="135"/>
  <c r="J142" i="135" s="1"/>
  <c r="E142" i="135"/>
  <c r="O141" i="135"/>
  <c r="J141" i="135" s="1"/>
  <c r="E141" i="135"/>
  <c r="O140" i="135"/>
  <c r="J140" i="135" s="1"/>
  <c r="K140" i="135"/>
  <c r="E140" i="135"/>
  <c r="P140" i="135" s="1"/>
  <c r="F139" i="135"/>
  <c r="E139" i="135" s="1"/>
  <c r="O138" i="135"/>
  <c r="J138" i="135" s="1"/>
  <c r="F138" i="135"/>
  <c r="E138" i="135" s="1"/>
  <c r="O137" i="135"/>
  <c r="J137" i="135" s="1"/>
  <c r="F137" i="135"/>
  <c r="E137" i="135"/>
  <c r="O136" i="135"/>
  <c r="K136" i="135"/>
  <c r="J136" i="135"/>
  <c r="E136" i="135"/>
  <c r="K135" i="135"/>
  <c r="O135" i="135" s="1"/>
  <c r="J135" i="135" s="1"/>
  <c r="E135" i="135"/>
  <c r="P135" i="135" s="1"/>
  <c r="O134" i="135"/>
  <c r="J134" i="135" s="1"/>
  <c r="K134" i="135"/>
  <c r="H134" i="135"/>
  <c r="F134" i="135"/>
  <c r="E134" i="135" s="1"/>
  <c r="P134" i="135" s="1"/>
  <c r="O133" i="135"/>
  <c r="J133" i="135"/>
  <c r="F133" i="135"/>
  <c r="E133" i="135" s="1"/>
  <c r="P133" i="135" s="1"/>
  <c r="O132" i="135"/>
  <c r="J132" i="135" s="1"/>
  <c r="P132" i="135" s="1"/>
  <c r="K132" i="135"/>
  <c r="E132" i="135"/>
  <c r="P131" i="135"/>
  <c r="O131" i="135"/>
  <c r="J131" i="135" s="1"/>
  <c r="E131" i="135"/>
  <c r="O130" i="135"/>
  <c r="J130" i="135" s="1"/>
  <c r="P130" i="135" s="1"/>
  <c r="F130" i="135"/>
  <c r="E130" i="135"/>
  <c r="O129" i="135"/>
  <c r="J129" i="135" s="1"/>
  <c r="E129" i="135"/>
  <c r="O128" i="135"/>
  <c r="J128" i="135" s="1"/>
  <c r="E128" i="135"/>
  <c r="P128" i="135" s="1"/>
  <c r="P127" i="135"/>
  <c r="O127" i="135"/>
  <c r="J127" i="135" s="1"/>
  <c r="E127" i="135"/>
  <c r="O126" i="135"/>
  <c r="F126" i="135"/>
  <c r="E126" i="135" s="1"/>
  <c r="N125" i="135"/>
  <c r="M125" i="135"/>
  <c r="L125" i="135"/>
  <c r="I125" i="135"/>
  <c r="H125" i="135"/>
  <c r="G125" i="135"/>
  <c r="N124" i="135"/>
  <c r="M124" i="135"/>
  <c r="I124" i="135"/>
  <c r="H124" i="135"/>
  <c r="G124" i="135"/>
  <c r="R123" i="135"/>
  <c r="O123" i="135"/>
  <c r="J123" i="135" s="1"/>
  <c r="P123" i="135" s="1"/>
  <c r="F123" i="135"/>
  <c r="E123" i="135" s="1"/>
  <c r="P122" i="135"/>
  <c r="O122" i="135"/>
  <c r="J122" i="135"/>
  <c r="E122" i="135"/>
  <c r="O121" i="135"/>
  <c r="J121" i="135"/>
  <c r="F121" i="135"/>
  <c r="E121" i="135"/>
  <c r="P121" i="135" s="1"/>
  <c r="O120" i="135"/>
  <c r="J120" i="135" s="1"/>
  <c r="F120" i="135"/>
  <c r="E120" i="135" s="1"/>
  <c r="P119" i="135"/>
  <c r="O119" i="135"/>
  <c r="J119" i="135" s="1"/>
  <c r="E119" i="135"/>
  <c r="P118" i="135"/>
  <c r="O118" i="135"/>
  <c r="J118" i="135" s="1"/>
  <c r="E118" i="135"/>
  <c r="R117" i="135"/>
  <c r="O117" i="135"/>
  <c r="J117" i="135" s="1"/>
  <c r="G117" i="135"/>
  <c r="F117" i="135"/>
  <c r="E117" i="135"/>
  <c r="P117" i="135" s="1"/>
  <c r="O116" i="135"/>
  <c r="J116" i="135" s="1"/>
  <c r="E116" i="135"/>
  <c r="O115" i="135"/>
  <c r="J115" i="135" s="1"/>
  <c r="F115" i="135"/>
  <c r="E115" i="135" s="1"/>
  <c r="O114" i="135"/>
  <c r="J114" i="135" s="1"/>
  <c r="F114" i="135"/>
  <c r="E114" i="135"/>
  <c r="P114" i="135" s="1"/>
  <c r="R113" i="135"/>
  <c r="K113" i="135"/>
  <c r="O113" i="135" s="1"/>
  <c r="J113" i="135"/>
  <c r="F113" i="135"/>
  <c r="E113" i="135" s="1"/>
  <c r="P113" i="135" s="1"/>
  <c r="O112" i="135"/>
  <c r="J112" i="135" s="1"/>
  <c r="M112" i="135"/>
  <c r="K112" i="135"/>
  <c r="R112" i="135" s="1"/>
  <c r="G112" i="135"/>
  <c r="F112" i="135"/>
  <c r="E112" i="135"/>
  <c r="O111" i="135"/>
  <c r="J111" i="135" s="1"/>
  <c r="F111" i="135"/>
  <c r="E111" i="135" s="1"/>
  <c r="E109" i="135" s="1"/>
  <c r="R110" i="135"/>
  <c r="O110" i="135"/>
  <c r="J110" i="135"/>
  <c r="P110" i="135" s="1"/>
  <c r="G110" i="135"/>
  <c r="G109" i="135" s="1"/>
  <c r="G108" i="135" s="1"/>
  <c r="F110" i="135"/>
  <c r="E110" i="135"/>
  <c r="N109" i="135"/>
  <c r="N108" i="135" s="1"/>
  <c r="M109" i="135"/>
  <c r="L109" i="135"/>
  <c r="I109" i="135"/>
  <c r="I108" i="135" s="1"/>
  <c r="H109" i="135"/>
  <c r="M108" i="135"/>
  <c r="L108" i="135"/>
  <c r="H108" i="135"/>
  <c r="R107" i="135"/>
  <c r="O107" i="135"/>
  <c r="J107" i="135"/>
  <c r="P107" i="135" s="1"/>
  <c r="E107" i="135"/>
  <c r="O106" i="135"/>
  <c r="J106" i="135"/>
  <c r="F106" i="135"/>
  <c r="E106" i="135"/>
  <c r="P106" i="135" s="1"/>
  <c r="O105" i="135"/>
  <c r="J105" i="135" s="1"/>
  <c r="F105" i="135"/>
  <c r="E105" i="135" s="1"/>
  <c r="K104" i="135"/>
  <c r="R104" i="135" s="1"/>
  <c r="F104" i="135"/>
  <c r="E104" i="135"/>
  <c r="R103" i="135"/>
  <c r="K103" i="135"/>
  <c r="O103" i="135" s="1"/>
  <c r="J103" i="135"/>
  <c r="E103" i="135"/>
  <c r="R102" i="135"/>
  <c r="O102" i="135"/>
  <c r="J102" i="135" s="1"/>
  <c r="F102" i="135"/>
  <c r="E102" i="135"/>
  <c r="P101" i="135"/>
  <c r="O101" i="135"/>
  <c r="J101" i="135" s="1"/>
  <c r="E101" i="135"/>
  <c r="K100" i="135"/>
  <c r="H100" i="135"/>
  <c r="H99" i="135" s="1"/>
  <c r="H98" i="135" s="1"/>
  <c r="F100" i="135"/>
  <c r="E100" i="135"/>
  <c r="N99" i="135"/>
  <c r="N98" i="135" s="1"/>
  <c r="M99" i="135"/>
  <c r="L99" i="135"/>
  <c r="K99" i="135"/>
  <c r="I99" i="135"/>
  <c r="G99" i="135"/>
  <c r="F99" i="135"/>
  <c r="F98" i="135" s="1"/>
  <c r="M98" i="135"/>
  <c r="L98" i="135"/>
  <c r="I98" i="135"/>
  <c r="G98" i="135"/>
  <c r="O96" i="135"/>
  <c r="J96" i="135" s="1"/>
  <c r="P96" i="135" s="1"/>
  <c r="Q96" i="135" s="1"/>
  <c r="E96" i="135"/>
  <c r="R95" i="135"/>
  <c r="O95" i="135"/>
  <c r="K95" i="135"/>
  <c r="J95" i="135"/>
  <c r="E95" i="135"/>
  <c r="P95" i="135" s="1"/>
  <c r="R94" i="135"/>
  <c r="O94" i="135"/>
  <c r="J94" i="135"/>
  <c r="E94" i="135"/>
  <c r="K93" i="135"/>
  <c r="F93" i="135"/>
  <c r="E93" i="135" s="1"/>
  <c r="O92" i="135"/>
  <c r="J92" i="135" s="1"/>
  <c r="K92" i="135"/>
  <c r="R92" i="135" s="1"/>
  <c r="G92" i="135"/>
  <c r="G53" i="135" s="1"/>
  <c r="G52" i="135" s="1"/>
  <c r="F92" i="135"/>
  <c r="E92" i="135" s="1"/>
  <c r="P92" i="135" s="1"/>
  <c r="O89" i="135"/>
  <c r="J89" i="135"/>
  <c r="E89" i="135"/>
  <c r="P89" i="135" s="1"/>
  <c r="O88" i="135"/>
  <c r="J88" i="135" s="1"/>
  <c r="E88" i="135"/>
  <c r="O87" i="135"/>
  <c r="J87" i="135" s="1"/>
  <c r="E87" i="135"/>
  <c r="O86" i="135"/>
  <c r="J86" i="135"/>
  <c r="E86" i="135"/>
  <c r="O85" i="135"/>
  <c r="J85" i="135"/>
  <c r="P85" i="135" s="1"/>
  <c r="E85" i="135"/>
  <c r="O84" i="135"/>
  <c r="J84" i="135" s="1"/>
  <c r="P84" i="135" s="1"/>
  <c r="E84" i="135"/>
  <c r="O83" i="135"/>
  <c r="J83" i="135" s="1"/>
  <c r="P83" i="135" s="1"/>
  <c r="E83" i="135"/>
  <c r="R82" i="135"/>
  <c r="O82" i="135"/>
  <c r="J82" i="135" s="1"/>
  <c r="G82" i="135"/>
  <c r="F82" i="135"/>
  <c r="E82" i="135"/>
  <c r="P82" i="135" s="1"/>
  <c r="O81" i="135"/>
  <c r="J81" i="135" s="1"/>
  <c r="K81" i="135"/>
  <c r="G81" i="135"/>
  <c r="F81" i="135"/>
  <c r="E81" i="135" s="1"/>
  <c r="P81" i="135" s="1"/>
  <c r="O80" i="135"/>
  <c r="J80" i="135"/>
  <c r="E80" i="135"/>
  <c r="P80" i="135" s="1"/>
  <c r="T78" i="135"/>
  <c r="O78" i="135"/>
  <c r="J78" i="135" s="1"/>
  <c r="R78" i="135" s="1"/>
  <c r="E78" i="135"/>
  <c r="Q78" i="135" s="1"/>
  <c r="O77" i="135"/>
  <c r="J77" i="135" s="1"/>
  <c r="E77" i="135"/>
  <c r="P77" i="135" s="1"/>
  <c r="O76" i="135"/>
  <c r="J76" i="135" s="1"/>
  <c r="E76" i="135"/>
  <c r="P76" i="135" s="1"/>
  <c r="P75" i="135"/>
  <c r="O75" i="135"/>
  <c r="J75" i="135" s="1"/>
  <c r="F75" i="135"/>
  <c r="E75" i="135"/>
  <c r="O74" i="135"/>
  <c r="J74" i="135"/>
  <c r="E74" i="135"/>
  <c r="O73" i="135"/>
  <c r="J73" i="135"/>
  <c r="E73" i="135"/>
  <c r="O72" i="135"/>
  <c r="J72" i="135"/>
  <c r="E72" i="135"/>
  <c r="P72" i="135" s="1"/>
  <c r="O71" i="135"/>
  <c r="J71" i="135"/>
  <c r="E71" i="135"/>
  <c r="P71" i="135" s="1"/>
  <c r="O70" i="135"/>
  <c r="J70" i="135"/>
  <c r="E70" i="135"/>
  <c r="O69" i="135"/>
  <c r="J69" i="135"/>
  <c r="E69" i="135"/>
  <c r="O68" i="135"/>
  <c r="J68" i="135"/>
  <c r="E68" i="135"/>
  <c r="P68" i="135" s="1"/>
  <c r="O67" i="135"/>
  <c r="J67" i="135"/>
  <c r="E67" i="135"/>
  <c r="P67" i="135" s="1"/>
  <c r="O66" i="135"/>
  <c r="J66" i="135"/>
  <c r="F66" i="135"/>
  <c r="E66" i="135" s="1"/>
  <c r="O65" i="135"/>
  <c r="J65" i="135"/>
  <c r="F65" i="135"/>
  <c r="E65" i="135" s="1"/>
  <c r="O64" i="135"/>
  <c r="J64" i="135" s="1"/>
  <c r="P64" i="135" s="1"/>
  <c r="E64" i="135"/>
  <c r="P63" i="135"/>
  <c r="O63" i="135"/>
  <c r="J63" i="135" s="1"/>
  <c r="E63" i="135"/>
  <c r="P62" i="135"/>
  <c r="O62" i="135"/>
  <c r="J62" i="135" s="1"/>
  <c r="E62" i="135"/>
  <c r="O61" i="135"/>
  <c r="J61" i="135" s="1"/>
  <c r="P61" i="135" s="1"/>
  <c r="E61" i="135"/>
  <c r="O60" i="135"/>
  <c r="J60" i="135" s="1"/>
  <c r="P60" i="135" s="1"/>
  <c r="E60" i="135"/>
  <c r="R59" i="135"/>
  <c r="O59" i="135"/>
  <c r="J59" i="135" s="1"/>
  <c r="F59" i="135"/>
  <c r="E59" i="135" s="1"/>
  <c r="P59" i="135" s="1"/>
  <c r="O58" i="135"/>
  <c r="J58" i="135"/>
  <c r="F58" i="135"/>
  <c r="E58" i="135" s="1"/>
  <c r="P58" i="135" s="1"/>
  <c r="O57" i="135"/>
  <c r="J57" i="135" s="1"/>
  <c r="E57" i="135"/>
  <c r="O56" i="135"/>
  <c r="J56" i="135" s="1"/>
  <c r="F56" i="135"/>
  <c r="E56" i="135" s="1"/>
  <c r="O55" i="135"/>
  <c r="F55" i="135"/>
  <c r="E55" i="135"/>
  <c r="R54" i="135"/>
  <c r="O54" i="135"/>
  <c r="J54" i="135"/>
  <c r="F54" i="135"/>
  <c r="N53" i="135"/>
  <c r="M53" i="135"/>
  <c r="L53" i="135"/>
  <c r="I53" i="135"/>
  <c r="I52" i="135" s="1"/>
  <c r="H53" i="135"/>
  <c r="N52" i="135"/>
  <c r="M52" i="135"/>
  <c r="H52" i="135"/>
  <c r="K51" i="135"/>
  <c r="O51" i="135" s="1"/>
  <c r="J51" i="135"/>
  <c r="E51" i="135"/>
  <c r="O50" i="135"/>
  <c r="J50" i="135" s="1"/>
  <c r="K50" i="135"/>
  <c r="R50" i="135" s="1"/>
  <c r="E50" i="135"/>
  <c r="P50" i="135" s="1"/>
  <c r="O49" i="135"/>
  <c r="J49" i="135" s="1"/>
  <c r="F49" i="135"/>
  <c r="E49" i="135" s="1"/>
  <c r="P49" i="135" s="1"/>
  <c r="K48" i="135"/>
  <c r="R48" i="135" s="1"/>
  <c r="F48" i="135"/>
  <c r="E48" i="135"/>
  <c r="O47" i="135"/>
  <c r="J47" i="135" s="1"/>
  <c r="E47" i="135"/>
  <c r="P47" i="135" s="1"/>
  <c r="O46" i="135"/>
  <c r="J46" i="135" s="1"/>
  <c r="F46" i="135"/>
  <c r="E46" i="135"/>
  <c r="P46" i="135" s="1"/>
  <c r="O45" i="135"/>
  <c r="J45" i="135"/>
  <c r="F45" i="135"/>
  <c r="E45" i="135" s="1"/>
  <c r="P45" i="135" s="1"/>
  <c r="O44" i="135"/>
  <c r="L44" i="135"/>
  <c r="K44" i="135"/>
  <c r="R44" i="135" s="1"/>
  <c r="J44" i="135"/>
  <c r="P44" i="135" s="1"/>
  <c r="F44" i="135"/>
  <c r="E44" i="135" s="1"/>
  <c r="O43" i="135"/>
  <c r="J43" i="135" s="1"/>
  <c r="L43" i="135"/>
  <c r="K43" i="135"/>
  <c r="R43" i="135" s="1"/>
  <c r="F43" i="135"/>
  <c r="E43" i="135" s="1"/>
  <c r="R42" i="135"/>
  <c r="O42" i="135"/>
  <c r="L42" i="135"/>
  <c r="J42" i="135" s="1"/>
  <c r="E42" i="135"/>
  <c r="P42" i="135" s="1"/>
  <c r="L41" i="135"/>
  <c r="K41" i="135"/>
  <c r="O41" i="135" s="1"/>
  <c r="F41" i="135"/>
  <c r="E41" i="135"/>
  <c r="O40" i="135"/>
  <c r="J40" i="135" s="1"/>
  <c r="E40" i="135"/>
  <c r="E39" i="135" s="1"/>
  <c r="N39" i="135"/>
  <c r="M39" i="135"/>
  <c r="L39" i="135"/>
  <c r="K39" i="135"/>
  <c r="R39" i="135" s="1"/>
  <c r="I39" i="135"/>
  <c r="H39" i="135"/>
  <c r="G39" i="135"/>
  <c r="F39" i="135"/>
  <c r="F38" i="135" s="1"/>
  <c r="N38" i="135"/>
  <c r="M38" i="135"/>
  <c r="L38" i="135"/>
  <c r="K38" i="135"/>
  <c r="I38" i="135"/>
  <c r="H38" i="135"/>
  <c r="G38" i="135"/>
  <c r="R37" i="135"/>
  <c r="O37" i="135"/>
  <c r="J37" i="135" s="1"/>
  <c r="P37" i="135" s="1"/>
  <c r="E37" i="135"/>
  <c r="O36" i="135"/>
  <c r="J36" i="135" s="1"/>
  <c r="P36" i="135" s="1"/>
  <c r="E36" i="135"/>
  <c r="O35" i="135"/>
  <c r="J35" i="135" s="1"/>
  <c r="G35" i="135"/>
  <c r="E35" i="135"/>
  <c r="O34" i="135"/>
  <c r="J34" i="135" s="1"/>
  <c r="P34" i="135" s="1"/>
  <c r="E34" i="135"/>
  <c r="R33" i="135"/>
  <c r="O33" i="135"/>
  <c r="J33" i="135"/>
  <c r="H33" i="135"/>
  <c r="H26" i="135" s="1"/>
  <c r="H25" i="135" s="1"/>
  <c r="G33" i="135"/>
  <c r="F33" i="135"/>
  <c r="E33" i="135"/>
  <c r="P33" i="135" s="1"/>
  <c r="O32" i="135"/>
  <c r="J32" i="135" s="1"/>
  <c r="F32" i="135"/>
  <c r="E32" i="135"/>
  <c r="O31" i="135"/>
  <c r="L31" i="135"/>
  <c r="J31" i="135"/>
  <c r="H31" i="135"/>
  <c r="F31" i="135"/>
  <c r="E31" i="135"/>
  <c r="P31" i="135" s="1"/>
  <c r="R30" i="135"/>
  <c r="K30" i="135"/>
  <c r="O30" i="135" s="1"/>
  <c r="J30" i="135" s="1"/>
  <c r="F30" i="135"/>
  <c r="E30" i="135" s="1"/>
  <c r="P30" i="135" s="1"/>
  <c r="R29" i="135"/>
  <c r="O29" i="135"/>
  <c r="K29" i="135"/>
  <c r="J29" i="135"/>
  <c r="F29" i="135"/>
  <c r="E29" i="135" s="1"/>
  <c r="P29" i="135" s="1"/>
  <c r="O28" i="135"/>
  <c r="J28" i="135" s="1"/>
  <c r="L28" i="135"/>
  <c r="K28" i="135"/>
  <c r="R28" i="135" s="1"/>
  <c r="G28" i="135"/>
  <c r="F28" i="135"/>
  <c r="E28" i="135" s="1"/>
  <c r="P28" i="135" s="1"/>
  <c r="R27" i="135"/>
  <c r="O27" i="135"/>
  <c r="O26" i="135" s="1"/>
  <c r="K27" i="135"/>
  <c r="J27" i="135"/>
  <c r="G27" i="135"/>
  <c r="G26" i="135" s="1"/>
  <c r="G25" i="135" s="1"/>
  <c r="F27" i="135"/>
  <c r="E27" i="135" s="1"/>
  <c r="N26" i="135"/>
  <c r="M26" i="135"/>
  <c r="M25" i="135" s="1"/>
  <c r="L26" i="135"/>
  <c r="I26" i="135"/>
  <c r="N25" i="135"/>
  <c r="L25" i="135"/>
  <c r="I25" i="135"/>
  <c r="R24" i="135"/>
  <c r="O24" i="135"/>
  <c r="J24" i="135"/>
  <c r="E24" i="135"/>
  <c r="P24" i="135" s="1"/>
  <c r="R23" i="135"/>
  <c r="O23" i="135"/>
  <c r="J23" i="135" s="1"/>
  <c r="P23" i="135" s="1"/>
  <c r="E23" i="135"/>
  <c r="O22" i="135"/>
  <c r="J22" i="135" s="1"/>
  <c r="P22" i="135" s="1"/>
  <c r="E22" i="135"/>
  <c r="O21" i="135"/>
  <c r="J21" i="135" s="1"/>
  <c r="F21" i="135"/>
  <c r="E21" i="135"/>
  <c r="O19" i="135"/>
  <c r="L19" i="135"/>
  <c r="J19" i="135"/>
  <c r="E19" i="135"/>
  <c r="P19" i="135" s="1"/>
  <c r="Q19" i="135" s="1"/>
  <c r="O18" i="135"/>
  <c r="J18" i="135"/>
  <c r="P18" i="135" s="1"/>
  <c r="E18" i="135"/>
  <c r="O17" i="135"/>
  <c r="J17" i="135" s="1"/>
  <c r="P17" i="135" s="1"/>
  <c r="K17" i="135"/>
  <c r="R17" i="135" s="1"/>
  <c r="G17" i="135"/>
  <c r="E17" i="135"/>
  <c r="O16" i="135"/>
  <c r="J16" i="135"/>
  <c r="F16" i="135"/>
  <c r="E16" i="135" s="1"/>
  <c r="P16" i="135" s="1"/>
  <c r="O15" i="135"/>
  <c r="O14" i="135" s="1"/>
  <c r="K15" i="135"/>
  <c r="R15" i="135" s="1"/>
  <c r="H15" i="135"/>
  <c r="F15" i="135"/>
  <c r="E15" i="135" s="1"/>
  <c r="E14" i="135" s="1"/>
  <c r="N14" i="135"/>
  <c r="M14" i="135"/>
  <c r="L14" i="135"/>
  <c r="L182" i="135" s="1"/>
  <c r="L192" i="135" s="1"/>
  <c r="K14" i="135"/>
  <c r="R14" i="135" s="1"/>
  <c r="I14" i="135"/>
  <c r="H14" i="135"/>
  <c r="G14" i="135"/>
  <c r="N13" i="135"/>
  <c r="M13" i="135"/>
  <c r="L13" i="135"/>
  <c r="K13" i="135"/>
  <c r="I13" i="135"/>
  <c r="H13" i="135"/>
  <c r="G13" i="135"/>
  <c r="I125" i="136" l="1"/>
  <c r="I124" i="136" s="1"/>
  <c r="G125" i="136"/>
  <c r="G124" i="136" s="1"/>
  <c r="N53" i="136"/>
  <c r="N52" i="136" s="1"/>
  <c r="I53" i="136"/>
  <c r="I52" i="136" s="1"/>
  <c r="G14" i="136"/>
  <c r="G13" i="136" s="1"/>
  <c r="M14" i="136"/>
  <c r="M13" i="136" s="1"/>
  <c r="I14" i="136"/>
  <c r="I13" i="136" s="1"/>
  <c r="G53" i="136"/>
  <c r="G52" i="136" s="1"/>
  <c r="F99" i="136"/>
  <c r="E99" i="136" s="1"/>
  <c r="K109" i="136"/>
  <c r="K108" i="136" s="1"/>
  <c r="F109" i="136"/>
  <c r="F108" i="136" s="1"/>
  <c r="G109" i="136"/>
  <c r="G108" i="136" s="1"/>
  <c r="E155" i="136"/>
  <c r="E154" i="136" s="1"/>
  <c r="E14" i="136"/>
  <c r="E13" i="136" s="1"/>
  <c r="F155" i="136"/>
  <c r="F154" i="136" s="1"/>
  <c r="L14" i="136"/>
  <c r="L182" i="136" s="1"/>
  <c r="K14" i="136"/>
  <c r="K13" i="136" s="1"/>
  <c r="O26" i="136"/>
  <c r="O25" i="136" s="1"/>
  <c r="F26" i="136"/>
  <c r="F25" i="136" s="1"/>
  <c r="H182" i="136"/>
  <c r="G26" i="136"/>
  <c r="G25" i="136" s="1"/>
  <c r="F39" i="136"/>
  <c r="F38" i="136" s="1"/>
  <c r="K125" i="136"/>
  <c r="K124" i="136" s="1"/>
  <c r="F159" i="136"/>
  <c r="F158" i="136" s="1"/>
  <c r="N182" i="136"/>
  <c r="O172" i="136"/>
  <c r="O171" i="136" s="1"/>
  <c r="F14" i="136"/>
  <c r="F13" i="136" s="1"/>
  <c r="K26" i="136"/>
  <c r="F166" i="136"/>
  <c r="F165" i="136" s="1"/>
  <c r="O177" i="136"/>
  <c r="O176" i="136" s="1"/>
  <c r="K53" i="136"/>
  <c r="J160" i="136"/>
  <c r="K39" i="136"/>
  <c r="K25" i="136"/>
  <c r="O125" i="136"/>
  <c r="K146" i="136"/>
  <c r="O166" i="136"/>
  <c r="K155" i="136"/>
  <c r="E39" i="136"/>
  <c r="F53" i="136"/>
  <c r="F52" i="136" s="1"/>
  <c r="E109" i="136"/>
  <c r="E166" i="136"/>
  <c r="L171" i="136"/>
  <c r="O39" i="136"/>
  <c r="F125" i="136"/>
  <c r="F124" i="136" s="1"/>
  <c r="E159" i="136"/>
  <c r="K159" i="136"/>
  <c r="F172" i="136"/>
  <c r="F171" i="136" s="1"/>
  <c r="E98" i="136"/>
  <c r="K99" i="136"/>
  <c r="O109" i="136"/>
  <c r="F146" i="136"/>
  <c r="F145" i="136" s="1"/>
  <c r="O146" i="136"/>
  <c r="O145" i="136" s="1"/>
  <c r="O155" i="136"/>
  <c r="P160" i="136"/>
  <c r="F177" i="136"/>
  <c r="F176" i="136" s="1"/>
  <c r="P141" i="135"/>
  <c r="R125" i="135"/>
  <c r="P21" i="135"/>
  <c r="P32" i="135"/>
  <c r="P35" i="135"/>
  <c r="O25" i="135"/>
  <c r="J26" i="135"/>
  <c r="J25" i="135" s="1"/>
  <c r="E38" i="135"/>
  <c r="O13" i="135"/>
  <c r="P43" i="135"/>
  <c r="E26" i="135"/>
  <c r="P27" i="135"/>
  <c r="E13" i="135"/>
  <c r="P14" i="135"/>
  <c r="E108" i="135"/>
  <c r="H182" i="135"/>
  <c r="R99" i="135"/>
  <c r="K98" i="135"/>
  <c r="O100" i="135"/>
  <c r="R100" i="135"/>
  <c r="I182" i="135"/>
  <c r="I191" i="135" s="1"/>
  <c r="F26" i="135"/>
  <c r="F25" i="135" s="1"/>
  <c r="P57" i="135"/>
  <c r="P78" i="135"/>
  <c r="P88" i="135"/>
  <c r="R93" i="135"/>
  <c r="O93" i="135"/>
  <c r="J93" i="135" s="1"/>
  <c r="P102" i="135"/>
  <c r="O104" i="135"/>
  <c r="J104" i="135" s="1"/>
  <c r="P111" i="135"/>
  <c r="E125" i="135"/>
  <c r="E146" i="135"/>
  <c r="K146" i="135"/>
  <c r="O150" i="135"/>
  <c r="J150" i="135" s="1"/>
  <c r="P150" i="135" s="1"/>
  <c r="O155" i="135"/>
  <c r="J166" i="135"/>
  <c r="L165" i="135"/>
  <c r="P172" i="135"/>
  <c r="E171" i="135"/>
  <c r="J55" i="135"/>
  <c r="P55" i="135" s="1"/>
  <c r="O53" i="135"/>
  <c r="O52" i="135" s="1"/>
  <c r="P93" i="135"/>
  <c r="M182" i="135"/>
  <c r="F14" i="135"/>
  <c r="J14" i="135"/>
  <c r="N182" i="135"/>
  <c r="N191" i="135" s="1"/>
  <c r="J15" i="135"/>
  <c r="P15" i="135" s="1"/>
  <c r="K26" i="135"/>
  <c r="P40" i="135"/>
  <c r="J41" i="135"/>
  <c r="O48" i="135"/>
  <c r="R51" i="135"/>
  <c r="L52" i="135"/>
  <c r="E54" i="135"/>
  <c r="F53" i="135"/>
  <c r="F52" i="135" s="1"/>
  <c r="P56" i="135"/>
  <c r="P66" i="135"/>
  <c r="P70" i="135"/>
  <c r="P74" i="135"/>
  <c r="R81" i="135"/>
  <c r="K53" i="135"/>
  <c r="P87" i="135"/>
  <c r="P94" i="135"/>
  <c r="P103" i="135"/>
  <c r="P104" i="135"/>
  <c r="P105" i="135"/>
  <c r="F109" i="135"/>
  <c r="F108" i="135" s="1"/>
  <c r="O109" i="135"/>
  <c r="P112" i="135"/>
  <c r="P116" i="135"/>
  <c r="J126" i="135"/>
  <c r="P126" i="135" s="1"/>
  <c r="O125" i="135"/>
  <c r="O124" i="135" s="1"/>
  <c r="P129" i="135"/>
  <c r="P137" i="135"/>
  <c r="P142" i="135"/>
  <c r="Q142" i="135" s="1"/>
  <c r="G182" i="135"/>
  <c r="G191" i="135" s="1"/>
  <c r="P41" i="135"/>
  <c r="R41" i="135"/>
  <c r="P51" i="135"/>
  <c r="P65" i="135"/>
  <c r="P69" i="135"/>
  <c r="P73" i="135"/>
  <c r="P86" i="135"/>
  <c r="E99" i="135"/>
  <c r="L124" i="135"/>
  <c r="J160" i="135"/>
  <c r="P160" i="135" s="1"/>
  <c r="P162" i="135"/>
  <c r="E167" i="135"/>
  <c r="F166" i="135"/>
  <c r="F165" i="135" s="1"/>
  <c r="P181" i="135"/>
  <c r="L191" i="135"/>
  <c r="K109" i="135"/>
  <c r="P115" i="135"/>
  <c r="P120" i="135"/>
  <c r="F125" i="135"/>
  <c r="F124" i="135" s="1"/>
  <c r="P139" i="135"/>
  <c r="P144" i="135"/>
  <c r="P151" i="135"/>
  <c r="E154" i="135"/>
  <c r="P157" i="135"/>
  <c r="P163" i="135"/>
  <c r="P164" i="135"/>
  <c r="P173" i="135"/>
  <c r="P178" i="135"/>
  <c r="H191" i="135"/>
  <c r="M191" i="135"/>
  <c r="P136" i="135"/>
  <c r="P138" i="135"/>
  <c r="J149" i="135"/>
  <c r="P149" i="135" s="1"/>
  <c r="E159" i="135"/>
  <c r="R161" i="135"/>
  <c r="O161" i="135"/>
  <c r="J161" i="135" s="1"/>
  <c r="P161" i="135" s="1"/>
  <c r="J178" i="135"/>
  <c r="O177" i="135"/>
  <c r="P184" i="135"/>
  <c r="F146" i="135"/>
  <c r="F145" i="135" s="1"/>
  <c r="F172" i="135"/>
  <c r="F171" i="135" s="1"/>
  <c r="E180" i="135"/>
  <c r="P180" i="135" s="1"/>
  <c r="K141" i="97"/>
  <c r="K139" i="97"/>
  <c r="O139" i="97" s="1"/>
  <c r="I98" i="98"/>
  <c r="I104" i="98"/>
  <c r="I86" i="98"/>
  <c r="F98" i="136" l="1"/>
  <c r="I182" i="136"/>
  <c r="M182" i="136"/>
  <c r="L13" i="136"/>
  <c r="J172" i="136"/>
  <c r="J171" i="136" s="1"/>
  <c r="F182" i="136"/>
  <c r="J26" i="136"/>
  <c r="J25" i="136" s="1"/>
  <c r="J177" i="136"/>
  <c r="J176" i="136" s="1"/>
  <c r="K182" i="136"/>
  <c r="G182" i="136"/>
  <c r="E146" i="136"/>
  <c r="J146" i="136"/>
  <c r="J145" i="136" s="1"/>
  <c r="E125" i="136"/>
  <c r="E108" i="136"/>
  <c r="O159" i="136"/>
  <c r="O14" i="136"/>
  <c r="E165" i="136"/>
  <c r="E38" i="136"/>
  <c r="O99" i="136"/>
  <c r="O154" i="136"/>
  <c r="J155" i="136"/>
  <c r="O108" i="136"/>
  <c r="J109" i="136"/>
  <c r="J108" i="136" s="1"/>
  <c r="E172" i="136"/>
  <c r="E158" i="136"/>
  <c r="E53" i="136"/>
  <c r="E26" i="136"/>
  <c r="K154" i="136"/>
  <c r="K145" i="136"/>
  <c r="K38" i="136"/>
  <c r="K52" i="136"/>
  <c r="O53" i="136"/>
  <c r="E177" i="136"/>
  <c r="K98" i="136"/>
  <c r="K158" i="136"/>
  <c r="O38" i="136"/>
  <c r="J39" i="136"/>
  <c r="J38" i="136" s="1"/>
  <c r="J166" i="136"/>
  <c r="P166" i="136" s="1"/>
  <c r="O165" i="136"/>
  <c r="J125" i="136"/>
  <c r="J124" i="136" s="1"/>
  <c r="O124" i="136"/>
  <c r="K108" i="135"/>
  <c r="R109" i="135"/>
  <c r="K25" i="135"/>
  <c r="R26" i="135"/>
  <c r="P13" i="135"/>
  <c r="E158" i="135"/>
  <c r="E98" i="135"/>
  <c r="J48" i="135"/>
  <c r="P48" i="135" s="1"/>
  <c r="O39" i="135"/>
  <c r="Q14" i="135"/>
  <c r="K145" i="135"/>
  <c r="R146" i="135"/>
  <c r="E124" i="135"/>
  <c r="O108" i="135"/>
  <c r="J109" i="135"/>
  <c r="F13" i="135"/>
  <c r="F182" i="135"/>
  <c r="P171" i="135"/>
  <c r="Q172" i="135"/>
  <c r="E145" i="135"/>
  <c r="P26" i="135"/>
  <c r="E25" i="135"/>
  <c r="O146" i="135"/>
  <c r="E177" i="135"/>
  <c r="O159" i="135"/>
  <c r="K182" i="135"/>
  <c r="P54" i="135"/>
  <c r="E53" i="135"/>
  <c r="E182" i="135" s="1"/>
  <c r="R166" i="135"/>
  <c r="J165" i="135"/>
  <c r="J53" i="135"/>
  <c r="J52" i="135" s="1"/>
  <c r="J100" i="135"/>
  <c r="P100" i="135" s="1"/>
  <c r="O99" i="135"/>
  <c r="P167" i="135"/>
  <c r="E166" i="135"/>
  <c r="O176" i="135"/>
  <c r="J177" i="135"/>
  <c r="J176" i="135" s="1"/>
  <c r="K52" i="135"/>
  <c r="R53" i="135"/>
  <c r="J13" i="135"/>
  <c r="J125" i="135"/>
  <c r="J124" i="135" s="1"/>
  <c r="J155" i="135"/>
  <c r="O154" i="135"/>
  <c r="O182" i="135"/>
  <c r="F56" i="97"/>
  <c r="F55" i="97"/>
  <c r="P165" i="136" l="1"/>
  <c r="E52" i="136"/>
  <c r="E124" i="136"/>
  <c r="P125" i="136"/>
  <c r="E145" i="136"/>
  <c r="P146" i="136"/>
  <c r="O52" i="136"/>
  <c r="J53" i="136"/>
  <c r="J52" i="136" s="1"/>
  <c r="O158" i="136"/>
  <c r="J159" i="136"/>
  <c r="E171" i="136"/>
  <c r="P172" i="136"/>
  <c r="J154" i="136"/>
  <c r="P155" i="136"/>
  <c r="P26" i="136"/>
  <c r="E25" i="136"/>
  <c r="E182" i="136"/>
  <c r="O98" i="136"/>
  <c r="J99" i="136"/>
  <c r="P109" i="136"/>
  <c r="P177" i="136"/>
  <c r="E176" i="136"/>
  <c r="J165" i="136"/>
  <c r="P39" i="136"/>
  <c r="O182" i="136"/>
  <c r="J14" i="136"/>
  <c r="O13" i="136"/>
  <c r="E194" i="135"/>
  <c r="E191" i="135"/>
  <c r="O192" i="135"/>
  <c r="O191" i="135"/>
  <c r="Q182" i="135"/>
  <c r="K191" i="135"/>
  <c r="J108" i="135"/>
  <c r="P109" i="135"/>
  <c r="O145" i="135"/>
  <c r="J146" i="135"/>
  <c r="J39" i="135"/>
  <c r="O38" i="135"/>
  <c r="J154" i="135"/>
  <c r="P155" i="135"/>
  <c r="O98" i="135"/>
  <c r="J99" i="135"/>
  <c r="J159" i="135"/>
  <c r="O158" i="135"/>
  <c r="P25" i="135"/>
  <c r="Q26" i="135"/>
  <c r="E165" i="135"/>
  <c r="P166" i="135"/>
  <c r="E52" i="135"/>
  <c r="P53" i="135"/>
  <c r="E176" i="135"/>
  <c r="P177" i="135"/>
  <c r="F195" i="135"/>
  <c r="F191" i="135"/>
  <c r="P125" i="135"/>
  <c r="I36" i="98"/>
  <c r="K48" i="97"/>
  <c r="I22" i="98"/>
  <c r="K30" i="97"/>
  <c r="P53" i="136" l="1"/>
  <c r="P52" i="136" s="1"/>
  <c r="P108" i="136"/>
  <c r="P171" i="136"/>
  <c r="P124" i="136"/>
  <c r="J98" i="136"/>
  <c r="P99" i="136"/>
  <c r="P25" i="136"/>
  <c r="P38" i="136"/>
  <c r="P176" i="136"/>
  <c r="J182" i="136"/>
  <c r="J13" i="136"/>
  <c r="P14" i="136"/>
  <c r="P154" i="136"/>
  <c r="J158" i="136"/>
  <c r="P159" i="136"/>
  <c r="P145" i="136"/>
  <c r="Q125" i="135"/>
  <c r="P124" i="135"/>
  <c r="J158" i="135"/>
  <c r="P159" i="135"/>
  <c r="Q53" i="135"/>
  <c r="P52" i="135"/>
  <c r="J98" i="135"/>
  <c r="P99" i="135"/>
  <c r="P108" i="135"/>
  <c r="Q109" i="135"/>
  <c r="J38" i="135"/>
  <c r="P39" i="135"/>
  <c r="J182" i="135"/>
  <c r="Q177" i="135"/>
  <c r="P176" i="135"/>
  <c r="Q166" i="135"/>
  <c r="P165" i="135"/>
  <c r="Q155" i="135"/>
  <c r="P154" i="135"/>
  <c r="J145" i="135"/>
  <c r="P146" i="135"/>
  <c r="O184" i="97"/>
  <c r="L184" i="97"/>
  <c r="O31" i="97"/>
  <c r="L31" i="97"/>
  <c r="P182" i="136" l="1"/>
  <c r="P13" i="136"/>
  <c r="P158" i="136"/>
  <c r="P98" i="136"/>
  <c r="J191" i="135"/>
  <c r="Q39" i="135"/>
  <c r="P38" i="135"/>
  <c r="P98" i="135"/>
  <c r="Q99" i="135"/>
  <c r="Q159" i="135"/>
  <c r="P158" i="135"/>
  <c r="P145" i="135"/>
  <c r="Q146" i="135"/>
  <c r="P182" i="135"/>
  <c r="F163" i="134"/>
  <c r="G163" i="134"/>
  <c r="H163" i="134"/>
  <c r="I163" i="134"/>
  <c r="L163" i="134"/>
  <c r="M163" i="134"/>
  <c r="N163" i="134"/>
  <c r="J192" i="125"/>
  <c r="I192" i="125"/>
  <c r="G192" i="125" s="1"/>
  <c r="I153" i="98"/>
  <c r="I157" i="98"/>
  <c r="K164" i="97"/>
  <c r="R164" i="97" s="1"/>
  <c r="K160" i="97"/>
  <c r="E164" i="97"/>
  <c r="K192" i="125" s="1"/>
  <c r="L159" i="97"/>
  <c r="M159" i="97"/>
  <c r="N159" i="97"/>
  <c r="G159" i="97"/>
  <c r="H159" i="97"/>
  <c r="I159" i="97"/>
  <c r="F194" i="135" l="1"/>
  <c r="P191" i="135"/>
  <c r="P192" i="135"/>
  <c r="M192" i="125"/>
  <c r="K163" i="134"/>
  <c r="E163" i="134"/>
  <c r="O164" i="97"/>
  <c r="K184" i="97"/>
  <c r="F184" i="97"/>
  <c r="J164" i="97" l="1"/>
  <c r="O163" i="134"/>
  <c r="O71" i="97"/>
  <c r="O70" i="134" s="1"/>
  <c r="J76" i="125"/>
  <c r="F66" i="97"/>
  <c r="F70" i="134"/>
  <c r="G70" i="134"/>
  <c r="H70" i="134"/>
  <c r="I70" i="134"/>
  <c r="K70" i="134"/>
  <c r="L70" i="134"/>
  <c r="M70" i="134"/>
  <c r="N70" i="134"/>
  <c r="F65" i="97"/>
  <c r="J71" i="97"/>
  <c r="J70" i="134" s="1"/>
  <c r="E71" i="97"/>
  <c r="E70" i="134" s="1"/>
  <c r="H76" i="125" l="1"/>
  <c r="J163" i="134"/>
  <c r="L192" i="125"/>
  <c r="P164" i="97"/>
  <c r="P163" i="134" s="1"/>
  <c r="P71" i="97"/>
  <c r="P70" i="134" s="1"/>
  <c r="I76" i="125"/>
  <c r="F28" i="97"/>
  <c r="G76" i="125" l="1"/>
  <c r="F41" i="97"/>
  <c r="L168" i="97" l="1"/>
  <c r="O168" i="97"/>
  <c r="F13" i="116"/>
  <c r="I30" i="98" l="1"/>
  <c r="I37" i="98"/>
  <c r="K50" i="97"/>
  <c r="K41" i="97"/>
  <c r="F29" i="97" l="1"/>
  <c r="I16" i="98" l="1"/>
  <c r="K28" i="97"/>
  <c r="K51" i="97"/>
  <c r="I40" i="98"/>
  <c r="F54" i="97"/>
  <c r="I15" i="98"/>
  <c r="K27" i="97"/>
  <c r="G184" i="97"/>
  <c r="G27" i="97"/>
  <c r="F27" i="97"/>
  <c r="H191" i="125" l="1"/>
  <c r="F163" i="97"/>
  <c r="F9" i="116"/>
  <c r="I76" i="98"/>
  <c r="K134" i="97"/>
  <c r="H13" i="125" l="1"/>
  <c r="F22" i="134" l="1"/>
  <c r="G22" i="134"/>
  <c r="H22" i="134"/>
  <c r="I22" i="134"/>
  <c r="K22" i="134"/>
  <c r="L22" i="134"/>
  <c r="M22" i="134"/>
  <c r="N22" i="134"/>
  <c r="F23" i="134"/>
  <c r="G23" i="134"/>
  <c r="H23" i="134"/>
  <c r="I23" i="134"/>
  <c r="K23" i="134"/>
  <c r="L23" i="134"/>
  <c r="M23" i="134"/>
  <c r="N23" i="134"/>
  <c r="F21" i="134"/>
  <c r="G21" i="134"/>
  <c r="H21" i="134"/>
  <c r="I21" i="134"/>
  <c r="K21" i="134"/>
  <c r="L21" i="134"/>
  <c r="M21" i="134"/>
  <c r="N21" i="134"/>
  <c r="G20" i="134"/>
  <c r="H20" i="134"/>
  <c r="I20" i="134"/>
  <c r="K20" i="134"/>
  <c r="L20" i="134"/>
  <c r="M20" i="134"/>
  <c r="N20" i="134"/>
  <c r="N18" i="134"/>
  <c r="M18" i="134"/>
  <c r="K18" i="134"/>
  <c r="I18" i="134"/>
  <c r="H18" i="134"/>
  <c r="G18" i="134"/>
  <c r="F18" i="134"/>
  <c r="G15" i="134"/>
  <c r="H15" i="134"/>
  <c r="I15" i="134"/>
  <c r="K15" i="134"/>
  <c r="L15" i="134"/>
  <c r="M15" i="134"/>
  <c r="N15" i="134"/>
  <c r="F16" i="134"/>
  <c r="H16" i="134"/>
  <c r="I16" i="134"/>
  <c r="L16" i="134"/>
  <c r="M16" i="134"/>
  <c r="N16" i="134"/>
  <c r="F17" i="134"/>
  <c r="G17" i="134"/>
  <c r="H17" i="134"/>
  <c r="I17" i="134"/>
  <c r="K17" i="134"/>
  <c r="L17" i="134"/>
  <c r="M17" i="134"/>
  <c r="N17" i="134"/>
  <c r="G14" i="134"/>
  <c r="I14" i="134"/>
  <c r="L14" i="134"/>
  <c r="M14" i="134"/>
  <c r="N14" i="134"/>
  <c r="L43" i="97" l="1"/>
  <c r="K163" i="97"/>
  <c r="M190" i="125" s="1"/>
  <c r="R163" i="97" l="1"/>
  <c r="K44" i="97"/>
  <c r="R44" i="97" s="1"/>
  <c r="K132" i="97"/>
  <c r="I75" i="98"/>
  <c r="H125" i="98" l="1"/>
  <c r="J125" i="98" s="1"/>
  <c r="J144" i="98"/>
  <c r="J143" i="98"/>
  <c r="J137" i="98"/>
  <c r="J136" i="98"/>
  <c r="J135" i="98"/>
  <c r="J133" i="98"/>
  <c r="J132" i="98"/>
  <c r="J127" i="98"/>
  <c r="J126" i="98"/>
  <c r="L41" i="97" l="1"/>
  <c r="L42" i="97"/>
  <c r="L44" i="97"/>
  <c r="H49" i="125"/>
  <c r="F44" i="97"/>
  <c r="J184" i="97" l="1"/>
  <c r="F48" i="97" l="1"/>
  <c r="H184" i="97" l="1"/>
  <c r="G28" i="97"/>
  <c r="G177" i="134"/>
  <c r="H177" i="134"/>
  <c r="I177" i="134"/>
  <c r="K177" i="134"/>
  <c r="L177" i="134"/>
  <c r="M177" i="134"/>
  <c r="N177" i="134"/>
  <c r="F178" i="134"/>
  <c r="G178" i="134"/>
  <c r="H178" i="134"/>
  <c r="I178" i="134"/>
  <c r="K178" i="134"/>
  <c r="L178" i="134"/>
  <c r="M178" i="134"/>
  <c r="N178" i="134"/>
  <c r="G179" i="134"/>
  <c r="H179" i="134"/>
  <c r="I179" i="134"/>
  <c r="K179" i="134"/>
  <c r="L179" i="134"/>
  <c r="M179" i="134"/>
  <c r="N179" i="134"/>
  <c r="F180" i="134"/>
  <c r="G180" i="134"/>
  <c r="H180" i="134"/>
  <c r="I180" i="134"/>
  <c r="K180" i="134"/>
  <c r="L180" i="134"/>
  <c r="M180" i="134"/>
  <c r="N180" i="134"/>
  <c r="G172" i="134"/>
  <c r="H172" i="134"/>
  <c r="I172" i="134"/>
  <c r="K172" i="134"/>
  <c r="L172" i="134"/>
  <c r="M172" i="134"/>
  <c r="N172" i="134"/>
  <c r="F173" i="134"/>
  <c r="G173" i="134"/>
  <c r="H173" i="134"/>
  <c r="I173" i="134"/>
  <c r="K173" i="134"/>
  <c r="L173" i="134"/>
  <c r="M173" i="134"/>
  <c r="N173" i="134"/>
  <c r="F174" i="134"/>
  <c r="G174" i="134"/>
  <c r="H174" i="134"/>
  <c r="I174" i="134"/>
  <c r="K174" i="134"/>
  <c r="L174" i="134"/>
  <c r="M174" i="134"/>
  <c r="N174" i="134"/>
  <c r="F168" i="134"/>
  <c r="G168" i="134"/>
  <c r="H168" i="134"/>
  <c r="I168" i="134"/>
  <c r="K168" i="134"/>
  <c r="L168" i="134"/>
  <c r="M168" i="134"/>
  <c r="N168" i="134"/>
  <c r="F169" i="134"/>
  <c r="G169" i="134"/>
  <c r="H169" i="134"/>
  <c r="I169" i="134"/>
  <c r="K169" i="134"/>
  <c r="L169" i="134"/>
  <c r="M169" i="134"/>
  <c r="N169" i="134"/>
  <c r="E169" i="134"/>
  <c r="G166" i="134"/>
  <c r="H166" i="134"/>
  <c r="I166" i="134"/>
  <c r="K166" i="134"/>
  <c r="L166" i="134"/>
  <c r="M166" i="134"/>
  <c r="N166" i="134"/>
  <c r="F167" i="134"/>
  <c r="G167" i="134"/>
  <c r="H167" i="134"/>
  <c r="I167" i="134"/>
  <c r="K167" i="134"/>
  <c r="M167" i="134"/>
  <c r="N167" i="134"/>
  <c r="F159" i="134"/>
  <c r="G159" i="134"/>
  <c r="H159" i="134"/>
  <c r="I159" i="134"/>
  <c r="L159" i="134"/>
  <c r="M159" i="134"/>
  <c r="N159" i="134"/>
  <c r="G160" i="134"/>
  <c r="H160" i="134"/>
  <c r="I160" i="134"/>
  <c r="L160" i="134"/>
  <c r="M160" i="134"/>
  <c r="N160" i="134"/>
  <c r="F161" i="134"/>
  <c r="G161" i="134"/>
  <c r="H161" i="134"/>
  <c r="I161" i="134"/>
  <c r="K161" i="134"/>
  <c r="L161" i="134"/>
  <c r="M161" i="134"/>
  <c r="N161" i="134"/>
  <c r="G162" i="134"/>
  <c r="H162" i="134"/>
  <c r="I162" i="134"/>
  <c r="L162" i="134"/>
  <c r="M162" i="134"/>
  <c r="N162" i="134"/>
  <c r="G155" i="134"/>
  <c r="H155" i="134"/>
  <c r="I155" i="134"/>
  <c r="K155" i="134"/>
  <c r="L155" i="134"/>
  <c r="M155" i="134"/>
  <c r="N155" i="134"/>
  <c r="F156" i="134"/>
  <c r="G156" i="134"/>
  <c r="H156" i="134"/>
  <c r="I156" i="134"/>
  <c r="L156" i="134"/>
  <c r="M156" i="134"/>
  <c r="N156" i="134"/>
  <c r="F152" i="134"/>
  <c r="G152" i="134"/>
  <c r="H152" i="134"/>
  <c r="I152" i="134"/>
  <c r="L152" i="134"/>
  <c r="M152" i="134"/>
  <c r="N152" i="134"/>
  <c r="F149" i="134"/>
  <c r="G149" i="134"/>
  <c r="H149" i="134"/>
  <c r="I149" i="134"/>
  <c r="L149" i="134"/>
  <c r="M149" i="134"/>
  <c r="N149" i="134"/>
  <c r="F150" i="134"/>
  <c r="G150" i="134"/>
  <c r="H150" i="134"/>
  <c r="I150" i="134"/>
  <c r="L150" i="134"/>
  <c r="M150" i="134"/>
  <c r="N150" i="134"/>
  <c r="F151" i="134"/>
  <c r="G151" i="134"/>
  <c r="H151" i="134"/>
  <c r="I151" i="134"/>
  <c r="L151" i="134"/>
  <c r="M151" i="134"/>
  <c r="N151" i="134"/>
  <c r="F148" i="134"/>
  <c r="G148" i="134"/>
  <c r="H148" i="134"/>
  <c r="I148" i="134"/>
  <c r="L148" i="134"/>
  <c r="M148" i="134"/>
  <c r="N148" i="134"/>
  <c r="G147" i="134"/>
  <c r="H147" i="134"/>
  <c r="I147" i="134"/>
  <c r="K147" i="134"/>
  <c r="L147" i="134"/>
  <c r="M147" i="134"/>
  <c r="N147" i="134"/>
  <c r="G146" i="134"/>
  <c r="H146" i="134"/>
  <c r="I146" i="134"/>
  <c r="K146" i="134"/>
  <c r="L146" i="134"/>
  <c r="M146" i="134"/>
  <c r="N146" i="134"/>
  <c r="F143" i="134"/>
  <c r="H143" i="134"/>
  <c r="I143" i="134"/>
  <c r="K143" i="134"/>
  <c r="L143" i="134"/>
  <c r="M143" i="134"/>
  <c r="N143" i="134"/>
  <c r="N141" i="134"/>
  <c r="M141" i="134"/>
  <c r="L141" i="134"/>
  <c r="K141" i="134"/>
  <c r="I141" i="134"/>
  <c r="H141" i="134"/>
  <c r="G141" i="134"/>
  <c r="F141" i="134"/>
  <c r="F139" i="134"/>
  <c r="G139" i="134"/>
  <c r="H139" i="134"/>
  <c r="I139" i="134"/>
  <c r="L139" i="134"/>
  <c r="M139" i="134"/>
  <c r="N139" i="134"/>
  <c r="F140" i="134"/>
  <c r="G140" i="134"/>
  <c r="H140" i="134"/>
  <c r="I140" i="134"/>
  <c r="L140" i="134"/>
  <c r="M140" i="134"/>
  <c r="N140" i="134"/>
  <c r="G136" i="134"/>
  <c r="H136" i="134"/>
  <c r="I136" i="134"/>
  <c r="K136" i="134"/>
  <c r="L136" i="134"/>
  <c r="M136" i="134"/>
  <c r="N136" i="134"/>
  <c r="G137" i="134"/>
  <c r="H137" i="134"/>
  <c r="I137" i="134"/>
  <c r="K137" i="134"/>
  <c r="L137" i="134"/>
  <c r="M137" i="134"/>
  <c r="N137" i="134"/>
  <c r="G138" i="134"/>
  <c r="H138" i="134"/>
  <c r="I138" i="134"/>
  <c r="L138" i="134"/>
  <c r="M138" i="134"/>
  <c r="N138" i="134"/>
  <c r="F135" i="134"/>
  <c r="G135" i="134"/>
  <c r="H135" i="134"/>
  <c r="I135" i="134"/>
  <c r="L135" i="134"/>
  <c r="M135" i="134"/>
  <c r="N135" i="134"/>
  <c r="G132" i="134"/>
  <c r="H132" i="134"/>
  <c r="I132" i="134"/>
  <c r="K132" i="134"/>
  <c r="L132" i="134"/>
  <c r="M132" i="134"/>
  <c r="N132" i="134"/>
  <c r="G133" i="134"/>
  <c r="I133" i="134"/>
  <c r="L133" i="134"/>
  <c r="M133" i="134"/>
  <c r="N133" i="134"/>
  <c r="F134" i="134"/>
  <c r="G134" i="134"/>
  <c r="H134" i="134"/>
  <c r="I134" i="134"/>
  <c r="L134" i="134"/>
  <c r="M134" i="134"/>
  <c r="N134" i="134"/>
  <c r="F127" i="134"/>
  <c r="G127" i="134"/>
  <c r="H127" i="134"/>
  <c r="I127" i="134"/>
  <c r="K127" i="134"/>
  <c r="L127" i="134"/>
  <c r="M127" i="134"/>
  <c r="N127" i="134"/>
  <c r="F128" i="134"/>
  <c r="G128" i="134"/>
  <c r="H128" i="134"/>
  <c r="I128" i="134"/>
  <c r="K128" i="134"/>
  <c r="L128" i="134"/>
  <c r="M128" i="134"/>
  <c r="N128" i="134"/>
  <c r="G129" i="134"/>
  <c r="H129" i="134"/>
  <c r="I129" i="134"/>
  <c r="K129" i="134"/>
  <c r="L129" i="134"/>
  <c r="M129" i="134"/>
  <c r="N129" i="134"/>
  <c r="F130" i="134"/>
  <c r="G130" i="134"/>
  <c r="H130" i="134"/>
  <c r="I130" i="134"/>
  <c r="K130" i="134"/>
  <c r="L130" i="134"/>
  <c r="M130" i="134"/>
  <c r="N130" i="134"/>
  <c r="F131" i="134"/>
  <c r="G131" i="134"/>
  <c r="H131" i="134"/>
  <c r="I131" i="134"/>
  <c r="L131" i="134"/>
  <c r="M131" i="134"/>
  <c r="N131" i="134"/>
  <c r="F126" i="134"/>
  <c r="G126" i="134"/>
  <c r="H126" i="134"/>
  <c r="I126" i="134"/>
  <c r="K126" i="134"/>
  <c r="L126" i="134"/>
  <c r="M126" i="134"/>
  <c r="N126" i="134"/>
  <c r="G125" i="134"/>
  <c r="H125" i="134"/>
  <c r="I125" i="134"/>
  <c r="K125" i="134"/>
  <c r="L125" i="134"/>
  <c r="M125" i="134"/>
  <c r="N125" i="134"/>
  <c r="G122" i="134"/>
  <c r="H122" i="134"/>
  <c r="I122" i="134"/>
  <c r="K122" i="134"/>
  <c r="L122" i="134"/>
  <c r="M122" i="134"/>
  <c r="N122" i="134"/>
  <c r="G120" i="134"/>
  <c r="H120" i="134"/>
  <c r="I120" i="134"/>
  <c r="K120" i="134"/>
  <c r="L120" i="134"/>
  <c r="M120" i="134"/>
  <c r="N120" i="134"/>
  <c r="F121" i="134"/>
  <c r="G121" i="134"/>
  <c r="H121" i="134"/>
  <c r="I121" i="134"/>
  <c r="K121" i="134"/>
  <c r="L121" i="134"/>
  <c r="M121" i="134"/>
  <c r="N121" i="134"/>
  <c r="F118" i="134"/>
  <c r="G118" i="134"/>
  <c r="H118" i="134"/>
  <c r="I118" i="134"/>
  <c r="K118" i="134"/>
  <c r="L118" i="134"/>
  <c r="M118" i="134"/>
  <c r="N118" i="134"/>
  <c r="G119" i="134"/>
  <c r="H119" i="134"/>
  <c r="I119" i="134"/>
  <c r="K119" i="134"/>
  <c r="L119" i="134"/>
  <c r="M119" i="134"/>
  <c r="N119" i="134"/>
  <c r="F117" i="134"/>
  <c r="G117" i="134"/>
  <c r="H117" i="134"/>
  <c r="I117" i="134"/>
  <c r="K117" i="134"/>
  <c r="L117" i="134"/>
  <c r="M117" i="134"/>
  <c r="N117" i="134"/>
  <c r="G110" i="134"/>
  <c r="H110" i="134"/>
  <c r="I110" i="134"/>
  <c r="K110" i="134"/>
  <c r="L110" i="134"/>
  <c r="M110" i="134"/>
  <c r="N110" i="134"/>
  <c r="H111" i="134"/>
  <c r="I111" i="134"/>
  <c r="L111" i="134"/>
  <c r="N111" i="134"/>
  <c r="G112" i="134"/>
  <c r="H112" i="134"/>
  <c r="I112" i="134"/>
  <c r="L112" i="134"/>
  <c r="M112" i="134"/>
  <c r="N112" i="134"/>
  <c r="G113" i="134"/>
  <c r="H113" i="134"/>
  <c r="I113" i="134"/>
  <c r="K113" i="134"/>
  <c r="L113" i="134"/>
  <c r="M113" i="134"/>
  <c r="N113" i="134"/>
  <c r="G114" i="134"/>
  <c r="H114" i="134"/>
  <c r="I114" i="134"/>
  <c r="K114" i="134"/>
  <c r="L114" i="134"/>
  <c r="M114" i="134"/>
  <c r="N114" i="134"/>
  <c r="F115" i="134"/>
  <c r="G115" i="134"/>
  <c r="H115" i="134"/>
  <c r="I115" i="134"/>
  <c r="K115" i="134"/>
  <c r="L115" i="134"/>
  <c r="M115" i="134"/>
  <c r="N115" i="134"/>
  <c r="H116" i="134"/>
  <c r="I116" i="134"/>
  <c r="K116" i="134"/>
  <c r="L116" i="134"/>
  <c r="M116" i="134"/>
  <c r="N116" i="134"/>
  <c r="H109" i="134"/>
  <c r="I109" i="134"/>
  <c r="K109" i="134"/>
  <c r="L109" i="134"/>
  <c r="M109" i="134"/>
  <c r="N109" i="134"/>
  <c r="F105" i="97"/>
  <c r="F104" i="134" s="1"/>
  <c r="F106" i="134"/>
  <c r="G106" i="134"/>
  <c r="H106" i="134"/>
  <c r="I106" i="134"/>
  <c r="K106" i="134"/>
  <c r="L106" i="134"/>
  <c r="M106" i="134"/>
  <c r="N106" i="134"/>
  <c r="F100" i="134"/>
  <c r="G100" i="134"/>
  <c r="H100" i="134"/>
  <c r="I100" i="134"/>
  <c r="K100" i="134"/>
  <c r="L100" i="134"/>
  <c r="M100" i="134"/>
  <c r="N100" i="134"/>
  <c r="G101" i="134"/>
  <c r="H101" i="134"/>
  <c r="I101" i="134"/>
  <c r="K101" i="134"/>
  <c r="L101" i="134"/>
  <c r="M101" i="134"/>
  <c r="N101" i="134"/>
  <c r="F102" i="134"/>
  <c r="G102" i="134"/>
  <c r="H102" i="134"/>
  <c r="I102" i="134"/>
  <c r="L102" i="134"/>
  <c r="M102" i="134"/>
  <c r="N102" i="134"/>
  <c r="G103" i="134"/>
  <c r="H103" i="134"/>
  <c r="I103" i="134"/>
  <c r="L103" i="134"/>
  <c r="M103" i="134"/>
  <c r="N103" i="134"/>
  <c r="G104" i="134"/>
  <c r="H104" i="134"/>
  <c r="I104" i="134"/>
  <c r="K104" i="134"/>
  <c r="L104" i="134"/>
  <c r="M104" i="134"/>
  <c r="N104" i="134"/>
  <c r="G105" i="134"/>
  <c r="H105" i="134"/>
  <c r="I105" i="134"/>
  <c r="K105" i="134"/>
  <c r="L105" i="134"/>
  <c r="M105" i="134"/>
  <c r="N105" i="134"/>
  <c r="G99" i="134"/>
  <c r="I99" i="134"/>
  <c r="L99" i="134"/>
  <c r="M99" i="134"/>
  <c r="N99" i="134"/>
  <c r="N95" i="134"/>
  <c r="M95" i="134"/>
  <c r="L95" i="134"/>
  <c r="K95" i="134"/>
  <c r="I95" i="134"/>
  <c r="H95" i="134"/>
  <c r="G95" i="134"/>
  <c r="F95" i="134"/>
  <c r="G92" i="134"/>
  <c r="H92" i="134"/>
  <c r="I92" i="134"/>
  <c r="L92" i="134"/>
  <c r="M92" i="134"/>
  <c r="N92" i="134"/>
  <c r="F93" i="134"/>
  <c r="G93" i="134"/>
  <c r="H93" i="134"/>
  <c r="I93" i="134"/>
  <c r="K93" i="134"/>
  <c r="L93" i="134"/>
  <c r="M93" i="134"/>
  <c r="N93" i="134"/>
  <c r="F94" i="134"/>
  <c r="G94" i="134"/>
  <c r="H94" i="134"/>
  <c r="I94" i="134"/>
  <c r="L94" i="134"/>
  <c r="M94" i="134"/>
  <c r="N94" i="134"/>
  <c r="H91" i="134"/>
  <c r="I91" i="134"/>
  <c r="L91" i="134"/>
  <c r="M91" i="134"/>
  <c r="N91" i="134"/>
  <c r="N88" i="134"/>
  <c r="M88" i="134"/>
  <c r="L88" i="134"/>
  <c r="K88" i="134"/>
  <c r="I88" i="134"/>
  <c r="H88" i="134"/>
  <c r="G88" i="134"/>
  <c r="F88" i="134"/>
  <c r="H80" i="134"/>
  <c r="I80" i="134"/>
  <c r="L80" i="134"/>
  <c r="M80" i="134"/>
  <c r="N80" i="134"/>
  <c r="H81" i="134"/>
  <c r="I81" i="134"/>
  <c r="K81" i="134"/>
  <c r="L81" i="134"/>
  <c r="M81" i="134"/>
  <c r="N81" i="134"/>
  <c r="F82" i="134"/>
  <c r="G82" i="134"/>
  <c r="H82" i="134"/>
  <c r="I82" i="134"/>
  <c r="K82" i="134"/>
  <c r="L82" i="134"/>
  <c r="M82" i="134"/>
  <c r="N82" i="134"/>
  <c r="F83" i="134"/>
  <c r="G83" i="134"/>
  <c r="H83" i="134"/>
  <c r="I83" i="134"/>
  <c r="K83" i="134"/>
  <c r="L83" i="134"/>
  <c r="M83" i="134"/>
  <c r="N83" i="134"/>
  <c r="F84" i="134"/>
  <c r="G84" i="134"/>
  <c r="H84" i="134"/>
  <c r="I84" i="134"/>
  <c r="K84" i="134"/>
  <c r="L84" i="134"/>
  <c r="M84" i="134"/>
  <c r="N84" i="134"/>
  <c r="F85" i="134"/>
  <c r="G85" i="134"/>
  <c r="H85" i="134"/>
  <c r="I85" i="134"/>
  <c r="K85" i="134"/>
  <c r="L85" i="134"/>
  <c r="M85" i="134"/>
  <c r="N85" i="134"/>
  <c r="F86" i="134"/>
  <c r="G86" i="134"/>
  <c r="H86" i="134"/>
  <c r="I86" i="134"/>
  <c r="K86" i="134"/>
  <c r="L86" i="134"/>
  <c r="M86" i="134"/>
  <c r="N86" i="134"/>
  <c r="F87" i="134"/>
  <c r="G87" i="134"/>
  <c r="H87" i="134"/>
  <c r="I87" i="134"/>
  <c r="K87" i="134"/>
  <c r="L87" i="134"/>
  <c r="M87" i="134"/>
  <c r="N87" i="134"/>
  <c r="F79" i="134"/>
  <c r="G79" i="134"/>
  <c r="H79" i="134"/>
  <c r="I79" i="134"/>
  <c r="K79" i="134"/>
  <c r="L79" i="134"/>
  <c r="M79" i="134"/>
  <c r="N79" i="134"/>
  <c r="F77" i="134"/>
  <c r="G77" i="134"/>
  <c r="H77" i="134"/>
  <c r="I77" i="134"/>
  <c r="K77" i="134"/>
  <c r="L77" i="134"/>
  <c r="M77" i="134"/>
  <c r="N77" i="134"/>
  <c r="F76" i="134"/>
  <c r="G76" i="134"/>
  <c r="H76" i="134"/>
  <c r="I76" i="134"/>
  <c r="K76" i="134"/>
  <c r="L76" i="134"/>
  <c r="M76" i="134"/>
  <c r="N76" i="134"/>
  <c r="F67" i="134"/>
  <c r="G67" i="134"/>
  <c r="H67" i="134"/>
  <c r="I67" i="134"/>
  <c r="K67" i="134"/>
  <c r="L67" i="134"/>
  <c r="M67" i="134"/>
  <c r="N67" i="134"/>
  <c r="F68" i="134"/>
  <c r="G68" i="134"/>
  <c r="H68" i="134"/>
  <c r="I68" i="134"/>
  <c r="K68" i="134"/>
  <c r="L68" i="134"/>
  <c r="M68" i="134"/>
  <c r="N68" i="134"/>
  <c r="F69" i="134"/>
  <c r="G69" i="134"/>
  <c r="H69" i="134"/>
  <c r="I69" i="134"/>
  <c r="K69" i="134"/>
  <c r="L69" i="134"/>
  <c r="M69" i="134"/>
  <c r="N69" i="134"/>
  <c r="F71" i="134"/>
  <c r="G71" i="134"/>
  <c r="H71" i="134"/>
  <c r="I71" i="134"/>
  <c r="K71" i="134"/>
  <c r="L71" i="134"/>
  <c r="M71" i="134"/>
  <c r="N71" i="134"/>
  <c r="F72" i="134"/>
  <c r="G72" i="134"/>
  <c r="H72" i="134"/>
  <c r="I72" i="134"/>
  <c r="K72" i="134"/>
  <c r="L72" i="134"/>
  <c r="M72" i="134"/>
  <c r="N72" i="134"/>
  <c r="F73" i="134"/>
  <c r="G73" i="134"/>
  <c r="H73" i="134"/>
  <c r="I73" i="134"/>
  <c r="K73" i="134"/>
  <c r="L73" i="134"/>
  <c r="M73" i="134"/>
  <c r="N73" i="134"/>
  <c r="G74" i="134"/>
  <c r="H74" i="134"/>
  <c r="I74" i="134"/>
  <c r="K74" i="134"/>
  <c r="L74" i="134"/>
  <c r="M74" i="134"/>
  <c r="N74" i="134"/>
  <c r="F75" i="134"/>
  <c r="G75" i="134"/>
  <c r="H75" i="134"/>
  <c r="I75" i="134"/>
  <c r="K75" i="134"/>
  <c r="L75" i="134"/>
  <c r="M75" i="134"/>
  <c r="N75" i="134"/>
  <c r="G54" i="134"/>
  <c r="H54" i="134"/>
  <c r="I54" i="134"/>
  <c r="K54" i="134"/>
  <c r="L54" i="134"/>
  <c r="M54" i="134"/>
  <c r="N54" i="134"/>
  <c r="G55" i="134"/>
  <c r="H55" i="134"/>
  <c r="I55" i="134"/>
  <c r="K55" i="134"/>
  <c r="L55" i="134"/>
  <c r="M55" i="134"/>
  <c r="N55" i="134"/>
  <c r="F56" i="134"/>
  <c r="G56" i="134"/>
  <c r="H56" i="134"/>
  <c r="I56" i="134"/>
  <c r="K56" i="134"/>
  <c r="L56" i="134"/>
  <c r="M56" i="134"/>
  <c r="N56" i="134"/>
  <c r="G57" i="134"/>
  <c r="H57" i="134"/>
  <c r="I57" i="134"/>
  <c r="K57" i="134"/>
  <c r="L57" i="134"/>
  <c r="M57" i="134"/>
  <c r="N57" i="134"/>
  <c r="G58" i="134"/>
  <c r="H58" i="134"/>
  <c r="I58" i="134"/>
  <c r="K58" i="134"/>
  <c r="L58" i="134"/>
  <c r="M58" i="134"/>
  <c r="N58" i="134"/>
  <c r="F59" i="134"/>
  <c r="G59" i="134"/>
  <c r="H59" i="134"/>
  <c r="I59" i="134"/>
  <c r="K59" i="134"/>
  <c r="L59" i="134"/>
  <c r="M59" i="134"/>
  <c r="N59" i="134"/>
  <c r="F60" i="134"/>
  <c r="G60" i="134"/>
  <c r="H60" i="134"/>
  <c r="I60" i="134"/>
  <c r="K60" i="134"/>
  <c r="L60" i="134"/>
  <c r="M60" i="134"/>
  <c r="N60" i="134"/>
  <c r="F61" i="134"/>
  <c r="G61" i="134"/>
  <c r="H61" i="134"/>
  <c r="I61" i="134"/>
  <c r="K61" i="134"/>
  <c r="L61" i="134"/>
  <c r="M61" i="134"/>
  <c r="N61" i="134"/>
  <c r="F62" i="134"/>
  <c r="G62" i="134"/>
  <c r="H62" i="134"/>
  <c r="I62" i="134"/>
  <c r="K62" i="134"/>
  <c r="L62" i="134"/>
  <c r="M62" i="134"/>
  <c r="N62" i="134"/>
  <c r="F63" i="134"/>
  <c r="G63" i="134"/>
  <c r="H63" i="134"/>
  <c r="I63" i="134"/>
  <c r="K63" i="134"/>
  <c r="L63" i="134"/>
  <c r="M63" i="134"/>
  <c r="N63" i="134"/>
  <c r="G64" i="134"/>
  <c r="H64" i="134"/>
  <c r="I64" i="134"/>
  <c r="K64" i="134"/>
  <c r="L64" i="134"/>
  <c r="M64" i="134"/>
  <c r="N64" i="134"/>
  <c r="F65" i="134"/>
  <c r="G65" i="134"/>
  <c r="H65" i="134"/>
  <c r="I65" i="134"/>
  <c r="K65" i="134"/>
  <c r="L65" i="134"/>
  <c r="M65" i="134"/>
  <c r="N65" i="134"/>
  <c r="F66" i="134"/>
  <c r="G66" i="134"/>
  <c r="H66" i="134"/>
  <c r="I66" i="134"/>
  <c r="K66" i="134"/>
  <c r="L66" i="134"/>
  <c r="M66" i="134"/>
  <c r="N66" i="134"/>
  <c r="G53" i="134"/>
  <c r="H53" i="134"/>
  <c r="I53" i="134"/>
  <c r="K53" i="134"/>
  <c r="L53" i="134"/>
  <c r="M53" i="134"/>
  <c r="N53" i="134"/>
  <c r="F49" i="134"/>
  <c r="G49" i="134"/>
  <c r="H49" i="134"/>
  <c r="I49" i="134"/>
  <c r="L49" i="134"/>
  <c r="M49" i="134"/>
  <c r="N49" i="134"/>
  <c r="F50" i="134"/>
  <c r="G50" i="134"/>
  <c r="H50" i="134"/>
  <c r="I50" i="134"/>
  <c r="K50" i="134"/>
  <c r="L50" i="134"/>
  <c r="M50" i="134"/>
  <c r="N50" i="134"/>
  <c r="G48" i="134"/>
  <c r="H48" i="134"/>
  <c r="I48" i="134"/>
  <c r="K48" i="134"/>
  <c r="L48" i="134"/>
  <c r="M48" i="134"/>
  <c r="N48" i="134"/>
  <c r="G40" i="134"/>
  <c r="H40" i="134"/>
  <c r="I40" i="134"/>
  <c r="L40" i="134"/>
  <c r="M40" i="134"/>
  <c r="N40" i="134"/>
  <c r="F41" i="134"/>
  <c r="G41" i="134"/>
  <c r="H41" i="134"/>
  <c r="I41" i="134"/>
  <c r="K41" i="134"/>
  <c r="L41" i="134"/>
  <c r="M41" i="134"/>
  <c r="N41" i="134"/>
  <c r="G42" i="134"/>
  <c r="H42" i="134"/>
  <c r="I42" i="134"/>
  <c r="L42" i="134"/>
  <c r="M42" i="134"/>
  <c r="N42" i="134"/>
  <c r="G43" i="134"/>
  <c r="H43" i="134"/>
  <c r="I43" i="134"/>
  <c r="K43" i="134"/>
  <c r="L43" i="134"/>
  <c r="M43" i="134"/>
  <c r="N43" i="134"/>
  <c r="G44" i="134"/>
  <c r="H44" i="134"/>
  <c r="I44" i="134"/>
  <c r="K44" i="134"/>
  <c r="L44" i="134"/>
  <c r="M44" i="134"/>
  <c r="N44" i="134"/>
  <c r="G45" i="134"/>
  <c r="H45" i="134"/>
  <c r="I45" i="134"/>
  <c r="K45" i="134"/>
  <c r="L45" i="134"/>
  <c r="M45" i="134"/>
  <c r="N45" i="134"/>
  <c r="F46" i="134"/>
  <c r="G46" i="134"/>
  <c r="H46" i="134"/>
  <c r="I46" i="134"/>
  <c r="K46" i="134"/>
  <c r="L46" i="134"/>
  <c r="M46" i="134"/>
  <c r="N46" i="134"/>
  <c r="G47" i="134"/>
  <c r="H47" i="134"/>
  <c r="I47" i="134"/>
  <c r="K47" i="134"/>
  <c r="L47" i="134"/>
  <c r="M47" i="134"/>
  <c r="N47" i="134"/>
  <c r="F39" i="134"/>
  <c r="G39" i="134"/>
  <c r="H39" i="134"/>
  <c r="I39" i="134"/>
  <c r="K39" i="134"/>
  <c r="L39" i="134"/>
  <c r="M39" i="134"/>
  <c r="N39" i="134"/>
  <c r="F34" i="134"/>
  <c r="H34" i="134"/>
  <c r="I34" i="134"/>
  <c r="K34" i="134"/>
  <c r="L34" i="134"/>
  <c r="M34" i="134"/>
  <c r="N34" i="134"/>
  <c r="F35" i="134"/>
  <c r="G35" i="134"/>
  <c r="H35" i="134"/>
  <c r="I35" i="134"/>
  <c r="K35" i="134"/>
  <c r="L35" i="134"/>
  <c r="M35" i="134"/>
  <c r="N35" i="134"/>
  <c r="F36" i="134"/>
  <c r="G36" i="134"/>
  <c r="H36" i="134"/>
  <c r="I36" i="134"/>
  <c r="K36" i="134"/>
  <c r="L36" i="134"/>
  <c r="M36" i="134"/>
  <c r="N36" i="134"/>
  <c r="I27" i="134"/>
  <c r="M27" i="134"/>
  <c r="N27" i="134"/>
  <c r="G28" i="134"/>
  <c r="I28" i="134"/>
  <c r="L28" i="134"/>
  <c r="M28" i="134"/>
  <c r="N28" i="134"/>
  <c r="G29" i="134"/>
  <c r="I29" i="134"/>
  <c r="L29" i="134"/>
  <c r="M29" i="134"/>
  <c r="N29" i="134"/>
  <c r="G30" i="134"/>
  <c r="I30" i="134"/>
  <c r="K30" i="134"/>
  <c r="L30" i="134"/>
  <c r="M30" i="134"/>
  <c r="N30" i="134"/>
  <c r="G31" i="134"/>
  <c r="I31" i="134"/>
  <c r="K31" i="134"/>
  <c r="L31" i="134"/>
  <c r="M31" i="134"/>
  <c r="N31" i="134"/>
  <c r="I32" i="134"/>
  <c r="K32" i="134"/>
  <c r="L32" i="134"/>
  <c r="M32" i="134"/>
  <c r="N32" i="134"/>
  <c r="F33" i="134"/>
  <c r="G33" i="134"/>
  <c r="H33" i="134"/>
  <c r="I33" i="134"/>
  <c r="K33" i="134"/>
  <c r="L33" i="134"/>
  <c r="M33" i="134"/>
  <c r="N33" i="134"/>
  <c r="I26" i="134"/>
  <c r="L26" i="134"/>
  <c r="M26" i="134"/>
  <c r="N26" i="134"/>
  <c r="M158" i="134" l="1"/>
  <c r="L158" i="134"/>
  <c r="G158" i="134"/>
  <c r="G157" i="134" s="1"/>
  <c r="I158" i="134"/>
  <c r="N158" i="134"/>
  <c r="H158" i="134"/>
  <c r="O183" i="134"/>
  <c r="J183" i="134" s="1"/>
  <c r="M183" i="134"/>
  <c r="K183" i="134"/>
  <c r="H183" i="134"/>
  <c r="G183" i="134"/>
  <c r="F183" i="134"/>
  <c r="N176" i="134"/>
  <c r="N175" i="134" s="1"/>
  <c r="M176" i="134"/>
  <c r="M175" i="134" s="1"/>
  <c r="L176" i="134"/>
  <c r="K176" i="134"/>
  <c r="I176" i="134"/>
  <c r="I175" i="134" s="1"/>
  <c r="H176" i="134"/>
  <c r="H175" i="134" s="1"/>
  <c r="G176" i="134"/>
  <c r="G175" i="134" s="1"/>
  <c r="N171" i="134"/>
  <c r="N170" i="134" s="1"/>
  <c r="M171" i="134"/>
  <c r="M170" i="134" s="1"/>
  <c r="L171" i="134"/>
  <c r="L170" i="134" s="1"/>
  <c r="K171" i="134"/>
  <c r="I171" i="134"/>
  <c r="I170" i="134" s="1"/>
  <c r="H171" i="134"/>
  <c r="H170" i="134" s="1"/>
  <c r="G171" i="134"/>
  <c r="G170" i="134" s="1"/>
  <c r="N165" i="134"/>
  <c r="N164" i="134" s="1"/>
  <c r="M165" i="134"/>
  <c r="M164" i="134" s="1"/>
  <c r="K165" i="134"/>
  <c r="K164" i="134" s="1"/>
  <c r="I165" i="134"/>
  <c r="I164" i="134" s="1"/>
  <c r="H165" i="134"/>
  <c r="H164" i="134" s="1"/>
  <c r="G165" i="134"/>
  <c r="G164" i="134" s="1"/>
  <c r="N157" i="134"/>
  <c r="M157" i="134"/>
  <c r="L157" i="134"/>
  <c r="I157" i="134"/>
  <c r="H157" i="134"/>
  <c r="N154" i="134"/>
  <c r="N153" i="134" s="1"/>
  <c r="M154" i="134"/>
  <c r="M153" i="134" s="1"/>
  <c r="L154" i="134"/>
  <c r="L153" i="134" s="1"/>
  <c r="I154" i="134"/>
  <c r="I153" i="134" s="1"/>
  <c r="H154" i="134"/>
  <c r="H153" i="134" s="1"/>
  <c r="G154" i="134"/>
  <c r="G153" i="134" s="1"/>
  <c r="N145" i="134"/>
  <c r="N144" i="134" s="1"/>
  <c r="M145" i="134"/>
  <c r="M144" i="134" s="1"/>
  <c r="L145" i="134"/>
  <c r="L144" i="134" s="1"/>
  <c r="I145" i="134"/>
  <c r="I144" i="134" s="1"/>
  <c r="H145" i="134"/>
  <c r="H144" i="134" s="1"/>
  <c r="G145" i="134"/>
  <c r="G144" i="134" s="1"/>
  <c r="N124" i="134"/>
  <c r="N123" i="134" s="1"/>
  <c r="M124" i="134"/>
  <c r="M123" i="134" s="1"/>
  <c r="L124" i="134"/>
  <c r="L123" i="134" s="1"/>
  <c r="I124" i="134"/>
  <c r="I123" i="134" s="1"/>
  <c r="N108" i="134"/>
  <c r="N107" i="134" s="1"/>
  <c r="L108" i="134"/>
  <c r="I108" i="134"/>
  <c r="I107" i="134" s="1"/>
  <c r="H108" i="134"/>
  <c r="H107" i="134" s="1"/>
  <c r="N98" i="134"/>
  <c r="N97" i="134" s="1"/>
  <c r="M98" i="134"/>
  <c r="M97" i="134" s="1"/>
  <c r="L98" i="134"/>
  <c r="L97" i="134" s="1"/>
  <c r="I98" i="134"/>
  <c r="I97" i="134" s="1"/>
  <c r="G98" i="134"/>
  <c r="G97" i="134" s="1"/>
  <c r="T77" i="134"/>
  <c r="N52" i="134"/>
  <c r="N51" i="134" s="1"/>
  <c r="M52" i="134"/>
  <c r="M51" i="134" s="1"/>
  <c r="L52" i="134"/>
  <c r="L51" i="134" s="1"/>
  <c r="I52" i="134"/>
  <c r="I51" i="134" s="1"/>
  <c r="H52" i="134"/>
  <c r="H51" i="134" s="1"/>
  <c r="N38" i="134"/>
  <c r="N37" i="134" s="1"/>
  <c r="M38" i="134"/>
  <c r="M37" i="134" s="1"/>
  <c r="L38" i="134"/>
  <c r="L37" i="134" s="1"/>
  <c r="I38" i="134"/>
  <c r="I37" i="134" s="1"/>
  <c r="H38" i="134"/>
  <c r="H37" i="134" s="1"/>
  <c r="G38" i="134"/>
  <c r="G37" i="134" s="1"/>
  <c r="N25" i="134"/>
  <c r="N24" i="134" s="1"/>
  <c r="M25" i="134"/>
  <c r="M24" i="134" s="1"/>
  <c r="I25" i="134"/>
  <c r="I24" i="134" s="1"/>
  <c r="N13" i="134"/>
  <c r="M13" i="134"/>
  <c r="M12" i="134" s="1"/>
  <c r="I13" i="134"/>
  <c r="I12" i="134" s="1"/>
  <c r="J133" i="125"/>
  <c r="G134" i="125"/>
  <c r="G125" i="125"/>
  <c r="J136" i="125"/>
  <c r="R123" i="97"/>
  <c r="R110" i="97"/>
  <c r="I67" i="98"/>
  <c r="I65" i="98"/>
  <c r="I68" i="98"/>
  <c r="R117" i="97" s="1"/>
  <c r="J69" i="98"/>
  <c r="O123" i="97"/>
  <c r="N109" i="97"/>
  <c r="L109" i="97"/>
  <c r="H109" i="97"/>
  <c r="I109" i="97"/>
  <c r="F121" i="97"/>
  <c r="F120" i="134" s="1"/>
  <c r="F120" i="97"/>
  <c r="F119" i="134" s="1"/>
  <c r="F115" i="97"/>
  <c r="F114" i="134" s="1"/>
  <c r="F114" i="97"/>
  <c r="F113" i="134" s="1"/>
  <c r="J131" i="125"/>
  <c r="O119" i="97"/>
  <c r="E119" i="97"/>
  <c r="E118" i="134" s="1"/>
  <c r="F111" i="97"/>
  <c r="F110" i="134" s="1"/>
  <c r="K113" i="97"/>
  <c r="K112" i="134" s="1"/>
  <c r="F113" i="97"/>
  <c r="G110" i="97"/>
  <c r="G109" i="134" s="1"/>
  <c r="F110" i="97"/>
  <c r="F109" i="134" s="1"/>
  <c r="M112" i="97"/>
  <c r="M111" i="134" s="1"/>
  <c r="M108" i="134" s="1"/>
  <c r="M107" i="134" s="1"/>
  <c r="K112" i="97"/>
  <c r="K111" i="134" s="1"/>
  <c r="G112" i="97"/>
  <c r="G111" i="134" s="1"/>
  <c r="F112" i="97"/>
  <c r="F111" i="134" s="1"/>
  <c r="F117" i="97"/>
  <c r="F116" i="134" s="1"/>
  <c r="H187" i="125"/>
  <c r="H185" i="125" s="1"/>
  <c r="H131" i="125" l="1"/>
  <c r="I63" i="98"/>
  <c r="J124" i="125"/>
  <c r="K108" i="134"/>
  <c r="K107" i="134" s="1"/>
  <c r="J119" i="97"/>
  <c r="O118" i="134"/>
  <c r="J123" i="97"/>
  <c r="O122" i="134"/>
  <c r="R112" i="97"/>
  <c r="K109" i="97"/>
  <c r="G187" i="125"/>
  <c r="M109" i="97"/>
  <c r="R113" i="97"/>
  <c r="K175" i="134"/>
  <c r="N181" i="134"/>
  <c r="N12" i="134"/>
  <c r="I181" i="134"/>
  <c r="M181" i="134"/>
  <c r="K170" i="134"/>
  <c r="L175" i="134"/>
  <c r="L107" i="134"/>
  <c r="E183" i="134"/>
  <c r="J118" i="134" l="1"/>
  <c r="I131" i="125"/>
  <c r="G131" i="125" s="1"/>
  <c r="P119" i="97"/>
  <c r="P118" i="134" s="1"/>
  <c r="J122" i="134"/>
  <c r="I136" i="125"/>
  <c r="P183" i="134"/>
  <c r="I154" i="98" l="1"/>
  <c r="I152" i="98" s="1"/>
  <c r="K161" i="97"/>
  <c r="F161" i="97"/>
  <c r="G191" i="125"/>
  <c r="G190" i="125"/>
  <c r="J186" i="125"/>
  <c r="I186" i="125"/>
  <c r="I185" i="125" s="1"/>
  <c r="G56" i="125"/>
  <c r="K159" i="134"/>
  <c r="K162" i="134"/>
  <c r="F162" i="134"/>
  <c r="T78" i="97"/>
  <c r="J83" i="125" s="1"/>
  <c r="F75" i="97"/>
  <c r="F74" i="134" s="1"/>
  <c r="F64" i="134"/>
  <c r="J57" i="125"/>
  <c r="R48" i="97"/>
  <c r="R51" i="97"/>
  <c r="R42" i="97"/>
  <c r="I39" i="98"/>
  <c r="R50" i="97" s="1"/>
  <c r="F43" i="134"/>
  <c r="F48" i="134"/>
  <c r="I32" i="98"/>
  <c r="J55" i="125"/>
  <c r="E50" i="97"/>
  <c r="L39" i="97"/>
  <c r="M39" i="97"/>
  <c r="N39" i="97"/>
  <c r="I39" i="97"/>
  <c r="H39" i="97"/>
  <c r="G39" i="97"/>
  <c r="F47" i="134"/>
  <c r="F45" i="97"/>
  <c r="F44" i="134" s="1"/>
  <c r="F46" i="97"/>
  <c r="F45" i="134" s="1"/>
  <c r="K40" i="134"/>
  <c r="F43" i="97"/>
  <c r="F42" i="134" s="1"/>
  <c r="O51" i="97"/>
  <c r="E51" i="97"/>
  <c r="E50" i="134" s="1"/>
  <c r="K43" i="97"/>
  <c r="F160" i="134" l="1"/>
  <c r="F159" i="97"/>
  <c r="M186" i="125"/>
  <c r="J185" i="125"/>
  <c r="K160" i="134"/>
  <c r="K159" i="97"/>
  <c r="F158" i="134"/>
  <c r="F157" i="134" s="1"/>
  <c r="K158" i="134"/>
  <c r="K157" i="134" s="1"/>
  <c r="H55" i="125"/>
  <c r="E49" i="134"/>
  <c r="H57" i="125"/>
  <c r="J51" i="97"/>
  <c r="O50" i="134"/>
  <c r="F39" i="97"/>
  <c r="K39" i="97"/>
  <c r="K49" i="134"/>
  <c r="R161" i="97"/>
  <c r="R41" i="97"/>
  <c r="O50" i="97"/>
  <c r="O49" i="134" s="1"/>
  <c r="J50" i="134" l="1"/>
  <c r="I57" i="125"/>
  <c r="G57" i="125" s="1"/>
  <c r="P51" i="97"/>
  <c r="P50" i="134" s="1"/>
  <c r="J50" i="97"/>
  <c r="E24" i="108"/>
  <c r="E19" i="108"/>
  <c r="E28" i="108"/>
  <c r="L24" i="125"/>
  <c r="K24" i="125"/>
  <c r="G24" i="125"/>
  <c r="J19" i="125"/>
  <c r="I19" i="125"/>
  <c r="H19" i="125"/>
  <c r="I55" i="125" l="1"/>
  <c r="G55" i="125" s="1"/>
  <c r="J49" i="134"/>
  <c r="P50" i="97"/>
  <c r="P49" i="134" s="1"/>
  <c r="G19" i="125"/>
  <c r="M19" i="125"/>
  <c r="G14" i="125" l="1"/>
  <c r="I11" i="98"/>
  <c r="R24" i="97" s="1"/>
  <c r="J18" i="125"/>
  <c r="M18" i="125" s="1"/>
  <c r="G20" i="125"/>
  <c r="G21" i="125"/>
  <c r="G22" i="125"/>
  <c r="G23" i="125"/>
  <c r="R23" i="97"/>
  <c r="I9" i="98"/>
  <c r="I8" i="98"/>
  <c r="I7" i="98" s="1"/>
  <c r="N14" i="97"/>
  <c r="M14" i="97"/>
  <c r="I14" i="97"/>
  <c r="E23" i="97"/>
  <c r="E22" i="134" s="1"/>
  <c r="O23" i="97"/>
  <c r="O22" i="134" s="1"/>
  <c r="E24" i="97"/>
  <c r="E23" i="134" s="1"/>
  <c r="O24" i="97"/>
  <c r="O23" i="134" s="1"/>
  <c r="F21" i="97"/>
  <c r="F20" i="134" s="1"/>
  <c r="L19" i="97"/>
  <c r="K17" i="97"/>
  <c r="K16" i="134" s="1"/>
  <c r="F16" i="97"/>
  <c r="F15" i="134" s="1"/>
  <c r="K15" i="97"/>
  <c r="H15" i="97"/>
  <c r="F15" i="97"/>
  <c r="F14" i="134" s="1"/>
  <c r="K14" i="134" l="1"/>
  <c r="J13" i="125"/>
  <c r="H14" i="134"/>
  <c r="H13" i="134" s="1"/>
  <c r="H12" i="134" s="1"/>
  <c r="L18" i="134"/>
  <c r="L13" i="134" s="1"/>
  <c r="L12" i="134" s="1"/>
  <c r="K13" i="134"/>
  <c r="K12" i="134" s="1"/>
  <c r="L14" i="97"/>
  <c r="H18" i="125"/>
  <c r="K18" i="125" s="1"/>
  <c r="F13" i="134"/>
  <c r="K19" i="125"/>
  <c r="H14" i="97"/>
  <c r="F14" i="97"/>
  <c r="J24" i="97"/>
  <c r="K14" i="97"/>
  <c r="J23" i="97"/>
  <c r="H88" i="125"/>
  <c r="J87" i="125"/>
  <c r="I52" i="98"/>
  <c r="J52" i="98" s="1"/>
  <c r="I47" i="98"/>
  <c r="K92" i="97"/>
  <c r="R147" i="97"/>
  <c r="L28" i="97"/>
  <c r="L27" i="134" s="1"/>
  <c r="L25" i="134" s="1"/>
  <c r="J59" i="98"/>
  <c r="I48" i="98"/>
  <c r="J48" i="98" s="1"/>
  <c r="I46" i="98"/>
  <c r="R82" i="97" s="1"/>
  <c r="I45" i="98"/>
  <c r="K95" i="97"/>
  <c r="K94" i="134" s="1"/>
  <c r="F59" i="97"/>
  <c r="F58" i="134" s="1"/>
  <c r="P24" i="97" l="1"/>
  <c r="P23" i="134" s="1"/>
  <c r="J23" i="134"/>
  <c r="P23" i="97"/>
  <c r="P22" i="134" s="1"/>
  <c r="J22" i="134"/>
  <c r="L24" i="134"/>
  <c r="L19" i="125"/>
  <c r="I18" i="125"/>
  <c r="L18" i="125" s="1"/>
  <c r="F12" i="134"/>
  <c r="R92" i="97"/>
  <c r="G88" i="125"/>
  <c r="K93" i="97"/>
  <c r="F93" i="97"/>
  <c r="F92" i="134" s="1"/>
  <c r="G92" i="97"/>
  <c r="G91" i="134" s="1"/>
  <c r="F92" i="97"/>
  <c r="F91" i="134" s="1"/>
  <c r="G82" i="97"/>
  <c r="G81" i="134" s="1"/>
  <c r="F82" i="97"/>
  <c r="F81" i="134" s="1"/>
  <c r="K81" i="97"/>
  <c r="K80" i="134" s="1"/>
  <c r="G81" i="97"/>
  <c r="G80" i="134" s="1"/>
  <c r="F81" i="97"/>
  <c r="F80" i="134" s="1"/>
  <c r="K100" i="97"/>
  <c r="K99" i="134" s="1"/>
  <c r="H112" i="125"/>
  <c r="H109" i="125"/>
  <c r="J109" i="125"/>
  <c r="J108" i="125" s="1"/>
  <c r="I109" i="125"/>
  <c r="R107" i="97"/>
  <c r="J118" i="125"/>
  <c r="I59" i="98"/>
  <c r="I60" i="98"/>
  <c r="K92" i="134" l="1"/>
  <c r="R93" i="97"/>
  <c r="G52" i="134"/>
  <c r="G51" i="134" s="1"/>
  <c r="G18" i="125"/>
  <c r="G112" i="125"/>
  <c r="G109" i="125"/>
  <c r="I55" i="98" l="1"/>
  <c r="I57" i="98"/>
  <c r="R102" i="97" s="1"/>
  <c r="O107" i="97"/>
  <c r="O106" i="134" s="1"/>
  <c r="E107" i="97"/>
  <c r="N99" i="97"/>
  <c r="M99" i="97"/>
  <c r="L99" i="97"/>
  <c r="I99" i="97"/>
  <c r="G99" i="97"/>
  <c r="F106" i="97"/>
  <c r="F105" i="134" s="1"/>
  <c r="K104" i="97"/>
  <c r="F104" i="97"/>
  <c r="F103" i="134" s="1"/>
  <c r="K103" i="97"/>
  <c r="K102" i="134" s="1"/>
  <c r="F102" i="97"/>
  <c r="F101" i="134" s="1"/>
  <c r="H100" i="97"/>
  <c r="H99" i="134" s="1"/>
  <c r="H98" i="134" s="1"/>
  <c r="H97" i="134" s="1"/>
  <c r="F100" i="97"/>
  <c r="F99" i="134" s="1"/>
  <c r="F178" i="97"/>
  <c r="F177" i="134" s="1"/>
  <c r="G201" i="125"/>
  <c r="F173" i="97"/>
  <c r="F172" i="134" s="1"/>
  <c r="F171" i="134" s="1"/>
  <c r="F170" i="134" s="1"/>
  <c r="J197" i="125"/>
  <c r="G195" i="125"/>
  <c r="F167" i="97"/>
  <c r="F166" i="134" s="1"/>
  <c r="F165" i="134" s="1"/>
  <c r="F164" i="134" s="1"/>
  <c r="F156" i="97"/>
  <c r="F155" i="134" s="1"/>
  <c r="F154" i="134" s="1"/>
  <c r="F153" i="134" s="1"/>
  <c r="H181" i="125"/>
  <c r="G182" i="125"/>
  <c r="G173" i="125"/>
  <c r="F147" i="97"/>
  <c r="F146" i="134" s="1"/>
  <c r="G141" i="125"/>
  <c r="F126" i="97"/>
  <c r="F125" i="134" s="1"/>
  <c r="F99" i="97" l="1"/>
  <c r="F98" i="134"/>
  <c r="F97" i="134" s="1"/>
  <c r="E98" i="134"/>
  <c r="K103" i="134"/>
  <c r="K98" i="134" s="1"/>
  <c r="K97" i="134" s="1"/>
  <c r="J111" i="125"/>
  <c r="H99" i="97"/>
  <c r="K99" i="97"/>
  <c r="E106" i="134"/>
  <c r="H118" i="125"/>
  <c r="R100" i="97"/>
  <c r="I54" i="98"/>
  <c r="J107" i="97"/>
  <c r="J106" i="134" s="1"/>
  <c r="E97" i="134" l="1"/>
  <c r="P107" i="97"/>
  <c r="P106" i="134" s="1"/>
  <c r="I118" i="125"/>
  <c r="G118" i="125" s="1"/>
  <c r="H156" i="125"/>
  <c r="K136" i="97"/>
  <c r="E136" i="97"/>
  <c r="E135" i="134" s="1"/>
  <c r="F138" i="97"/>
  <c r="F137" i="134" s="1"/>
  <c r="F137" i="97"/>
  <c r="F136" i="134" s="1"/>
  <c r="F139" i="97"/>
  <c r="F138" i="134" s="1"/>
  <c r="H134" i="97"/>
  <c r="H133" i="134" s="1"/>
  <c r="H124" i="134" s="1"/>
  <c r="H123" i="134" s="1"/>
  <c r="F134" i="97"/>
  <c r="F133" i="134" s="1"/>
  <c r="F133" i="97"/>
  <c r="F132" i="134" s="1"/>
  <c r="F130" i="97"/>
  <c r="F129" i="134" s="1"/>
  <c r="E25" i="108"/>
  <c r="O142" i="97"/>
  <c r="I109" i="98"/>
  <c r="I108" i="98"/>
  <c r="I81" i="98"/>
  <c r="I77" i="98" s="1"/>
  <c r="K135" i="97"/>
  <c r="K134" i="134" s="1"/>
  <c r="K133" i="134"/>
  <c r="G151" i="125"/>
  <c r="N125" i="97"/>
  <c r="M125" i="97"/>
  <c r="L125" i="97"/>
  <c r="I125" i="97"/>
  <c r="H121" i="98"/>
  <c r="H125" i="97" l="1"/>
  <c r="I88" i="98"/>
  <c r="O136" i="97"/>
  <c r="K135" i="134"/>
  <c r="J150" i="125"/>
  <c r="K131" i="134"/>
  <c r="F124" i="134"/>
  <c r="F123" i="134" s="1"/>
  <c r="J156" i="125"/>
  <c r="J81" i="98"/>
  <c r="J85" i="98"/>
  <c r="I85" i="98"/>
  <c r="O169" i="97"/>
  <c r="E169" i="97"/>
  <c r="L167" i="134"/>
  <c r="L165" i="134" s="1"/>
  <c r="I149" i="98"/>
  <c r="K157" i="97"/>
  <c r="I136" i="98"/>
  <c r="I125" i="98"/>
  <c r="H131" i="98"/>
  <c r="E168" i="134" l="1"/>
  <c r="H197" i="125"/>
  <c r="J169" i="97"/>
  <c r="O168" i="134"/>
  <c r="J136" i="97"/>
  <c r="O135" i="134"/>
  <c r="K156" i="134"/>
  <c r="K154" i="134" s="1"/>
  <c r="K153" i="134" s="1"/>
  <c r="J183" i="125"/>
  <c r="L164" i="134"/>
  <c r="L181" i="134"/>
  <c r="I129" i="98"/>
  <c r="I127" i="98"/>
  <c r="I126" i="98"/>
  <c r="I144" i="98"/>
  <c r="K150" i="97"/>
  <c r="K149" i="134" s="1"/>
  <c r="K153" i="97"/>
  <c r="K152" i="134" s="1"/>
  <c r="K152" i="97"/>
  <c r="K151" i="134" s="1"/>
  <c r="K149" i="97"/>
  <c r="K151" i="97"/>
  <c r="K150" i="134" s="1"/>
  <c r="O148" i="97"/>
  <c r="O147" i="134" s="1"/>
  <c r="E149" i="97"/>
  <c r="E153" i="97"/>
  <c r="L146" i="97"/>
  <c r="M146" i="97"/>
  <c r="N146" i="97"/>
  <c r="G146" i="97"/>
  <c r="H146" i="97"/>
  <c r="I146" i="97"/>
  <c r="E147" i="97"/>
  <c r="J20" i="98"/>
  <c r="J175" i="125" l="1"/>
  <c r="K148" i="134"/>
  <c r="K145" i="134" s="1"/>
  <c r="K144" i="134" s="1"/>
  <c r="P169" i="97"/>
  <c r="P168" i="134" s="1"/>
  <c r="J168" i="134"/>
  <c r="I197" i="125"/>
  <c r="G197" i="125" s="1"/>
  <c r="H175" i="125"/>
  <c r="E148" i="134"/>
  <c r="O149" i="97"/>
  <c r="J135" i="134"/>
  <c r="I156" i="125"/>
  <c r="G156" i="125" s="1"/>
  <c r="P136" i="97"/>
  <c r="P135" i="134" s="1"/>
  <c r="H179" i="125"/>
  <c r="E152" i="134"/>
  <c r="I123" i="98"/>
  <c r="O153" i="97"/>
  <c r="J179" i="125"/>
  <c r="K146" i="97"/>
  <c r="I18" i="98"/>
  <c r="O28" i="97" l="1"/>
  <c r="J149" i="97"/>
  <c r="O148" i="134"/>
  <c r="J153" i="97"/>
  <c r="J152" i="134" s="1"/>
  <c r="O152" i="134"/>
  <c r="F125" i="97"/>
  <c r="J142" i="125"/>
  <c r="E127" i="97"/>
  <c r="O127" i="97"/>
  <c r="H35" i="125"/>
  <c r="G35" i="125" s="1"/>
  <c r="J31" i="125"/>
  <c r="J29" i="125" s="1"/>
  <c r="I31" i="125"/>
  <c r="H31" i="125"/>
  <c r="I23" i="98"/>
  <c r="I21" i="98"/>
  <c r="J17" i="98"/>
  <c r="I19" i="98"/>
  <c r="J19" i="98" s="1"/>
  <c r="F148" i="97"/>
  <c r="F53" i="134"/>
  <c r="F32" i="97"/>
  <c r="H31" i="97"/>
  <c r="F31" i="97"/>
  <c r="F30" i="97"/>
  <c r="K29" i="97"/>
  <c r="K28" i="134" s="1"/>
  <c r="G26" i="134"/>
  <c r="M184" i="97"/>
  <c r="P153" i="97" l="1"/>
  <c r="P152" i="134" s="1"/>
  <c r="I175" i="125"/>
  <c r="G175" i="125" s="1"/>
  <c r="J148" i="134"/>
  <c r="P149" i="97"/>
  <c r="P148" i="134" s="1"/>
  <c r="J127" i="97"/>
  <c r="P127" i="97" s="1"/>
  <c r="P126" i="134" s="1"/>
  <c r="O126" i="134"/>
  <c r="J34" i="125"/>
  <c r="F146" i="97"/>
  <c r="F147" i="134"/>
  <c r="F145" i="134" s="1"/>
  <c r="F144" i="134" s="1"/>
  <c r="H142" i="125"/>
  <c r="E126" i="134"/>
  <c r="I179" i="125"/>
  <c r="G179" i="125" s="1"/>
  <c r="G31" i="125"/>
  <c r="E184" i="97"/>
  <c r="P184" i="97" s="1"/>
  <c r="J126" i="134" l="1"/>
  <c r="I142" i="125"/>
  <c r="G142" i="125" s="1"/>
  <c r="J174" i="125"/>
  <c r="E148" i="97"/>
  <c r="E147" i="134" s="1"/>
  <c r="J148" i="97"/>
  <c r="I174" i="125" l="1"/>
  <c r="J147" i="134"/>
  <c r="H174" i="125"/>
  <c r="P148" i="97"/>
  <c r="P147" i="134" s="1"/>
  <c r="R104" i="97"/>
  <c r="R103" i="97"/>
  <c r="R95" i="97"/>
  <c r="R94" i="97"/>
  <c r="R81" i="97"/>
  <c r="R59" i="97"/>
  <c r="R54" i="97"/>
  <c r="R37" i="97"/>
  <c r="R33" i="97"/>
  <c r="R29" i="97"/>
  <c r="R27" i="97"/>
  <c r="R17" i="97"/>
  <c r="R15" i="97"/>
  <c r="O170" i="97"/>
  <c r="O135" i="97"/>
  <c r="O105" i="97"/>
  <c r="O54" i="97"/>
  <c r="L26" i="97"/>
  <c r="J135" i="97" l="1"/>
  <c r="H172" i="125"/>
  <c r="G174" i="125"/>
  <c r="H33" i="97"/>
  <c r="G35" i="97"/>
  <c r="G34" i="134" s="1"/>
  <c r="G33" i="97"/>
  <c r="F33" i="97" l="1"/>
  <c r="J41" i="125"/>
  <c r="J40" i="125"/>
  <c r="J42" i="125"/>
  <c r="E36" i="97"/>
  <c r="E37" i="97"/>
  <c r="O37" i="97"/>
  <c r="O35" i="97"/>
  <c r="O34" i="97"/>
  <c r="E35" i="97"/>
  <c r="E34" i="97"/>
  <c r="J35" i="97" l="1"/>
  <c r="P35" i="97" s="1"/>
  <c r="P34" i="134" s="1"/>
  <c r="O34" i="134"/>
  <c r="J37" i="97"/>
  <c r="H40" i="125"/>
  <c r="E34" i="134"/>
  <c r="H42" i="125"/>
  <c r="E36" i="134"/>
  <c r="H41" i="125"/>
  <c r="E35" i="134"/>
  <c r="I42" i="125" l="1"/>
  <c r="G42" i="125" s="1"/>
  <c r="P37" i="97"/>
  <c r="I40" i="125"/>
  <c r="G40" i="125" s="1"/>
  <c r="J34" i="134"/>
  <c r="K161" i="116"/>
  <c r="F16" i="116" l="1"/>
  <c r="C99" i="126" l="1"/>
  <c r="O181" i="97" l="1"/>
  <c r="O180" i="97"/>
  <c r="O179" i="97"/>
  <c r="O178" i="97"/>
  <c r="O175" i="97"/>
  <c r="O174" i="97"/>
  <c r="O173" i="97"/>
  <c r="O167" i="97"/>
  <c r="O163" i="97"/>
  <c r="O162" i="97"/>
  <c r="O161" i="97"/>
  <c r="O160" i="97"/>
  <c r="O159" i="97" s="1"/>
  <c r="O157" i="97"/>
  <c r="O156" i="97"/>
  <c r="O152" i="97"/>
  <c r="O151" i="97"/>
  <c r="O150" i="97"/>
  <c r="O147" i="97"/>
  <c r="O144" i="97"/>
  <c r="O138" i="97"/>
  <c r="O137" i="97"/>
  <c r="O134" i="97"/>
  <c r="O133" i="97"/>
  <c r="O132" i="97"/>
  <c r="O131" i="97"/>
  <c r="O130" i="97"/>
  <c r="O129" i="97"/>
  <c r="O128" i="97"/>
  <c r="O126" i="97"/>
  <c r="O122" i="97"/>
  <c r="O121" i="97"/>
  <c r="O120" i="97"/>
  <c r="O118" i="97"/>
  <c r="O117" i="97"/>
  <c r="O116" i="97"/>
  <c r="O115" i="97"/>
  <c r="O114" i="97"/>
  <c r="O113" i="97"/>
  <c r="O112" i="97"/>
  <c r="O111" i="97"/>
  <c r="O110" i="97"/>
  <c r="O106" i="97"/>
  <c r="O104" i="97"/>
  <c r="O103" i="97"/>
  <c r="O102" i="97"/>
  <c r="O101" i="97"/>
  <c r="O100" i="97"/>
  <c r="O96" i="97"/>
  <c r="O95" i="97"/>
  <c r="O94" i="97"/>
  <c r="O93" i="97"/>
  <c r="O89" i="97"/>
  <c r="O88" i="97"/>
  <c r="O87" i="97"/>
  <c r="O86" i="97"/>
  <c r="O85" i="97"/>
  <c r="O84" i="97"/>
  <c r="O83" i="97"/>
  <c r="O82" i="97"/>
  <c r="O81" i="97"/>
  <c r="O80" i="97"/>
  <c r="O77" i="97"/>
  <c r="O76" i="97"/>
  <c r="O75" i="97"/>
  <c r="O74" i="97"/>
  <c r="O73" i="97"/>
  <c r="O72" i="97"/>
  <c r="O70" i="97"/>
  <c r="O69" i="97"/>
  <c r="O68" i="97"/>
  <c r="O67" i="97"/>
  <c r="O66" i="97"/>
  <c r="O65" i="97"/>
  <c r="O64" i="97"/>
  <c r="O63" i="97"/>
  <c r="O62" i="97"/>
  <c r="O61" i="97"/>
  <c r="O60" i="97"/>
  <c r="O59" i="97"/>
  <c r="O58" i="97"/>
  <c r="O57" i="97"/>
  <c r="O56" i="97"/>
  <c r="O55" i="97"/>
  <c r="O49" i="97"/>
  <c r="O48" i="97"/>
  <c r="O47" i="97"/>
  <c r="O46" i="97"/>
  <c r="O45" i="97"/>
  <c r="O44" i="97"/>
  <c r="O42" i="97"/>
  <c r="O41" i="97"/>
  <c r="O40" i="97"/>
  <c r="O36" i="97"/>
  <c r="O35" i="134" s="1"/>
  <c r="O33" i="97"/>
  <c r="O32" i="97"/>
  <c r="O29" i="97"/>
  <c r="O22" i="97"/>
  <c r="O21" i="97"/>
  <c r="O19" i="97"/>
  <c r="O18" i="97"/>
  <c r="O17" i="97"/>
  <c r="O16" i="97"/>
  <c r="O15" i="97"/>
  <c r="G144" i="97"/>
  <c r="J95" i="125"/>
  <c r="J170" i="125"/>
  <c r="L164" i="133"/>
  <c r="I164" i="133"/>
  <c r="H164" i="133"/>
  <c r="P161" i="133"/>
  <c r="K161" i="133" s="1"/>
  <c r="F161" i="133"/>
  <c r="P160" i="133"/>
  <c r="K160" i="133" s="1"/>
  <c r="G160" i="133"/>
  <c r="P159" i="133"/>
  <c r="K159" i="133" s="1"/>
  <c r="F159" i="133"/>
  <c r="P158" i="133"/>
  <c r="K158" i="133" s="1"/>
  <c r="F158" i="133"/>
  <c r="A157" i="133"/>
  <c r="A156" i="133" s="1"/>
  <c r="O157" i="133"/>
  <c r="O156" i="133" s="1"/>
  <c r="N157" i="133"/>
  <c r="N156" i="133" s="1"/>
  <c r="M157" i="133"/>
  <c r="M156" i="133" s="1"/>
  <c r="L157" i="133"/>
  <c r="J157" i="133"/>
  <c r="J156" i="133" s="1"/>
  <c r="I157" i="133"/>
  <c r="I156" i="133" s="1"/>
  <c r="H157" i="133"/>
  <c r="H156" i="133" s="1"/>
  <c r="P155" i="133"/>
  <c r="K155" i="133" s="1"/>
  <c r="F155" i="133"/>
  <c r="P154" i="133"/>
  <c r="K154" i="133" s="1"/>
  <c r="F154" i="133"/>
  <c r="P153" i="133"/>
  <c r="K153" i="133" s="1"/>
  <c r="F153" i="133"/>
  <c r="A152" i="133"/>
  <c r="A151" i="133" s="1"/>
  <c r="O152" i="133"/>
  <c r="N152" i="133"/>
  <c r="M152" i="133"/>
  <c r="M151" i="133" s="1"/>
  <c r="L152" i="133"/>
  <c r="J152" i="133"/>
  <c r="J151" i="133" s="1"/>
  <c r="I152" i="133"/>
  <c r="I151" i="133" s="1"/>
  <c r="H152" i="133"/>
  <c r="H151" i="133" s="1"/>
  <c r="G152" i="133"/>
  <c r="G151" i="133" s="1"/>
  <c r="O151" i="133"/>
  <c r="N151" i="133"/>
  <c r="P150" i="133"/>
  <c r="P149" i="133"/>
  <c r="F149" i="133"/>
  <c r="P148" i="133"/>
  <c r="K148" i="133" s="1"/>
  <c r="F148" i="133"/>
  <c r="A147" i="133"/>
  <c r="A146" i="133" s="1"/>
  <c r="O147" i="133"/>
  <c r="O146" i="133" s="1"/>
  <c r="N147" i="133"/>
  <c r="N146" i="133" s="1"/>
  <c r="M147" i="133"/>
  <c r="L147" i="133"/>
  <c r="P147" i="133" s="1"/>
  <c r="J147" i="133"/>
  <c r="J146" i="133" s="1"/>
  <c r="I147" i="133"/>
  <c r="I146" i="133" s="1"/>
  <c r="H147" i="133"/>
  <c r="H146" i="133" s="1"/>
  <c r="G147" i="133"/>
  <c r="G146" i="133" s="1"/>
  <c r="P145" i="133"/>
  <c r="K145" i="133" s="1"/>
  <c r="F145" i="133"/>
  <c r="P144" i="133"/>
  <c r="K144" i="133" s="1"/>
  <c r="F144" i="133"/>
  <c r="P143" i="133"/>
  <c r="K143" i="133" s="1"/>
  <c r="F143" i="133"/>
  <c r="P142" i="133"/>
  <c r="K142" i="133" s="1"/>
  <c r="F142" i="133"/>
  <c r="A141" i="133"/>
  <c r="A140" i="133" s="1"/>
  <c r="O141" i="133"/>
  <c r="O140" i="133" s="1"/>
  <c r="N141" i="133"/>
  <c r="N140" i="133" s="1"/>
  <c r="M141" i="133"/>
  <c r="L141" i="133"/>
  <c r="P141" i="133" s="1"/>
  <c r="J141" i="133"/>
  <c r="J140" i="133" s="1"/>
  <c r="I141" i="133"/>
  <c r="I140" i="133" s="1"/>
  <c r="H141" i="133"/>
  <c r="H140" i="133" s="1"/>
  <c r="G141" i="133"/>
  <c r="G140" i="133" s="1"/>
  <c r="P139" i="133"/>
  <c r="K139" i="133" s="1"/>
  <c r="F139" i="133"/>
  <c r="P138" i="133"/>
  <c r="K138" i="133" s="1"/>
  <c r="F138" i="133"/>
  <c r="A137" i="133"/>
  <c r="A136" i="133" s="1"/>
  <c r="O137" i="133"/>
  <c r="O136" i="133" s="1"/>
  <c r="N137" i="133"/>
  <c r="N136" i="133" s="1"/>
  <c r="M137" i="133"/>
  <c r="M136" i="133" s="1"/>
  <c r="L137" i="133"/>
  <c r="P137" i="133" s="1"/>
  <c r="J137" i="133"/>
  <c r="J136" i="133" s="1"/>
  <c r="I137" i="133"/>
  <c r="I136" i="133" s="1"/>
  <c r="H137" i="133"/>
  <c r="H136" i="133" s="1"/>
  <c r="G137" i="133"/>
  <c r="G136" i="133" s="1"/>
  <c r="P135" i="133"/>
  <c r="K135" i="133" s="1"/>
  <c r="F135" i="133"/>
  <c r="P134" i="133"/>
  <c r="K134" i="133" s="1"/>
  <c r="F134" i="133"/>
  <c r="P133" i="133"/>
  <c r="K133" i="133" s="1"/>
  <c r="F133" i="133"/>
  <c r="P132" i="133"/>
  <c r="K132" i="133" s="1"/>
  <c r="F132" i="133"/>
  <c r="E146" i="134" s="1"/>
  <c r="A131" i="133"/>
  <c r="A130" i="133" s="1"/>
  <c r="O131" i="133"/>
  <c r="O130" i="133" s="1"/>
  <c r="N131" i="133"/>
  <c r="N130" i="133" s="1"/>
  <c r="M131" i="133"/>
  <c r="M130" i="133" s="1"/>
  <c r="L131" i="133"/>
  <c r="P131" i="133" s="1"/>
  <c r="J131" i="133"/>
  <c r="J130" i="133" s="1"/>
  <c r="I131" i="133"/>
  <c r="I130" i="133" s="1"/>
  <c r="H131" i="133"/>
  <c r="H130" i="133" s="1"/>
  <c r="G131" i="133"/>
  <c r="G130" i="133" s="1"/>
  <c r="P129" i="133"/>
  <c r="K129" i="133" s="1"/>
  <c r="F129" i="133"/>
  <c r="P127" i="133"/>
  <c r="F127" i="133"/>
  <c r="L126" i="133"/>
  <c r="F126" i="133"/>
  <c r="L125" i="133"/>
  <c r="P125" i="133" s="1"/>
  <c r="K125" i="133" s="1"/>
  <c r="F125" i="133"/>
  <c r="L124" i="133"/>
  <c r="K138" i="134" s="1"/>
  <c r="F124" i="133"/>
  <c r="P123" i="133"/>
  <c r="K123" i="133" s="1"/>
  <c r="F123" i="133"/>
  <c r="P122" i="133"/>
  <c r="K122" i="133" s="1"/>
  <c r="F122" i="133"/>
  <c r="P121" i="133"/>
  <c r="F121" i="133"/>
  <c r="P120" i="133"/>
  <c r="K120" i="133" s="1"/>
  <c r="F120" i="133"/>
  <c r="P119" i="133"/>
  <c r="K119" i="133" s="1"/>
  <c r="F119" i="133"/>
  <c r="P118" i="133"/>
  <c r="K118" i="133" s="1"/>
  <c r="F118" i="133"/>
  <c r="P117" i="133"/>
  <c r="K117" i="133" s="1"/>
  <c r="F117" i="133"/>
  <c r="P116" i="133"/>
  <c r="K116" i="133" s="1"/>
  <c r="F116" i="133"/>
  <c r="P115" i="133"/>
  <c r="K115" i="133" s="1"/>
  <c r="F115" i="133"/>
  <c r="P114" i="133"/>
  <c r="K114" i="133" s="1"/>
  <c r="F114" i="133"/>
  <c r="P113" i="133"/>
  <c r="K113" i="133" s="1"/>
  <c r="F113" i="133"/>
  <c r="A112" i="133"/>
  <c r="O112" i="133"/>
  <c r="O111" i="133" s="1"/>
  <c r="N112" i="133"/>
  <c r="N111" i="133" s="1"/>
  <c r="M112" i="133"/>
  <c r="M111" i="133" s="1"/>
  <c r="J112" i="133"/>
  <c r="J111" i="133" s="1"/>
  <c r="I112" i="133"/>
  <c r="I111" i="133" s="1"/>
  <c r="H112" i="133"/>
  <c r="H111" i="133" s="1"/>
  <c r="G112" i="133"/>
  <c r="G111" i="133" s="1"/>
  <c r="A111" i="133"/>
  <c r="A110" i="133"/>
  <c r="P110" i="133" s="1"/>
  <c r="K110" i="133" s="1"/>
  <c r="G110" i="133"/>
  <c r="F110" i="133" s="1"/>
  <c r="P109" i="133"/>
  <c r="K109" i="133" s="1"/>
  <c r="F109" i="133"/>
  <c r="P108" i="133"/>
  <c r="K108" i="133" s="1"/>
  <c r="F108" i="133"/>
  <c r="P107" i="133"/>
  <c r="K107" i="133" s="1"/>
  <c r="F107" i="133"/>
  <c r="P106" i="133"/>
  <c r="K106" i="133" s="1"/>
  <c r="F106" i="133"/>
  <c r="P105" i="133"/>
  <c r="K105" i="133" s="1"/>
  <c r="H105" i="133"/>
  <c r="H97" i="133" s="1"/>
  <c r="H96" i="133" s="1"/>
  <c r="F105" i="133"/>
  <c r="P104" i="133"/>
  <c r="K104" i="133" s="1"/>
  <c r="F104" i="133"/>
  <c r="P103" i="133"/>
  <c r="K103" i="133" s="1"/>
  <c r="F103" i="133"/>
  <c r="P102" i="133"/>
  <c r="K102" i="133" s="1"/>
  <c r="F102" i="133"/>
  <c r="P101" i="133"/>
  <c r="K101" i="133" s="1"/>
  <c r="G101" i="133"/>
  <c r="P100" i="133"/>
  <c r="K100" i="133" s="1"/>
  <c r="F100" i="133"/>
  <c r="P99" i="133"/>
  <c r="K99" i="133" s="1"/>
  <c r="F99" i="133"/>
  <c r="P98" i="133"/>
  <c r="K98" i="133" s="1"/>
  <c r="F98" i="133"/>
  <c r="A97" i="133"/>
  <c r="A96" i="133" s="1"/>
  <c r="O97" i="133"/>
  <c r="O96" i="133" s="1"/>
  <c r="N97" i="133"/>
  <c r="N96" i="133" s="1"/>
  <c r="M97" i="133"/>
  <c r="M96" i="133" s="1"/>
  <c r="L97" i="133"/>
  <c r="P97" i="133" s="1"/>
  <c r="J97" i="133"/>
  <c r="J96" i="133" s="1"/>
  <c r="I97" i="133"/>
  <c r="I96" i="133" s="1"/>
  <c r="P95" i="133"/>
  <c r="K95" i="133" s="1"/>
  <c r="F95" i="133"/>
  <c r="P94" i="133"/>
  <c r="F94" i="133"/>
  <c r="P93" i="133"/>
  <c r="K93" i="133" s="1"/>
  <c r="F93" i="133"/>
  <c r="P92" i="133"/>
  <c r="K92" i="133" s="1"/>
  <c r="F92" i="133"/>
  <c r="P91" i="133"/>
  <c r="K91" i="133" s="1"/>
  <c r="F91" i="133"/>
  <c r="P90" i="133"/>
  <c r="K90" i="133" s="1"/>
  <c r="F90" i="133"/>
  <c r="P89" i="133"/>
  <c r="K89" i="133" s="1"/>
  <c r="F89" i="133"/>
  <c r="A88" i="133"/>
  <c r="A87" i="133" s="1"/>
  <c r="O88" i="133"/>
  <c r="O87" i="133" s="1"/>
  <c r="N88" i="133"/>
  <c r="N87" i="133" s="1"/>
  <c r="M88" i="133"/>
  <c r="M87" i="133" s="1"/>
  <c r="L88" i="133"/>
  <c r="P88" i="133" s="1"/>
  <c r="J88" i="133"/>
  <c r="J87" i="133" s="1"/>
  <c r="I88" i="133"/>
  <c r="I87" i="133" s="1"/>
  <c r="H88" i="133"/>
  <c r="H87" i="133" s="1"/>
  <c r="G88" i="133"/>
  <c r="F88" i="133" s="1"/>
  <c r="P85" i="133"/>
  <c r="K85" i="133" s="1"/>
  <c r="F85" i="133"/>
  <c r="P84" i="133"/>
  <c r="K84" i="133" s="1"/>
  <c r="F84" i="133"/>
  <c r="P83" i="133"/>
  <c r="K83" i="133" s="1"/>
  <c r="F83" i="133"/>
  <c r="P82" i="133"/>
  <c r="K82" i="133" s="1"/>
  <c r="F82" i="133"/>
  <c r="L81" i="133"/>
  <c r="F81" i="133"/>
  <c r="P79" i="133"/>
  <c r="K79" i="133" s="1"/>
  <c r="F79" i="133"/>
  <c r="P78" i="133"/>
  <c r="K78" i="133" s="1"/>
  <c r="F78" i="133"/>
  <c r="P77" i="133"/>
  <c r="K77" i="133" s="1"/>
  <c r="F77" i="133"/>
  <c r="P76" i="133"/>
  <c r="K76" i="133" s="1"/>
  <c r="F76" i="133"/>
  <c r="P75" i="133"/>
  <c r="K75" i="133" s="1"/>
  <c r="F75" i="133"/>
  <c r="P74" i="133"/>
  <c r="K74" i="133" s="1"/>
  <c r="F74" i="133"/>
  <c r="P73" i="133"/>
  <c r="K73" i="133" s="1"/>
  <c r="F73" i="133"/>
  <c r="P72" i="133"/>
  <c r="K72" i="133" s="1"/>
  <c r="F72" i="133"/>
  <c r="P71" i="133"/>
  <c r="K71" i="133" s="1"/>
  <c r="F71" i="133"/>
  <c r="P70" i="133"/>
  <c r="K70" i="133" s="1"/>
  <c r="F70" i="133"/>
  <c r="P69" i="133"/>
  <c r="K69" i="133" s="1"/>
  <c r="F69" i="133"/>
  <c r="P68" i="133"/>
  <c r="K68" i="133" s="1"/>
  <c r="F68" i="133"/>
  <c r="P67" i="133"/>
  <c r="K67" i="133" s="1"/>
  <c r="F67" i="133"/>
  <c r="P66" i="133"/>
  <c r="K66" i="133" s="1"/>
  <c r="F66" i="133"/>
  <c r="P65" i="133"/>
  <c r="K65" i="133" s="1"/>
  <c r="F65" i="133"/>
  <c r="P64" i="133"/>
  <c r="K64" i="133" s="1"/>
  <c r="F64" i="133"/>
  <c r="P63" i="133"/>
  <c r="K63" i="133" s="1"/>
  <c r="F63" i="133"/>
  <c r="P62" i="133"/>
  <c r="K62" i="133" s="1"/>
  <c r="F62" i="133"/>
  <c r="P61" i="133"/>
  <c r="K61" i="133" s="1"/>
  <c r="F61" i="133"/>
  <c r="P60" i="133"/>
  <c r="K60" i="133" s="1"/>
  <c r="F60" i="133"/>
  <c r="P59" i="133"/>
  <c r="K59" i="133" s="1"/>
  <c r="F59" i="133"/>
  <c r="P58" i="133"/>
  <c r="K58" i="133" s="1"/>
  <c r="F58" i="133"/>
  <c r="P57" i="133"/>
  <c r="K57" i="133" s="1"/>
  <c r="F57" i="133"/>
  <c r="P56" i="133"/>
  <c r="K56" i="133" s="1"/>
  <c r="F56" i="133"/>
  <c r="P55" i="133"/>
  <c r="K55" i="133" s="1"/>
  <c r="F55" i="133"/>
  <c r="P54" i="133"/>
  <c r="K54" i="133" s="1"/>
  <c r="F54" i="133"/>
  <c r="P53" i="133"/>
  <c r="K53" i="133" s="1"/>
  <c r="F53" i="133"/>
  <c r="P52" i="133"/>
  <c r="K52" i="133" s="1"/>
  <c r="F52" i="133"/>
  <c r="P51" i="133"/>
  <c r="K51" i="133" s="1"/>
  <c r="G51" i="133"/>
  <c r="F51" i="133" s="1"/>
  <c r="P50" i="133"/>
  <c r="K50" i="133" s="1"/>
  <c r="F50" i="133"/>
  <c r="P49" i="133"/>
  <c r="K49" i="133" s="1"/>
  <c r="G49" i="133"/>
  <c r="F49" i="133" s="1"/>
  <c r="P48" i="133"/>
  <c r="K48" i="133" s="1"/>
  <c r="G48" i="133"/>
  <c r="F48" i="133" s="1"/>
  <c r="P47" i="133"/>
  <c r="F47" i="133"/>
  <c r="A46" i="133"/>
  <c r="A45" i="133" s="1"/>
  <c r="O46" i="133"/>
  <c r="O45" i="133" s="1"/>
  <c r="N46" i="133"/>
  <c r="N45" i="133" s="1"/>
  <c r="M46" i="133"/>
  <c r="M45" i="133" s="1"/>
  <c r="J46" i="133"/>
  <c r="J45" i="133" s="1"/>
  <c r="I46" i="133"/>
  <c r="I45" i="133" s="1"/>
  <c r="H46" i="133"/>
  <c r="H45" i="133" s="1"/>
  <c r="P44" i="133"/>
  <c r="K44" i="133" s="1"/>
  <c r="F44" i="133"/>
  <c r="P43" i="133"/>
  <c r="K43" i="133" s="1"/>
  <c r="F43" i="133"/>
  <c r="P42" i="133"/>
  <c r="K42" i="133" s="1"/>
  <c r="F42" i="133"/>
  <c r="P41" i="133"/>
  <c r="K41" i="133" s="1"/>
  <c r="F41" i="133"/>
  <c r="P40" i="133"/>
  <c r="K40" i="133" s="1"/>
  <c r="F40" i="133"/>
  <c r="P39" i="133"/>
  <c r="K39" i="133" s="1"/>
  <c r="F39" i="133"/>
  <c r="L38" i="133"/>
  <c r="F38" i="133"/>
  <c r="P37" i="133"/>
  <c r="K37" i="133" s="1"/>
  <c r="F37" i="133"/>
  <c r="P36" i="133"/>
  <c r="K36" i="133" s="1"/>
  <c r="G36" i="133"/>
  <c r="P35" i="133"/>
  <c r="K35" i="133" s="1"/>
  <c r="F35" i="133"/>
  <c r="A34" i="133"/>
  <c r="A33" i="133" s="1"/>
  <c r="O34" i="133"/>
  <c r="O33" i="133" s="1"/>
  <c r="N34" i="133"/>
  <c r="N33" i="133" s="1"/>
  <c r="M34" i="133"/>
  <c r="M33" i="133" s="1"/>
  <c r="J34" i="133"/>
  <c r="J33" i="133" s="1"/>
  <c r="I34" i="133"/>
  <c r="I33" i="133" s="1"/>
  <c r="H34" i="133"/>
  <c r="H33" i="133" s="1"/>
  <c r="P32" i="133"/>
  <c r="P31" i="133"/>
  <c r="F31" i="133"/>
  <c r="E33" i="134" s="1"/>
  <c r="P30" i="133"/>
  <c r="K30" i="133" s="1"/>
  <c r="I30" i="133"/>
  <c r="H32" i="134" s="1"/>
  <c r="H30" i="133"/>
  <c r="G32" i="134" s="1"/>
  <c r="G30" i="133"/>
  <c r="P29" i="133"/>
  <c r="K29" i="133" s="1"/>
  <c r="I29" i="133"/>
  <c r="H31" i="134" s="1"/>
  <c r="G29" i="133"/>
  <c r="P28" i="133"/>
  <c r="K28" i="133" s="1"/>
  <c r="I28" i="133"/>
  <c r="H30" i="134" s="1"/>
  <c r="G28" i="133"/>
  <c r="L27" i="133"/>
  <c r="I27" i="133"/>
  <c r="H29" i="134" s="1"/>
  <c r="G27" i="133"/>
  <c r="P26" i="133"/>
  <c r="K26" i="133" s="1"/>
  <c r="I26" i="133"/>
  <c r="H28" i="134" s="1"/>
  <c r="G26" i="133"/>
  <c r="L25" i="133"/>
  <c r="I25" i="133"/>
  <c r="H27" i="134" s="1"/>
  <c r="H25" i="133"/>
  <c r="G25" i="133"/>
  <c r="L24" i="133"/>
  <c r="K26" i="134" s="1"/>
  <c r="I24" i="133"/>
  <c r="H26" i="134" s="1"/>
  <c r="G24" i="133"/>
  <c r="A23" i="133"/>
  <c r="A22" i="133" s="1"/>
  <c r="O23" i="133"/>
  <c r="O22" i="133" s="1"/>
  <c r="N23" i="133"/>
  <c r="N22" i="133" s="1"/>
  <c r="M23" i="133"/>
  <c r="M22" i="133" s="1"/>
  <c r="J23" i="133"/>
  <c r="J22" i="133" s="1"/>
  <c r="P21" i="133"/>
  <c r="F21" i="133"/>
  <c r="P20" i="133"/>
  <c r="F20" i="133"/>
  <c r="P18" i="133"/>
  <c r="F18" i="133"/>
  <c r="P17" i="133"/>
  <c r="F17" i="133"/>
  <c r="P16" i="133"/>
  <c r="K16" i="133" s="1"/>
  <c r="H16" i="133"/>
  <c r="H13" i="133" s="1"/>
  <c r="H12" i="133" s="1"/>
  <c r="F16" i="133"/>
  <c r="P15" i="133"/>
  <c r="F15" i="133"/>
  <c r="P14" i="133"/>
  <c r="F14" i="133"/>
  <c r="A13" i="133"/>
  <c r="O13" i="133"/>
  <c r="N13" i="133"/>
  <c r="N12" i="133" s="1"/>
  <c r="M13" i="133"/>
  <c r="L13" i="133"/>
  <c r="L12" i="133" s="1"/>
  <c r="J13" i="133"/>
  <c r="J12" i="133" s="1"/>
  <c r="I13" i="133"/>
  <c r="G13" i="133"/>
  <c r="Q73" i="133" l="1"/>
  <c r="O14" i="134"/>
  <c r="O65" i="134"/>
  <c r="O69" i="134"/>
  <c r="O74" i="134"/>
  <c r="O95" i="134"/>
  <c r="O166" i="134"/>
  <c r="O177" i="134"/>
  <c r="Q83" i="133"/>
  <c r="Q85" i="133"/>
  <c r="R85" i="133" s="1"/>
  <c r="O18" i="134"/>
  <c r="O110" i="134"/>
  <c r="O15" i="134"/>
  <c r="O20" i="134"/>
  <c r="O127" i="134"/>
  <c r="O16" i="134"/>
  <c r="O21" i="134"/>
  <c r="O114" i="134"/>
  <c r="O131" i="134"/>
  <c r="O17" i="134"/>
  <c r="Q90" i="133"/>
  <c r="O48" i="134"/>
  <c r="O80" i="134"/>
  <c r="O150" i="134"/>
  <c r="L96" i="133"/>
  <c r="P96" i="133" s="1"/>
  <c r="O44" i="134"/>
  <c r="O159" i="134"/>
  <c r="O57" i="134"/>
  <c r="O88" i="134"/>
  <c r="O137" i="134"/>
  <c r="F26" i="133"/>
  <c r="F28" i="134"/>
  <c r="F30" i="133"/>
  <c r="Q30" i="133" s="1"/>
  <c r="F32" i="134"/>
  <c r="O119" i="134"/>
  <c r="F24" i="133"/>
  <c r="F26" i="134"/>
  <c r="H23" i="133"/>
  <c r="H22" i="133" s="1"/>
  <c r="G27" i="134"/>
  <c r="G25" i="134" s="1"/>
  <c r="G24" i="134" s="1"/>
  <c r="P27" i="133"/>
  <c r="K27" i="133" s="1"/>
  <c r="K29" i="134"/>
  <c r="F29" i="133"/>
  <c r="F31" i="134"/>
  <c r="K31" i="133"/>
  <c r="Q31" i="133" s="1"/>
  <c r="O33" i="134"/>
  <c r="L34" i="133"/>
  <c r="P34" i="133" s="1"/>
  <c r="K34" i="133" s="1"/>
  <c r="K33" i="133" s="1"/>
  <c r="K42" i="134"/>
  <c r="K38" i="134" s="1"/>
  <c r="K37" i="134" s="1"/>
  <c r="K121" i="133"/>
  <c r="J134" i="134" s="1"/>
  <c r="O134" i="134"/>
  <c r="K127" i="133"/>
  <c r="Q127" i="133" s="1"/>
  <c r="R127" i="133" s="1"/>
  <c r="O141" i="134"/>
  <c r="K149" i="133"/>
  <c r="Q149" i="133" s="1"/>
  <c r="O167" i="134"/>
  <c r="O31" i="134"/>
  <c r="O40" i="134"/>
  <c r="O45" i="134"/>
  <c r="O54" i="134"/>
  <c r="O58" i="134"/>
  <c r="O62" i="134"/>
  <c r="O66" i="134"/>
  <c r="O71" i="134"/>
  <c r="O75" i="134"/>
  <c r="O81" i="134"/>
  <c r="O85" i="134"/>
  <c r="O92" i="134"/>
  <c r="O99" i="97"/>
  <c r="O99" i="134"/>
  <c r="O103" i="134"/>
  <c r="O111" i="134"/>
  <c r="O115" i="134"/>
  <c r="O120" i="134"/>
  <c r="O128" i="134"/>
  <c r="O132" i="134"/>
  <c r="O143" i="134"/>
  <c r="O151" i="134"/>
  <c r="O160" i="134"/>
  <c r="O172" i="134"/>
  <c r="O178" i="134"/>
  <c r="O39" i="134"/>
  <c r="H25" i="134"/>
  <c r="F28" i="133"/>
  <c r="Q28" i="133" s="1"/>
  <c r="F30" i="134"/>
  <c r="K32" i="133"/>
  <c r="O36" i="134"/>
  <c r="F101" i="133"/>
  <c r="F97" i="133" s="1"/>
  <c r="F112" i="134"/>
  <c r="K137" i="133"/>
  <c r="K136" i="133" s="1"/>
  <c r="K150" i="133"/>
  <c r="Q150" i="133" s="1"/>
  <c r="O169" i="134"/>
  <c r="Q158" i="133"/>
  <c r="F160" i="133"/>
  <c r="F179" i="134"/>
  <c r="F176" i="134" s="1"/>
  <c r="F175" i="134" s="1"/>
  <c r="O32" i="134"/>
  <c r="O41" i="134"/>
  <c r="O46" i="134"/>
  <c r="O55" i="134"/>
  <c r="O59" i="134"/>
  <c r="O63" i="134"/>
  <c r="O67" i="134"/>
  <c r="O72" i="134"/>
  <c r="O76" i="134"/>
  <c r="O82" i="134"/>
  <c r="O86" i="134"/>
  <c r="O93" i="134"/>
  <c r="O100" i="134"/>
  <c r="O105" i="134"/>
  <c r="O112" i="134"/>
  <c r="O116" i="134"/>
  <c r="O121" i="134"/>
  <c r="O129" i="134"/>
  <c r="O133" i="134"/>
  <c r="O146" i="134"/>
  <c r="O155" i="134"/>
  <c r="O161" i="134"/>
  <c r="O173" i="134"/>
  <c r="O179" i="134"/>
  <c r="F25" i="133"/>
  <c r="F27" i="134"/>
  <c r="F36" i="133"/>
  <c r="F40" i="134"/>
  <c r="F38" i="134" s="1"/>
  <c r="F37" i="134" s="1"/>
  <c r="K94" i="133"/>
  <c r="Q94" i="133" s="1"/>
  <c r="O104" i="134"/>
  <c r="O14" i="97"/>
  <c r="J31" i="97"/>
  <c r="J30" i="134" s="1"/>
  <c r="O30" i="134"/>
  <c r="O61" i="134"/>
  <c r="O84" i="134"/>
  <c r="O102" i="134"/>
  <c r="P25" i="133"/>
  <c r="K27" i="134"/>
  <c r="F27" i="133"/>
  <c r="F29" i="134"/>
  <c r="K47" i="133"/>
  <c r="Q47" i="133" s="1"/>
  <c r="O53" i="134"/>
  <c r="L46" i="133"/>
  <c r="L45" i="133" s="1"/>
  <c r="P45" i="133" s="1"/>
  <c r="K91" i="134"/>
  <c r="P126" i="133"/>
  <c r="K126" i="133" s="1"/>
  <c r="Q126" i="133" s="1"/>
  <c r="K140" i="134"/>
  <c r="G125" i="97"/>
  <c r="G143" i="134"/>
  <c r="G124" i="134" s="1"/>
  <c r="G123" i="134" s="1"/>
  <c r="O28" i="134"/>
  <c r="O43" i="134"/>
  <c r="O47" i="134"/>
  <c r="O56" i="134"/>
  <c r="O60" i="134"/>
  <c r="O64" i="134"/>
  <c r="O68" i="134"/>
  <c r="O73" i="134"/>
  <c r="O79" i="134"/>
  <c r="O83" i="134"/>
  <c r="O87" i="134"/>
  <c r="O94" i="134"/>
  <c r="O101" i="134"/>
  <c r="O109" i="134"/>
  <c r="O109" i="97"/>
  <c r="O113" i="134"/>
  <c r="O117" i="134"/>
  <c r="O125" i="134"/>
  <c r="O130" i="134"/>
  <c r="O136" i="134"/>
  <c r="O149" i="134"/>
  <c r="O156" i="134"/>
  <c r="O162" i="134"/>
  <c r="O174" i="134"/>
  <c r="O180" i="134"/>
  <c r="Q154" i="133"/>
  <c r="G34" i="133"/>
  <c r="G33" i="133" s="1"/>
  <c r="Q138" i="133"/>
  <c r="F131" i="133"/>
  <c r="F130" i="133" s="1"/>
  <c r="F137" i="133"/>
  <c r="F136" i="133" s="1"/>
  <c r="Q74" i="133"/>
  <c r="K17" i="133"/>
  <c r="Q56" i="133"/>
  <c r="Q39" i="133"/>
  <c r="Q41" i="133"/>
  <c r="Q43" i="133"/>
  <c r="Q52" i="133"/>
  <c r="Q55" i="133"/>
  <c r="Q68" i="133"/>
  <c r="Q71" i="133"/>
  <c r="Q95" i="133"/>
  <c r="Q110" i="133"/>
  <c r="K20" i="133"/>
  <c r="Q59" i="133"/>
  <c r="Q72" i="133"/>
  <c r="K21" i="133"/>
  <c r="Q64" i="133"/>
  <c r="Q67" i="133"/>
  <c r="Q103" i="133"/>
  <c r="K14" i="133"/>
  <c r="K15" i="133"/>
  <c r="K18" i="133"/>
  <c r="Q51" i="133"/>
  <c r="Q60" i="133"/>
  <c r="Q63" i="133"/>
  <c r="Q76" i="133"/>
  <c r="Q79" i="133"/>
  <c r="O146" i="97"/>
  <c r="O145" i="97" s="1"/>
  <c r="A162" i="133"/>
  <c r="Q37" i="133"/>
  <c r="P38" i="133"/>
  <c r="K38" i="133" s="1"/>
  <c r="Q38" i="133" s="1"/>
  <c r="Q114" i="133"/>
  <c r="Q118" i="133"/>
  <c r="Q122" i="133"/>
  <c r="Q132" i="133"/>
  <c r="Q143" i="133"/>
  <c r="Q48" i="133"/>
  <c r="Q54" i="133"/>
  <c r="Q58" i="133"/>
  <c r="Q62" i="133"/>
  <c r="Q66" i="133"/>
  <c r="Q70" i="133"/>
  <c r="Q75" i="133"/>
  <c r="Q78" i="133"/>
  <c r="L87" i="133"/>
  <c r="P87" i="133" s="1"/>
  <c r="Q89" i="133"/>
  <c r="Q91" i="133"/>
  <c r="Q93" i="133"/>
  <c r="Q99" i="133"/>
  <c r="Q129" i="133"/>
  <c r="L130" i="133"/>
  <c r="P130" i="133" s="1"/>
  <c r="K131" i="133"/>
  <c r="K130" i="133" s="1"/>
  <c r="K141" i="133"/>
  <c r="K140" i="133" s="1"/>
  <c r="F141" i="133"/>
  <c r="F140" i="133" s="1"/>
  <c r="K147" i="133"/>
  <c r="S147" i="133" s="1"/>
  <c r="F147" i="133"/>
  <c r="F146" i="133" s="1"/>
  <c r="Q116" i="133"/>
  <c r="Q120" i="133"/>
  <c r="Q134" i="133"/>
  <c r="Q145" i="133"/>
  <c r="F152" i="133"/>
  <c r="F151" i="133" s="1"/>
  <c r="Q17" i="133"/>
  <c r="Q53" i="133"/>
  <c r="Q57" i="133"/>
  <c r="Q61" i="133"/>
  <c r="Q65" i="133"/>
  <c r="Q69" i="133"/>
  <c r="Q77" i="133"/>
  <c r="G97" i="133"/>
  <c r="G96" i="133" s="1"/>
  <c r="Q108" i="133"/>
  <c r="L146" i="133"/>
  <c r="P146" i="133" s="1"/>
  <c r="Q155" i="133"/>
  <c r="Q160" i="133"/>
  <c r="A12" i="133"/>
  <c r="P12" i="133" s="1"/>
  <c r="F13" i="133"/>
  <c r="F12" i="133" s="1"/>
  <c r="Q16" i="133"/>
  <c r="Q40" i="133"/>
  <c r="Q42" i="133"/>
  <c r="Q44" i="133"/>
  <c r="Q82" i="133"/>
  <c r="K88" i="133"/>
  <c r="K87" i="133" s="1"/>
  <c r="Q92" i="133"/>
  <c r="Q105" i="133"/>
  <c r="Q106" i="133"/>
  <c r="Q133" i="133"/>
  <c r="Q135" i="133"/>
  <c r="L140" i="133"/>
  <c r="P140" i="133" s="1"/>
  <c r="Q142" i="133"/>
  <c r="Q144" i="133"/>
  <c r="M146" i="133"/>
  <c r="Q153" i="133"/>
  <c r="F157" i="133"/>
  <c r="Q159" i="133"/>
  <c r="P13" i="133"/>
  <c r="K13" i="133" s="1"/>
  <c r="K12" i="133" s="1"/>
  <c r="G23" i="133"/>
  <c r="G22" i="133" s="1"/>
  <c r="I23" i="133"/>
  <c r="I22" i="133" s="1"/>
  <c r="Q36" i="133"/>
  <c r="P81" i="133"/>
  <c r="K81" i="133" s="1"/>
  <c r="Q81" i="133" s="1"/>
  <c r="Q98" i="133"/>
  <c r="Q100" i="133"/>
  <c r="Q107" i="133"/>
  <c r="Q113" i="133"/>
  <c r="Q115" i="133"/>
  <c r="Q117" i="133"/>
  <c r="Q119" i="133"/>
  <c r="Q123" i="133"/>
  <c r="Q139" i="133"/>
  <c r="Q148" i="133"/>
  <c r="G157" i="133"/>
  <c r="G156" i="133" s="1"/>
  <c r="Q26" i="133"/>
  <c r="Q49" i="133"/>
  <c r="K97" i="133"/>
  <c r="K96" i="133" s="1"/>
  <c r="Q109" i="133"/>
  <c r="F112" i="133"/>
  <c r="F111" i="133" s="1"/>
  <c r="L136" i="133"/>
  <c r="P136" i="133" s="1"/>
  <c r="M140" i="133"/>
  <c r="Q161" i="133"/>
  <c r="O177" i="97"/>
  <c r="O176" i="97" s="1"/>
  <c r="O172" i="97"/>
  <c r="O171" i="97" s="1"/>
  <c r="O166" i="97"/>
  <c r="O158" i="97"/>
  <c r="O155" i="97"/>
  <c r="O154" i="97" s="1"/>
  <c r="O108" i="97"/>
  <c r="O98" i="97"/>
  <c r="G12" i="133"/>
  <c r="O162" i="133"/>
  <c r="O171" i="133" s="1"/>
  <c r="O12" i="133"/>
  <c r="H162" i="133"/>
  <c r="H171" i="133" s="1"/>
  <c r="Q35" i="133"/>
  <c r="F34" i="133"/>
  <c r="Q84" i="133"/>
  <c r="P24" i="133"/>
  <c r="K24" i="133" s="1"/>
  <c r="L23" i="133"/>
  <c r="F87" i="133"/>
  <c r="I12" i="133"/>
  <c r="M162" i="133"/>
  <c r="M171" i="133" s="1"/>
  <c r="M12" i="133"/>
  <c r="Q29" i="133"/>
  <c r="F46" i="133"/>
  <c r="Q21" i="133"/>
  <c r="G46" i="133"/>
  <c r="G45" i="133" s="1"/>
  <c r="Q50" i="133"/>
  <c r="G87" i="133"/>
  <c r="P124" i="133"/>
  <c r="L112" i="133"/>
  <c r="L156" i="133"/>
  <c r="P156" i="133" s="1"/>
  <c r="P157" i="133"/>
  <c r="K157" i="133" s="1"/>
  <c r="J162" i="133"/>
  <c r="J171" i="133" s="1"/>
  <c r="N162" i="133"/>
  <c r="N171" i="133" s="1"/>
  <c r="Q104" i="133"/>
  <c r="Q125" i="133"/>
  <c r="F156" i="133"/>
  <c r="Q102" i="133"/>
  <c r="L151" i="133"/>
  <c r="P151" i="133" s="1"/>
  <c r="P152" i="133"/>
  <c r="K152" i="133" s="1"/>
  <c r="O158" i="134" l="1"/>
  <c r="K52" i="134"/>
  <c r="K51" i="134" s="1"/>
  <c r="Q27" i="133"/>
  <c r="O165" i="134"/>
  <c r="O164" i="134" s="1"/>
  <c r="L33" i="133"/>
  <c r="P33" i="133" s="1"/>
  <c r="Q88" i="133"/>
  <c r="R88" i="133" s="1"/>
  <c r="P46" i="133"/>
  <c r="K46" i="133" s="1"/>
  <c r="K45" i="133" s="1"/>
  <c r="Q24" i="133"/>
  <c r="Q137" i="133"/>
  <c r="Q121" i="133"/>
  <c r="Q101" i="133"/>
  <c r="K25" i="134"/>
  <c r="K24" i="134" s="1"/>
  <c r="J158" i="134"/>
  <c r="J157" i="134" s="1"/>
  <c r="O176" i="134"/>
  <c r="O175" i="134" s="1"/>
  <c r="Q147" i="133"/>
  <c r="R147" i="133" s="1"/>
  <c r="F23" i="133"/>
  <c r="F162" i="133" s="1"/>
  <c r="Q32" i="133"/>
  <c r="P36" i="134" s="1"/>
  <c r="J36" i="134"/>
  <c r="O98" i="134"/>
  <c r="Q20" i="133"/>
  <c r="K25" i="133"/>
  <c r="O27" i="134"/>
  <c r="O154" i="134"/>
  <c r="K146" i="133"/>
  <c r="Q25" i="133"/>
  <c r="O145" i="134"/>
  <c r="O171" i="134"/>
  <c r="F25" i="134"/>
  <c r="K124" i="133"/>
  <c r="Q124" i="133" s="1"/>
  <c r="O138" i="134"/>
  <c r="I162" i="133"/>
  <c r="I171" i="133" s="1"/>
  <c r="O108" i="134"/>
  <c r="H24" i="134"/>
  <c r="H181" i="134"/>
  <c r="Q14" i="133"/>
  <c r="Q18" i="133"/>
  <c r="R18" i="133" s="1"/>
  <c r="O13" i="134"/>
  <c r="Q15" i="133"/>
  <c r="O165" i="97"/>
  <c r="Q141" i="133"/>
  <c r="Q140" i="133" s="1"/>
  <c r="Q131" i="133"/>
  <c r="Q130" i="133" s="1"/>
  <c r="K156" i="133"/>
  <c r="Q157" i="133"/>
  <c r="Q156" i="133" s="1"/>
  <c r="Q13" i="133"/>
  <c r="Q12" i="133" s="1"/>
  <c r="G162" i="133"/>
  <c r="L162" i="133"/>
  <c r="L171" i="133" s="1"/>
  <c r="O13" i="97"/>
  <c r="K151" i="133"/>
  <c r="Q152" i="133"/>
  <c r="P112" i="133"/>
  <c r="K112" i="133" s="1"/>
  <c r="L111" i="133"/>
  <c r="P111" i="133" s="1"/>
  <c r="Q146" i="133"/>
  <c r="Q136" i="133"/>
  <c r="R137" i="133"/>
  <c r="Q46" i="133"/>
  <c r="F45" i="133"/>
  <c r="Q34" i="133"/>
  <c r="F33" i="133"/>
  <c r="Q87" i="133"/>
  <c r="P23" i="133"/>
  <c r="K23" i="133" s="1"/>
  <c r="L22" i="133"/>
  <c r="P22" i="133" s="1"/>
  <c r="Q97" i="133"/>
  <c r="F96" i="133"/>
  <c r="D101" i="126"/>
  <c r="C106" i="126"/>
  <c r="O157" i="134" l="1"/>
  <c r="R131" i="133"/>
  <c r="J165" i="134"/>
  <c r="J164" i="134" s="1"/>
  <c r="F22" i="133"/>
  <c r="J176" i="134"/>
  <c r="J175" i="134" s="1"/>
  <c r="O153" i="134"/>
  <c r="J154" i="134"/>
  <c r="J153" i="134" s="1"/>
  <c r="J145" i="134"/>
  <c r="J144" i="134" s="1"/>
  <c r="O144" i="134"/>
  <c r="J98" i="134"/>
  <c r="O97" i="134"/>
  <c r="R157" i="133"/>
  <c r="F24" i="134"/>
  <c r="O107" i="134"/>
  <c r="J108" i="134"/>
  <c r="J107" i="134" s="1"/>
  <c r="J171" i="134"/>
  <c r="J170" i="134" s="1"/>
  <c r="O170" i="134"/>
  <c r="R13" i="133"/>
  <c r="P162" i="133"/>
  <c r="O12" i="134"/>
  <c r="J13" i="134"/>
  <c r="R141" i="133"/>
  <c r="K111" i="133"/>
  <c r="Q112" i="133"/>
  <c r="S112" i="133" s="1"/>
  <c r="Q33" i="133"/>
  <c r="R34" i="133"/>
  <c r="Q45" i="133"/>
  <c r="R46" i="133"/>
  <c r="K22" i="133"/>
  <c r="K162" i="133"/>
  <c r="K171" i="133" s="1"/>
  <c r="R152" i="133"/>
  <c r="Q151" i="133"/>
  <c r="Q96" i="133"/>
  <c r="R97" i="133"/>
  <c r="F174" i="133"/>
  <c r="Q23" i="133"/>
  <c r="R28" i="97"/>
  <c r="J97" i="134" l="1"/>
  <c r="P98" i="134"/>
  <c r="P97" i="134" s="1"/>
  <c r="J12" i="134"/>
  <c r="Q22" i="133"/>
  <c r="R23" i="133"/>
  <c r="Q162" i="133"/>
  <c r="Q111" i="133"/>
  <c r="R112" i="133"/>
  <c r="S141" i="133"/>
  <c r="F55" i="134"/>
  <c r="F54" i="134"/>
  <c r="F58" i="97"/>
  <c r="F57" i="134" s="1"/>
  <c r="F52" i="134" l="1"/>
  <c r="F51" i="134" s="1"/>
  <c r="Q171" i="133"/>
  <c r="G174" i="133"/>
  <c r="Q172" i="133"/>
  <c r="C100" i="126"/>
  <c r="C98" i="126"/>
  <c r="G33" i="125" l="1"/>
  <c r="G30" i="125"/>
  <c r="I98" i="97" l="1"/>
  <c r="E173" i="97"/>
  <c r="E172" i="134" s="1"/>
  <c r="G26" i="97"/>
  <c r="G25" i="97" s="1"/>
  <c r="F13" i="97"/>
  <c r="H13" i="97"/>
  <c r="J203" i="125" l="1"/>
  <c r="J202" i="125"/>
  <c r="J200" i="125" l="1"/>
  <c r="K177" i="97"/>
  <c r="K176" i="97" s="1"/>
  <c r="G131" i="107" l="1"/>
  <c r="G131" i="108"/>
  <c r="G130" i="107"/>
  <c r="G130" i="108"/>
  <c r="G128" i="107"/>
  <c r="G128" i="108"/>
  <c r="G166" i="125"/>
  <c r="G129" i="108"/>
  <c r="G129" i="107"/>
  <c r="G126" i="107"/>
  <c r="G126" i="108"/>
  <c r="G163" i="125"/>
  <c r="G127" i="107"/>
  <c r="G127" i="108"/>
  <c r="G124" i="107"/>
  <c r="G124" i="108"/>
  <c r="G123" i="107"/>
  <c r="G123" i="108"/>
  <c r="G122" i="107"/>
  <c r="G122" i="108"/>
  <c r="G121" i="107"/>
  <c r="G121" i="108"/>
  <c r="G120" i="107"/>
  <c r="G120" i="108"/>
  <c r="G119" i="107"/>
  <c r="G119" i="108"/>
  <c r="G118" i="107"/>
  <c r="G118" i="108"/>
  <c r="G117" i="107"/>
  <c r="G117" i="108"/>
  <c r="G116" i="107"/>
  <c r="G116" i="108"/>
  <c r="G115" i="107"/>
  <c r="G115" i="108"/>
  <c r="G114" i="107"/>
  <c r="G114" i="108"/>
  <c r="G112" i="107"/>
  <c r="G112" i="108"/>
  <c r="G72" i="107"/>
  <c r="G72" i="108"/>
  <c r="G70" i="107"/>
  <c r="G70" i="108"/>
  <c r="G69" i="107"/>
  <c r="G69" i="108"/>
  <c r="G68" i="107"/>
  <c r="G68" i="108"/>
  <c r="G67" i="107"/>
  <c r="G67" i="108"/>
  <c r="G65" i="107"/>
  <c r="G65" i="108"/>
  <c r="G64" i="107"/>
  <c r="G64" i="108"/>
  <c r="G63" i="107"/>
  <c r="G63" i="108"/>
  <c r="G62" i="107"/>
  <c r="G62" i="108"/>
  <c r="G61" i="107"/>
  <c r="G61" i="108"/>
  <c r="G60" i="107"/>
  <c r="G60" i="108"/>
  <c r="G59" i="107"/>
  <c r="G59" i="108"/>
  <c r="G58" i="107"/>
  <c r="G58" i="108"/>
  <c r="G57" i="107"/>
  <c r="G57" i="108"/>
  <c r="G56" i="107"/>
  <c r="G56" i="108"/>
  <c r="G55" i="107"/>
  <c r="G55" i="108"/>
  <c r="G54" i="107"/>
  <c r="G54" i="108"/>
  <c r="G53" i="107"/>
  <c r="G53" i="108"/>
  <c r="G52" i="107"/>
  <c r="G52" i="108"/>
  <c r="G51" i="107"/>
  <c r="G51" i="108"/>
  <c r="G50" i="107"/>
  <c r="G50" i="108"/>
  <c r="G49" i="107"/>
  <c r="G49" i="108"/>
  <c r="G48" i="107"/>
  <c r="G48" i="108"/>
  <c r="G47" i="107"/>
  <c r="G47" i="108"/>
  <c r="G45" i="107"/>
  <c r="G45" i="108"/>
  <c r="G23" i="107"/>
  <c r="G23" i="108"/>
  <c r="G22" i="107"/>
  <c r="G22" i="108"/>
  <c r="G21" i="107"/>
  <c r="G21" i="108"/>
  <c r="G20" i="107"/>
  <c r="G20" i="108"/>
  <c r="G19" i="107"/>
  <c r="G19" i="108"/>
  <c r="G17" i="97"/>
  <c r="G16" i="134" s="1"/>
  <c r="G16" i="108"/>
  <c r="G14" i="108"/>
  <c r="G13" i="107"/>
  <c r="G13" i="108"/>
  <c r="G139" i="107"/>
  <c r="G139" i="108"/>
  <c r="K158" i="107"/>
  <c r="K213" i="98"/>
  <c r="K158" i="108"/>
  <c r="G14" i="97" l="1"/>
  <c r="G13" i="134"/>
  <c r="C34" i="127"/>
  <c r="C32" i="127"/>
  <c r="C31" i="127"/>
  <c r="C30" i="127"/>
  <c r="C15" i="127"/>
  <c r="C14" i="127"/>
  <c r="C13" i="127"/>
  <c r="F12" i="127"/>
  <c r="E12" i="127"/>
  <c r="D12" i="127"/>
  <c r="C105" i="126"/>
  <c r="C104" i="126"/>
  <c r="C103" i="126"/>
  <c r="C102" i="126"/>
  <c r="C101" i="126"/>
  <c r="C97" i="126"/>
  <c r="C96" i="126"/>
  <c r="C94" i="126"/>
  <c r="C88" i="126"/>
  <c r="C87" i="126"/>
  <c r="E86" i="126"/>
  <c r="C80" i="126"/>
  <c r="C79" i="126"/>
  <c r="F78" i="126"/>
  <c r="F77" i="126" s="1"/>
  <c r="E78" i="126"/>
  <c r="C78" i="126" s="1"/>
  <c r="C76" i="126"/>
  <c r="C75" i="126"/>
  <c r="F74" i="126"/>
  <c r="E74" i="126"/>
  <c r="C74" i="126" s="1"/>
  <c r="D73" i="126"/>
  <c r="C72" i="126"/>
  <c r="C71" i="126"/>
  <c r="C70" i="126"/>
  <c r="C69" i="126"/>
  <c r="C68" i="126"/>
  <c r="C67" i="126"/>
  <c r="E65" i="126"/>
  <c r="C65" i="126" s="1"/>
  <c r="D64" i="126"/>
  <c r="C63" i="126"/>
  <c r="C62" i="126"/>
  <c r="C61" i="126"/>
  <c r="E60" i="126"/>
  <c r="D60" i="126"/>
  <c r="C59" i="126"/>
  <c r="C58" i="126"/>
  <c r="C57" i="126"/>
  <c r="D56" i="126"/>
  <c r="C56" i="126" s="1"/>
  <c r="C55" i="126"/>
  <c r="C54" i="126"/>
  <c r="C50" i="126"/>
  <c r="C49" i="126"/>
  <c r="C48" i="126"/>
  <c r="D47" i="126"/>
  <c r="C47" i="126" s="1"/>
  <c r="C45" i="126"/>
  <c r="F44" i="126"/>
  <c r="C43" i="126"/>
  <c r="C42" i="126"/>
  <c r="C41" i="126"/>
  <c r="D40" i="126"/>
  <c r="C40" i="126" s="1"/>
  <c r="C39" i="126"/>
  <c r="C38" i="126"/>
  <c r="D37" i="126"/>
  <c r="C37" i="126" s="1"/>
  <c r="C36" i="126"/>
  <c r="C35" i="126"/>
  <c r="D34" i="126"/>
  <c r="C34" i="126" s="1"/>
  <c r="C33" i="126"/>
  <c r="C32" i="126"/>
  <c r="C31" i="126"/>
  <c r="C30" i="126"/>
  <c r="C29" i="126"/>
  <c r="C28" i="126"/>
  <c r="C27" i="126"/>
  <c r="C26" i="126"/>
  <c r="C25" i="126"/>
  <c r="C24" i="126"/>
  <c r="D23" i="126"/>
  <c r="C23" i="126" s="1"/>
  <c r="C19" i="126"/>
  <c r="C18" i="126"/>
  <c r="C17" i="126"/>
  <c r="C16" i="126"/>
  <c r="C15" i="126"/>
  <c r="C14" i="126"/>
  <c r="C13" i="126"/>
  <c r="D12" i="126"/>
  <c r="C12" i="126" s="1"/>
  <c r="G12" i="134" l="1"/>
  <c r="C60" i="126"/>
  <c r="D22" i="126"/>
  <c r="C22" i="126" s="1"/>
  <c r="E77" i="126"/>
  <c r="C77" i="126" s="1"/>
  <c r="D86" i="126"/>
  <c r="C86" i="126" s="1"/>
  <c r="F73" i="126"/>
  <c r="F82" i="126" s="1"/>
  <c r="F107" i="126" s="1"/>
  <c r="D51" i="126"/>
  <c r="C51" i="126" s="1"/>
  <c r="D11" i="126"/>
  <c r="C11" i="126" s="1"/>
  <c r="E64" i="126"/>
  <c r="E44" i="126" s="1"/>
  <c r="C12" i="127"/>
  <c r="D44" i="126"/>
  <c r="E73" i="126" l="1"/>
  <c r="C73" i="126" s="1"/>
  <c r="C44" i="126"/>
  <c r="D10" i="126"/>
  <c r="D82" i="126" s="1"/>
  <c r="D83" i="126"/>
  <c r="C64" i="126"/>
  <c r="E82" i="126"/>
  <c r="E107" i="126" s="1"/>
  <c r="C10" i="126" l="1"/>
  <c r="D107" i="126"/>
  <c r="C107" i="126" s="1"/>
  <c r="C82" i="126"/>
  <c r="H205" i="125" l="1"/>
  <c r="H204" i="125" s="1"/>
  <c r="J199" i="125"/>
  <c r="J115" i="97"/>
  <c r="J114" i="134" s="1"/>
  <c r="J89" i="97"/>
  <c r="J88" i="134" s="1"/>
  <c r="J67" i="97"/>
  <c r="J66" i="134" s="1"/>
  <c r="J36" i="97"/>
  <c r="J102" i="97"/>
  <c r="J106" i="97"/>
  <c r="J105" i="134" s="1"/>
  <c r="J152" i="97"/>
  <c r="J151" i="134" s="1"/>
  <c r="J157" i="97"/>
  <c r="J57" i="97"/>
  <c r="J56" i="134" s="1"/>
  <c r="J46" i="97"/>
  <c r="J45" i="134" s="1"/>
  <c r="J181" i="97"/>
  <c r="J180" i="134" s="1"/>
  <c r="J180" i="97"/>
  <c r="J179" i="134" s="1"/>
  <c r="J175" i="97"/>
  <c r="J174" i="134" s="1"/>
  <c r="J174" i="97"/>
  <c r="J173" i="134" s="1"/>
  <c r="J170" i="97"/>
  <c r="J169" i="134" s="1"/>
  <c r="J168" i="97"/>
  <c r="J167" i="134" s="1"/>
  <c r="J161" i="97"/>
  <c r="J160" i="134" s="1"/>
  <c r="J160" i="97"/>
  <c r="J151" i="97"/>
  <c r="J150" i="134" s="1"/>
  <c r="J144" i="97"/>
  <c r="J113" i="97"/>
  <c r="J117" i="97"/>
  <c r="J116" i="134" s="1"/>
  <c r="J122" i="97"/>
  <c r="J121" i="134" s="1"/>
  <c r="J126" i="97"/>
  <c r="J125" i="134" s="1"/>
  <c r="J130" i="97"/>
  <c r="J129" i="134" s="1"/>
  <c r="J134" i="97"/>
  <c r="J133" i="134" s="1"/>
  <c r="J139" i="97"/>
  <c r="J138" i="134" s="1"/>
  <c r="J103" i="97"/>
  <c r="J102" i="134" s="1"/>
  <c r="J96" i="97"/>
  <c r="J95" i="134" s="1"/>
  <c r="J95" i="97"/>
  <c r="J94" i="134" s="1"/>
  <c r="J88" i="97"/>
  <c r="J84" i="97"/>
  <c r="J83" i="134" s="1"/>
  <c r="J66" i="97"/>
  <c r="J65" i="134" s="1"/>
  <c r="J54" i="97"/>
  <c r="J53" i="134" s="1"/>
  <c r="J19" i="97"/>
  <c r="J18" i="134" s="1"/>
  <c r="J18" i="97"/>
  <c r="J17" i="134" s="1"/>
  <c r="J159" i="134" l="1"/>
  <c r="L186" i="125"/>
  <c r="J112" i="134"/>
  <c r="I124" i="125"/>
  <c r="I170" i="125"/>
  <c r="J143" i="134"/>
  <c r="J156" i="134"/>
  <c r="I183" i="125"/>
  <c r="I41" i="125"/>
  <c r="J35" i="134"/>
  <c r="I108" i="125"/>
  <c r="J101" i="134"/>
  <c r="I95" i="125"/>
  <c r="J87" i="134"/>
  <c r="J56" i="97"/>
  <c r="J55" i="134" s="1"/>
  <c r="J77" i="97"/>
  <c r="J76" i="134" s="1"/>
  <c r="J60" i="97"/>
  <c r="J59" i="134" s="1"/>
  <c r="J83" i="97"/>
  <c r="J82" i="134" s="1"/>
  <c r="J112" i="97"/>
  <c r="J111" i="134" s="1"/>
  <c r="J101" i="97"/>
  <c r="J100" i="134" s="1"/>
  <c r="J133" i="97"/>
  <c r="J132" i="134" s="1"/>
  <c r="J179" i="97"/>
  <c r="J178" i="134" s="1"/>
  <c r="J173" i="97"/>
  <c r="J172" i="134" s="1"/>
  <c r="J142" i="97"/>
  <c r="J141" i="134" s="1"/>
  <c r="J40" i="97"/>
  <c r="J39" i="134" s="1"/>
  <c r="J32" i="97"/>
  <c r="J31" i="134" s="1"/>
  <c r="J21" i="97"/>
  <c r="J20" i="134" s="1"/>
  <c r="J16" i="97"/>
  <c r="J15" i="134" s="1"/>
  <c r="J55" i="97"/>
  <c r="J54" i="134" s="1"/>
  <c r="J47" i="97"/>
  <c r="J46" i="134" s="1"/>
  <c r="J42" i="97"/>
  <c r="J41" i="134" s="1"/>
  <c r="J76" i="97"/>
  <c r="J75" i="134" s="1"/>
  <c r="J72" i="97"/>
  <c r="J71" i="134" s="1"/>
  <c r="J63" i="97"/>
  <c r="J62" i="134" s="1"/>
  <c r="J59" i="97"/>
  <c r="J58" i="134" s="1"/>
  <c r="J93" i="97"/>
  <c r="J92" i="134" s="1"/>
  <c r="J86" i="97"/>
  <c r="J85" i="134" s="1"/>
  <c r="J82" i="97"/>
  <c r="J120" i="97"/>
  <c r="J119" i="134" s="1"/>
  <c r="J111" i="97"/>
  <c r="J110" i="134" s="1"/>
  <c r="J104" i="97"/>
  <c r="J100" i="97"/>
  <c r="J99" i="134" s="1"/>
  <c r="J147" i="97"/>
  <c r="J146" i="134" s="1"/>
  <c r="J137" i="97"/>
  <c r="J136" i="134" s="1"/>
  <c r="J132" i="97"/>
  <c r="J128" i="97"/>
  <c r="J127" i="134" s="1"/>
  <c r="J178" i="97"/>
  <c r="J177" i="134" s="1"/>
  <c r="J162" i="97"/>
  <c r="J161" i="134" s="1"/>
  <c r="J156" i="97"/>
  <c r="J155" i="134" s="1"/>
  <c r="J33" i="97"/>
  <c r="J32" i="134" s="1"/>
  <c r="J17" i="97"/>
  <c r="J16" i="134" s="1"/>
  <c r="J48" i="97"/>
  <c r="J47" i="134" s="1"/>
  <c r="J73" i="97"/>
  <c r="J72" i="134" s="1"/>
  <c r="J64" i="97"/>
  <c r="J63" i="134" s="1"/>
  <c r="J87" i="97"/>
  <c r="J86" i="134" s="1"/>
  <c r="J121" i="97"/>
  <c r="J105" i="97"/>
  <c r="J104" i="134" s="1"/>
  <c r="J138" i="97"/>
  <c r="J137" i="134" s="1"/>
  <c r="J129" i="97"/>
  <c r="J128" i="134" s="1"/>
  <c r="J163" i="97"/>
  <c r="L190" i="125" s="1"/>
  <c r="J15" i="97"/>
  <c r="J81" i="97"/>
  <c r="J80" i="134" s="1"/>
  <c r="J75" i="97"/>
  <c r="J74" i="134" s="1"/>
  <c r="J70" i="97"/>
  <c r="J69" i="134" s="1"/>
  <c r="J62" i="97"/>
  <c r="J61" i="134" s="1"/>
  <c r="J58" i="97"/>
  <c r="J57" i="134" s="1"/>
  <c r="J85" i="97"/>
  <c r="J84" i="134" s="1"/>
  <c r="J118" i="97"/>
  <c r="J117" i="134" s="1"/>
  <c r="J114" i="97"/>
  <c r="J113" i="134" s="1"/>
  <c r="J110" i="97"/>
  <c r="J109" i="134" s="1"/>
  <c r="J131" i="97"/>
  <c r="J130" i="134" s="1"/>
  <c r="J41" i="97"/>
  <c r="J40" i="134" s="1"/>
  <c r="J22" i="97"/>
  <c r="J21" i="134" s="1"/>
  <c r="J44" i="97"/>
  <c r="J43" i="134" s="1"/>
  <c r="J68" i="97"/>
  <c r="J67" i="134" s="1"/>
  <c r="J94" i="97"/>
  <c r="J93" i="134" s="1"/>
  <c r="J116" i="97"/>
  <c r="J115" i="134" s="1"/>
  <c r="J150" i="97"/>
  <c r="J149" i="134" s="1"/>
  <c r="I203" i="125"/>
  <c r="J34" i="97"/>
  <c r="J33" i="134" s="1"/>
  <c r="J29" i="97"/>
  <c r="J28" i="134" s="1"/>
  <c r="J49" i="97"/>
  <c r="J48" i="134" s="1"/>
  <c r="J45" i="97"/>
  <c r="J44" i="134" s="1"/>
  <c r="J80" i="97"/>
  <c r="J79" i="134" s="1"/>
  <c r="J74" i="97"/>
  <c r="J73" i="134" s="1"/>
  <c r="J69" i="97"/>
  <c r="J68" i="134" s="1"/>
  <c r="J65" i="97"/>
  <c r="J64" i="134" s="1"/>
  <c r="J61" i="97"/>
  <c r="J60" i="134" s="1"/>
  <c r="J167" i="97"/>
  <c r="J166" i="134" s="1"/>
  <c r="I202" i="125"/>
  <c r="J198" i="125"/>
  <c r="J196" i="125"/>
  <c r="H198" i="125"/>
  <c r="H180" i="125"/>
  <c r="H171" i="125"/>
  <c r="J14" i="134" l="1"/>
  <c r="I13" i="125"/>
  <c r="I200" i="125"/>
  <c r="I199" i="125" s="1"/>
  <c r="I111" i="125"/>
  <c r="J103" i="134"/>
  <c r="J162" i="134"/>
  <c r="J120" i="134"/>
  <c r="I133" i="125"/>
  <c r="I181" i="125"/>
  <c r="G183" i="125"/>
  <c r="G181" i="125" s="1"/>
  <c r="G180" i="125" s="1"/>
  <c r="I150" i="125"/>
  <c r="J131" i="134"/>
  <c r="I87" i="125"/>
  <c r="J81" i="134"/>
  <c r="J194" i="125"/>
  <c r="J193" i="125" s="1"/>
  <c r="I180" i="125" l="1"/>
  <c r="J181" i="125"/>
  <c r="O141" i="97"/>
  <c r="O140" i="134" s="1"/>
  <c r="F158" i="97"/>
  <c r="G158" i="97"/>
  <c r="H158" i="97"/>
  <c r="I158" i="97"/>
  <c r="K158" i="97"/>
  <c r="L158" i="97"/>
  <c r="M158" i="97"/>
  <c r="N158" i="97"/>
  <c r="H184" i="125"/>
  <c r="I184" i="125"/>
  <c r="J184" i="125"/>
  <c r="M189" i="125"/>
  <c r="M187" i="125"/>
  <c r="L187" i="125"/>
  <c r="G188" i="125"/>
  <c r="G189" i="125"/>
  <c r="G186" i="125"/>
  <c r="G185" i="125" s="1"/>
  <c r="L189" i="125"/>
  <c r="F124" i="97"/>
  <c r="H124" i="97"/>
  <c r="I124" i="97"/>
  <c r="L124" i="97"/>
  <c r="M124" i="97"/>
  <c r="N124" i="97"/>
  <c r="E142" i="97"/>
  <c r="E141" i="134" s="1"/>
  <c r="E96" i="97"/>
  <c r="E95" i="134" s="1"/>
  <c r="I17" i="125"/>
  <c r="J17" i="125"/>
  <c r="M17" i="125" s="1"/>
  <c r="G16" i="125"/>
  <c r="J15" i="125"/>
  <c r="M15" i="125" s="1"/>
  <c r="I167" i="98"/>
  <c r="J206" i="125"/>
  <c r="J205" i="125" s="1"/>
  <c r="J204" i="125" s="1"/>
  <c r="I13" i="97"/>
  <c r="K13" i="97"/>
  <c r="L13" i="97"/>
  <c r="M13" i="97"/>
  <c r="N13" i="97"/>
  <c r="I15" i="125"/>
  <c r="L15" i="125" s="1"/>
  <c r="E88" i="97"/>
  <c r="E167" i="97"/>
  <c r="E166" i="134" s="1"/>
  <c r="E126" i="97"/>
  <c r="E125" i="134" s="1"/>
  <c r="E178" i="97"/>
  <c r="E177" i="134" s="1"/>
  <c r="I206" i="125"/>
  <c r="E156" i="97"/>
  <c r="E155" i="134" s="1"/>
  <c r="J157" i="125"/>
  <c r="J158" i="125"/>
  <c r="J152" i="125"/>
  <c r="J153" i="125"/>
  <c r="J155" i="125"/>
  <c r="J148" i="125"/>
  <c r="J149" i="125"/>
  <c r="J147" i="125"/>
  <c r="J143" i="125"/>
  <c r="I169" i="125"/>
  <c r="G169" i="125" s="1"/>
  <c r="H95" i="125" l="1"/>
  <c r="G95" i="125" s="1"/>
  <c r="E87" i="134"/>
  <c r="G184" i="125"/>
  <c r="G13" i="125"/>
  <c r="I12" i="125"/>
  <c r="I11" i="125" s="1"/>
  <c r="J12" i="125"/>
  <c r="J11" i="125" s="1"/>
  <c r="J180" i="125"/>
  <c r="J159" i="97"/>
  <c r="J158" i="97" s="1"/>
  <c r="J14" i="97"/>
  <c r="J13" i="97" s="1"/>
  <c r="G206" i="125"/>
  <c r="G205" i="125" s="1"/>
  <c r="G204" i="125" s="1"/>
  <c r="I205" i="125"/>
  <c r="I204" i="125" s="1"/>
  <c r="I166" i="98"/>
  <c r="S157" i="133" s="1"/>
  <c r="M184" i="125"/>
  <c r="J168" i="125"/>
  <c r="P142" i="97"/>
  <c r="P141" i="134" s="1"/>
  <c r="P96" i="97"/>
  <c r="P95" i="134" s="1"/>
  <c r="L17" i="125"/>
  <c r="P178" i="97"/>
  <c r="P177" i="134" s="1"/>
  <c r="P88" i="97"/>
  <c r="P87" i="134" s="1"/>
  <c r="P167" i="97"/>
  <c r="P166" i="134" s="1"/>
  <c r="P126" i="97"/>
  <c r="P125" i="134" s="1"/>
  <c r="P156" i="97"/>
  <c r="P155" i="134" s="1"/>
  <c r="P173" i="97"/>
  <c r="P172" i="134" s="1"/>
  <c r="P147" i="97"/>
  <c r="P146" i="134" s="1"/>
  <c r="J141" i="97" l="1"/>
  <c r="J140" i="134" s="1"/>
  <c r="Q96" i="97"/>
  <c r="Q142" i="97"/>
  <c r="I158" i="125"/>
  <c r="E138" i="97"/>
  <c r="E137" i="134" s="1"/>
  <c r="H158" i="125" l="1"/>
  <c r="G158" i="125" s="1"/>
  <c r="J159" i="125"/>
  <c r="J140" i="125" s="1"/>
  <c r="P138" i="97"/>
  <c r="P137" i="134" s="1"/>
  <c r="O92" i="97"/>
  <c r="O91" i="134" s="1"/>
  <c r="I34" i="98"/>
  <c r="O43" i="97"/>
  <c r="O42" i="134" l="1"/>
  <c r="O38" i="134" s="1"/>
  <c r="O39" i="97"/>
  <c r="J39" i="97" s="1"/>
  <c r="R43" i="97"/>
  <c r="I29" i="98"/>
  <c r="J139" i="125"/>
  <c r="I42" i="98"/>
  <c r="S46" i="133" s="1"/>
  <c r="E40" i="97"/>
  <c r="E39" i="134" s="1"/>
  <c r="E54" i="97"/>
  <c r="E53" i="134" s="1"/>
  <c r="H101" i="125"/>
  <c r="J38" i="134" l="1"/>
  <c r="J37" i="134" s="1"/>
  <c r="O37" i="134"/>
  <c r="O38" i="97"/>
  <c r="J92" i="97"/>
  <c r="J91" i="134" s="1"/>
  <c r="J43" i="97"/>
  <c r="J42" i="134" s="1"/>
  <c r="P40" i="97"/>
  <c r="P39" i="134" s="1"/>
  <c r="P54" i="97"/>
  <c r="P53" i="134" s="1"/>
  <c r="E137" i="97"/>
  <c r="E136" i="134" s="1"/>
  <c r="I157" i="125"/>
  <c r="H157" i="125" l="1"/>
  <c r="G157" i="125" s="1"/>
  <c r="P137" i="97"/>
  <c r="P136" i="134" s="1"/>
  <c r="J48" i="125" l="1"/>
  <c r="G49" i="125"/>
  <c r="J96" i="125"/>
  <c r="I96" i="125"/>
  <c r="I90" i="125"/>
  <c r="J90" i="125"/>
  <c r="I91" i="125"/>
  <c r="J91" i="125"/>
  <c r="I85" i="125"/>
  <c r="J85" i="125"/>
  <c r="I81" i="125"/>
  <c r="J81" i="125"/>
  <c r="I82" i="125"/>
  <c r="J82" i="125"/>
  <c r="I80" i="125"/>
  <c r="J80" i="125"/>
  <c r="I77" i="125"/>
  <c r="J77" i="125"/>
  <c r="I78" i="125"/>
  <c r="J78" i="125"/>
  <c r="I79" i="125"/>
  <c r="J79" i="125"/>
  <c r="I70" i="125"/>
  <c r="J70" i="125"/>
  <c r="I71" i="125"/>
  <c r="J71" i="125"/>
  <c r="I72" i="125"/>
  <c r="J72" i="125"/>
  <c r="I73" i="125"/>
  <c r="J73" i="125"/>
  <c r="I74" i="125"/>
  <c r="J74" i="125"/>
  <c r="I75" i="125"/>
  <c r="J75" i="125"/>
  <c r="J69" i="125"/>
  <c r="I69" i="125"/>
  <c r="I61" i="125"/>
  <c r="J61" i="125"/>
  <c r="I62" i="125"/>
  <c r="J62" i="125"/>
  <c r="I63" i="125"/>
  <c r="J63" i="125"/>
  <c r="J60" i="125"/>
  <c r="E95" i="97"/>
  <c r="E94" i="134" s="1"/>
  <c r="J39" i="125"/>
  <c r="J38" i="125"/>
  <c r="J37" i="125"/>
  <c r="J36" i="125"/>
  <c r="J32" i="125"/>
  <c r="O30" i="97"/>
  <c r="O29" i="134" s="1"/>
  <c r="I26" i="97"/>
  <c r="I25" i="97" s="1"/>
  <c r="L25" i="97"/>
  <c r="M26" i="97"/>
  <c r="M25" i="97" s="1"/>
  <c r="N26" i="97"/>
  <c r="N25" i="97" s="1"/>
  <c r="G117" i="97"/>
  <c r="F145" i="97"/>
  <c r="G145" i="97"/>
  <c r="H145" i="97"/>
  <c r="I145" i="97"/>
  <c r="K145" i="97"/>
  <c r="L145" i="97"/>
  <c r="M145" i="97"/>
  <c r="N145" i="97"/>
  <c r="R30" i="97" l="1"/>
  <c r="I14" i="98"/>
  <c r="G116" i="134"/>
  <c r="G108" i="134" s="1"/>
  <c r="G109" i="97"/>
  <c r="O27" i="97"/>
  <c r="K26" i="97"/>
  <c r="G41" i="125"/>
  <c r="J28" i="125"/>
  <c r="J146" i="97"/>
  <c r="J145" i="97" s="1"/>
  <c r="S23" i="133"/>
  <c r="H26" i="97"/>
  <c r="H25" i="97" s="1"/>
  <c r="F26" i="97"/>
  <c r="F25" i="97" s="1"/>
  <c r="P36" i="97"/>
  <c r="P35" i="134" s="1"/>
  <c r="I32" i="125"/>
  <c r="I36" i="125"/>
  <c r="I37" i="125"/>
  <c r="I38" i="125"/>
  <c r="I39" i="125"/>
  <c r="J54" i="125"/>
  <c r="J53" i="125"/>
  <c r="J50" i="125"/>
  <c r="J47" i="125"/>
  <c r="J46" i="125"/>
  <c r="J45" i="125"/>
  <c r="J115" i="125"/>
  <c r="G116" i="125"/>
  <c r="J113" i="125"/>
  <c r="G114" i="125"/>
  <c r="K38" i="97"/>
  <c r="I45" i="125"/>
  <c r="F38" i="97"/>
  <c r="G38" i="97"/>
  <c r="H38" i="97"/>
  <c r="I38" i="97"/>
  <c r="L38" i="97"/>
  <c r="M38" i="97"/>
  <c r="N38" i="97"/>
  <c r="I28" i="98"/>
  <c r="S34" i="133" s="1"/>
  <c r="I46" i="125"/>
  <c r="I48" i="125"/>
  <c r="I50" i="125"/>
  <c r="I53" i="125"/>
  <c r="I54" i="125"/>
  <c r="O26" i="97" l="1"/>
  <c r="J26" i="97" s="1"/>
  <c r="J25" i="97" s="1"/>
  <c r="O26" i="134"/>
  <c r="O25" i="134" s="1"/>
  <c r="G107" i="134"/>
  <c r="G181" i="134"/>
  <c r="J44" i="125"/>
  <c r="J43" i="125" s="1"/>
  <c r="R26" i="97"/>
  <c r="J27" i="125"/>
  <c r="J26" i="125" s="1"/>
  <c r="J30" i="97"/>
  <c r="J27" i="97"/>
  <c r="J26" i="134" s="1"/>
  <c r="J28" i="97"/>
  <c r="K25" i="97"/>
  <c r="I47" i="125"/>
  <c r="F177" i="97"/>
  <c r="F176" i="97" s="1"/>
  <c r="G177" i="97"/>
  <c r="G176" i="97" s="1"/>
  <c r="H177" i="97"/>
  <c r="H176" i="97" s="1"/>
  <c r="I177" i="97"/>
  <c r="I176" i="97" s="1"/>
  <c r="L177" i="97"/>
  <c r="L176" i="97" s="1"/>
  <c r="M177" i="97"/>
  <c r="M176" i="97" s="1"/>
  <c r="N177" i="97"/>
  <c r="N176" i="97" s="1"/>
  <c r="O25" i="97" l="1"/>
  <c r="I29" i="125"/>
  <c r="J27" i="134"/>
  <c r="O24" i="134"/>
  <c r="J25" i="134"/>
  <c r="I34" i="125"/>
  <c r="J29" i="134"/>
  <c r="I44" i="125"/>
  <c r="I43" i="125" s="1"/>
  <c r="M26" i="125"/>
  <c r="J38" i="97"/>
  <c r="I28" i="125"/>
  <c r="J177" i="97"/>
  <c r="J176" i="97" s="1"/>
  <c r="R177" i="97"/>
  <c r="M43" i="125"/>
  <c r="J24" i="134" l="1"/>
  <c r="I27" i="125"/>
  <c r="I26" i="125" s="1"/>
  <c r="L26" i="125" s="1"/>
  <c r="F172" i="97"/>
  <c r="F171" i="97" s="1"/>
  <c r="G172" i="97"/>
  <c r="G171" i="97" s="1"/>
  <c r="H172" i="97"/>
  <c r="H171" i="97" s="1"/>
  <c r="I172" i="97"/>
  <c r="I171" i="97" s="1"/>
  <c r="K172" i="97"/>
  <c r="L172" i="97"/>
  <c r="L171" i="97" s="1"/>
  <c r="M172" i="97"/>
  <c r="M171" i="97" s="1"/>
  <c r="N172" i="97"/>
  <c r="N171" i="97" s="1"/>
  <c r="E175" i="97"/>
  <c r="E174" i="134" s="1"/>
  <c r="E174" i="97"/>
  <c r="E173" i="134" s="1"/>
  <c r="F166" i="97"/>
  <c r="F165" i="97" s="1"/>
  <c r="G166" i="97"/>
  <c r="G165" i="97" s="1"/>
  <c r="H166" i="97"/>
  <c r="H165" i="97" s="1"/>
  <c r="I166" i="97"/>
  <c r="I165" i="97" s="1"/>
  <c r="K166" i="97"/>
  <c r="L166" i="97"/>
  <c r="L165" i="97" s="1"/>
  <c r="M166" i="97"/>
  <c r="M165" i="97" s="1"/>
  <c r="N166" i="97"/>
  <c r="N165" i="97" s="1"/>
  <c r="I196" i="125"/>
  <c r="E168" i="97"/>
  <c r="E167" i="134" s="1"/>
  <c r="E165" i="134" s="1"/>
  <c r="F155" i="97"/>
  <c r="F154" i="97" s="1"/>
  <c r="G155" i="97"/>
  <c r="G154" i="97" s="1"/>
  <c r="H155" i="97"/>
  <c r="H154" i="97" s="1"/>
  <c r="I155" i="97"/>
  <c r="I154" i="97" s="1"/>
  <c r="K155" i="97"/>
  <c r="M181" i="125" s="1"/>
  <c r="L155" i="97"/>
  <c r="L154" i="97" s="1"/>
  <c r="M155" i="97"/>
  <c r="M154" i="97" s="1"/>
  <c r="N155" i="97"/>
  <c r="N154" i="97" s="1"/>
  <c r="E157" i="97"/>
  <c r="E156" i="134" s="1"/>
  <c r="E154" i="134" s="1"/>
  <c r="E164" i="134" l="1"/>
  <c r="P165" i="134"/>
  <c r="P164" i="134" s="1"/>
  <c r="P154" i="134"/>
  <c r="P153" i="134" s="1"/>
  <c r="E153" i="134"/>
  <c r="K165" i="97"/>
  <c r="M193" i="125"/>
  <c r="K171" i="97"/>
  <c r="M199" i="125"/>
  <c r="E171" i="134"/>
  <c r="K154" i="97"/>
  <c r="H202" i="125"/>
  <c r="H203" i="125"/>
  <c r="G203" i="125" s="1"/>
  <c r="E155" i="97"/>
  <c r="J166" i="97"/>
  <c r="J155" i="97"/>
  <c r="J172" i="97"/>
  <c r="P170" i="97"/>
  <c r="P169" i="134" s="1"/>
  <c r="I198" i="125"/>
  <c r="G198" i="125" s="1"/>
  <c r="E166" i="97"/>
  <c r="E165" i="97" s="1"/>
  <c r="H196" i="125"/>
  <c r="H194" i="125" s="1"/>
  <c r="E172" i="97"/>
  <c r="E171" i="97" s="1"/>
  <c r="P168" i="97"/>
  <c r="P167" i="134" s="1"/>
  <c r="P175" i="97"/>
  <c r="P174" i="134" s="1"/>
  <c r="P174" i="97"/>
  <c r="P173" i="134" s="1"/>
  <c r="P157" i="97"/>
  <c r="P156" i="134" s="1"/>
  <c r="J171" i="97" l="1"/>
  <c r="L199" i="125"/>
  <c r="J154" i="97"/>
  <c r="L181" i="125"/>
  <c r="E170" i="134"/>
  <c r="P171" i="134"/>
  <c r="P170" i="134" s="1"/>
  <c r="H200" i="125"/>
  <c r="H199" i="125" s="1"/>
  <c r="K199" i="125" s="1"/>
  <c r="I194" i="125"/>
  <c r="I193" i="125" s="1"/>
  <c r="L193" i="125" s="1"/>
  <c r="E154" i="97"/>
  <c r="K181" i="125"/>
  <c r="J165" i="97"/>
  <c r="G16" i="116" s="1"/>
  <c r="R166" i="97"/>
  <c r="G202" i="125"/>
  <c r="G200" i="125" s="1"/>
  <c r="H193" i="125"/>
  <c r="K193" i="125" s="1"/>
  <c r="G196" i="125"/>
  <c r="I87" i="98"/>
  <c r="I72" i="98" s="1"/>
  <c r="E133" i="97"/>
  <c r="E132" i="134" s="1"/>
  <c r="I152" i="125"/>
  <c r="I147" i="125"/>
  <c r="I148" i="125"/>
  <c r="I149" i="125"/>
  <c r="I153" i="125"/>
  <c r="I155" i="125"/>
  <c r="I159" i="125"/>
  <c r="I168" i="125"/>
  <c r="G124" i="97"/>
  <c r="E144" i="97"/>
  <c r="E141" i="97"/>
  <c r="E140" i="134" s="1"/>
  <c r="K140" i="97"/>
  <c r="K139" i="134" s="1"/>
  <c r="K124" i="134" s="1"/>
  <c r="E140" i="97"/>
  <c r="E139" i="134" s="1"/>
  <c r="E139" i="97"/>
  <c r="E138" i="134" s="1"/>
  <c r="E135" i="97"/>
  <c r="E134" i="134" s="1"/>
  <c r="E134" i="97"/>
  <c r="E133" i="134" s="1"/>
  <c r="E132" i="97"/>
  <c r="E131" i="97"/>
  <c r="E130" i="134" s="1"/>
  <c r="E130" i="97"/>
  <c r="E129" i="97"/>
  <c r="E128" i="134" s="1"/>
  <c r="E128" i="97"/>
  <c r="E127" i="134" s="1"/>
  <c r="E125" i="97" l="1"/>
  <c r="E129" i="134"/>
  <c r="H170" i="125"/>
  <c r="G170" i="125" s="1"/>
  <c r="E143" i="134"/>
  <c r="E124" i="134" s="1"/>
  <c r="H150" i="125"/>
  <c r="G150" i="125" s="1"/>
  <c r="E131" i="134"/>
  <c r="K123" i="134"/>
  <c r="K181" i="134"/>
  <c r="G194" i="125"/>
  <c r="G193" i="125" s="1"/>
  <c r="O140" i="97"/>
  <c r="K125" i="97"/>
  <c r="H147" i="125"/>
  <c r="G147" i="125" s="1"/>
  <c r="H153" i="125"/>
  <c r="G153" i="125" s="1"/>
  <c r="H160" i="125"/>
  <c r="G160" i="125" s="1"/>
  <c r="H148" i="125"/>
  <c r="G148" i="125" s="1"/>
  <c r="H155" i="125"/>
  <c r="G155" i="125" s="1"/>
  <c r="H168" i="125"/>
  <c r="G168" i="125" s="1"/>
  <c r="H152" i="125"/>
  <c r="G152" i="125" s="1"/>
  <c r="H149" i="125"/>
  <c r="G149" i="125" s="1"/>
  <c r="H159" i="125"/>
  <c r="G159" i="125" s="1"/>
  <c r="I143" i="125"/>
  <c r="I140" i="125" s="1"/>
  <c r="E124" i="97"/>
  <c r="H143" i="125"/>
  <c r="P141" i="97"/>
  <c r="P140" i="134" s="1"/>
  <c r="P130" i="97"/>
  <c r="P129" i="134" s="1"/>
  <c r="P129" i="97"/>
  <c r="P128" i="134" s="1"/>
  <c r="P134" i="97"/>
  <c r="P133" i="134" s="1"/>
  <c r="P144" i="97"/>
  <c r="P143" i="134" s="1"/>
  <c r="P133" i="97"/>
  <c r="P132" i="134" s="1"/>
  <c r="P139" i="97"/>
  <c r="P138" i="134" s="1"/>
  <c r="P131" i="97"/>
  <c r="P130" i="134" s="1"/>
  <c r="P135" i="97"/>
  <c r="P134" i="134" s="1"/>
  <c r="P128" i="97"/>
  <c r="P127" i="134" s="1"/>
  <c r="P132" i="97"/>
  <c r="P131" i="134" s="1"/>
  <c r="E123" i="134" l="1"/>
  <c r="O125" i="97"/>
  <c r="O124" i="97" s="1"/>
  <c r="O139" i="134"/>
  <c r="O124" i="134" s="1"/>
  <c r="H140" i="125"/>
  <c r="H139" i="125" s="1"/>
  <c r="K139" i="125" s="1"/>
  <c r="I139" i="125"/>
  <c r="M139" i="125"/>
  <c r="R125" i="97"/>
  <c r="J140" i="97"/>
  <c r="K124" i="97"/>
  <c r="G143" i="125"/>
  <c r="G140" i="125" s="1"/>
  <c r="J102" i="125"/>
  <c r="J137" i="125"/>
  <c r="I137" i="125"/>
  <c r="H137" i="125"/>
  <c r="J135" i="125"/>
  <c r="J132" i="125"/>
  <c r="J130" i="125"/>
  <c r="J129" i="125"/>
  <c r="J128" i="125"/>
  <c r="J127" i="125"/>
  <c r="J126" i="125"/>
  <c r="J123" i="125"/>
  <c r="J122" i="125"/>
  <c r="J121" i="125"/>
  <c r="S97" i="133"/>
  <c r="I122" i="125"/>
  <c r="I123" i="125"/>
  <c r="I126" i="125"/>
  <c r="I127" i="125"/>
  <c r="I128" i="125"/>
  <c r="I129" i="125"/>
  <c r="I130" i="125"/>
  <c r="I132" i="125"/>
  <c r="I135" i="125"/>
  <c r="I121" i="125"/>
  <c r="G108" i="97"/>
  <c r="H108" i="97"/>
  <c r="I108" i="97"/>
  <c r="K108" i="97"/>
  <c r="L108" i="97"/>
  <c r="M108" i="97"/>
  <c r="N108" i="97"/>
  <c r="J103" i="125"/>
  <c r="H103" i="125"/>
  <c r="J92" i="125"/>
  <c r="I92" i="125"/>
  <c r="G93" i="125"/>
  <c r="J89" i="125"/>
  <c r="I89" i="125"/>
  <c r="J64" i="125"/>
  <c r="J65" i="125"/>
  <c r="I65" i="125"/>
  <c r="J67" i="125"/>
  <c r="I67" i="125"/>
  <c r="J66" i="125"/>
  <c r="I66" i="125"/>
  <c r="J68" i="125"/>
  <c r="I68" i="125"/>
  <c r="I94" i="125"/>
  <c r="J94" i="125"/>
  <c r="J100" i="125"/>
  <c r="G101" i="125"/>
  <c r="J99" i="125"/>
  <c r="J86" i="125"/>
  <c r="I64" i="125"/>
  <c r="I102" i="125"/>
  <c r="I103" i="125"/>
  <c r="I86" i="125"/>
  <c r="I99" i="125"/>
  <c r="I60" i="125"/>
  <c r="K11" i="107"/>
  <c r="K10" i="107" s="1"/>
  <c r="L11" i="107"/>
  <c r="L10" i="107" s="1"/>
  <c r="J11" i="107"/>
  <c r="J10" i="107" s="1"/>
  <c r="G11" i="107"/>
  <c r="G10" i="107" s="1"/>
  <c r="H11" i="107"/>
  <c r="H10" i="107" s="1"/>
  <c r="F11" i="107"/>
  <c r="O13" i="107"/>
  <c r="O12" i="107"/>
  <c r="N12" i="107"/>
  <c r="M12" i="107"/>
  <c r="I12" i="107"/>
  <c r="I11" i="107" s="1"/>
  <c r="G117" i="125"/>
  <c r="J107" i="125"/>
  <c r="J110" i="125"/>
  <c r="J106" i="125"/>
  <c r="I115" i="125"/>
  <c r="K98" i="97"/>
  <c r="L98" i="97"/>
  <c r="M98" i="97"/>
  <c r="N98" i="97"/>
  <c r="S88" i="133"/>
  <c r="I107" i="125"/>
  <c r="I110" i="125"/>
  <c r="I113" i="125"/>
  <c r="I106" i="125"/>
  <c r="G98" i="97"/>
  <c r="H98" i="97"/>
  <c r="J125" i="97" l="1"/>
  <c r="J124" i="97" s="1"/>
  <c r="O123" i="134"/>
  <c r="J124" i="134"/>
  <c r="P140" i="97"/>
  <c r="P139" i="134" s="1"/>
  <c r="J139" i="134"/>
  <c r="I105" i="125"/>
  <c r="I104" i="125" s="1"/>
  <c r="J105" i="125"/>
  <c r="J104" i="125" s="1"/>
  <c r="M104" i="125" s="1"/>
  <c r="L139" i="125"/>
  <c r="G139" i="125"/>
  <c r="P125" i="97"/>
  <c r="E99" i="97"/>
  <c r="E98" i="97" s="1"/>
  <c r="F98" i="97"/>
  <c r="P11" i="107"/>
  <c r="P10" i="107" s="1"/>
  <c r="P14" i="107" s="1"/>
  <c r="J109" i="97"/>
  <c r="J108" i="97" s="1"/>
  <c r="J99" i="97"/>
  <c r="J98" i="97" s="1"/>
  <c r="O11" i="107"/>
  <c r="O10" i="107" s="1"/>
  <c r="O14" i="107" s="1"/>
  <c r="I10" i="107"/>
  <c r="Q12" i="107"/>
  <c r="I100" i="125"/>
  <c r="I120" i="125"/>
  <c r="I119" i="125" s="1"/>
  <c r="J120" i="125"/>
  <c r="J119" i="125" s="1"/>
  <c r="M119" i="125" s="1"/>
  <c r="P95" i="97"/>
  <c r="P94" i="134" s="1"/>
  <c r="G137" i="125"/>
  <c r="J59" i="125"/>
  <c r="J58" i="125" s="1"/>
  <c r="R109" i="97"/>
  <c r="G103" i="125"/>
  <c r="R99" i="97"/>
  <c r="I178" i="125"/>
  <c r="I177" i="125"/>
  <c r="I176" i="125"/>
  <c r="J123" i="134" l="1"/>
  <c r="P124" i="134"/>
  <c r="P123" i="134" s="1"/>
  <c r="Q125" i="97"/>
  <c r="I172" i="125"/>
  <c r="L172" i="125" s="1"/>
  <c r="S113" i="133"/>
  <c r="L119" i="125"/>
  <c r="P99" i="97"/>
  <c r="G176" i="125"/>
  <c r="J177" i="125"/>
  <c r="G177" i="125"/>
  <c r="J178" i="125"/>
  <c r="G178" i="125"/>
  <c r="L104" i="125"/>
  <c r="J176" i="125"/>
  <c r="I171" i="125" l="1"/>
  <c r="G172" i="125"/>
  <c r="G171" i="125" s="1"/>
  <c r="J172" i="125"/>
  <c r="M172" i="125" s="1"/>
  <c r="J171" i="125" l="1"/>
  <c r="H128" i="98" l="1"/>
  <c r="J128" i="98" s="1"/>
  <c r="H134" i="98" l="1"/>
  <c r="J134" i="98" s="1"/>
  <c r="H130" i="98"/>
  <c r="J130" i="98" s="1"/>
  <c r="H129" i="98"/>
  <c r="J129" i="98" s="1"/>
  <c r="I6" i="98"/>
  <c r="S13" i="133" s="1"/>
  <c r="I159" i="98"/>
  <c r="I158" i="98" s="1"/>
  <c r="S152" i="133" s="1"/>
  <c r="I150" i="98"/>
  <c r="I147" i="98"/>
  <c r="I122" i="98"/>
  <c r="S131" i="133" s="1"/>
  <c r="I62" i="98"/>
  <c r="I53" i="98"/>
  <c r="I13" i="98"/>
  <c r="R172" i="97" l="1"/>
  <c r="R146" i="97"/>
  <c r="R14" i="97"/>
  <c r="R39" i="97"/>
  <c r="I151" i="98"/>
  <c r="R159" i="97"/>
  <c r="I146" i="98"/>
  <c r="S137" i="133" s="1"/>
  <c r="I41" i="98"/>
  <c r="I71" i="98"/>
  <c r="I145" i="98" l="1"/>
  <c r="R155" i="97"/>
  <c r="I169" i="98"/>
  <c r="R162" i="133" l="1"/>
  <c r="J207" i="125"/>
  <c r="F123" i="97" l="1"/>
  <c r="F122" i="134" l="1"/>
  <c r="F108" i="134" s="1"/>
  <c r="F109" i="97"/>
  <c r="F108" i="97" s="1"/>
  <c r="E123" i="97"/>
  <c r="E122" i="134" l="1"/>
  <c r="H136" i="125"/>
  <c r="G136" i="125" s="1"/>
  <c r="F107" i="134"/>
  <c r="F181" i="134"/>
  <c r="P123" i="97"/>
  <c r="P122" i="134" s="1"/>
  <c r="E74" i="97" l="1"/>
  <c r="E73" i="134" s="1"/>
  <c r="E94" i="97"/>
  <c r="E93" i="134" s="1"/>
  <c r="H102" i="125" l="1"/>
  <c r="G102" i="125" s="1"/>
  <c r="H79" i="125"/>
  <c r="G79" i="125" s="1"/>
  <c r="P74" i="97"/>
  <c r="P73" i="134" s="1"/>
  <c r="P94" i="97" l="1"/>
  <c r="P93" i="134" s="1"/>
  <c r="E47" i="97" l="1"/>
  <c r="E46" i="134" s="1"/>
  <c r="E46" i="97"/>
  <c r="E45" i="134" s="1"/>
  <c r="H51" i="125" l="1"/>
  <c r="G51" i="125" s="1"/>
  <c r="H52" i="125"/>
  <c r="G52" i="125" s="1"/>
  <c r="E113" i="97"/>
  <c r="E112" i="134" l="1"/>
  <c r="H124" i="125"/>
  <c r="G124" i="125" s="1"/>
  <c r="P46" i="97"/>
  <c r="P45" i="134" s="1"/>
  <c r="P47" i="97"/>
  <c r="P46" i="134" s="1"/>
  <c r="P113" i="97"/>
  <c r="P112" i="134" s="1"/>
  <c r="E86" i="97" l="1"/>
  <c r="E85" i="134" s="1"/>
  <c r="H92" i="125" l="1"/>
  <c r="G92" i="125" s="1"/>
  <c r="E76" i="97"/>
  <c r="E75" i="134" s="1"/>
  <c r="E73" i="97"/>
  <c r="E72" i="134" s="1"/>
  <c r="E77" i="97"/>
  <c r="E76" i="134" s="1"/>
  <c r="H81" i="125" l="1"/>
  <c r="G81" i="125" s="1"/>
  <c r="H78" i="125"/>
  <c r="G78" i="125" s="1"/>
  <c r="H82" i="125"/>
  <c r="G82" i="125" s="1"/>
  <c r="E75" i="97"/>
  <c r="E74" i="134" s="1"/>
  <c r="P77" i="97"/>
  <c r="P76" i="134" s="1"/>
  <c r="P76" i="97"/>
  <c r="P75" i="134" s="1"/>
  <c r="H80" i="125" l="1"/>
  <c r="G80" i="125" s="1"/>
  <c r="P73" i="97"/>
  <c r="P72" i="134" s="1"/>
  <c r="P75" i="97"/>
  <c r="P74" i="134" s="1"/>
  <c r="E122" i="97" l="1"/>
  <c r="E121" i="134" s="1"/>
  <c r="H135" i="125" l="1"/>
  <c r="G135" i="125" s="1"/>
  <c r="P122" i="97"/>
  <c r="P121" i="134" s="1"/>
  <c r="E106" i="97" l="1"/>
  <c r="E105" i="134" s="1"/>
  <c r="E105" i="97"/>
  <c r="E104" i="134" s="1"/>
  <c r="E93" i="97"/>
  <c r="E92" i="134" s="1"/>
  <c r="E92" i="97"/>
  <c r="E91" i="134" s="1"/>
  <c r="E49" i="97"/>
  <c r="H54" i="125" s="1"/>
  <c r="E33" i="97"/>
  <c r="E32" i="134" s="1"/>
  <c r="G54" i="125" l="1"/>
  <c r="E48" i="134"/>
  <c r="H38" i="125"/>
  <c r="G38" i="125" s="1"/>
  <c r="H100" i="125"/>
  <c r="G100" i="125" s="1"/>
  <c r="H99" i="125"/>
  <c r="G99" i="125" s="1"/>
  <c r="H39" i="125"/>
  <c r="G39" i="125" s="1"/>
  <c r="H113" i="125"/>
  <c r="G113" i="125" s="1"/>
  <c r="H115" i="125"/>
  <c r="G115" i="125" s="1"/>
  <c r="E48" i="97"/>
  <c r="E47" i="134" s="1"/>
  <c r="P34" i="97"/>
  <c r="P33" i="134" s="1"/>
  <c r="H53" i="125" l="1"/>
  <c r="G53" i="125" s="1"/>
  <c r="P105" i="97"/>
  <c r="P104" i="134" s="1"/>
  <c r="P92" i="97"/>
  <c r="P91" i="134" s="1"/>
  <c r="P106" i="97"/>
  <c r="P105" i="134" s="1"/>
  <c r="P49" i="97"/>
  <c r="P48" i="134" s="1"/>
  <c r="P48" i="97"/>
  <c r="P47" i="134" s="1"/>
  <c r="P93" i="97"/>
  <c r="P92" i="134" s="1"/>
  <c r="P33" i="97"/>
  <c r="P32" i="134" s="1"/>
  <c r="E152" i="97" l="1"/>
  <c r="E151" i="134" s="1"/>
  <c r="E151" i="97"/>
  <c r="E150" i="134" s="1"/>
  <c r="E150" i="97"/>
  <c r="E146" i="97" l="1"/>
  <c r="K172" i="125" s="1"/>
  <c r="E149" i="134"/>
  <c r="E145" i="134" s="1"/>
  <c r="P151" i="97"/>
  <c r="P150" i="134" s="1"/>
  <c r="P152" i="97"/>
  <c r="P151" i="134" s="1"/>
  <c r="P150" i="97"/>
  <c r="P149" i="134" s="1"/>
  <c r="E18" i="97"/>
  <c r="E17" i="134" s="1"/>
  <c r="P146" i="97" l="1"/>
  <c r="E145" i="97"/>
  <c r="E144" i="134"/>
  <c r="P145" i="134"/>
  <c r="P144" i="134" s="1"/>
  <c r="Q146" i="97"/>
  <c r="P18" i="97"/>
  <c r="P17" i="134" s="1"/>
  <c r="E161" i="97" l="1"/>
  <c r="K187" i="125" s="1"/>
  <c r="E162" i="97"/>
  <c r="E161" i="134" s="1"/>
  <c r="E163" i="97"/>
  <c r="K190" i="125" s="1"/>
  <c r="E162" i="134" l="1"/>
  <c r="E160" i="134"/>
  <c r="K189" i="125"/>
  <c r="P163" i="97"/>
  <c r="P162" i="134" s="1"/>
  <c r="P162" i="97"/>
  <c r="P161" i="134" s="1"/>
  <c r="P161" i="97"/>
  <c r="P160" i="134" s="1"/>
  <c r="E19" i="97" l="1"/>
  <c r="E18" i="134" s="1"/>
  <c r="P19" i="97" l="1"/>
  <c r="P18" i="134" s="1"/>
  <c r="Q19" i="97" l="1"/>
  <c r="E45" i="97"/>
  <c r="E44" i="134" s="1"/>
  <c r="H50" i="125" l="1"/>
  <c r="G50" i="125" s="1"/>
  <c r="P45" i="97"/>
  <c r="P44" i="134" s="1"/>
  <c r="E179" i="97" l="1"/>
  <c r="E178" i="134" s="1"/>
  <c r="E111" i="97" l="1"/>
  <c r="E110" i="134" s="1"/>
  <c r="E89" i="97"/>
  <c r="E88" i="134" s="1"/>
  <c r="H96" i="125" l="1"/>
  <c r="G96" i="125" s="1"/>
  <c r="H122" i="125"/>
  <c r="G122" i="125" s="1"/>
  <c r="E160" i="97"/>
  <c r="E159" i="97" s="1"/>
  <c r="E159" i="134" l="1"/>
  <c r="K186" i="125"/>
  <c r="P160" i="97"/>
  <c r="P159" i="134" s="1"/>
  <c r="E158" i="134" l="1"/>
  <c r="E157" i="134" s="1"/>
  <c r="K184" i="125"/>
  <c r="E158" i="97"/>
  <c r="N13" i="107"/>
  <c r="P158" i="134" l="1"/>
  <c r="P157" i="134" s="1"/>
  <c r="E44" i="97"/>
  <c r="E43" i="134" s="1"/>
  <c r="H48" i="125" l="1"/>
  <c r="G48" i="125" s="1"/>
  <c r="N11" i="107"/>
  <c r="N10" i="107" s="1"/>
  <c r="N14" i="107" s="1"/>
  <c r="F10" i="107"/>
  <c r="F14" i="107" s="1"/>
  <c r="E103" i="97" l="1"/>
  <c r="E102" i="134" s="1"/>
  <c r="E29" i="108"/>
  <c r="E15" i="108"/>
  <c r="E17" i="108" s="1"/>
  <c r="L14" i="107"/>
  <c r="J14" i="107"/>
  <c r="H14" i="107"/>
  <c r="E16" i="97"/>
  <c r="E15" i="134" s="1"/>
  <c r="E15" i="97"/>
  <c r="E14" i="134" s="1"/>
  <c r="E27" i="97"/>
  <c r="E26" i="134" s="1"/>
  <c r="E32" i="97"/>
  <c r="E31" i="134" s="1"/>
  <c r="E29" i="97"/>
  <c r="E28" i="134" s="1"/>
  <c r="E30" i="97"/>
  <c r="E87" i="97"/>
  <c r="E86" i="134" s="1"/>
  <c r="E43" i="97"/>
  <c r="E42" i="134" s="1"/>
  <c r="E42" i="97"/>
  <c r="E41" i="134" s="1"/>
  <c r="E41" i="97"/>
  <c r="E40" i="134" s="1"/>
  <c r="E120" i="97"/>
  <c r="E119" i="134" s="1"/>
  <c r="E118" i="97"/>
  <c r="E117" i="134" s="1"/>
  <c r="E116" i="97"/>
  <c r="E115" i="134" s="1"/>
  <c r="E115" i="97"/>
  <c r="E114" i="134" s="1"/>
  <c r="E114" i="97"/>
  <c r="E113" i="134" s="1"/>
  <c r="E112" i="97"/>
  <c r="E111" i="134" s="1"/>
  <c r="E22" i="97"/>
  <c r="E21" i="134" s="1"/>
  <c r="E56" i="97"/>
  <c r="E55" i="134" s="1"/>
  <c r="E55" i="97"/>
  <c r="E54" i="134" s="1"/>
  <c r="E66" i="97"/>
  <c r="E65" i="134" s="1"/>
  <c r="E31" i="97"/>
  <c r="E30" i="134" s="1"/>
  <c r="E63" i="97"/>
  <c r="E62" i="134" s="1"/>
  <c r="E57" i="97"/>
  <c r="E56" i="134" s="1"/>
  <c r="E61" i="97"/>
  <c r="E60" i="134" s="1"/>
  <c r="E60" i="97"/>
  <c r="E59" i="134" s="1"/>
  <c r="E59" i="97"/>
  <c r="E58" i="134" s="1"/>
  <c r="E64" i="97"/>
  <c r="E63" i="134" s="1"/>
  <c r="E70" i="97"/>
  <c r="E69" i="134" s="1"/>
  <c r="E65" i="97"/>
  <c r="E64" i="134" s="1"/>
  <c r="E69" i="97"/>
  <c r="E68" i="134" s="1"/>
  <c r="E68" i="97"/>
  <c r="E67" i="134" s="1"/>
  <c r="E67" i="97"/>
  <c r="E66" i="134" s="1"/>
  <c r="E81" i="97"/>
  <c r="E80" i="134" s="1"/>
  <c r="E58" i="97"/>
  <c r="E57" i="134" s="1"/>
  <c r="E110" i="97"/>
  <c r="E82" i="97"/>
  <c r="E38" i="134" l="1"/>
  <c r="E37" i="134" s="1"/>
  <c r="H34" i="125"/>
  <c r="G34" i="125" s="1"/>
  <c r="E29" i="134"/>
  <c r="H87" i="125"/>
  <c r="G87" i="125" s="1"/>
  <c r="E81" i="134"/>
  <c r="E109" i="134"/>
  <c r="E39" i="97"/>
  <c r="P39" i="97" s="1"/>
  <c r="F29" i="108"/>
  <c r="G29" i="108"/>
  <c r="G18" i="108" s="1"/>
  <c r="H86" i="125"/>
  <c r="G86" i="125" s="1"/>
  <c r="H61" i="125"/>
  <c r="G61" i="125" s="1"/>
  <c r="H75" i="125"/>
  <c r="G75" i="125" s="1"/>
  <c r="H66" i="125"/>
  <c r="G66" i="125" s="1"/>
  <c r="H36" i="125"/>
  <c r="G36" i="125" s="1"/>
  <c r="H128" i="125"/>
  <c r="G128" i="125" s="1"/>
  <c r="H32" i="125"/>
  <c r="G32" i="125" s="1"/>
  <c r="H70" i="125"/>
  <c r="G70" i="125" s="1"/>
  <c r="H65" i="125"/>
  <c r="G65" i="125" s="1"/>
  <c r="H127" i="125"/>
  <c r="G127" i="125" s="1"/>
  <c r="H121" i="125"/>
  <c r="H73" i="125"/>
  <c r="G73" i="125" s="1"/>
  <c r="H62" i="125"/>
  <c r="G62" i="125" s="1"/>
  <c r="H123" i="125"/>
  <c r="G123" i="125" s="1"/>
  <c r="H130" i="125"/>
  <c r="G130" i="125" s="1"/>
  <c r="H47" i="125"/>
  <c r="G47" i="125" s="1"/>
  <c r="H37" i="125"/>
  <c r="G37" i="125" s="1"/>
  <c r="H72" i="125"/>
  <c r="G72" i="125" s="1"/>
  <c r="H69" i="125"/>
  <c r="G69" i="125" s="1"/>
  <c r="H63" i="125"/>
  <c r="G63" i="125" s="1"/>
  <c r="H74" i="125"/>
  <c r="G74" i="125" s="1"/>
  <c r="H64" i="125"/>
  <c r="G64" i="125" s="1"/>
  <c r="H68" i="125"/>
  <c r="G68" i="125" s="1"/>
  <c r="H126" i="125"/>
  <c r="G126" i="125" s="1"/>
  <c r="H132" i="125"/>
  <c r="G132" i="125" s="1"/>
  <c r="H94" i="125"/>
  <c r="G94" i="125" s="1"/>
  <c r="H110" i="125"/>
  <c r="G110" i="125" s="1"/>
  <c r="H71" i="125"/>
  <c r="G71" i="125" s="1"/>
  <c r="H60" i="125"/>
  <c r="G60" i="125" s="1"/>
  <c r="H46" i="125"/>
  <c r="G46" i="125" s="1"/>
  <c r="H28" i="125"/>
  <c r="G28" i="125" s="1"/>
  <c r="H45" i="125"/>
  <c r="E102" i="97"/>
  <c r="E181" i="97"/>
  <c r="E180" i="134" s="1"/>
  <c r="E80" i="97"/>
  <c r="E79" i="134" s="1"/>
  <c r="E85" i="97"/>
  <c r="E100" i="97"/>
  <c r="E99" i="134" s="1"/>
  <c r="E72" i="97"/>
  <c r="E71" i="134" s="1"/>
  <c r="E84" i="97"/>
  <c r="E83" i="134" s="1"/>
  <c r="E104" i="97"/>
  <c r="M13" i="107"/>
  <c r="K14" i="107"/>
  <c r="E180" i="97"/>
  <c r="E179" i="134" s="1"/>
  <c r="E17" i="97"/>
  <c r="E16" i="134" s="1"/>
  <c r="P22" i="97"/>
  <c r="P21" i="134" s="1"/>
  <c r="E21" i="97"/>
  <c r="E20" i="134" s="1"/>
  <c r="E121" i="97"/>
  <c r="E117" i="97"/>
  <c r="E116" i="134" s="1"/>
  <c r="E101" i="97"/>
  <c r="E100" i="134" s="1"/>
  <c r="G13" i="97"/>
  <c r="E62" i="97"/>
  <c r="E61" i="134" s="1"/>
  <c r="E28" i="97"/>
  <c r="E27" i="134" s="1"/>
  <c r="E176" i="134" l="1"/>
  <c r="E175" i="134" s="1"/>
  <c r="P38" i="134"/>
  <c r="P37" i="134" s="1"/>
  <c r="E25" i="134"/>
  <c r="E24" i="134" s="1"/>
  <c r="P176" i="134"/>
  <c r="P175" i="134" s="1"/>
  <c r="E120" i="134"/>
  <c r="E108" i="134" s="1"/>
  <c r="H133" i="125"/>
  <c r="G133" i="125" s="1"/>
  <c r="H108" i="125"/>
  <c r="G108" i="125" s="1"/>
  <c r="E101" i="134"/>
  <c r="E14" i="97"/>
  <c r="E13" i="134"/>
  <c r="H111" i="125"/>
  <c r="G111" i="125" s="1"/>
  <c r="E103" i="134"/>
  <c r="P85" i="97"/>
  <c r="P84" i="134" s="1"/>
  <c r="E84" i="134"/>
  <c r="E109" i="97"/>
  <c r="H44" i="125"/>
  <c r="H43" i="125" s="1"/>
  <c r="P38" i="97"/>
  <c r="E26" i="97"/>
  <c r="H29" i="125"/>
  <c r="G29" i="125" s="1"/>
  <c r="G121" i="125"/>
  <c r="H90" i="125"/>
  <c r="G90" i="125" s="1"/>
  <c r="H17" i="125"/>
  <c r="H77" i="125"/>
  <c r="G77" i="125" s="1"/>
  <c r="H67" i="125"/>
  <c r="G67" i="125" s="1"/>
  <c r="H85" i="125"/>
  <c r="G85" i="125" s="1"/>
  <c r="H107" i="125"/>
  <c r="G107" i="125" s="1"/>
  <c r="H106" i="125"/>
  <c r="H15" i="125"/>
  <c r="H91" i="125"/>
  <c r="G91" i="125" s="1"/>
  <c r="E38" i="97"/>
  <c r="E177" i="97"/>
  <c r="E176" i="97" s="1"/>
  <c r="Q13" i="107"/>
  <c r="M11" i="107"/>
  <c r="E13" i="97"/>
  <c r="G45" i="125"/>
  <c r="G44" i="125" s="1"/>
  <c r="H129" i="125"/>
  <c r="P56" i="97"/>
  <c r="P55" i="134" s="1"/>
  <c r="P15" i="97"/>
  <c r="P14" i="134" s="1"/>
  <c r="P118" i="97"/>
  <c r="P117" i="134" s="1"/>
  <c r="P57" i="97"/>
  <c r="P56" i="134" s="1"/>
  <c r="P59" i="97"/>
  <c r="P58" i="134" s="1"/>
  <c r="P55" i="97"/>
  <c r="P54" i="134" s="1"/>
  <c r="E83" i="97"/>
  <c r="E82" i="134" s="1"/>
  <c r="P58" i="97"/>
  <c r="P57" i="134" s="1"/>
  <c r="P89" i="97"/>
  <c r="P88" i="134" s="1"/>
  <c r="P181" i="97"/>
  <c r="P180" i="134" s="1"/>
  <c r="P63" i="97"/>
  <c r="P62" i="134" s="1"/>
  <c r="P82" i="97"/>
  <c r="P81" i="134" s="1"/>
  <c r="P60" i="97"/>
  <c r="P59" i="134" s="1"/>
  <c r="P61" i="97"/>
  <c r="P60" i="134" s="1"/>
  <c r="P41" i="97"/>
  <c r="P40" i="134" s="1"/>
  <c r="P179" i="97"/>
  <c r="P178" i="134" s="1"/>
  <c r="P43" i="97"/>
  <c r="P42" i="134" s="1"/>
  <c r="P67" i="97"/>
  <c r="P66" i="134" s="1"/>
  <c r="P103" i="97"/>
  <c r="P102" i="134" s="1"/>
  <c r="P16" i="97"/>
  <c r="P15" i="134" s="1"/>
  <c r="P64" i="97"/>
  <c r="P63" i="134" s="1"/>
  <c r="P70" i="97"/>
  <c r="P69" i="134" s="1"/>
  <c r="P114" i="97"/>
  <c r="P113" i="134" s="1"/>
  <c r="P29" i="97"/>
  <c r="P28" i="134" s="1"/>
  <c r="P112" i="97"/>
  <c r="P111" i="134" s="1"/>
  <c r="P66" i="97"/>
  <c r="P65" i="134" s="1"/>
  <c r="P87" i="97"/>
  <c r="P86" i="134" s="1"/>
  <c r="P121" i="97"/>
  <c r="P120" i="134" s="1"/>
  <c r="P111" i="97"/>
  <c r="P110" i="134" s="1"/>
  <c r="P31" i="97"/>
  <c r="P30" i="134" s="1"/>
  <c r="P30" i="97"/>
  <c r="P29" i="134" s="1"/>
  <c r="P80" i="97"/>
  <c r="P79" i="134" s="1"/>
  <c r="P69" i="97"/>
  <c r="P68" i="134" s="1"/>
  <c r="P42" i="97"/>
  <c r="P41" i="134" s="1"/>
  <c r="P65" i="97"/>
  <c r="P64" i="134" s="1"/>
  <c r="P110" i="97"/>
  <c r="P109" i="134" s="1"/>
  <c r="P72" i="97"/>
  <c r="P71" i="134" s="1"/>
  <c r="P68" i="97"/>
  <c r="P67" i="134" s="1"/>
  <c r="P84" i="97"/>
  <c r="P83" i="134" s="1"/>
  <c r="P180" i="97"/>
  <c r="P179" i="134" s="1"/>
  <c r="P120" i="97"/>
  <c r="P119" i="134" s="1"/>
  <c r="P115" i="97"/>
  <c r="P114" i="134" s="1"/>
  <c r="P32" i="97"/>
  <c r="P31" i="134" s="1"/>
  <c r="P62" i="97"/>
  <c r="P61" i="134" s="1"/>
  <c r="P27" i="97"/>
  <c r="P26" i="134" s="1"/>
  <c r="P81" i="97"/>
  <c r="P80" i="134" s="1"/>
  <c r="P101" i="97"/>
  <c r="P100" i="134" s="1"/>
  <c r="P28" i="97"/>
  <c r="P27" i="134" s="1"/>
  <c r="P25" i="134" l="1"/>
  <c r="P24" i="134" s="1"/>
  <c r="E107" i="134"/>
  <c r="P108" i="134"/>
  <c r="P107" i="134" s="1"/>
  <c r="E12" i="134"/>
  <c r="P13" i="134"/>
  <c r="H12" i="125"/>
  <c r="H11" i="125" s="1"/>
  <c r="G15" i="125"/>
  <c r="G17" i="125"/>
  <c r="K17" i="125"/>
  <c r="G106" i="125"/>
  <c r="G105" i="125" s="1"/>
  <c r="G104" i="125" s="1"/>
  <c r="H105" i="125"/>
  <c r="H104" i="125" s="1"/>
  <c r="K104" i="125" s="1"/>
  <c r="H120" i="125"/>
  <c r="H119" i="125" s="1"/>
  <c r="K119" i="125" s="1"/>
  <c r="G27" i="125"/>
  <c r="G26" i="125" s="1"/>
  <c r="H27" i="125"/>
  <c r="H26" i="125" s="1"/>
  <c r="K26" i="125" s="1"/>
  <c r="H89" i="125"/>
  <c r="G89" i="125" s="1"/>
  <c r="K15" i="125"/>
  <c r="P109" i="97"/>
  <c r="E108" i="97"/>
  <c r="G43" i="125"/>
  <c r="P26" i="97"/>
  <c r="Q26" i="97" s="1"/>
  <c r="E25" i="97"/>
  <c r="K43" i="125"/>
  <c r="P14" i="97"/>
  <c r="M10" i="107"/>
  <c r="M14" i="107" s="1"/>
  <c r="Q11" i="107"/>
  <c r="Q10" i="107" s="1"/>
  <c r="Q14" i="107" s="1"/>
  <c r="G164" i="133" s="1"/>
  <c r="G129" i="125"/>
  <c r="G120" i="125" s="1"/>
  <c r="G119" i="125" s="1"/>
  <c r="P17" i="97"/>
  <c r="P16" i="134" s="1"/>
  <c r="P83" i="97"/>
  <c r="P82" i="134" s="1"/>
  <c r="L43" i="125"/>
  <c r="P44" i="97"/>
  <c r="P100" i="97"/>
  <c r="P104" i="97"/>
  <c r="P103" i="134" s="1"/>
  <c r="P21" i="97"/>
  <c r="P20" i="134" s="1"/>
  <c r="P116" i="97"/>
  <c r="P115" i="134" s="1"/>
  <c r="P117" i="97"/>
  <c r="P116" i="134" s="1"/>
  <c r="P102" i="97"/>
  <c r="P101" i="134" s="1"/>
  <c r="Q99" i="97" l="1"/>
  <c r="P99" i="134"/>
  <c r="Q14" i="97"/>
  <c r="Q39" i="97"/>
  <c r="P43" i="134"/>
  <c r="Q109" i="97"/>
  <c r="P12" i="134"/>
  <c r="G12" i="125"/>
  <c r="G11" i="125" s="1"/>
  <c r="F164" i="133"/>
  <c r="G171" i="133"/>
  <c r="F171" i="133"/>
  <c r="P98" i="97"/>
  <c r="P86" i="97"/>
  <c r="P85" i="134" s="1"/>
  <c r="I14" i="107"/>
  <c r="G14" i="107" s="1"/>
  <c r="P25" i="97" l="1"/>
  <c r="P13" i="97"/>
  <c r="P124" i="97"/>
  <c r="P108" i="97" l="1"/>
  <c r="P177" i="97" l="1"/>
  <c r="P176" i="97" s="1"/>
  <c r="P172" i="97"/>
  <c r="P171" i="97" l="1"/>
  <c r="Q172" i="97"/>
  <c r="Q177" i="97"/>
  <c r="P166" i="97" l="1"/>
  <c r="Q166" i="97" s="1"/>
  <c r="P165" i="97" l="1"/>
  <c r="L184" i="125"/>
  <c r="P159" i="97"/>
  <c r="Q159" i="97" s="1"/>
  <c r="P158" i="97" l="1"/>
  <c r="P155" i="97"/>
  <c r="P154" i="97" l="1"/>
  <c r="Q155" i="97"/>
  <c r="P145" i="97" l="1"/>
  <c r="G199" i="125" l="1"/>
  <c r="N53" i="97" l="1"/>
  <c r="N182" i="97" s="1"/>
  <c r="N191" i="97" s="1"/>
  <c r="K53" i="97"/>
  <c r="K52" i="97" s="1"/>
  <c r="M53" i="97"/>
  <c r="M52" i="97" s="1"/>
  <c r="O78" i="97"/>
  <c r="O77" i="134" s="1"/>
  <c r="O52" i="134" s="1"/>
  <c r="L53" i="97"/>
  <c r="L182" i="97" s="1"/>
  <c r="M182" i="97" l="1"/>
  <c r="M191" i="97" s="1"/>
  <c r="L191" i="97"/>
  <c r="L192" i="97"/>
  <c r="K182" i="97"/>
  <c r="K191" i="97" s="1"/>
  <c r="O51" i="134"/>
  <c r="J52" i="134"/>
  <c r="O181" i="134"/>
  <c r="N52" i="97"/>
  <c r="M58" i="125"/>
  <c r="O53" i="97"/>
  <c r="J53" i="97" s="1"/>
  <c r="J78" i="97"/>
  <c r="R78" i="97" s="1"/>
  <c r="R53" i="97"/>
  <c r="I53" i="97"/>
  <c r="L52" i="97"/>
  <c r="J77" i="134" l="1"/>
  <c r="I83" i="125"/>
  <c r="I59" i="125" s="1"/>
  <c r="O182" i="97"/>
  <c r="O192" i="97" s="1"/>
  <c r="Q182" i="97"/>
  <c r="K169" i="98"/>
  <c r="O52" i="97"/>
  <c r="J51" i="134"/>
  <c r="J181" i="134"/>
  <c r="H53" i="97"/>
  <c r="I52" i="97"/>
  <c r="I182" i="97"/>
  <c r="I191" i="97" s="1"/>
  <c r="J182" i="97"/>
  <c r="J191" i="97" s="1"/>
  <c r="J52" i="97"/>
  <c r="O191" i="97" l="1"/>
  <c r="I58" i="125"/>
  <c r="L58" i="125" s="1"/>
  <c r="I207" i="125"/>
  <c r="H52" i="97"/>
  <c r="H182" i="97"/>
  <c r="H191" i="97" s="1"/>
  <c r="G53" i="97"/>
  <c r="G182" i="97" l="1"/>
  <c r="G191" i="97" s="1"/>
  <c r="G52" i="97"/>
  <c r="E78" i="97"/>
  <c r="F53" i="97"/>
  <c r="F52" i="97" s="1"/>
  <c r="F182" i="97" s="1"/>
  <c r="E77" i="134" l="1"/>
  <c r="E52" i="134" s="1"/>
  <c r="P52" i="134" s="1"/>
  <c r="Q78" i="97"/>
  <c r="H83" i="125" s="1"/>
  <c r="F191" i="97"/>
  <c r="F195" i="97"/>
  <c r="E53" i="97"/>
  <c r="E52" i="97" s="1"/>
  <c r="P78" i="97"/>
  <c r="P77" i="134" s="1"/>
  <c r="E182" i="97" l="1"/>
  <c r="E194" i="97" s="1"/>
  <c r="P53" i="97"/>
  <c r="Q53" i="97" s="1"/>
  <c r="G83" i="125"/>
  <c r="G59" i="125" s="1"/>
  <c r="H59" i="125"/>
  <c r="E51" i="134"/>
  <c r="P51" i="134"/>
  <c r="P181" i="134" s="1"/>
  <c r="E181" i="134"/>
  <c r="P52" i="97"/>
  <c r="P182" i="97" s="1"/>
  <c r="E191" i="97" l="1"/>
  <c r="H58" i="125"/>
  <c r="K58" i="125" s="1"/>
  <c r="H207" i="125"/>
  <c r="G58" i="125"/>
  <c r="G207" i="125"/>
  <c r="F194" i="97"/>
  <c r="P191" i="97"/>
  <c r="P192" i="97"/>
  <c r="K207" i="125" l="1"/>
  <c r="S114" i="133" l="1"/>
</calcChain>
</file>

<file path=xl/sharedStrings.xml><?xml version="1.0" encoding="utf-8"?>
<sst xmlns="http://schemas.openxmlformats.org/spreadsheetml/2006/main" count="5321" uniqueCount="961">
  <si>
    <t>Департамент освіти та науки Хмельницької міської ради (головний розпорядник)</t>
  </si>
  <si>
    <t>Департамент освіти та науки Хмельницької міської ради (відповідальний виконавець)</t>
  </si>
  <si>
    <t>Будівництво 2-ї черги водогону від с.Чернелівка Красилівського району до м.Хмельницький</t>
  </si>
  <si>
    <t>Реконструкція з надбудовою приміщень навчально-виховного комплексу №10 по вул. Водопровідній, 9А в м.Хмельницькому</t>
  </si>
  <si>
    <t>1</t>
  </si>
  <si>
    <t>2</t>
  </si>
  <si>
    <t>Проведення навчально-тренувальних зборів і змагань з неолімпійських видів спорту</t>
  </si>
  <si>
    <t>4</t>
  </si>
  <si>
    <t>Надання субсидій населенню для відшкодування витрат на оплату житлово-комунальних послуг</t>
  </si>
  <si>
    <t>Пільгове медичне обслуговування осіб, які постраждали внаслідок Чорнобильської катастрофи</t>
  </si>
  <si>
    <t>Надання допомоги у зв'язку з вагітністю і пологами</t>
  </si>
  <si>
    <t>Надання допомоги при народженні дитини</t>
  </si>
  <si>
    <t>Надання допомоги на дітей, над якими встановлено опіку чи піклування</t>
  </si>
  <si>
    <t>Надання допомоги на дітей одиноким матерям</t>
  </si>
  <si>
    <t>Надання тимчасової державної допомоги дітям</t>
  </si>
  <si>
    <t>Надання державної соціальної допомоги малозабезпеченим сім'ям</t>
  </si>
  <si>
    <t>Надання пільг окремим категоріям громадян з оплати послуг зв'язку</t>
  </si>
  <si>
    <t>Компенсаційні виплати на пільговий проїзд автомобільним транспортом окремим категоріям громадян</t>
  </si>
  <si>
    <t>Компенсаційні виплати за пільговий проїзд окремих категорій громадян на залізничному транспорті</t>
  </si>
  <si>
    <t>Надання субсидій населенню для відшкодування витрат на придбання твердого та рідкого пічного побутового палива і скрапленого газу</t>
  </si>
  <si>
    <t>Програма розвитку міста Хмельницького у сфері культури на період до 2020 року "50 кроків, що змінять місто"</t>
  </si>
  <si>
    <t>Компенсаційні виплати на пільговий проїзд електротранспортом окремим категоріям громадян</t>
  </si>
  <si>
    <t>Здійснення заходів та реалізація проектів на виконання Державної цільової соціальної програми «Молодь України»</t>
  </si>
  <si>
    <t>Утримання клубів для підлітків за місцем проживання</t>
  </si>
  <si>
    <t>Разом</t>
  </si>
  <si>
    <t>Загальний фонд</t>
  </si>
  <si>
    <t>з них</t>
  </si>
  <si>
    <t>3</t>
  </si>
  <si>
    <t>комунальні послуги та енергоносії</t>
  </si>
  <si>
    <t>Код програмної класифікації видатків та кредитування місцевих бюджетів</t>
  </si>
  <si>
    <t>Код ФКВКБ</t>
  </si>
  <si>
    <t>Реконструкція існуючої будівлі краєзнавчого музею під музейний комплекс історії та культури по вул.Свободи,22 в м.Хмельницькому</t>
  </si>
  <si>
    <t>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t>
  </si>
  <si>
    <t>Надання позашкільної освіти позашкільними закладами освіти, заходи із позашкільної роботи з дітьми</t>
  </si>
  <si>
    <t>1011100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</si>
  <si>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</si>
  <si>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Управління охорони здоров'я Хмельницької міської ради (головний розпорядник)</t>
  </si>
  <si>
    <t>Багатопрофільна стаціонарна медична допомога населенню</t>
  </si>
  <si>
    <t>Код ТПКВКМБ /
ТКВКБМС</t>
  </si>
  <si>
    <t>1110000</t>
  </si>
  <si>
    <t>1100000</t>
  </si>
  <si>
    <t>Управління молоді та спорту Хмельницької міської ради (головний розпорядник)</t>
  </si>
  <si>
    <t>Управління житлово-комунального господарства Хмельницької міської ради (головний розпорядник)</t>
  </si>
  <si>
    <t>Управління культури і туризму Хмельницької міської ради (головний розпорядник)</t>
  </si>
  <si>
    <t>1500000</t>
  </si>
  <si>
    <t>1510000</t>
  </si>
  <si>
    <t>Управління архітектури та містобудування департаменту архітектури, містобудування та земельних ресурсів (головний розпорядник)</t>
  </si>
  <si>
    <t xml:space="preserve">Управління з питань екології та контролю за благоустроєм міста (головний розпорядник) </t>
  </si>
  <si>
    <t>Фінансове управління Хмельницької міської ради (головний розпорядник)</t>
  </si>
  <si>
    <t>1115031</t>
  </si>
  <si>
    <t>1115032</t>
  </si>
  <si>
    <t>1115061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</si>
  <si>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</si>
  <si>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</si>
  <si>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Забезпечення діяльності централізованої бухгалтерії</t>
  </si>
  <si>
    <t>Проведення інформаційних заходів з організації проведення аукціонів</t>
  </si>
  <si>
    <t>Виготовлення документації із землеустрою</t>
  </si>
  <si>
    <t>Внески до статутного капіталу суб’єктів господарювання</t>
  </si>
  <si>
    <t>Управління молоді та спорту Хмельницької міської ради (відповідальний виконавець)</t>
  </si>
  <si>
    <t>Управління охорони здоров'я Хмельницької міської ради (відповідальний виконавець)</t>
  </si>
  <si>
    <t>Управління праці та соціального захисту населення Хмельницької міської ради (головний розпорядник)</t>
  </si>
  <si>
    <t>Управління праці та соціального захисту населення Хмельницької міської ради (відповідальний виконавець)</t>
  </si>
  <si>
    <t>Управління культури і туризму Хмельницької міської ради (відповідальний виконавець)</t>
  </si>
  <si>
    <t>Управління житлово-комунального господарства Хмельницької міської ради (відповідальний виконавець)</t>
  </si>
  <si>
    <t>Управління архітектури та містобудування департаменту архітектури, містобудування та земельних ресурсів (відповідальний виконавець)</t>
  </si>
  <si>
    <t xml:space="preserve">Управління з питань екології та контролю за благоустроєм міста (відповідальний виконавець) </t>
  </si>
  <si>
    <t>Фінансове управління Хмельницької міської ради (відповідальний виконавець)</t>
  </si>
  <si>
    <t>Заходи з енергозбереження</t>
  </si>
  <si>
    <t>Резервний фонд</t>
  </si>
  <si>
    <t xml:space="preserve"> Реверсна дотація</t>
  </si>
  <si>
    <t>0133</t>
  </si>
  <si>
    <t>0180</t>
  </si>
  <si>
    <t>1113131</t>
  </si>
  <si>
    <t>1115011</t>
  </si>
  <si>
    <t>Проведення навчально-тренувальних зборів і змагань з олімпійських видів спорту</t>
  </si>
  <si>
    <t>1115012</t>
  </si>
  <si>
    <t>1115022</t>
  </si>
  <si>
    <t>Утримання та навчально-тренувальна робота комунальних дитячо-юнацьких спортивних шкіл</t>
  </si>
  <si>
    <t>Фінансова підтримка дитячо-юнацьких спортивних шкіл фізкультурно-спортивних товариств</t>
  </si>
  <si>
    <t>1060</t>
  </si>
  <si>
    <t>Всього, в т.ч.:</t>
  </si>
  <si>
    <t>0511</t>
  </si>
  <si>
    <t>Охорона та раціональне використання природних ресурсів</t>
  </si>
  <si>
    <t>0540</t>
  </si>
  <si>
    <t>Спеціальний фонд</t>
  </si>
  <si>
    <t>видатки споживання</t>
  </si>
  <si>
    <t>оплата праці</t>
  </si>
  <si>
    <t>видатки розвитку</t>
  </si>
  <si>
    <t>Розподіл</t>
  </si>
  <si>
    <t>Додаток №3</t>
  </si>
  <si>
    <t>Капітальні видатки</t>
  </si>
  <si>
    <t xml:space="preserve">Реконструкція покрівель житлових будинків </t>
  </si>
  <si>
    <t>Додаток 1</t>
  </si>
  <si>
    <t>( грн.)</t>
  </si>
  <si>
    <t>Код</t>
  </si>
  <si>
    <t>Найменування згідно
 з класифікацією доходів бюджету</t>
  </si>
  <si>
    <t>Податкові надходження</t>
  </si>
  <si>
    <t>Податки на доходи, податки на прибуток, податки на збільшення ринкової вартості</t>
  </si>
  <si>
    <t xml:space="preserve">Податок на доходи фізичних осіб </t>
  </si>
  <si>
    <t xml:space="preserve">Податок на  доходи фізичних осіб, що сплачуються податковими агентами, із доходів платника податку у вигляді заробітної плати </t>
  </si>
  <si>
    <t xml:space="preserve">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 </t>
  </si>
  <si>
    <t xml:space="preserve">Податок на доходи фізичних осіб, що сплачується податковими агентами, із доходів платника податку інших ніж заробітна плата </t>
  </si>
  <si>
    <t xml:space="preserve">Податок на доходи доходів фізичних осіб, що сплачуються фізичними особами за результатами річного декларування </t>
  </si>
  <si>
    <t>Податок на прибуток підприємств</t>
  </si>
  <si>
    <t xml:space="preserve"> Податок на прибуток підприємств та фінансових установ комунальної власності </t>
  </si>
  <si>
    <t xml:space="preserve">Акцизний податок з реалізації суб"єктами господарювання роздрібної торгівлі підакцизних товарів </t>
  </si>
  <si>
    <t>Місцеві  податки і збори</t>
  </si>
  <si>
    <t>Податок на майно</t>
  </si>
  <si>
    <t xml:space="preserve">Податок на нерухоме майно, відмінне від земельної ділянки, сплачений юридичними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</si>
  <si>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</si>
  <si>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нежитлової нерухомості   </t>
  </si>
  <si>
    <t xml:space="preserve">Податок на нерухоме майно, відмінне від земельної ділянки, сплачений юридичними особами, які є власниками об"єктів нежитлової нерухомості   </t>
  </si>
  <si>
    <t>Земельний податок з юридичних осіб</t>
  </si>
  <si>
    <t>Орендна плата з юридичних осіб</t>
  </si>
  <si>
    <t>Земельний податок з фізичних осіб</t>
  </si>
  <si>
    <t>Орендна плата з фізичних осіб</t>
  </si>
  <si>
    <t>Транспортний податок з фізичних  осіб</t>
  </si>
  <si>
    <t>Транспортний податок з юридичних осіб</t>
  </si>
  <si>
    <t xml:space="preserve">Туристичний збір </t>
  </si>
  <si>
    <t xml:space="preserve">Туристичний збір, сплачений юридичними особами  </t>
  </si>
  <si>
    <t xml:space="preserve">Туристичний збір, сплачений фізичними особами  </t>
  </si>
  <si>
    <t xml:space="preserve">Єдиний податок  </t>
  </si>
  <si>
    <t xml:space="preserve">Єдиний податок  з юридичних осіб
</t>
  </si>
  <si>
    <t>Єдиний податок  з фізичних осіб</t>
  </si>
  <si>
    <t xml:space="preserve">Екологічний податок </t>
  </si>
  <si>
    <t xml:space="preserve">Надходження  від викидів забруднюючих речовин в атмосферне повітря стаціонарними джерелами забруднення </t>
  </si>
  <si>
    <t>Надходження від скидів забруднюючих речовин безпосередньо у водні об"єкти</t>
  </si>
  <si>
    <t xml:space="preserve">Надходження від розміщення відходів у спеціально відведених місцях чи на об"єктах, крім розміщення окремих видів відходів як вторинної сировини </t>
  </si>
  <si>
    <t>Неподаткові надходження</t>
  </si>
  <si>
    <t>Частина чистого прибутку (доходу)  комунальних унітарних підприємств та їх об"єднань, що вилучається до відповідного місцевого бюджету</t>
  </si>
  <si>
    <t xml:space="preserve">Плата за розміщення тимчасово вільних коштів </t>
  </si>
  <si>
    <t xml:space="preserve">Надходження від штрафів та фінансових санкцій </t>
  </si>
  <si>
    <t>Адміністративні штрафи та інші санкції</t>
  </si>
  <si>
    <t>Адміністративні штрафи та штрафні санкції за порушення законодавства у сфері виробництва та обігу алкогольних напоїв та тютюнових виробів</t>
  </si>
  <si>
    <t>Адміністративні збори та платежі, доходи від некомерційної господарської діяльності</t>
  </si>
  <si>
    <t xml:space="preserve">Адміністративний збір за державну реєстрацію речових прав на нерухоме майно та їх обтяжень </t>
  </si>
  <si>
    <t xml:space="preserve">Плата за надання інших адміністративних послуг </t>
  </si>
  <si>
    <t xml:space="preserve">Надходження від орендної плати за користування цілісним майновим комплексом та іншим майном, що перебуває в комунальній власності </t>
  </si>
  <si>
    <t xml:space="preserve">Державне мито </t>
  </si>
  <si>
    <t>Державне мито, що сплачується за місцем розгляду та оформлення документів, у тому числі за оформлення документів на спадщину і дарування</t>
  </si>
  <si>
    <t>Державне мито, не віднесене до інших категорій </t>
  </si>
  <si>
    <t>Державне мито, пов`язане з видачею та оформленням закордонних паспортів (посвідок) та паспортів громадян України</t>
  </si>
  <si>
    <t>Інші неподаткові надходження</t>
  </si>
  <si>
    <t xml:space="preserve">Інші надходження </t>
  </si>
  <si>
    <t xml:space="preserve">Надходження коштів пайової участі у розвитку інфраструктури населеного пункту </t>
  </si>
  <si>
    <t>Власні надходження бюджетних установ</t>
  </si>
  <si>
    <t>Надходження від плати за послуги, що надаються бюджетними установами згідно із законодавством</t>
  </si>
  <si>
    <t>Плата за послуги, що надаються бюджетними установами згідно з їх основною діяльністю</t>
  </si>
  <si>
    <t>Надходження бюджетних установ від додаткової (господарської)  діяльності</t>
  </si>
  <si>
    <t>Плата за оренду майна бюджетних установ</t>
  </si>
  <si>
    <t>Надходження  бюджетних установ від реалізації в установленому порядку майна (крім нерухомого майна)</t>
  </si>
  <si>
    <r>
      <t>Інші джерела власних надходжень бюджетних установ</t>
    </r>
    <r>
      <rPr>
        <sz val="12"/>
        <rFont val="Times New Roman"/>
        <family val="1"/>
        <charset val="204"/>
      </rPr>
      <t xml:space="preserve">  </t>
    </r>
  </si>
  <si>
    <t xml:space="preserve">Благодійні внески, гранти та дарунки </t>
  </si>
  <si>
    <t xml:space="preserve">Кошти,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t>
  </si>
  <si>
    <t>Доходи від операцій з капіталом</t>
  </si>
  <si>
    <t>Надходження від продажу основного капіталу</t>
  </si>
  <si>
    <t xml:space="preserve">Кошти від реалізації безхазяйного майна,знахідок, спадкового майна, майна, одержаного територіальною громадою в порядку спадкування чи дарування, а також валютні цінності і грошові кошти, власники яких невідомі </t>
  </si>
  <si>
    <t xml:space="preserve">Кошти  від відчуження майна, яке належить  Автономній Республіці Крим та майна, що знаходиться у комунальній власності </t>
  </si>
  <si>
    <t>Надходження від продажу землі і нематеріальних активів</t>
  </si>
  <si>
    <t xml:space="preserve">Кошти від продажу землі </t>
  </si>
  <si>
    <t>Кошти від продажу прав на земельні ділянки несільськогосподарського призначення, що перебувають у державній або комунальній власності</t>
  </si>
  <si>
    <t xml:space="preserve">Цільові фонди, утворені Верховною радою Автономної Республіки Крим, органами місцевого самоврядування та місцевими органами виконавчої влади </t>
  </si>
  <si>
    <t xml:space="preserve">Субвенції  </t>
  </si>
  <si>
    <t xml:space="preserve">Освітня субвенція з державного бюджету місцевим бюджетам </t>
  </si>
  <si>
    <t xml:space="preserve">Медична субвенція з державного бюджету місцевим бюджетам </t>
  </si>
  <si>
    <t xml:space="preserve"> - на пільгове медичне обслуговування громадян, які постраждали внаслідок Чорнобильської катастрофи</t>
  </si>
  <si>
    <t xml:space="preserve"> -  на компенсаційні виплати інвалідам на бензин, ремонт, техобслуговування автотранспорту та транспортне обслуговування</t>
  </si>
  <si>
    <t xml:space="preserve"> - на компенсаційні виплати на встановлення телефонів інвалідам 1-ї та 2-ї груп </t>
  </si>
  <si>
    <t xml:space="preserve">  - на поховання учасників бойових дій та інвалідів війни</t>
  </si>
  <si>
    <t>Всього доходів</t>
  </si>
  <si>
    <t>Начальник фінансового управління</t>
  </si>
  <si>
    <t>С. Ямчук</t>
  </si>
  <si>
    <t>Додаток 2</t>
  </si>
  <si>
    <t>до рішення</t>
  </si>
  <si>
    <t>від                 №</t>
  </si>
  <si>
    <t>200000</t>
  </si>
  <si>
    <t>Внутрішнє фінансування</t>
  </si>
  <si>
    <t>208100</t>
  </si>
  <si>
    <t>На початок періоду</t>
  </si>
  <si>
    <t>На кінець періоду</t>
  </si>
  <si>
    <t>Передача коштів із загального до бюджету розвитку (спеціального фонду)</t>
  </si>
  <si>
    <t xml:space="preserve">Фінансування за борговими операціями </t>
  </si>
  <si>
    <t xml:space="preserve">Запозичення </t>
  </si>
  <si>
    <t>600000</t>
  </si>
  <si>
    <t>Фінансування за активними операціями</t>
  </si>
  <si>
    <t>Зміни обсягів готівкових коштів на початок періоду</t>
  </si>
  <si>
    <t>Зміни обсягів готівкових коштів на кінець періоду</t>
  </si>
  <si>
    <t>Надання кредитів</t>
  </si>
  <si>
    <t>Повернення кредитів</t>
  </si>
  <si>
    <t>0,0</t>
  </si>
  <si>
    <t>Додаток №6</t>
  </si>
  <si>
    <t xml:space="preserve">до рішення №      від  </t>
  </si>
  <si>
    <t>Кошторис доходів та видатків цільового фонду</t>
  </si>
  <si>
    <t>Хмельницької міської ради</t>
  </si>
  <si>
    <t xml:space="preserve">Пункти Положення </t>
  </si>
  <si>
    <t>Джерела доходів</t>
  </si>
  <si>
    <t>2.1.1.</t>
  </si>
  <si>
    <t>Кошти за надлишки загальної житлової площі при приватизації державного житлового фонду</t>
  </si>
  <si>
    <t>2.1.2.</t>
  </si>
  <si>
    <t>Кошти за тимчасове користування місцями для розміщення зовнішньої реклами</t>
  </si>
  <si>
    <t>2.1.3.</t>
  </si>
  <si>
    <t>Надходження коштів від забудовників, які без відповідного дозволу здійснили або здійснюють роботи по будівництву, реконструкції, реставрації, капітальному ремонту об"єктів містобудування</t>
  </si>
  <si>
    <t>2.1.4.</t>
  </si>
  <si>
    <t xml:space="preserve">Надходження коштів, що мають вноситися заявниками, у розмірі 10 відсотків початкової вартості продажу об"єкта малої приватизації, за участь у аукціоні, конкурсі </t>
  </si>
  <si>
    <t>2.1.5.</t>
  </si>
  <si>
    <t xml:space="preserve">Надходження плати за виготовлення бланків і видачу свідоцтв про право власності на житлове (житлові) приміщення у гуртожитку </t>
  </si>
  <si>
    <t xml:space="preserve">Всього по джерелах доходів : </t>
  </si>
  <si>
    <t>Разом:</t>
  </si>
  <si>
    <t>Видатки</t>
  </si>
  <si>
    <t>3.2.1.</t>
  </si>
  <si>
    <t>Фінансове забезпечення проведення міських заходів виконавчим комітетом Хмельницької міської ради та управліннями і відділами міської ради</t>
  </si>
  <si>
    <t>3.2.3.</t>
  </si>
  <si>
    <t>Матеріальне забезпечення проведення сесій міської ради, депутатських днів та інших організаційних заходів з діяльності депутатів міської ради</t>
  </si>
  <si>
    <t>3.2.4.</t>
  </si>
  <si>
    <t>3.2.5.</t>
  </si>
  <si>
    <t>3.2.6.</t>
  </si>
  <si>
    <t>Виплата винагороди головам квартальних комітетів</t>
  </si>
  <si>
    <t>3.2.7.</t>
  </si>
  <si>
    <t>Оплата подарунків до ювілеїв, річниць, пам’ятних дат, професійних свят підприємств, організацій, установ та фізичних осіб</t>
  </si>
  <si>
    <t>3.2.8.</t>
  </si>
  <si>
    <t xml:space="preserve">Спрямування коштів на житлове будівництво, реконструкцію та на ремонт житла всіх форм власності, в т.ч. будинків житлово-будівельних кооперативів (ТОВ "ЖЕО"), об'є́днань співвла́сників багатокварти́рних буди́нків, Будинкоуправління №2  КЕВ м. Хмельницький та будівель і споруд  комунальної власності </t>
  </si>
  <si>
    <t>3.2.11.</t>
  </si>
  <si>
    <t>Здійснення заходів з приватизації, відчуження та передачі в оренду майна комунальної власності</t>
  </si>
  <si>
    <t>3.2.12.</t>
  </si>
  <si>
    <t>Повернення коштів, внесених заявниками за участь у аукціоні, конкурсі з продажу об'єктів малої приватизації у випадках, передбачених Законом України "Про приватизацію невеликих державних підприємств (малу приватизацію)"</t>
  </si>
  <si>
    <t>3.2.16.</t>
  </si>
  <si>
    <t>Інші видатки, що здійснюються згідно розпоряджень міського голови, рішень міської ради та її виконавчого комітету.</t>
  </si>
  <si>
    <t xml:space="preserve">Начальник фінансового управління                                                                                        </t>
  </si>
  <si>
    <t xml:space="preserve">   С.Ямчук</t>
  </si>
  <si>
    <t>Пальне (вироблене в Україні)</t>
  </si>
  <si>
    <t>Пальне  (ввезене на митну територію  України)</t>
  </si>
  <si>
    <t>Начальник фінансового управління                                                                                                                                                            С. Ямчук</t>
  </si>
  <si>
    <t xml:space="preserve">Будівництво центру поводження з тваринами  КП “Надія” по вул. Заводській, 165 в м. Хмельницькому </t>
  </si>
  <si>
    <t>Адміністративний збір з проведення державної реєстрації юридичних осіб, фізичних осіб - підприємців та громадських формувань</t>
  </si>
  <si>
    <t>0200000</t>
  </si>
  <si>
    <t>0210000</t>
  </si>
  <si>
    <t>Виконавчий комітет Хмельницької міської ради (головний розпорядник)</t>
  </si>
  <si>
    <t>Виконавчий комітет Хмельницької міської ради  (відповідальний виконавець)</t>
  </si>
  <si>
    <t>0600000</t>
  </si>
  <si>
    <t>0610000</t>
  </si>
  <si>
    <t>0700000</t>
  </si>
  <si>
    <t>0710000</t>
  </si>
  <si>
    <t>0800000</t>
  </si>
  <si>
    <t>0810000</t>
  </si>
  <si>
    <t>1200000</t>
  </si>
  <si>
    <t>1210000</t>
  </si>
  <si>
    <t>1600000</t>
  </si>
  <si>
    <t>1610000</t>
  </si>
  <si>
    <t>3600000</t>
  </si>
  <si>
    <t>3610000</t>
  </si>
  <si>
    <t>2800000</t>
  </si>
  <si>
    <t>2810000</t>
  </si>
  <si>
    <t>2700000</t>
  </si>
  <si>
    <t>2710000</t>
  </si>
  <si>
    <t>3700000</t>
  </si>
  <si>
    <t>3710000</t>
  </si>
  <si>
    <t>0490</t>
  </si>
  <si>
    <t>1014010</t>
  </si>
  <si>
    <t>4010</t>
  </si>
  <si>
    <t>4060</t>
  </si>
  <si>
    <t>3131</t>
  </si>
  <si>
    <t>0821</t>
  </si>
  <si>
    <t>Фінансова підтримка театрів</t>
  </si>
  <si>
    <t>1014030</t>
  </si>
  <si>
    <t>4030</t>
  </si>
  <si>
    <t>0824</t>
  </si>
  <si>
    <t>Забезпечення діяльності бібліотек</t>
  </si>
  <si>
    <t>1014040</t>
  </si>
  <si>
    <t>4040</t>
  </si>
  <si>
    <t xml:space="preserve"> Забезпечення діяльності музеїв i виставок</t>
  </si>
  <si>
    <t>1014060</t>
  </si>
  <si>
    <t>0828</t>
  </si>
  <si>
    <t>Забезпечення діяльності палаців i будинків культури, клубів, центрів дозвілля та iнших клубних закладів</t>
  </si>
  <si>
    <t>Надання спеціальної освіти школами естетичного виховання (музичними, художніми, хореографічними, театральними, хоровими, мистецькими)</t>
  </si>
  <si>
    <t>1100</t>
  </si>
  <si>
    <t>0960</t>
  </si>
  <si>
    <t>0829</t>
  </si>
  <si>
    <t>1113121</t>
  </si>
  <si>
    <t>3121</t>
  </si>
  <si>
    <t>1040</t>
  </si>
  <si>
    <t>Утримання та забезпечення діяльності центрів соціальних служб для сім’ї, дітей та молоді</t>
  </si>
  <si>
    <t>5011</t>
  </si>
  <si>
    <t>5012</t>
  </si>
  <si>
    <t>5022</t>
  </si>
  <si>
    <t>1113132</t>
  </si>
  <si>
    <t>3132</t>
  </si>
  <si>
    <t>3230</t>
  </si>
  <si>
    <t>1090</t>
  </si>
  <si>
    <t>5031</t>
  </si>
  <si>
    <t>5032</t>
  </si>
  <si>
    <t>5061</t>
  </si>
  <si>
    <t>0810</t>
  </si>
  <si>
    <t>5063</t>
  </si>
  <si>
    <t>7670</t>
  </si>
  <si>
    <t>0611010</t>
  </si>
  <si>
    <t>1010</t>
  </si>
  <si>
    <t>1020</t>
  </si>
  <si>
    <t>0910</t>
  </si>
  <si>
    <t>Надання дошкільної освіти</t>
  </si>
  <si>
    <t>Надання загальної середньої освіти загальноосвітніми навчальними закладами ( в т. ч. школою-дитячим садком, інтернатом при школі), спеціалізованими школами, ліцеями, гімназіями, колегіумами</t>
  </si>
  <si>
    <t>0611020</t>
  </si>
  <si>
    <t>0921</t>
  </si>
  <si>
    <t>1030</t>
  </si>
  <si>
    <t>1070</t>
  </si>
  <si>
    <t>0611070</t>
  </si>
  <si>
    <t>0922</t>
  </si>
  <si>
    <t>0611090</t>
  </si>
  <si>
    <t>0611110</t>
  </si>
  <si>
    <t>1110</t>
  </si>
  <si>
    <t>0930</t>
  </si>
  <si>
    <t>Підготовка кадрів професійно-технічними закладами та іншими закладами освіти</t>
  </si>
  <si>
    <t>Методичне забезпечення діяльності навчальних закладів</t>
  </si>
  <si>
    <t>0611150</t>
  </si>
  <si>
    <t>1150</t>
  </si>
  <si>
    <t>0990</t>
  </si>
  <si>
    <t>2010</t>
  </si>
  <si>
    <t>0617640</t>
  </si>
  <si>
    <t>7640</t>
  </si>
  <si>
    <t>0470</t>
  </si>
  <si>
    <t>0712010</t>
  </si>
  <si>
    <t>0731</t>
  </si>
  <si>
    <t>0712030</t>
  </si>
  <si>
    <t>2030</t>
  </si>
  <si>
    <t>0733</t>
  </si>
  <si>
    <t>Лікарсько-акушерська допомога вагітним, породіллям та новонародженим</t>
  </si>
  <si>
    <t>0712080</t>
  </si>
  <si>
    <t>2080</t>
  </si>
  <si>
    <t>0721</t>
  </si>
  <si>
    <t>0712100</t>
  </si>
  <si>
    <t>2100</t>
  </si>
  <si>
    <t>0722</t>
  </si>
  <si>
    <t>Стоматологічна допомога населенню</t>
  </si>
  <si>
    <t>0712111</t>
  </si>
  <si>
    <t>2111</t>
  </si>
  <si>
    <t>Первинна медична допомога населенню, що надається центрами первинної медичної (медико-санітарної) допомоги</t>
  </si>
  <si>
    <t>0763</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</si>
  <si>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</si>
  <si>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0210150</t>
  </si>
  <si>
    <t>0150</t>
  </si>
  <si>
    <t>0111</t>
  </si>
  <si>
    <t>Керівництво і управління у відповідній сфері у містах (місті Києві), селищах, селах, об’єднаних територіальних громадах</t>
  </si>
  <si>
    <t>0160</t>
  </si>
  <si>
    <t>Реалізація Національної програми інформатизації</t>
  </si>
  <si>
    <t>0217520</t>
  </si>
  <si>
    <t>7520</t>
  </si>
  <si>
    <t>0460</t>
  </si>
  <si>
    <t>0218410</t>
  </si>
  <si>
    <t>8410</t>
  </si>
  <si>
    <t>0830</t>
  </si>
  <si>
    <t>Фінансова підтримка засобів масової інформації</t>
  </si>
  <si>
    <t>0219710</t>
  </si>
  <si>
    <t>9710</t>
  </si>
  <si>
    <t>Субвенція з місцевого бюджету на утримання об'єктів спільного користування чи ліквідацію негативних наслідків діяльності об'єктів спільного користування</t>
  </si>
  <si>
    <t>0210180</t>
  </si>
  <si>
    <t>Інша діяльність у сфері державного управління</t>
  </si>
  <si>
    <t>Надання пільг на оплату житлово-комунальних послуг окремим категоріям громадян відповідно до законодавства</t>
  </si>
  <si>
    <t>0813011</t>
  </si>
  <si>
    <t>3011</t>
  </si>
  <si>
    <t>3041</t>
  </si>
  <si>
    <t>3042</t>
  </si>
  <si>
    <t>3043</t>
  </si>
  <si>
    <t>3044</t>
  </si>
  <si>
    <t>3045</t>
  </si>
  <si>
    <t>3046</t>
  </si>
  <si>
    <t>3047</t>
  </si>
  <si>
    <t>Надання допомоги при усиновленні дитини</t>
  </si>
  <si>
    <t>0813041</t>
  </si>
  <si>
    <t>0813042</t>
  </si>
  <si>
    <t>0813043</t>
  </si>
  <si>
    <t>0813044</t>
  </si>
  <si>
    <t>0813045</t>
  </si>
  <si>
    <t>0813046</t>
  </si>
  <si>
    <t>0813047</t>
  </si>
  <si>
    <t>3050</t>
  </si>
  <si>
    <t>3090</t>
  </si>
  <si>
    <t>0813012</t>
  </si>
  <si>
    <t>3012</t>
  </si>
  <si>
    <t>Надання пільг на придбання твердого та рідкого пічного побутового палива і скрапленого газу окремим категоріям громадян відповідно до законодавства</t>
  </si>
  <si>
    <t>0813021</t>
  </si>
  <si>
    <t>3021</t>
  </si>
  <si>
    <t>0813022</t>
  </si>
  <si>
    <t>3022</t>
  </si>
  <si>
    <t>0813050</t>
  </si>
  <si>
    <t>0813090</t>
  </si>
  <si>
    <t>Заходи з організації рятування на водах</t>
  </si>
  <si>
    <t>1218120</t>
  </si>
  <si>
    <t>8120</t>
  </si>
  <si>
    <t>0320</t>
  </si>
  <si>
    <t>2717630</t>
  </si>
  <si>
    <t>Реалізація програм і заходів в галузі зовнішньоекономічної діяльності</t>
  </si>
  <si>
    <t>7630</t>
  </si>
  <si>
    <t>Інші заходи, пов'язані з економічною діяльністю</t>
  </si>
  <si>
    <t>2717693</t>
  </si>
  <si>
    <t>7693</t>
  </si>
  <si>
    <t>Сприяння розвитку малого та середнього підприємництва</t>
  </si>
  <si>
    <t>0411</t>
  </si>
  <si>
    <t>2717610</t>
  </si>
  <si>
    <t>7610</t>
  </si>
  <si>
    <t>Реалізація інших заходів щодо соціально-економічного розвитку територій</t>
  </si>
  <si>
    <t>0813230</t>
  </si>
  <si>
    <t>0813160</t>
  </si>
  <si>
    <t>3160</t>
  </si>
  <si>
    <t>3104</t>
  </si>
  <si>
    <t>3105</t>
  </si>
  <si>
    <t>0813104</t>
  </si>
  <si>
    <t>0813105</t>
  </si>
  <si>
    <t>0813031</t>
  </si>
  <si>
    <t>3031</t>
  </si>
  <si>
    <t>Надання інших пільг окремим категоріям громадян відповідно до законодавства</t>
  </si>
  <si>
    <t>0813032</t>
  </si>
  <si>
    <t>3032</t>
  </si>
  <si>
    <t>3035</t>
  </si>
  <si>
    <t>0813033</t>
  </si>
  <si>
    <t>3033</t>
  </si>
  <si>
    <t>0813035</t>
  </si>
  <si>
    <t>0813036</t>
  </si>
  <si>
    <t>3036</t>
  </si>
  <si>
    <t>1216011</t>
  </si>
  <si>
    <t>6011</t>
  </si>
  <si>
    <t>Експлуатація та технічне обслуговування житлового фонду</t>
  </si>
  <si>
    <t>0620</t>
  </si>
  <si>
    <t>1216017</t>
  </si>
  <si>
    <t>6017</t>
  </si>
  <si>
    <t xml:space="preserve">Інша діяльність, пов’язана з експлуатацією об’єктів житлово-комунального господарства </t>
  </si>
  <si>
    <t>1216013</t>
  </si>
  <si>
    <t>6013</t>
  </si>
  <si>
    <t>Забезпечення діяльності водопровідно-каналізаційного господарства</t>
  </si>
  <si>
    <t>1216030</t>
  </si>
  <si>
    <t>6030</t>
  </si>
  <si>
    <t>Організація благоустрою населених пунктів</t>
  </si>
  <si>
    <t>1217426</t>
  </si>
  <si>
    <t>7426</t>
  </si>
  <si>
    <t>Інші заходи у сфері електротранспорту</t>
  </si>
  <si>
    <t>0453</t>
  </si>
  <si>
    <t>1217461</t>
  </si>
  <si>
    <t>7461</t>
  </si>
  <si>
    <t>Утримання та розвиток автомобільних доріг та дорожньої інфраструктури за рахунок коштів місцевого бюджету</t>
  </si>
  <si>
    <t>0456</t>
  </si>
  <si>
    <t>1217640</t>
  </si>
  <si>
    <t>1218110</t>
  </si>
  <si>
    <t>8110</t>
  </si>
  <si>
    <t>1216020</t>
  </si>
  <si>
    <t>6020</t>
  </si>
  <si>
    <t>Забезпечення функціонування підприємств, установ та організацій, що виробляють, виконують та/або надають житлово-комунальні послуги</t>
  </si>
  <si>
    <t>Членські внески до асоціацій органів місцевого самоврядування</t>
  </si>
  <si>
    <t>0217680</t>
  </si>
  <si>
    <t>7680</t>
  </si>
  <si>
    <t>1216015</t>
  </si>
  <si>
    <t>6015</t>
  </si>
  <si>
    <t>Забезпечення надійної та безперебійної експлуатації ліфтів</t>
  </si>
  <si>
    <t>0443</t>
  </si>
  <si>
    <t>1217310</t>
  </si>
  <si>
    <t>7310</t>
  </si>
  <si>
    <r>
      <t>Будівництвоˈ об'єктів житлово-комунального господарства</t>
    </r>
    <r>
      <rPr>
        <sz val="36"/>
        <rFont val="Calibri"/>
        <family val="2"/>
        <charset val="204"/>
      </rPr>
      <t>ˈ</t>
    </r>
  </si>
  <si>
    <r>
      <t xml:space="preserve">1 </t>
    </r>
    <r>
      <rPr>
        <sz val="20"/>
        <rFont val="Times New Roman"/>
        <family val="1"/>
        <charset val="204"/>
      </rPr>
      <t>Будівни́цтво — спорудження нового об'єкта, реконструкція, розширення, добудова, реставрація об'єктів, виконання монтажних робіт за рахунок власних коштів місцевих бюджетів.</t>
    </r>
  </si>
  <si>
    <t>1217670</t>
  </si>
  <si>
    <t>Здійснення  заходів із землеустрою</t>
  </si>
  <si>
    <t>3617130</t>
  </si>
  <si>
    <t>7130</t>
  </si>
  <si>
    <t>0421</t>
  </si>
  <si>
    <t>1617350</t>
  </si>
  <si>
    <t>7350</t>
  </si>
  <si>
    <t>Розроблення схем планування та забудови територій (містобудівної документації)</t>
  </si>
  <si>
    <t>2818311</t>
  </si>
  <si>
    <t>8311</t>
  </si>
  <si>
    <t>2818330</t>
  </si>
  <si>
    <t>8330</t>
  </si>
  <si>
    <t xml:space="preserve">Інша діяльність у сфері екології та охорони природних ресурсів </t>
  </si>
  <si>
    <t>Будівництвоˈ  освітніх установ та закладів</t>
  </si>
  <si>
    <t>1517321</t>
  </si>
  <si>
    <t>7321</t>
  </si>
  <si>
    <t>1517325</t>
  </si>
  <si>
    <t>7325</t>
  </si>
  <si>
    <t>Будівництвоˈ споруд, установ та закладів фізичної культури і спорту</t>
  </si>
  <si>
    <t>Будівництвоˈ інших об'єктів соціальної та виробничої інфраструктури комунальної власності</t>
  </si>
  <si>
    <t>1517330</t>
  </si>
  <si>
    <t>7330</t>
  </si>
  <si>
    <t>Додаток  № 7</t>
  </si>
  <si>
    <t xml:space="preserve">до рішення № </t>
  </si>
  <si>
    <t xml:space="preserve">від    </t>
  </si>
  <si>
    <t>Перелік природоохоронних заходів,</t>
  </si>
  <si>
    <t>які будуть фінансуватися з міського фонду охорони</t>
  </si>
  <si>
    <t>№ п/п</t>
  </si>
  <si>
    <t>Код КПКВ</t>
  </si>
  <si>
    <t>Заходи, на які виділяються кошти</t>
  </si>
  <si>
    <t>ВСЬОГО</t>
  </si>
  <si>
    <t xml:space="preserve">С. Ямчук </t>
  </si>
  <si>
    <t>Будівництвоˈ об'єктів житлово-комунального господарства</t>
  </si>
  <si>
    <t>Реконструкція прв. Перемоги з улаштуванням виїзду на вул.Свободи</t>
  </si>
  <si>
    <t xml:space="preserve">Будівництво внутрішньоквартального проїзду від вул.Залізняка до будинку 16/2 по вул.Лісогринівецькій </t>
  </si>
  <si>
    <t>Розробка проектно-кошторисної документації на реконструкцію парку культури та відпочинку ім. М.Чекмана</t>
  </si>
  <si>
    <t>План зонування території міста Хмельницького (зонінг)</t>
  </si>
  <si>
    <t>Виготовлення актів добору земельної ділянки, яка або право на яку виставляються на земельні торги</t>
  </si>
  <si>
    <t>Проведення експертної грошової оцінки земельної ділянки несільськогосподарського призначення</t>
  </si>
  <si>
    <r>
      <t xml:space="preserve">1 </t>
    </r>
    <r>
      <rPr>
        <sz val="10"/>
        <rFont val="Times New Roman"/>
        <family val="1"/>
        <charset val="204"/>
      </rPr>
      <t>Будівни́цтво — спорудження нового об'єкта, реконструкція, розширення, добудова, реставрація об'єктів, виконання монтажних робіт за рахунок власних коштів місцевих бюджетів.</t>
    </r>
  </si>
  <si>
    <t>Реконструкція каналізаційно-насосної станції з мережами водопроводу та каналізації в мікрорайоні "Лезнево" м.Хмельницький</t>
  </si>
  <si>
    <t>0217670</t>
  </si>
  <si>
    <t>%</t>
  </si>
  <si>
    <t>Субвенція з місцевого бюджету на виплату допомоги сім'ям з дітьми, малозабезпеченим сім'ям, особам, які не мають права на пенсію, особам з інвалідністю, дітям з інвалідністю, тимчасової державної допомоги дітям, тимчасової державної соціальної допомоги непрацюючій особі, яка досягла загального пенсійного віку, але не набула права на пенсійну виплату, та допомоги по догляду за особами з інвалідністю I чи II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 за рахунок відповідної субвенції з державного бюджету </t>
  </si>
  <si>
    <t xml:space="preserve">Субвенція з місцевого бюджету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вивезення побутового сміття та рідких нечистот за рахунок відповідної субвенції з державного бюджету </t>
  </si>
  <si>
    <t>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t>
  </si>
  <si>
    <t>Субвенція з місцевого бюджету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 за рахунок відповідної субвенції з державного бюджету</t>
  </si>
  <si>
    <t>Забезпечення діяльності інших закладів у сфері освіти</t>
  </si>
  <si>
    <t>0611161</t>
  </si>
  <si>
    <t>1161</t>
  </si>
  <si>
    <t>Забезпечення діяльності інших закладів у сфері охорони здоров’я</t>
  </si>
  <si>
    <t>Інші програми та заходи у сфері охорони здоров’я</t>
  </si>
  <si>
    <t>0712151</t>
  </si>
  <si>
    <t>0712152</t>
  </si>
  <si>
    <t>2151</t>
  </si>
  <si>
    <t>2152</t>
  </si>
  <si>
    <t>Надання допомоги по догляду за особами з інвалідністю I чи II групи внаслідок психічного розладу</t>
  </si>
  <si>
    <t>Видатки на поховання учасників бойових дій та осіб з інвалідністю внаслідок війни</t>
  </si>
  <si>
    <t xml:space="preserve">Надання реабілітаційних послуг особам з інвалідністю та дітям з інвалідністю </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</si>
  <si>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</si>
  <si>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0813171</t>
  </si>
  <si>
    <t>3171</t>
  </si>
  <si>
    <t>0813172</t>
  </si>
  <si>
    <t>3172</t>
  </si>
  <si>
    <t>0813192</t>
  </si>
  <si>
    <t>3192</t>
  </si>
  <si>
    <t>Виплата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дитячих будинках</t>
  </si>
  <si>
    <t>сімейного типу та прийомних сім'ях за принципом "гроші ходять за дитиною" та оплату послуг із здійснення патронату над дитиною та виплата соціальної допомоги на утримання дитини в сім’ї патронатного вихователя</t>
  </si>
  <si>
    <t>0813241</t>
  </si>
  <si>
    <t>0813242</t>
  </si>
  <si>
    <t>3241</t>
  </si>
  <si>
    <t>3242</t>
  </si>
  <si>
    <t>Забезпечення діяльності інших закладів у сфері соціального захисту і соціального забезпечення</t>
  </si>
  <si>
    <t>Інші заходи у сфері соціального захисту і соціального забезпечення</t>
  </si>
  <si>
    <t xml:space="preserve">Забезпечення діяльності інших закладів в галузі культури і мистецтва </t>
  </si>
  <si>
    <t>1014081</t>
  </si>
  <si>
    <t>4081</t>
  </si>
  <si>
    <t>1014082</t>
  </si>
  <si>
    <t>4082</t>
  </si>
  <si>
    <t>Інші заходи в галузі культури і мистецтва</t>
  </si>
  <si>
    <t>Інші програми та заходи у сфері освіти</t>
  </si>
  <si>
    <t>0611162</t>
  </si>
  <si>
    <t>1162</t>
  </si>
  <si>
    <t>7691</t>
  </si>
  <si>
    <t>0217691</t>
  </si>
  <si>
    <t>Заходи із запобігання та ліквідації надзвичайних ситуацій та наслідків стихійного лиха</t>
  </si>
  <si>
    <t>Витрати, пов’язані з наданням та обслуговуванням пільгових довгострокових кредитів, наданих громадянам на будівництво/реконструкцію/придбання житла</t>
  </si>
  <si>
    <t>0610</t>
  </si>
  <si>
    <t>6084</t>
  </si>
  <si>
    <t>1116084</t>
  </si>
  <si>
    <t xml:space="preserve">Кошти від продажу земельних ділянок  несільськогосподарського призначення, що перебувають у державній або комунальній власності </t>
  </si>
  <si>
    <t xml:space="preserve">Інші субвенції з місцевого  бюджету, в тому числі: </t>
  </si>
  <si>
    <t xml:space="preserve">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дотації з державного бюджету </t>
  </si>
  <si>
    <t xml:space="preserve">Дотації з місцевих бюджетів іншим місцевим бюджетам </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</si>
  <si>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фонди, утворені Верховною Радою Автономної Республіки Крим, органами</t>
  </si>
  <si>
    <t xml:space="preserve">  місцевого самоврядування і місцевими органами виконавчої влади</t>
  </si>
  <si>
    <t>Амбулаторно-поліклінічна допомога населенню, крім первинної медичної допомоги</t>
  </si>
  <si>
    <t>0726</t>
  </si>
  <si>
    <t>0813083</t>
  </si>
  <si>
    <t>3083</t>
  </si>
  <si>
    <t>Надання державної соціальної допомоги особам з інвалідністю з дитинства та дітям з інвалідністю</t>
  </si>
  <si>
    <t>0813081</t>
  </si>
  <si>
    <t>3081</t>
  </si>
  <si>
    <t>0813085</t>
  </si>
  <si>
    <t>3085</t>
  </si>
  <si>
    <t>0813084</t>
  </si>
  <si>
    <t>3084</t>
  </si>
  <si>
    <t>Надання тимчасової державної соціальної допомоги непрацюючій особі, яка досягла загального пенсійного віку, але не набула права на пенсійну виплату</t>
  </si>
  <si>
    <t>Надання щомісячної компенсаційної виплати непрацюючій працездатній особі, яка доглядає за особою з інвалідністю I групи, а також за особою, яка досягла 80-річного віку</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</si>
  <si>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</si>
  <si>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Встановлення телефонів особам з інвалідністю I і II груп</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</si>
  <si>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</si>
  <si>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3180</t>
  </si>
  <si>
    <t>0813180</t>
  </si>
  <si>
    <t>Надання фінансової підтримки громадським організаціям ветеранів і осіб з інвалідністю, діяльність яких має соціальну спрямованість</t>
  </si>
  <si>
    <t>Проведення навчально-тренувальних зборів і змагань та заходів зі спорту осіб з інвалідністю</t>
  </si>
  <si>
    <t>2717370</t>
  </si>
  <si>
    <t>7370</t>
  </si>
  <si>
    <t>Будівництво на кладовищі надгробків на могилах загиблих учасників АТО</t>
  </si>
  <si>
    <t>1113133</t>
  </si>
  <si>
    <t>3133</t>
  </si>
  <si>
    <t>Інші заходи та заклади молодіжної політики</t>
  </si>
  <si>
    <t>Управління економіки Хмельницької міської ради (головний розпорядник)</t>
  </si>
  <si>
    <t>Управління економіки Хмельницької міської ради (відповідальний виконавець)</t>
  </si>
  <si>
    <t>Управління земельних ресурсів та земельної реформи департаменту архітектури, містобудування та земельних ресурсів (головний розпорядник)</t>
  </si>
  <si>
    <t>Управління земельних ресурсів та земельної реформи департаменту архітектури, містобудування та земельних ресурсів (відповідальний розпорядник)</t>
  </si>
  <si>
    <t xml:space="preserve">Зовнішнє фінансування </t>
  </si>
  <si>
    <t xml:space="preserve">Позики, надані міжнародними організаціями </t>
  </si>
  <si>
    <t>Одержано позик</t>
  </si>
  <si>
    <t xml:space="preserve">Погашено позик </t>
  </si>
  <si>
    <t>Зовнішні запозичення</t>
  </si>
  <si>
    <t xml:space="preserve">Середньострокові зобов"язання </t>
  </si>
  <si>
    <t xml:space="preserve">Погашення </t>
  </si>
  <si>
    <t>Зовнішні зобов"язання</t>
  </si>
  <si>
    <t>0170</t>
  </si>
  <si>
    <t>Обслуговування місцевого боргу</t>
  </si>
  <si>
    <t>0712144</t>
  </si>
  <si>
    <t>2144</t>
  </si>
  <si>
    <t>Централізовані заходи з лікування хворих на цукровий та
нецукровий діабет</t>
  </si>
  <si>
    <t>Відшкодування вартості лікарських засобів для лікування
окремих захворювань</t>
  </si>
  <si>
    <t>2146</t>
  </si>
  <si>
    <t>0712146</t>
  </si>
  <si>
    <t>1118841</t>
  </si>
  <si>
    <t>1118842</t>
  </si>
  <si>
    <t>8841</t>
  </si>
  <si>
    <t>8842</t>
  </si>
  <si>
    <t>9770</t>
  </si>
  <si>
    <t>Інші субвенції з місцевого бюджету</t>
  </si>
  <si>
    <t xml:space="preserve">Виготовлення проектно-кошторисної документації на будівництво багаторівневого паркінгу з вбудованими громадськими приміщеннями на вул. Проскурівського підпілля, 34 в м.Хмельницькому </t>
  </si>
  <si>
    <t>Програма створення та розвитку індустріального парку "Хмельницький"</t>
  </si>
  <si>
    <t>Програма підтримки книговидання місцевих авторів та популяризації української книги у м.Хмельницькому на 2018-2020 роки "Читай українською"</t>
  </si>
  <si>
    <t>6082</t>
  </si>
  <si>
    <t>Придбання житла для окремих категорій населення відповідно до законодавства</t>
  </si>
  <si>
    <t>0816082</t>
  </si>
  <si>
    <t>Створення цифрових інженерно-топографічних планів масштабу 1:2000 з цифровою точністю 1:500 та створення 3D будівель міста</t>
  </si>
  <si>
    <t>3617650</t>
  </si>
  <si>
    <t>7650</t>
  </si>
  <si>
    <t>Проведення експертної грошової оцінки земельної ділянки чи права на неї</t>
  </si>
  <si>
    <t>Проведення аерофототопографічної зйомки території міста Хмельницького</t>
  </si>
  <si>
    <t>Заходи з озеленення міста</t>
  </si>
  <si>
    <t>0813082</t>
  </si>
  <si>
    <t>3082</t>
  </si>
  <si>
    <t>Надання державної соціальної допомоги особам, які не мають права на пенсію, та особам з інвалідністю, державної соціальної допомоги на догляд</t>
  </si>
  <si>
    <t>Будівництво дошкільного навчального закладу на 120 місць по провулку Шостаковича, 28-А в м. Хмельницькому</t>
  </si>
  <si>
    <t>Реконструкція приміщень НВО №1 по вул. Старокостянтинівське шосе, 3Б в м. Хмельницькому (в тому числі коригування проектно-кошторисної документації)</t>
  </si>
  <si>
    <t xml:space="preserve">Будівництво Палацу спорту по вул.Прибузькій, 5/1А в м.Хмельницькому, в т.ч. виготовлення проектно-кошторисної документації </t>
  </si>
  <si>
    <t>Будівництво магістральної дороги на вул. Січових стрільців в м. Хмельницькому</t>
  </si>
  <si>
    <t>Реконструкція  вбудовано-прибудованої аптеки під адміністративне приміщення управління адміністративних послуг Хмельницької міської ради  по вул. Кам"янецькій, 38 в м. Хмельницькому</t>
  </si>
  <si>
    <t>Внески до статутного капіталу ХКП "Спецкомунтранс" (придбання контейнерів)</t>
  </si>
  <si>
    <t>Будівництво свердловини для господарсько-питного водопостачання ПНЗ ДЮОК "Чайка"</t>
  </si>
  <si>
    <t>Будівництво навчально-виховного комплексу на вул. Залізняка, 32 в м.Хмельницькому</t>
  </si>
  <si>
    <t>Будівництво самопливного і напірного колекторів та каналізаційної насосної станції продуктивністю 1500 куб.м/добу на житловому масиві "Лезнево 1,2" в м.Хмельницькому</t>
  </si>
  <si>
    <t>Виготовлення проектно-кошторисної документації  на будівництво переходу через залізницю в продовження Старокостянтинівського шосе в м.Хмельницькому</t>
  </si>
  <si>
    <t>Надання загальної середньої освіти загальноосвітніми навчальними закладами (в т. ч. школою-дитячим садком, інтернатом при школі), спеціалізованими школами, ліцеями, гімназіями, колегіумами</t>
  </si>
  <si>
    <t>Виготовлення проектно-кошторисної документації на будівництво  вулиці від вулиці Степана Бандери до вулиці Західно-Окружної в м. Хмельницькому</t>
  </si>
  <si>
    <t>Виготовлення проектно-кошторисної документації на будівництво вулиці  Лісогринівецької (від вул. С.Бандери до Старокостянтинівського шосе) в м. Хмельницькому</t>
  </si>
  <si>
    <t>Організація та проведення громадських робіт</t>
  </si>
  <si>
    <t>3210</t>
  </si>
  <si>
    <t>1050</t>
  </si>
  <si>
    <t>Управління капітального будівництва Департаменту архітектури, містобудування та земельних ресурсів Хмельницької міської ради (відповідальний виконавець)</t>
  </si>
  <si>
    <t>Управління капітального будівництва Департаменту архітектури, містобудування та земельних ресурсів Хмельницької міської ради (головний розпорядник)</t>
  </si>
  <si>
    <t xml:space="preserve">Реконструкція з добудовою їдальні до існуючого приміщення спеціалізованої загальноосвітньої школи І-ІІІ ступенів №8 по вул. Я.Гальчевського, 34 в м.Хмельницькому </t>
  </si>
  <si>
    <t xml:space="preserve">Плата за встановлення земельного сервітуту </t>
  </si>
  <si>
    <t xml:space="preserve">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t>
  </si>
  <si>
    <t>1119770</t>
  </si>
  <si>
    <t xml:space="preserve"> Реконструкція з добудовою приміщень Хмельницького ліцею №17 під спортивну залу на вул.Героїв Майдану, 5 в м.Хмельницькому (в т.ч. виготовлення проектно-кошторисної документації)</t>
  </si>
  <si>
    <t>1216012</t>
  </si>
  <si>
    <t>6012</t>
  </si>
  <si>
    <t>Забезпечення діяльності з виробництва, транспортування, постачання теплової енергії</t>
  </si>
  <si>
    <t xml:space="preserve">     Начальник фінансового управління</t>
  </si>
  <si>
    <t>Доходи  бюджету м. Хмельницького на 2019 рік</t>
  </si>
  <si>
    <t>на 2019 рік</t>
  </si>
  <si>
    <t>Залишок коштів на 01.01.2019 року</t>
  </si>
  <si>
    <t>Найменування згідно з Класифікацією фінансування бюджету</t>
  </si>
  <si>
    <t xml:space="preserve">Фінансування за типом кредитора </t>
  </si>
  <si>
    <t>Загальне фінансування</t>
  </si>
  <si>
    <t>Х</t>
  </si>
  <si>
    <t xml:space="preserve">Фінансування за типом боргового зобов'язання </t>
  </si>
  <si>
    <t>Усього</t>
  </si>
  <si>
    <t>усього</t>
  </si>
  <si>
    <t>у тому числі бюджет розвитку</t>
  </si>
  <si>
    <t xml:space="preserve">Фінансування бюджету міста Хмельницького на 2019 рік </t>
  </si>
  <si>
    <t>видатків бюджету міста Хмельницького на 2019 рік</t>
  </si>
  <si>
    <t>(грн.)</t>
  </si>
  <si>
    <t>С.Ямчук</t>
  </si>
  <si>
    <t xml:space="preserve">                      Начальник фінансового управління                                                 </t>
  </si>
  <si>
    <t>Код Типової програмної класифікації видатків та кредитування місцевих бюджетів</t>
  </si>
  <si>
    <t>Найменування головного розпорядника коштів бюджету міста Хмельницького / 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</si>
  <si>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Кредитування бюджету міста Хмельницького у 2019 році</t>
  </si>
  <si>
    <t>загальний фонд</t>
  </si>
  <si>
    <t>спеціальний фонд</t>
  </si>
  <si>
    <t>разом</t>
  </si>
  <si>
    <t>Кредитування, усього</t>
  </si>
  <si>
    <t>Код Функціональної класифікації видатків та кредитування бюджету</t>
  </si>
  <si>
    <t>УСЬОГО</t>
  </si>
  <si>
    <t>Розподіл коштів бюджету розвитку за об'єктами у 2019 році</t>
  </si>
  <si>
    <t>5</t>
  </si>
  <si>
    <t>6</t>
  </si>
  <si>
    <t>7</t>
  </si>
  <si>
    <t>8</t>
  </si>
  <si>
    <t>9</t>
  </si>
  <si>
    <t>10</t>
  </si>
  <si>
    <t>11</t>
  </si>
  <si>
    <t>12</t>
  </si>
  <si>
    <t>13</t>
  </si>
  <si>
    <t>14</t>
  </si>
  <si>
    <t>15</t>
  </si>
  <si>
    <t>16</t>
  </si>
  <si>
    <t>Найменування об’єкта відповідно  до проектно-кошторисної документації</t>
  </si>
  <si>
    <t>Строк реалізації об'єкта (рік початку і завершення)</t>
  </si>
  <si>
    <t>Загальна вартість об'єкта, гривень</t>
  </si>
  <si>
    <t>Обсяг видатків бюджету розвитку, гривень</t>
  </si>
  <si>
    <t>Рівень будівельної готовності об'єкта на кінець бюджетного періоду, %</t>
  </si>
  <si>
    <t>навколишнього природного середовища у 2019 році</t>
  </si>
  <si>
    <t>Розподіл витрат бюджету міста Хмельницького на реалізацію місцевих/регіональних програм у 2019 році</t>
  </si>
  <si>
    <t>(грн)</t>
  </si>
  <si>
    <t>Сума, грн</t>
  </si>
  <si>
    <t xml:space="preserve">Відшкодування витрат, понесених комунальним підприємством "Чайка", на надання  лазневих послуг на пільгових умовах учасникам  бойових дій та інвалідам війни, які зареєстровані у м.Хмельницькому </t>
  </si>
  <si>
    <t>Найменування місцевої/регіональної програми</t>
  </si>
  <si>
    <t>Додаток №8</t>
  </si>
  <si>
    <t>Дата та номер документа, яким затверджено місцеву/регіональну програму</t>
  </si>
  <si>
    <t>Виготовлення проектно-кошторисної документації на будівництво міжквартального проїзду між вулицями Зарічанською та Прибузькою (повз стадіону Політехнічного коледжу) у м.Хмельницькому</t>
  </si>
  <si>
    <t>Наукові дослідження, проектні та проектно-конструкторські розроблення (виготовлення проекту на установлення обладнання для очищення газопилового потоку від забруднюючих речовин, що викидається в атмосферне повітря)</t>
  </si>
  <si>
    <t>Заходи щодо відновлення і підтримання сприятливого гідрологічного режиму та санітарного стану водойм міста - капітальний ремонт гідроспоруди на річці Південний Буг в районі вул.Трудової з розробкою проектно-кошторисної документації</t>
  </si>
  <si>
    <t>Придбання систем, приладів для здійснення контролю за якістю поверхневих та підземних вод на території міста (придбання муфельної печі ФНОЛ7.2/1100 для лабораторних досліджень питної води)</t>
  </si>
  <si>
    <t>Проведення науково-технічних конференцій і семінарів, організація виставок, фестивалів та інших заходів щодо пропаганди охорони навколишнього природного середовища, видання поліграфічної продукції з екологічної тематики тощо</t>
  </si>
  <si>
    <t>Розроблення проекту землеустрою щодо встановлення меж міста Хмельницького</t>
  </si>
  <si>
    <t xml:space="preserve">Створення цифрових інженерно-топографічних планів масштабу 1:2000 з цифровою точністю 1:500 території міста Хмельницький та створення 3D моделей будівель міста </t>
  </si>
  <si>
    <t>2017 - 2020 роки</t>
  </si>
  <si>
    <t>Рішення 6-ї сесії Хмельницької міської ради від 18.05.2016 року №16</t>
  </si>
  <si>
    <t xml:space="preserve">Програма
підтримки обдарованих дітей м.Хмельницького 
</t>
  </si>
  <si>
    <t>Рішення 19-ї сесії Хмельницької міської ради від 21.02.2001 року №6</t>
  </si>
  <si>
    <t>Будівництво пандусу на території стадіону Рекреаційного центру "Берег надії" за адресою вул. Підлісна 4/1, с. Головчинці Летичівського району Хмельницької області (в т.ч. виготовлення ПКД)</t>
  </si>
  <si>
    <t>0817323</t>
  </si>
  <si>
    <t>7323</t>
  </si>
  <si>
    <t>Будівництвоˈ установ та закладів соціальної сфери</t>
  </si>
  <si>
    <t>Будівництво приміщення відділення тимчасового цілодобового перебування Хмельницького міського територіального центру соціального обслуговування (надання соціальних послуг) по вул. Перемоги, 7-А в м.Хмельницькому</t>
  </si>
  <si>
    <t>Рішення 11-ї сесії Хмельницької міської ради від 25.01.2017 року №20</t>
  </si>
  <si>
    <t>Рішення 20-ї сесії Хмельницької міської ради від 31.01.2018 року №82</t>
  </si>
  <si>
    <t>Рішення позачергової 10-ї сесії Хмельницької міської ради від 29.12.2016 року №1</t>
  </si>
  <si>
    <t>Внески до статутного капіталу комунального підприємства по будівництву, ремонту та експлуатації доріг (Придбання вакуумногодорожньо-прибирального причіпу)</t>
  </si>
  <si>
    <t>Внески до статутного капіталу МКП "Хмельницькводоканал" (на виготовлення проектно-кошторисної документації з будівництва сучасних каналізаційних очисних споруд господарсько-побутових стоків м. Хмельницький, вул. Вінницьке шосе, 135)</t>
  </si>
  <si>
    <t>Оформлення передплати на газети організаціям інвалідів, ветеранів війни і праці, окремим категоріям громадян</t>
  </si>
  <si>
    <t>Рішення позачергової 10-ї сесії Хмельницької міської ради від 29.12.2016 року №4</t>
  </si>
  <si>
    <t>Рішення 19-ї сесії Хмельницької міської ради від 27.12.2017 року №25</t>
  </si>
  <si>
    <t>Будівництво мережі каналізації ЗОШ №19 м.р. Ружична м.Хмельницький</t>
  </si>
  <si>
    <t>Рішення позачергової 10-ї сесії Хмельницької міської ради від 29.12.2016 року №2</t>
  </si>
  <si>
    <t>1217413</t>
  </si>
  <si>
    <t>7413</t>
  </si>
  <si>
    <t>0451</t>
  </si>
  <si>
    <t>Інші заходи у сфері автотранспорту</t>
  </si>
  <si>
    <t>0810160</t>
  </si>
  <si>
    <t>0710160</t>
  </si>
  <si>
    <t>Програма утримання та розвитку житлово-комунального господарства та благоустрою м.Хмельницького на 2017-2020 роки</t>
  </si>
  <si>
    <t>Програма співфінансування робіт з капітального ремонту багатоквартирних житлових будинків міста Хмельницького на 2017-2022 роки</t>
  </si>
  <si>
    <t>Програма розвитку міського електротранспорту м. Хмельницького на 2016-2020 роки</t>
  </si>
  <si>
    <t>Програма утримання та розвитку житлово-комунального господарства та благоустрою м.Хмельницького на 2017-2020 роки                      Програма сприяння впровадження відновлювальних джерел енергії власниками приватних житлових будинків м. Хмельницького на 2018-2029 роки</t>
  </si>
  <si>
    <t>Рішення позачергової 10-ї сесії Хмельницької міської ради від 29.12.2016 року № 6</t>
  </si>
  <si>
    <t>Рішення шістнадцятої сесії Хмельницької міської ради від 12.07.2017 року № 6</t>
  </si>
  <si>
    <t>Програми часткового відшкодування відсоткових ставок за залученими кредитами, що надаються фізичним особам, об’єднанням співвласників багатоквартирних будинків та житлово-будівельним кооперативам на заходи з підвищення енергоефективності на 2018-2021 роки</t>
  </si>
  <si>
    <t>Рішення 6-ї сесії Хмельницької міської ради від 18.05.2016 року № 37</t>
  </si>
  <si>
    <t>Рішення 19-ї сесії Хмельницької міської ради від 27.12.2017 р. № 40</t>
  </si>
  <si>
    <t>Програма відшкодування частини кредитів, отриманих ОСБб, ЖБК на впровадження відновлювальних джерел енергії та заходів з енергозбереження, термомодернізації багатоквартирних житлових будинків у м. Хмельницькому на 2018-2022 роки</t>
  </si>
  <si>
    <t>Рішення 4-ї сесії Хмельницької міськї ради від 27.01.2016 року №57</t>
  </si>
  <si>
    <t>1510160</t>
  </si>
  <si>
    <t>3610160</t>
  </si>
  <si>
    <t>1610160</t>
  </si>
  <si>
    <t>3710160</t>
  </si>
  <si>
    <t>1210160</t>
  </si>
  <si>
    <t>2810160</t>
  </si>
  <si>
    <t>Рішення 48-ї сесії Хмельницької міської ради від 04.03.2015 року №80</t>
  </si>
  <si>
    <t>Програма впровадження електронного урядування у Хмельницькій  міській раді на 2015-2020 роки (із змінами і доповненнями)</t>
  </si>
  <si>
    <t>Рішення 19-ї сесії Хмельницької міської ради від 27.12.2017 року №48</t>
  </si>
  <si>
    <t>Програма розвитку міського комунального підприємства "Муніципальна телерадіокомпанія "Місто"" на 2017-2020 роки (із змінами і доповненнями)</t>
  </si>
  <si>
    <t>0817691</t>
  </si>
  <si>
    <t>1217691</t>
  </si>
  <si>
    <t>Рішення 8-ї сесії Хмельницької міської ради від 21.09.2016 року №3</t>
  </si>
  <si>
    <t>Програма бюджетування за участі громадськості (Бюджет участі) міста Хмельницького на 2017-2019 роки (із змінами і доповненнями)</t>
  </si>
  <si>
    <t>Рішення 21-ї сесії Хмельницької міської ради від 11.04.2018 року №11</t>
  </si>
  <si>
    <t>Програма міжнародного співробітництва та промоції міста Хмельницького на 2016-2020 роки (із змінами і доповненнями)</t>
  </si>
  <si>
    <t>Рішення 7-ї сесії Хмельницької міської ради від 20.07.2016 року №76</t>
  </si>
  <si>
    <t>Внески до статутного капіталу ХКП "Спецкомунтранс" (придбання обладнання)</t>
  </si>
  <si>
    <t>Програма розвитку освіти міста Хмельницького на 2017-2021 роки (із змінами і доповненнями)</t>
  </si>
  <si>
    <t>Комплексна програма «Піклування» в м.Хмельницькому на 2017 - 2021 роки (із змінами і доповненнями)</t>
  </si>
  <si>
    <t>Програми соціальної підтримки учасників АТО, учасників Революції Гідності, бійців-добровольців АТО у м. Хмельницькому та членів їх сімей на 2018 - 2020 рр. (із змінами і доповненнями)</t>
  </si>
  <si>
    <t>Програми соціальної підтримки учасників АТО, учасників Революції Гідності, бійців-добровольців АТО у м. Хмельницькому та членів їх сімей на 2018 - 2020 рр.  (із змінами і доповненнями)</t>
  </si>
  <si>
    <t>Програма реалізації молодіжної політики та розвитку фізичної культури і спорту у м.Хмельницькому на 2017 - 2021 роки (із змінами і доповненнями)</t>
  </si>
  <si>
    <t>Програма охорони довкілля міста Хмельницького на 2016-2020 роки</t>
  </si>
  <si>
    <t>Рішення 5-ї сесії Хмельницької міської ради від 16.0.2016 року №31  (із змінами і доповненнями)</t>
  </si>
  <si>
    <t>у тому числі  бюджет розвитку</t>
  </si>
  <si>
    <t xml:space="preserve">Усього доходів </t>
  </si>
  <si>
    <t>Офіційні трансферти</t>
  </si>
  <si>
    <t xml:space="preserve">Внески до статутного капіталу МКП "Хмельницькводоканал" (на виготовлення проектно-кошторисної документації з реконструкції ГКНС з переоснащенням системи вентиляції, опалення, будівельних конструкцій і комунікацій </t>
  </si>
  <si>
    <t>Внески до статутного капіталу МКП "Хмельницькводоканал" (на виготовлення проектно-кошторисної документації на будівництво мереж каналізації від прв. Гавришка, 29/1 до вул. Вигодовського, 41 м-н Ружична м. Хмельницький</t>
  </si>
  <si>
    <t>План зонування території міста Хмельницький (зонінг)</t>
  </si>
  <si>
    <t>2019 рік</t>
  </si>
  <si>
    <t>Додаток 9 до рішення  </t>
  </si>
  <si>
    <t>ПЕРЕЛІК </t>
  </si>
  <si>
    <t>кредитів (позик), що залучаються Хмельницькою міською радою до спеціального фонду місцевого бюджету у 2019 році від міжнародних фінансових організацій для реалізації інвестиційних проектів</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</si>
  <si>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</si>
  <si>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</si>
  <si>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</si>
  <si>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місцевого бюджету/відповідального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</si>
  <si>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кредитора</t>
  </si>
  <si>
    <t>Найменування інвестиційного проекту, що реалізується за рахунок кредиту (позики)</t>
  </si>
  <si>
    <t>Номер та дата договору</t>
  </si>
  <si>
    <t>Термін кредитування</t>
  </si>
  <si>
    <t>Загальний обсяг кредиту (позики)</t>
  </si>
  <si>
    <t>Обсяг залучення кредиту (позики) у плановому році, тис. гривень</t>
  </si>
  <si>
    <t>назва валюти, в якій залучається кредит (позика) </t>
  </si>
  <si>
    <t>загальний обсяг кредиту (позики), тис. одиниць </t>
  </si>
  <si>
    <t>загальний обсяг залучення кредиту (позики), тис. гривень </t>
  </si>
  <si>
    <t>Департамент освіти та науки ХМР</t>
  </si>
  <si>
    <t xml:space="preserve">НЕФКО </t>
  </si>
  <si>
    <t>Підвищення енергетичної ефективності закладів бюджетної сфери міста Хмельницького</t>
  </si>
  <si>
    <t xml:space="preserve"> № ESC 2/16 27.12.2016 р.</t>
  </si>
  <si>
    <t>5 років</t>
  </si>
  <si>
    <t>гривня</t>
  </si>
  <si>
    <t>×</t>
  </si>
  <si>
    <t xml:space="preserve">Субвенція з місцевого бюджету на здійснення переданих видатків у сфері охорони здоров"я за рахунок коштів медичної субвенції </t>
  </si>
  <si>
    <t xml:space="preserve">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 </t>
  </si>
  <si>
    <t>0813210</t>
  </si>
  <si>
    <t>Секретар міської ради                                                                                                                                                                               М. Кривак</t>
  </si>
  <si>
    <t>2006 - 2020 роки</t>
  </si>
  <si>
    <t>2018 - 2019 роки</t>
  </si>
  <si>
    <t>2016 - 2019 роки</t>
  </si>
  <si>
    <t>2012 - 2019 роки</t>
  </si>
  <si>
    <t>2018 - 2020 роки</t>
  </si>
  <si>
    <t>2015 - 2019 роки</t>
  </si>
  <si>
    <t>2013 - 2020 роки</t>
  </si>
  <si>
    <t>Будівництво пандусу для забезпечення доступності до території стадіону та ігрових майданчиків Рекреаційного центру "Берег надії" за адресою вул. Підлісна 4/1, с. Головчинці Летичівського району Хмельницької області (в т.ч. виготовлення ПКД)</t>
  </si>
  <si>
    <t>Будівництво спортивного майданчика для міні-футболу зі штучним покриттям на території Хмельницької спеціалізованої загальноосвітньої школи № 19 І-ІІІ ступенів імені академіка Михайла Павловського по вул. Кам’янецька, 164 у м. Хмельницькому</t>
  </si>
  <si>
    <t xml:space="preserve">   - на  забезпечення медикаментами відділень Хмельницької міської дитячої лікарні </t>
  </si>
  <si>
    <t xml:space="preserve">Субвенція з місцевого бюджету на здійснення переданих видатків у сфері освіти за рахунок коштів  освітньої субвенції ( на оплату праці з нарахуваннями педагогічних працівників інклюзивно-ресурсних центрів) </t>
  </si>
  <si>
    <t xml:space="preserve">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(підтримка осіб з особливими освітніми потребами) </t>
  </si>
  <si>
    <t>Попередження виникнення надзвичайних ситуацій та забезпечення  пожежної і техногенної безпеки об"єктів усіх форм власності,розвитку інфраструктури пожежно-рятувальних підрозділів у м.Хмельницькому на 2016-2020 роки</t>
  </si>
  <si>
    <t xml:space="preserve"> сімейного типу та прийомних сім'ях за принципом "гроші ходять за дитиною" та оплата послуг із здійснення патронату над дитиною та виплата соціальної допомоги на утримання дитини в сім'ї патронатного вихователя,</t>
  </si>
  <si>
    <t>підтримка малих групових будинків</t>
  </si>
  <si>
    <t>Будівництво 1 інших об'єктів комунальної власності</t>
  </si>
  <si>
    <t>Надання довгострокових кредитів громадянам на будівництво/реконструкцію/придбання житла</t>
  </si>
  <si>
    <t>Повернення довгострокових кредитів, наданих громадянам на будівництво/реконструкцію/придбання житла</t>
  </si>
  <si>
    <t>Програма зайнятості населення м. Хмельницького на 2018 - 2020 роки</t>
  </si>
  <si>
    <t>Рішення 22-ї сесії Хмельницької міської ради від 04.0.2018 року №5</t>
  </si>
  <si>
    <t>Програма економічного та соціального розвитку міста Хмельницького на 2019 рік</t>
  </si>
  <si>
    <t>Рішення 27-ї сесії Хмельницької міської ради від 14.12.2018 року №14</t>
  </si>
  <si>
    <t>Рішення позачергової 10-ї сесії Хмельницької міської ради від 29.12.2016 року № 6                    Рішення 20-ї сесії Хмельницької міської ради від 31.01.2018 р. № 19</t>
  </si>
  <si>
    <t>Рішення позачергової 10-ї сесії Хмельницької міської ради від 29.12.2016 року № 6                     Рішення 19-ї сесії Хмельницької міської ради від 27.12.2017 р. № 39</t>
  </si>
  <si>
    <t xml:space="preserve">Програма розвитку підприємництва міста Хмельницького на 2019-2021 роки </t>
  </si>
  <si>
    <t>Рішення 27-ї сесії Хмельницької міської ради від 14.12.2018 року №16</t>
  </si>
  <si>
    <t>Програма фінансової підтримки комунальної установи Хмельницької міської ради "Агенція розвитку Хмельницького" на 2019-2021 роки</t>
  </si>
  <si>
    <t>Рішення 27-ї сесії Хмельницької міської ради від 14.12.2018 року №13</t>
  </si>
  <si>
    <t xml:space="preserve">Субвенція з державного бюджету місцевим бюджетам на здійснення заходів щодо соціально-економічного розвитку окремих територій </t>
  </si>
  <si>
    <t>Субвенція з місцевого бюджету за рахунок залишку коштів медичної субвенції, що утворився на початок бюджетного періоду</t>
  </si>
  <si>
    <t>Заходи щодо відновлення і підтримання сприятливого гідрологічного режиму та санітарного стану водойм міста: розроблення проектно-кошторисної документації "Капітальний ремонт, розчистка річки Південний Буг та водовідвідних каналів від вул. Трудової до Східної об‘їзної" з проходженням експертних процедур (ОВД, експертиза проекту тощо)</t>
  </si>
  <si>
    <t>Заходи щодо відновлення і підтримання сприятливого гідрологічного режиму та санітарного стану водойм міста: "Біологічна меліорація (зариблення водойм) в межах міста Хмельницького"</t>
  </si>
  <si>
    <t>2818320</t>
  </si>
  <si>
    <t>8320</t>
  </si>
  <si>
    <t>Проведення спеціальних заходів, спрямованих на запобігання знищенню чи пошкодженню природних комплексів територій та об‘єктів природно-заповідного фонду. Витрати на резервування територій для заповідання</t>
  </si>
  <si>
    <t>0611170</t>
  </si>
  <si>
    <t>1170</t>
  </si>
  <si>
    <t>Забезпечення діяльності інклюзивно-ресурсних центрів</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</si>
  <si>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</si>
  <si>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0613140</t>
  </si>
  <si>
    <t>3140</t>
  </si>
  <si>
    <t>Будівництво спортивного майданчика зі штучним покриттям НВК-4 по вул.Перемоги 3/1 в м.Хмельницькому, Хмельницької області</t>
  </si>
  <si>
    <t>1510180</t>
  </si>
  <si>
    <t>2019 - 2020 роки</t>
  </si>
  <si>
    <t>ПОТРІБНО ВНЕСТИ ЗМІНИ ПО ЗАГАЛЬНОМУ ФОНДУ</t>
  </si>
  <si>
    <t>1210180</t>
  </si>
  <si>
    <t>Стара назва: Спортивний майданчик на території СЗОШ І-ІІІ ступенів №6 по провулку Володимирський, 12,  м.Хмельницький - будівництво</t>
  </si>
  <si>
    <t>157370</t>
  </si>
  <si>
    <t>1515043</t>
  </si>
  <si>
    <t>Створення нових, будівельно-ремонтні роботи існуючих палаців спорту та завершення розпочатих у попередньому періоді робіт з будівництва/реконструкції палаців спорту</t>
  </si>
  <si>
    <t>5043</t>
  </si>
  <si>
    <t>Реконструкція з добудовою до приміщення середньої загальноосвітньої школи І-ІІІ ступенів №18 ім. В.Чорновола по вул. Кам"янецькій, 119 в м.Хмельницькому</t>
  </si>
  <si>
    <t xml:space="preserve">   Будівництво Льодового палацу  по вул.Прибузькій, 7/3А в м.Хмельницькому, в т.ч. виготовлення проектно-кошторисної документації</t>
  </si>
  <si>
    <t>Будівництво спеціалізованого залу боксу на території спортивного комплексу "Поділля" ДЮСШ №1 по вул.Проскурівській, 81  в м.Хмельницькому</t>
  </si>
  <si>
    <t>Будівництво підпірної стінки біля 130-ти квартирного житлового  будинку по вул.Лісогринівецькій,16 в м.Хмельницькому</t>
  </si>
  <si>
    <t>Будівництвоˈ інших об'єктів комунальної власності</t>
  </si>
  <si>
    <t>Збереження природно-заповідного фонду</t>
  </si>
  <si>
    <t>0520</t>
  </si>
  <si>
    <t>Внески до статутного капіталу МКП "Хмельницькводоканал" (будівництво мереж водопроводу по вул. Гунашевського, вул. Дубівська, вул. Білгородська, вул. Авіаційна, пров. Білгородський, пров. Авіаційний, пров. Дубівський, пров. Затишний, пров. Дачний та вул. О. Вишні в м. Хмельницький)</t>
  </si>
  <si>
    <t xml:space="preserve">Будівництво парку "Молодіжний" на вул. С. Бандери в м. Хмельницькому </t>
  </si>
  <si>
    <t>Внески до статутного капіталу ХКП "Спецкомунтранс" (виготовлення проектної документації на реконструкцію полігону твердих побутових відходів з метою запобігання виникнення надзвичайної екологічної ситуації за адресою м. Хмельницький вул. Проспект Миру, 7)</t>
  </si>
  <si>
    <t>Будівництво спортивного майданчика з штучним покриттям по пров. Володимирському, 12 в м. Хмельницькому</t>
  </si>
  <si>
    <t>Внески до статутного капіталу ХКП "Спецкомунтранс" (придбання земельної ділянки)</t>
  </si>
  <si>
    <t>Внески до статутного капіталу МКП "Хмельницькводоканал" (будівництво вуличного водопроводу по вул. Достоєвського від вул. Київська до прв. Достоєвського)</t>
  </si>
  <si>
    <t>Внески до статутного капіталу МКП "Хмельницькводоканал" (будівництво вуличних мереж водопостачання житлових будинків по пров. Старицького в м. Хмельницький)</t>
  </si>
  <si>
    <t>Внески до статутного капіталу МКП "Хмельницькводоканал" (будівництво вуличних мереж водопостачання житлових будинків по вул. Антона Шашкевича в м. Хмельницькій)</t>
  </si>
  <si>
    <t>Внески до статутного капіталу ХМКП "Муніципальна дружина" (Придбання нагрудних відеореєстраторів)</t>
  </si>
  <si>
    <t>Внески до статутного капіталу ХМКП "Муніципальна дружина" (Придбання автомобіля)</t>
  </si>
  <si>
    <t>Внески до статутного капіталу КП "Південно-Західні тепломережі" (Будівництво теплової мережі від ТК-111 до ТК - 114 по вул.Львівське шосе в м.Хмельницькому)</t>
  </si>
  <si>
    <t>Внески до статутного капіталу Міського комунального підприємства по утриманню нежитлових приміщень (капітальний ремонт приміщень міського військового комісаріату (Хмельницького міського територіального центру комплектації та соціальної підтримки) по вул. Проскурівській, 35 в м. Хмельницькому)</t>
  </si>
  <si>
    <t>1017670</t>
  </si>
  <si>
    <t>Реконструкція існуючої системи опалення Хмельницької ДМШ №3 по вул.Кармелюка, 8/1</t>
  </si>
  <si>
    <t>1217370</t>
  </si>
  <si>
    <t>Внески до статутного капіталу МКП "Хмельницькводоканал" (будівництво вуличних мереж водовідведення по вул.О.Кошового та Черняховського у м.Хмельницький)</t>
  </si>
  <si>
    <t>Внески до статутного капіталу МКП "Хмельницькводоканал" (будівництво вуличних мереж водовідведення напірних каналізаційних колекторів, каналізаційно- насосної станції, електропостачання КНС, мікрорайон Дубове у м.Хмельницький)</t>
  </si>
  <si>
    <t>Внески до статутного капіталу МКП "Хмельницькводоканал" (будівництво вуличних мереж водопостачання, мікрорайон Лезневе у м.Хмельницький)</t>
  </si>
  <si>
    <t xml:space="preserve">Управління з питань екології та контролю за благоустроєм міста Хмельницької міської ради (головний розпорядник) </t>
  </si>
  <si>
    <t xml:space="preserve">Управління з питань екології та контролю за благоустроєм міста Хмельницької міської ради (відповідальний виконавець) </t>
  </si>
  <si>
    <t>Управління архітектури та містобудування Департаменту архітектури, містобудування та земельних ресурсів Хмельницької міської ради (головний розпорядник)</t>
  </si>
  <si>
    <t>Управління архітектури та містобудування Департаменту архітектури, містобудування та земельних ресурсів Хмельницької міської ради (відповідальний виконавець)</t>
  </si>
  <si>
    <t>Управління земельних ресурсів та земельної реформи Департаменту архітектури, містобудування та земельних ресурсів Хмельницької міської ради (головний розпорядник)</t>
  </si>
  <si>
    <t>Управління земельних ресурсів та земельної реформи Департаменту архітектури, містобудування та земельних ресурсів Хмельницької міської ради (відповідальний розпорядник)</t>
  </si>
  <si>
    <t>0219770</t>
  </si>
  <si>
    <t>Субвенція з місцевого бюджету державному бюджету на виконання програм соціально-економічного розвитку регіонів</t>
  </si>
  <si>
    <t>0219800</t>
  </si>
  <si>
    <t>9800</t>
  </si>
  <si>
    <t>Будівництво мереж водопостачання вул.Молодіжної села Кошелівка Красилівського району Хмельницької області</t>
  </si>
  <si>
    <t>ПОТРІБНО ВНЕСТИ ЗМІНИ</t>
  </si>
  <si>
    <t>Програма висвітлення діяльності Хмельницької міської ради та її виконавчих органів на 2019 рік</t>
  </si>
  <si>
    <t>Рішення 29-ї сесії Хмельницької міської ради від 13.02.2019 року №103</t>
  </si>
  <si>
    <t>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(91 х 46) зі штучним покриттям по вулиці Шевченка, 46</t>
  </si>
  <si>
    <t>Рішення 20-ї сесії Хмельницької міської ради від 31.01.2018 року №2</t>
  </si>
  <si>
    <t>Програма
шефської допомоги військовим частинам Збройних Сил України, Національної гвардії України, які розташовані на території м. Хмельницького на 2018 - 2019 роки  (із змінами і доповненнями)</t>
  </si>
  <si>
    <t>Внески до статутного капіталу ХКП "Спецкомунтранс" (проектні роботи з оцінки впливу на довкілля (ОВНС) "Реконструкція полігону твердих побутових відходів з метою запобігання виникнення надзвичайної екологічної ситуації за адресою м. Хмельницький, вул. Проспект Миру, 7"</t>
  </si>
  <si>
    <t>Внески до статутного капіталу ХКП "Спецкомунтранс" (виготовлення містобудівного розрахунку по об`єкту: "Реконструкція полігону твердих побутових відходів за адресою м. Хмельницький, вул. Проспект Миру, 7")</t>
  </si>
  <si>
    <t>Рішення 6-ї сесії Хмельницької міської ради від 18.05.2016 року №3</t>
  </si>
  <si>
    <t>Програма
забезпечення охорони прав і свобод людини, профілактики злочинності та підтримання публічної безпеки і порядку на території міста Хмельницького на 2016 - 2020 роки (із змінами і доповненнями)</t>
  </si>
  <si>
    <t>Рішення 15-ї сесії Хмельницької міської ради від 31.05.2017 року №6</t>
  </si>
  <si>
    <t>Програма
щодо забезпечення належних комунально-побутових умов засуджених та осіб, узятих під варту, які утримуються в Хмельницькому слідчому ізоляторі, на 2017 - 2020 роки (із змінами і доповненнями)</t>
  </si>
  <si>
    <t>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у м. Хмельницькому на 2016 - 2020 роки (із змінами і доповненнями)</t>
  </si>
  <si>
    <t>Рішення 4-ї сесії Хмельницької міської ради від 27.01.2016 року №57</t>
  </si>
  <si>
    <t>Рішення 9-ї сесії Хмельницької міської ради від 26.10.2016 року №4</t>
  </si>
  <si>
    <t>Програма
військово-патріотичного виховання мешканців міста Хмельницького на 2016 - 2020 роки (із змінами і доповненнями)</t>
  </si>
  <si>
    <t>Комплексна програма мобілізації зусиль Хмельницької міської ради, її виконавчих органів та комунальних підприємств і Управління Державної міграційної служби України в Хмельницькій області по забезпеченню реалізації державної політики в сфері громадянства,</t>
  </si>
  <si>
    <t>Рішення 50-ї сесії Хмельницької міської ради від 27.05.2015 року №58</t>
  </si>
  <si>
    <t xml:space="preserve"> реєстрації фізичних осіб на 2015 - 2019 роки (із змінами і доповненнями)</t>
  </si>
  <si>
    <t>0717670</t>
  </si>
  <si>
    <t>Внески до статутного капіталу МКП "Хмельницькводоканал" (розроблення ПКД на будівництво мережі каналізації від вул. Польова, 51 по пров. Ентузіастів до вул. Івана Павла ІІ, 5, м-р. Гречани м. Хмельницький)</t>
  </si>
  <si>
    <t>0719770</t>
  </si>
  <si>
    <t>Реконструкція покрівлі з влаштуванням шатрового даху корпусу №2 Хмельницької міської лікарні по пров. Проскурівський, 1 в м. Хмельницькому (в тому числі виготовлення проектно-кошторисної документації)</t>
  </si>
  <si>
    <t>Будівництво дизельної електростанції (ДЕС) для резервного електропостачання відділення амбулаторного гемодіалізу Хмельницької міської лікарні по пров.Проскурівському, 1 в м.Хмельницькому (в тому числі виготовлення проектно-кошторисної документації)</t>
  </si>
  <si>
    <t>Протиаварійні роботи підвального приміщення адміністративної будівлі управління охорони здоров"я ХМР по вул. Грушевського, 64 м. Хмельницького (ремонтно-реставраційні роботи)</t>
  </si>
  <si>
    <t>Програма «Здоров’я хмельничан» на 2017-2021 роки (із змінами і доповненнями)</t>
  </si>
  <si>
    <t>0813086</t>
  </si>
  <si>
    <t>3086</t>
  </si>
  <si>
    <t>Надання допомоги на дітей, хворих на тяжкі перинатальні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t>
  </si>
  <si>
    <t>діабет I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t>
  </si>
  <si>
    <t>Рішення 6-ї сесії Хмельницької міської ради від 18.05.2016 року №7</t>
  </si>
  <si>
    <t>Програма 
"Громадські ініціативи" м.Хмельницького на 2016 - 2020 роки (із змінами і доповненнями)</t>
  </si>
  <si>
    <t>1115052</t>
  </si>
  <si>
    <t>5052</t>
  </si>
  <si>
    <t>Фінансова підтримка регіональних осередків всеукраїнських організацій фізкультурно-спортивної спрямованості у здійсненні фізкультурно-масових заходів серед населення регіону</t>
  </si>
  <si>
    <t>1117670</t>
  </si>
  <si>
    <t>Завершення будівництва нежитлового приміщення з влаштуванням зовнішніх мереж та футбольного і тренажерного майданчиків на водно-спортивній станції по вул.Нижній Береговій, 2/1 в м.Хмельницькому</t>
  </si>
  <si>
    <t>РІЗНИЦЯ</t>
  </si>
  <si>
    <t>2018 - 2022 роки</t>
  </si>
  <si>
    <t xml:space="preserve">Субвенція з державного бюджету місцевим бюджетам на надання державної підтримки особам з особливими освітніми потребами  </t>
  </si>
  <si>
    <t>Внески до статутного капіталу ХКП "Спецкомунтранс" (реконструкція туалету загального користування по вул. Проскурівській, 40-Б в м. Хмельницькому)</t>
  </si>
  <si>
    <t xml:space="preserve">Субвенція з місцевого бюджету на забезпечення якісної, сучасної та доступної загальної середньої освіти "Нова українська школа" </t>
  </si>
  <si>
    <t>Внески до статутного капіталу Міського комунального підприємства по утриманню нежитлових приміщень (капітальний ремонт приміщень першого поверху по вул. Кам'янецькій, 47 в м. Хмельницькому)</t>
  </si>
  <si>
    <t>Проведення проектно-вишукувальних робіт для "Реконструкції  спортивного майданчика біля житлового будинку по вул. Прибузькій, 36 в м.Хмельницькому"</t>
  </si>
  <si>
    <t>0813049</t>
  </si>
  <si>
    <t>Відшкодування послуги з догляду за дитиною до трьох років "муніципальна няня"</t>
  </si>
  <si>
    <t>3049</t>
  </si>
  <si>
    <t>2719770</t>
  </si>
  <si>
    <t>Реконструкція приміщень відділення хірургії та неврології КП "Хмельницька міська дитяча лікарня Хмельницької міської ради" за адресою: м.Хмельницький, вул.С.Разіна,1 (в тому числі виготовлення проектно-кошторисної документації)</t>
  </si>
  <si>
    <t xml:space="preserve">до рішення  №        від         2019 року </t>
  </si>
  <si>
    <t xml:space="preserve">Додаток № 5
до рішення №              від                 2019 року
</t>
  </si>
  <si>
    <t>Робочий проект на реконструкцію приміщень КП "Хмельницька міська дитяча лікарня Хмельницької міської ради" під відділення невідкладної допомоги та реанімації за адресою: м.Хмельницький, вул. С.Разіна,1</t>
  </si>
  <si>
    <t>Внески до статутного капіталу СКП "Хмельницька міська ритуальна служба" (капітальний ремонт приміщення адміністративної будівлі по вул.Львівському шосе №61/2а)</t>
  </si>
  <si>
    <t>Внески до статутного капіталу Міського комунального підприємства по утриманню нежитлових приміщень (капітальний ремонт приміщень міського військового комісаріату по вул. Проскурівській, 35 (штаб в/ч А7179, батальйон ТРО) в м. Хмельницькому)</t>
  </si>
  <si>
    <t>Внески до статутного капіталу МКП "Хмельницьктеплокомуненерго" (реконструкція котельні по вул. Водопровідній, 48, м. Хмельницький)</t>
  </si>
  <si>
    <t>Внески до статутного капіталу МКП "Хмельницьктеплокомуненерго" (реконструкція котельні з прибудовою приміщень по вул. Кам`янецькій, 46/1, 48/1, м. Хмельницький)</t>
  </si>
  <si>
    <t>Внески до статутного капіталу МКП "Хмельницькводоканал" (реконструкція ділянки водопроводу діам. 400 мм по вул. С.Бандери від вул. Верхня Берегова до вул.Нижня Берегова в м. Хмельницький)</t>
  </si>
  <si>
    <t>Додаток № 4
до рішення  №          від                     2019 року</t>
  </si>
  <si>
    <t xml:space="preserve">до рішення   №        від               2019 року   </t>
  </si>
  <si>
    <t xml:space="preserve">Керуючий справами виконавчого комітету </t>
  </si>
  <si>
    <t>Ю. Сабій</t>
  </si>
  <si>
    <t xml:space="preserve">Керуючий справами виконавчого комітету                                                                                                                                                Ю. Сабій </t>
  </si>
  <si>
    <t xml:space="preserve">Ю. Сабій </t>
  </si>
  <si>
    <t>Керуючий справами виконавчого комітету</t>
  </si>
  <si>
    <t>Керуючий справами виконавчого комітету                                                                                                                                              Ю. Сабій</t>
  </si>
  <si>
    <t>Будівництво - технічне переоснащення мережі зовнішнього електропостачання 107 садових будинків ОК "Садівниче товариство "Левада-Гречани" проїзд 1-й Трояндовий - 8-й Трояндовий в межах м. Хмельницького</t>
  </si>
  <si>
    <t>Внески до статутного капіталу МКП "Хмельницькводоканал" (реконструкція ділянки водопроводу діаметром  400 мм на перехресті вул. C.Бандери- вул.М. Мазура в м. Хмельницький)</t>
  </si>
  <si>
    <t>Внески до статутного капіталу МКП "Хмельницькводоканал" (на реконструкцію системи знезараження питної води ВНС-9 по проспекту Миру,36/2А у м Хмельницький)</t>
  </si>
  <si>
    <t>Реконструкція аеродромного комплексу КП «Аеропорт Хмельницький» з подовженням штучної злітно-посадкової смуги на 500 метрів</t>
  </si>
  <si>
    <t>Внески до статутного капіталу Міського комунального підприємства по утриманню нежитлових приміщень (реконструкція нежитлового приміщення за адресою вул.Героїв Майдану, 12 у м.Хмельницький)</t>
  </si>
  <si>
    <t>Внески до статутного капіталу КП по зеленому будівництву та благоустрою міста (придбання травокосарок)</t>
  </si>
  <si>
    <t>Програма співфінансування робіт з ремонту багатоквартирних житлових будинків м. Хмельницького на 2019-2023 роки</t>
  </si>
  <si>
    <t>Рішення виконавчого комітету від 28.03.2019 року № 290</t>
  </si>
  <si>
    <t>Програма популяризації та ефективного впрвадження програм у сфері житлово-комунального господарства на 2019-2023 роки</t>
  </si>
  <si>
    <t>Рішення виконавчого комітету від 28.03.2019 року № 291</t>
  </si>
  <si>
    <t>після МВК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</si>
</sst>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129" x14ac:knownFonts="1">
    <font>
      <sz val="10"/>
      <name val="Arial Cyr"/>
      <charset val="204"/>
    </font>
    <font>
      <sz val="10"/>
      <color theme="1"/>
      <name val="Calibri"/>
      <family val="2"/>
      <charset val="204"/>
      <scheme val="minor"/>
    </font>
    <font>
      <sz val="10"/>
      <color theme="1"/>
      <name val="Calibri"/>
      <family val="2"/>
      <charset val="204"/>
      <scheme val="minor"/>
    </font>
    <font>
      <sz val="10"/>
      <name val="Arial Cyr"/>
      <charset val="204"/>
    </font>
    <font>
      <sz val="10"/>
      <name val="MS Sans Serif"/>
      <family val="2"/>
      <charset val="204"/>
    </font>
    <font>
      <sz val="10"/>
      <name val="Times New Roman"/>
      <family val="1"/>
      <charset val="204"/>
    </font>
    <font>
      <sz val="10"/>
      <name val="Times New Roman Cyr"/>
      <family val="1"/>
      <charset val="204"/>
    </font>
    <font>
      <b/>
      <sz val="10"/>
      <name val="Times New Roman Cyr"/>
      <family val="1"/>
      <charset val="204"/>
    </font>
    <font>
      <b/>
      <sz val="10"/>
      <name val="Arial Cyr"/>
      <charset val="204"/>
    </font>
    <font>
      <sz val="12"/>
      <name val="Times New Roman"/>
      <family val="1"/>
      <charset val="204"/>
    </font>
    <font>
      <b/>
      <sz val="12"/>
      <name val="Times New Roman"/>
      <family val="1"/>
      <charset val="204"/>
    </font>
    <font>
      <b/>
      <sz val="14"/>
      <name val="Times New Roman"/>
      <family val="1"/>
      <charset val="204"/>
    </font>
    <font>
      <sz val="14"/>
      <name val="Times New Roman"/>
      <family val="1"/>
      <charset val="204"/>
    </font>
    <font>
      <b/>
      <sz val="10"/>
      <name val="Times New Roman"/>
      <family val="1"/>
      <charset val="204"/>
    </font>
    <font>
      <sz val="8"/>
      <name val="Times New Roman"/>
      <family val="1"/>
      <charset val="204"/>
    </font>
    <font>
      <b/>
      <sz val="10"/>
      <color indexed="8"/>
      <name val="Times New Roman"/>
      <family val="1"/>
      <charset val="204"/>
    </font>
    <font>
      <sz val="8"/>
      <name val="Arial Cyr"/>
      <charset val="204"/>
    </font>
    <font>
      <sz val="11"/>
      <color indexed="6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9"/>
      <name val="Calibri"/>
      <family val="2"/>
      <charset val="204"/>
    </font>
    <font>
      <b/>
      <sz val="18"/>
      <color indexed="56"/>
      <name val="Cambria"/>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Helv"/>
      <charset val="204"/>
    </font>
    <font>
      <sz val="10"/>
      <name val="Courier New"/>
      <family val="3"/>
      <charset val="204"/>
    </font>
    <font>
      <sz val="11"/>
      <color indexed="19"/>
      <name val="Calibri"/>
      <family val="2"/>
      <charset val="204"/>
    </font>
    <font>
      <sz val="11"/>
      <name val="Times New Roman"/>
      <family val="1"/>
      <charset val="204"/>
    </font>
    <font>
      <b/>
      <sz val="11"/>
      <name val="Times New Roman"/>
      <family val="1"/>
      <charset val="204"/>
    </font>
    <font>
      <b/>
      <sz val="11"/>
      <color indexed="8"/>
      <name val="Times New Roman"/>
      <family val="1"/>
      <charset val="204"/>
    </font>
    <font>
      <sz val="11"/>
      <color indexed="8"/>
      <name val="Times New Roman"/>
      <family val="1"/>
      <charset val="204"/>
    </font>
    <font>
      <b/>
      <i/>
      <sz val="11"/>
      <color indexed="8"/>
      <name val="Times New Roman"/>
      <family val="1"/>
      <charset val="204"/>
    </font>
    <font>
      <sz val="9"/>
      <color indexed="8"/>
      <name val="Times New Roman"/>
      <family val="1"/>
      <charset val="204"/>
    </font>
    <font>
      <b/>
      <i/>
      <sz val="10"/>
      <name val="Times New Roman"/>
      <family val="1"/>
      <charset val="204"/>
    </font>
    <font>
      <b/>
      <i/>
      <sz val="10"/>
      <color indexed="8"/>
      <name val="Times New Roman"/>
      <family val="1"/>
      <charset val="204"/>
    </font>
    <font>
      <sz val="10"/>
      <color indexed="8"/>
      <name val="Times New Roman"/>
      <family val="1"/>
      <charset val="204"/>
    </font>
    <font>
      <b/>
      <sz val="36"/>
      <name val="Times New Roman"/>
      <family val="1"/>
      <charset val="204"/>
    </font>
    <font>
      <i/>
      <sz val="36"/>
      <name val="Times New Roman"/>
      <family val="1"/>
      <charset val="204"/>
    </font>
    <font>
      <sz val="36"/>
      <name val="Times New Roman"/>
      <family val="1"/>
      <charset val="204"/>
    </font>
    <font>
      <b/>
      <i/>
      <sz val="36"/>
      <name val="Times New Roman"/>
      <family val="1"/>
      <charset val="204"/>
    </font>
    <font>
      <b/>
      <sz val="37"/>
      <name val="Times New Roman"/>
      <family val="1"/>
      <charset val="204"/>
    </font>
    <font>
      <i/>
      <sz val="37"/>
      <name val="Times New Roman"/>
      <family val="1"/>
      <charset val="204"/>
    </font>
    <font>
      <sz val="37"/>
      <name val="Times New Roman"/>
      <family val="1"/>
      <charset val="204"/>
    </font>
    <font>
      <b/>
      <i/>
      <sz val="37"/>
      <name val="Times New Roman"/>
      <family val="1"/>
      <charset val="204"/>
    </font>
    <font>
      <sz val="36"/>
      <name val="Arial Cyr"/>
      <charset val="204"/>
    </font>
    <font>
      <b/>
      <sz val="18"/>
      <name val="Times New Roman"/>
      <family val="1"/>
      <charset val="204"/>
    </font>
    <font>
      <sz val="10"/>
      <color indexed="8"/>
      <name val="Arial"/>
      <family val="2"/>
      <charset val="204"/>
    </font>
    <font>
      <b/>
      <i/>
      <sz val="11"/>
      <name val="Times New Roman"/>
      <family val="1"/>
      <charset val="204"/>
    </font>
    <font>
      <i/>
      <sz val="11"/>
      <name val="Times New Roman"/>
      <family val="1"/>
      <charset val="204"/>
    </font>
    <font>
      <sz val="10"/>
      <name val="Arial Cyr"/>
      <charset val="204"/>
    </font>
    <font>
      <sz val="11"/>
      <name val="Times New Roman Cyr"/>
      <charset val="204"/>
    </font>
    <font>
      <i/>
      <sz val="11"/>
      <color indexed="8"/>
      <name val="Times New Roman"/>
      <family val="1"/>
      <charset val="204"/>
    </font>
    <font>
      <i/>
      <sz val="10"/>
      <name val="Arial Cyr"/>
      <charset val="204"/>
    </font>
    <font>
      <sz val="11"/>
      <name val="Arial Cyr"/>
      <charset val="204"/>
    </font>
    <font>
      <b/>
      <sz val="28"/>
      <name val="Times New Roman Cyr"/>
      <family val="1"/>
      <charset val="204"/>
    </font>
    <font>
      <b/>
      <sz val="36"/>
      <name val="Times New Roman Cyr"/>
      <family val="1"/>
      <charset val="204"/>
    </font>
    <font>
      <sz val="20"/>
      <name val="Times New Roman Cyr"/>
      <family val="1"/>
      <charset val="204"/>
    </font>
    <font>
      <b/>
      <sz val="26"/>
      <name val="Times New Roman Cyr"/>
      <family val="1"/>
      <charset val="204"/>
    </font>
    <font>
      <b/>
      <sz val="16"/>
      <name val="Times New Roman"/>
      <family val="1"/>
      <charset val="204"/>
    </font>
    <font>
      <sz val="9"/>
      <name val="Times New Roman"/>
      <family val="1"/>
      <charset val="204"/>
    </font>
    <font>
      <b/>
      <sz val="9"/>
      <color indexed="8"/>
      <name val="Times New Roman"/>
      <family val="1"/>
      <charset val="204"/>
    </font>
    <font>
      <b/>
      <sz val="9"/>
      <name val="Times New Roman"/>
      <family val="1"/>
      <charset val="204"/>
    </font>
    <font>
      <b/>
      <i/>
      <sz val="9"/>
      <name val="Times New Roman"/>
      <family val="1"/>
      <charset val="204"/>
    </font>
    <font>
      <b/>
      <i/>
      <sz val="9"/>
      <color indexed="8"/>
      <name val="Times New Roman"/>
      <family val="1"/>
      <charset val="204"/>
    </font>
    <font>
      <b/>
      <i/>
      <sz val="8"/>
      <name val="Bookman Old Style"/>
      <family val="1"/>
      <charset val="204"/>
    </font>
    <font>
      <sz val="8"/>
      <name val="Bookman Old Style"/>
      <family val="1"/>
      <charset val="204"/>
    </font>
    <font>
      <b/>
      <i/>
      <sz val="9"/>
      <color indexed="62"/>
      <name val="Times New Roman"/>
      <family val="1"/>
      <charset val="204"/>
    </font>
    <font>
      <sz val="10"/>
      <name val="Arial"/>
      <family val="2"/>
      <charset val="204"/>
    </font>
    <font>
      <b/>
      <sz val="14"/>
      <color indexed="8"/>
      <name val="Times New Roman"/>
      <family val="1"/>
      <charset val="204"/>
    </font>
    <font>
      <sz val="8"/>
      <color indexed="8"/>
      <name val="Times New Roman"/>
      <family val="1"/>
      <charset val="204"/>
    </font>
    <font>
      <sz val="10"/>
      <name val="Times New Roman CYR"/>
      <charset val="204"/>
    </font>
    <font>
      <sz val="9"/>
      <name val="Times New Roman CYR"/>
      <charset val="204"/>
    </font>
    <font>
      <b/>
      <sz val="12.5"/>
      <name val="Times New Roman"/>
      <family val="1"/>
      <charset val="204"/>
    </font>
    <font>
      <sz val="12"/>
      <name val="Arial Cyr"/>
      <charset val="204"/>
    </font>
    <font>
      <sz val="12.5"/>
      <name val="Times New Roman"/>
      <family val="1"/>
      <charset val="204"/>
    </font>
    <font>
      <b/>
      <i/>
      <sz val="12.5"/>
      <name val="Times New Roman"/>
      <family val="1"/>
      <charset val="204"/>
    </font>
    <font>
      <b/>
      <i/>
      <sz val="10"/>
      <name val="Arial"/>
      <family val="2"/>
      <charset val="204"/>
    </font>
    <font>
      <b/>
      <sz val="36"/>
      <name val="Arial Cyr"/>
      <charset val="204"/>
    </font>
    <font>
      <sz val="28"/>
      <name val="Arial Cyr"/>
      <charset val="204"/>
    </font>
    <font>
      <u/>
      <sz val="10"/>
      <color indexed="12"/>
      <name val="Arial Cyr"/>
      <charset val="204"/>
    </font>
    <font>
      <sz val="11"/>
      <color indexed="8"/>
      <name val="Calibri"/>
      <family val="2"/>
      <charset val="204"/>
    </font>
    <font>
      <sz val="11"/>
      <color indexed="9"/>
      <name val="Calibri"/>
      <family val="2"/>
      <charset val="204"/>
    </font>
    <font>
      <b/>
      <sz val="11"/>
      <color indexed="63"/>
      <name val="Calibri"/>
      <family val="2"/>
      <charset val="204"/>
    </font>
    <font>
      <b/>
      <sz val="11"/>
      <color indexed="52"/>
      <name val="Calibri"/>
      <family val="2"/>
      <charset val="204"/>
    </font>
    <font>
      <b/>
      <sz val="11"/>
      <color indexed="8"/>
      <name val="Calibri"/>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22"/>
      <name val="Times New Roman Cyr"/>
      <family val="1"/>
      <charset val="204"/>
    </font>
    <font>
      <sz val="10"/>
      <color theme="9"/>
      <name val="Arial"/>
      <family val="2"/>
      <charset val="204"/>
    </font>
    <font>
      <b/>
      <sz val="48"/>
      <name val="Times New Roman Cyr"/>
      <family val="1"/>
      <charset val="204"/>
    </font>
    <font>
      <sz val="48"/>
      <name val="Arial Cyr"/>
      <charset val="204"/>
    </font>
    <font>
      <sz val="36"/>
      <name val="Calibri"/>
      <family val="2"/>
      <charset val="204"/>
    </font>
    <font>
      <vertAlign val="superscript"/>
      <sz val="20"/>
      <name val="Times New Roman"/>
      <family val="1"/>
      <charset val="204"/>
    </font>
    <font>
      <sz val="20"/>
      <name val="Times New Roman"/>
      <family val="1"/>
      <charset val="204"/>
    </font>
    <font>
      <sz val="20"/>
      <name val="Arial Cyr"/>
      <charset val="204"/>
    </font>
    <font>
      <b/>
      <sz val="12"/>
      <color indexed="8"/>
      <name val="Times New Roman"/>
      <family val="1"/>
      <charset val="204"/>
    </font>
    <font>
      <sz val="12"/>
      <color indexed="8"/>
      <name val="Times New Roman"/>
      <family val="1"/>
      <charset val="204"/>
    </font>
    <font>
      <vertAlign val="superscript"/>
      <sz val="10"/>
      <name val="Times New Roman"/>
      <family val="1"/>
      <charset val="204"/>
    </font>
    <font>
      <sz val="10"/>
      <name val="Arial Cyr"/>
      <family val="2"/>
      <charset val="204"/>
    </font>
    <font>
      <sz val="36"/>
      <name val="Times New Roman Cyr"/>
      <family val="1"/>
      <charset val="204"/>
    </font>
    <font>
      <i/>
      <sz val="10"/>
      <name val="Times New Roman"/>
      <family val="1"/>
      <charset val="204"/>
    </font>
    <font>
      <sz val="50"/>
      <name val="Arial Cyr"/>
      <charset val="204"/>
    </font>
    <font>
      <sz val="11"/>
      <name val="Times New Roman Cyr"/>
      <family val="1"/>
      <charset val="204"/>
    </font>
    <font>
      <b/>
      <sz val="11"/>
      <name val="Times New Roman Cyr"/>
      <family val="1"/>
      <charset val="204"/>
    </font>
    <font>
      <i/>
      <sz val="11"/>
      <name val="Times New Roman Cyr"/>
      <family val="1"/>
      <charset val="204"/>
    </font>
    <font>
      <b/>
      <sz val="10"/>
      <name val="Times New Roman CYR"/>
      <charset val="204"/>
    </font>
    <font>
      <b/>
      <i/>
      <sz val="37"/>
      <name val="Arial Cyr"/>
      <charset val="204"/>
    </font>
    <font>
      <sz val="22"/>
      <name val="Times New Roman"/>
      <family val="1"/>
      <charset val="204"/>
    </font>
    <font>
      <sz val="36"/>
      <color indexed="8"/>
      <name val="Times New Roman"/>
      <family val="1"/>
      <charset val="204"/>
    </font>
    <font>
      <sz val="34"/>
      <name val="Times New Roman"/>
      <family val="1"/>
      <charset val="204"/>
    </font>
    <font>
      <sz val="14"/>
      <name val="Arial"/>
      <family val="2"/>
      <charset val="204"/>
    </font>
    <font>
      <sz val="32"/>
      <color indexed="8"/>
      <name val="Times New Roman"/>
      <family val="1"/>
      <charset val="204"/>
    </font>
    <font>
      <sz val="72"/>
      <name val="Arial Cyr"/>
      <charset val="204"/>
    </font>
    <font>
      <i/>
      <sz val="36"/>
      <name val="Arial Cyr"/>
      <charset val="204"/>
    </font>
    <font>
      <sz val="48"/>
      <name val="Times New Roman"/>
      <family val="1"/>
      <charset val="204"/>
    </font>
    <font>
      <sz val="12"/>
      <color theme="1"/>
      <name val="Times New Roman"/>
      <family val="1"/>
      <charset val="204"/>
    </font>
    <font>
      <b/>
      <sz val="14"/>
      <color rgb="FF000000"/>
      <name val="Times New Roman"/>
      <family val="1"/>
      <charset val="204"/>
    </font>
    <font>
      <sz val="11"/>
      <color rgb="FF000000"/>
      <name val="Times New Roman"/>
      <family val="1"/>
      <charset val="204"/>
    </font>
    <font>
      <sz val="10"/>
      <color rgb="FF000000"/>
      <name val="Times New Roman"/>
      <family val="1"/>
      <charset val="204"/>
    </font>
    <font>
      <b/>
      <sz val="12"/>
      <color rgb="FF000000"/>
      <name val="Arial Unicode MS"/>
      <family val="2"/>
      <charset val="204"/>
    </font>
    <font>
      <sz val="12"/>
      <color rgb="FF000000"/>
      <name val="Times New Roman"/>
      <family val="1"/>
      <charset val="204"/>
    </font>
    <font>
      <sz val="11"/>
      <color theme="1"/>
      <name val="Calibri"/>
      <family val="2"/>
      <charset val="204"/>
      <scheme val="minor"/>
    </font>
    <font>
      <i/>
      <sz val="11"/>
      <color theme="1"/>
      <name val="Times New Roman"/>
      <family val="1"/>
      <charset val="204"/>
    </font>
    <font>
      <i/>
      <sz val="37"/>
      <name val="Arial Cyr"/>
      <charset val="204"/>
    </font>
    <font>
      <i/>
      <sz val="48"/>
      <name val="Times New Roman"/>
      <family val="1"/>
      <charset val="204"/>
    </font>
    <font>
      <sz val="16"/>
      <name val="Times New Roman"/>
      <family val="1"/>
      <charset val="204"/>
    </font>
  </fonts>
  <fills count="35">
    <fill>
      <patternFill patternType="none"/>
    </fill>
    <fill>
      <patternFill patternType="gray125"/>
    </fill>
    <fill>
      <patternFill patternType="solid">
        <fgColor indexed="47"/>
      </patternFill>
    </fill>
    <fill>
      <patternFill patternType="solid">
        <fgColor indexed="27"/>
      </patternFill>
    </fill>
    <fill>
      <patternFill patternType="solid">
        <fgColor indexed="43"/>
      </patternFill>
    </fill>
    <fill>
      <patternFill patternType="solid">
        <fgColor indexed="5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rgb="FFFFFF00"/>
        <bgColor indexed="64"/>
      </patternFill>
    </fill>
    <fill>
      <patternFill patternType="solid">
        <fgColor rgb="FFFF0000"/>
        <bgColor indexed="64"/>
      </patternFill>
    </fill>
    <fill>
      <patternFill patternType="solid">
        <fgColor rgb="FFFF9900"/>
        <bgColor indexed="64"/>
      </patternFill>
    </fill>
    <fill>
      <gradientFill type="path" left="0.5" right="0.5" top="0.5" bottom="0.5">
        <stop position="0">
          <color theme="0"/>
        </stop>
        <stop position="1">
          <color theme="9" tint="0.80001220740379042"/>
        </stop>
      </gradientFill>
    </fill>
    <fill>
      <gradientFill type="path" left="0.5" right="0.5" top="0.5" bottom="0.5">
        <stop position="0">
          <color theme="0"/>
        </stop>
        <stop position="1">
          <color rgb="FFFFFFCC"/>
        </stop>
      </gradientFill>
    </fill>
    <fill>
      <gradientFill type="path" left="0.5" right="0.5" top="0.5" bottom="0.5">
        <stop position="0">
          <color theme="0"/>
        </stop>
        <stop position="1">
          <color rgb="FFCCFFFF"/>
        </stop>
      </gradientFill>
    </fill>
    <fill>
      <patternFill patternType="solid">
        <fgColor rgb="FF66FFFF"/>
        <bgColor auto="1"/>
      </patternFill>
    </fill>
    <fill>
      <patternFill patternType="solid">
        <fgColor rgb="FFFFFFFF"/>
        <bgColor indexed="64"/>
      </patternFill>
    </fill>
    <fill>
      <patternFill patternType="solid">
        <fgColor rgb="FF92D050"/>
        <bgColor indexed="64"/>
      </patternFill>
    </fill>
    <fill>
      <gradientFill type="path" left="0.5" right="0.5" top="0.5" bottom="0.5">
        <stop position="0">
          <color theme="0"/>
        </stop>
        <stop position="1">
          <color rgb="FFCCFFCC"/>
        </stop>
      </gradientFill>
    </fill>
  </fills>
  <borders count="23">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style="thin">
        <color indexed="64"/>
      </right>
      <top/>
      <bottom/>
      <diagonal/>
    </border>
  </borders>
  <cellStyleXfs count="95">
    <xf numFmtId="0" fontId="0" fillId="0" borderId="0"/>
    <xf numFmtId="0" fontId="3" fillId="0" borderId="0"/>
    <xf numFmtId="0" fontId="17" fillId="2" borderId="1" applyNumberFormat="0" applyAlignment="0" applyProtection="0"/>
    <xf numFmtId="0" fontId="25" fillId="3" borderId="0" applyNumberFormat="0" applyBorder="0" applyAlignment="0" applyProtection="0"/>
    <xf numFmtId="0" fontId="18" fillId="0" borderId="2" applyNumberFormat="0" applyFill="0" applyAlignment="0" applyProtection="0"/>
    <xf numFmtId="0" fontId="19" fillId="0" borderId="3" applyNumberFormat="0" applyFill="0" applyAlignment="0" applyProtection="0"/>
    <xf numFmtId="0" fontId="20" fillId="0" borderId="4" applyNumberFormat="0" applyFill="0" applyAlignment="0" applyProtection="0"/>
    <xf numFmtId="0" fontId="20"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51" fillId="0" borderId="0"/>
    <xf numFmtId="0" fontId="27" fillId="0" borderId="0"/>
    <xf numFmtId="0" fontId="3" fillId="0" borderId="0"/>
    <xf numFmtId="0" fontId="51" fillId="0" borderId="0"/>
    <xf numFmtId="0" fontId="3" fillId="0" borderId="0"/>
    <xf numFmtId="0" fontId="51" fillId="0" borderId="0"/>
    <xf numFmtId="0" fontId="27" fillId="0" borderId="0"/>
    <xf numFmtId="0" fontId="27" fillId="0" borderId="0"/>
    <xf numFmtId="0" fontId="27" fillId="0" borderId="0"/>
    <xf numFmtId="0" fontId="27" fillId="0" borderId="0"/>
    <xf numFmtId="0" fontId="27" fillId="0" borderId="0"/>
    <xf numFmtId="0" fontId="48" fillId="0" borderId="0">
      <alignment vertical="top"/>
    </xf>
    <xf numFmtId="0" fontId="21" fillId="5" borderId="5" applyNumberFormat="0" applyAlignment="0" applyProtection="0"/>
    <xf numFmtId="0" fontId="22" fillId="0" borderId="0" applyNumberFormat="0" applyFill="0" applyBorder="0" applyAlignment="0" applyProtection="0"/>
    <xf numFmtId="0" fontId="3" fillId="0" borderId="0"/>
    <xf numFmtId="0" fontId="51" fillId="0" borderId="0"/>
    <xf numFmtId="0" fontId="5" fillId="0" borderId="0"/>
    <xf numFmtId="0" fontId="69" fillId="0" borderId="0" applyNumberFormat="0" applyFont="0" applyFill="0" applyBorder="0" applyAlignment="0" applyProtection="0">
      <alignment vertical="top"/>
    </xf>
    <xf numFmtId="0" fontId="26" fillId="0" borderId="0"/>
    <xf numFmtId="0" fontId="4" fillId="0" borderId="0" applyNumberFormat="0" applyFont="0" applyFill="0" applyBorder="0" applyAlignment="0" applyProtection="0">
      <alignment vertical="top"/>
    </xf>
    <xf numFmtId="0" fontId="5" fillId="0" borderId="0"/>
    <xf numFmtId="0" fontId="26" fillId="0" borderId="0"/>
    <xf numFmtId="0" fontId="51" fillId="0" borderId="0"/>
    <xf numFmtId="0" fontId="23" fillId="0" borderId="6" applyNumberFormat="0" applyFill="0" applyAlignment="0" applyProtection="0"/>
    <xf numFmtId="0" fontId="28" fillId="4" borderId="0" applyNumberFormat="0" applyBorder="0" applyAlignment="0" applyProtection="0"/>
    <xf numFmtId="0" fontId="26" fillId="0" borderId="0"/>
    <xf numFmtId="0" fontId="24" fillId="0" borderId="0" applyNumberFormat="0" applyFill="0" applyBorder="0" applyAlignment="0" applyProtection="0"/>
    <xf numFmtId="0" fontId="3" fillId="0" borderId="0"/>
    <xf numFmtId="0" fontId="82" fillId="7" borderId="0" applyNumberFormat="0" applyBorder="0" applyAlignment="0" applyProtection="0"/>
    <xf numFmtId="0" fontId="82" fillId="8" borderId="0" applyNumberFormat="0" applyBorder="0" applyAlignment="0" applyProtection="0"/>
    <xf numFmtId="0" fontId="82" fillId="9" borderId="0" applyNumberFormat="0" applyBorder="0" applyAlignment="0" applyProtection="0"/>
    <xf numFmtId="0" fontId="82" fillId="10" borderId="0" applyNumberFormat="0" applyBorder="0" applyAlignment="0" applyProtection="0"/>
    <xf numFmtId="0" fontId="82" fillId="3" borderId="0" applyNumberFormat="0" applyBorder="0" applyAlignment="0" applyProtection="0"/>
    <xf numFmtId="0" fontId="82" fillId="2" borderId="0" applyNumberFormat="0" applyBorder="0" applyAlignment="0" applyProtection="0"/>
    <xf numFmtId="0" fontId="82" fillId="11" borderId="0" applyNumberFormat="0" applyBorder="0" applyAlignment="0" applyProtection="0"/>
    <xf numFmtId="0" fontId="82" fillId="12" borderId="0" applyNumberFormat="0" applyBorder="0" applyAlignment="0" applyProtection="0"/>
    <xf numFmtId="0" fontId="82" fillId="13" borderId="0" applyNumberFormat="0" applyBorder="0" applyAlignment="0" applyProtection="0"/>
    <xf numFmtId="0" fontId="82" fillId="10" borderId="0" applyNumberFormat="0" applyBorder="0" applyAlignment="0" applyProtection="0"/>
    <xf numFmtId="0" fontId="82" fillId="11" borderId="0" applyNumberFormat="0" applyBorder="0" applyAlignment="0" applyProtection="0"/>
    <xf numFmtId="0" fontId="82" fillId="14" borderId="0" applyNumberFormat="0" applyBorder="0" applyAlignment="0" applyProtection="0"/>
    <xf numFmtId="0" fontId="83" fillId="15" borderId="0" applyNumberFormat="0" applyBorder="0" applyAlignment="0" applyProtection="0"/>
    <xf numFmtId="0" fontId="83" fillId="12" borderId="0" applyNumberFormat="0" applyBorder="0" applyAlignment="0" applyProtection="0"/>
    <xf numFmtId="0" fontId="83" fillId="13" borderId="0" applyNumberFormat="0" applyBorder="0" applyAlignment="0" applyProtection="0"/>
    <xf numFmtId="0" fontId="83" fillId="16" borderId="0" applyNumberFormat="0" applyBorder="0" applyAlignment="0" applyProtection="0"/>
    <xf numFmtId="0" fontId="83" fillId="17" borderId="0" applyNumberFormat="0" applyBorder="0" applyAlignment="0" applyProtection="0"/>
    <xf numFmtId="0" fontId="83" fillId="18" borderId="0" applyNumberFormat="0" applyBorder="0" applyAlignment="0" applyProtection="0"/>
    <xf numFmtId="0" fontId="83" fillId="19" borderId="0" applyNumberFormat="0" applyBorder="0" applyAlignment="0" applyProtection="0"/>
    <xf numFmtId="0" fontId="83" fillId="20" borderId="0" applyNumberFormat="0" applyBorder="0" applyAlignment="0" applyProtection="0"/>
    <xf numFmtId="0" fontId="83" fillId="21" borderId="0" applyNumberFormat="0" applyBorder="0" applyAlignment="0" applyProtection="0"/>
    <xf numFmtId="0" fontId="83" fillId="16" borderId="0" applyNumberFormat="0" applyBorder="0" applyAlignment="0" applyProtection="0"/>
    <xf numFmtId="0" fontId="83" fillId="17" borderId="0" applyNumberFormat="0" applyBorder="0" applyAlignment="0" applyProtection="0"/>
    <xf numFmtId="0" fontId="83" fillId="22" borderId="0" applyNumberFormat="0" applyBorder="0" applyAlignment="0" applyProtection="0"/>
    <xf numFmtId="0" fontId="17" fillId="2" borderId="1" applyNumberFormat="0" applyAlignment="0" applyProtection="0"/>
    <xf numFmtId="0" fontId="84" fillId="23" borderId="19" applyNumberFormat="0" applyAlignment="0" applyProtection="0"/>
    <xf numFmtId="0" fontId="85" fillId="23" borderId="1" applyNumberFormat="0" applyAlignment="0" applyProtection="0"/>
    <xf numFmtId="0" fontId="81" fillId="0" borderId="0" applyNumberFormat="0" applyFill="0" applyBorder="0" applyAlignment="0" applyProtection="0">
      <alignment vertical="top"/>
      <protection locked="0"/>
    </xf>
    <xf numFmtId="0" fontId="86" fillId="0" borderId="20" applyNumberFormat="0" applyFill="0" applyAlignment="0" applyProtection="0"/>
    <xf numFmtId="0" fontId="21" fillId="5" borderId="5" applyNumberFormat="0" applyAlignment="0" applyProtection="0"/>
    <xf numFmtId="0" fontId="22" fillId="0" borderId="0" applyNumberFormat="0" applyFill="0" applyBorder="0" applyAlignment="0" applyProtection="0"/>
    <xf numFmtId="0" fontId="87" fillId="4" borderId="0" applyNumberFormat="0" applyBorder="0" applyAlignment="0" applyProtection="0"/>
    <xf numFmtId="0" fontId="88" fillId="8" borderId="0" applyNumberFormat="0" applyBorder="0" applyAlignment="0" applyProtection="0"/>
    <xf numFmtId="0" fontId="89" fillId="0" borderId="0" applyNumberFormat="0" applyFill="0" applyBorder="0" applyAlignment="0" applyProtection="0"/>
    <xf numFmtId="0" fontId="82" fillId="24" borderId="21" applyNumberFormat="0" applyFont="0" applyAlignment="0" applyProtection="0"/>
    <xf numFmtId="0" fontId="23" fillId="0" borderId="6" applyNumberFormat="0" applyFill="0" applyAlignment="0" applyProtection="0"/>
    <xf numFmtId="0" fontId="24" fillId="0" borderId="0" applyNumberFormat="0" applyFill="0" applyBorder="0" applyAlignment="0" applyProtection="0"/>
    <xf numFmtId="0" fontId="25" fillId="9" borderId="0" applyNumberFormat="0" applyBorder="0" applyAlignment="0" applyProtection="0"/>
    <xf numFmtId="0" fontId="101" fillId="0" borderId="0"/>
    <xf numFmtId="0" fontId="3" fillId="0" borderId="0"/>
    <xf numFmtId="0" fontId="2"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cellStyleXfs>
  <cellXfs count="504">
    <xf numFmtId="0" fontId="0" fillId="0" borderId="0" xfId="0"/>
    <xf numFmtId="0" fontId="6" fillId="0" borderId="0" xfId="0" applyFont="1" applyAlignment="1">
      <alignment vertical="center"/>
    </xf>
    <xf numFmtId="0" fontId="8" fillId="0" borderId="0" xfId="0" applyFont="1"/>
    <xf numFmtId="4" fontId="6" fillId="0" borderId="0" xfId="0" applyNumberFormat="1" applyFont="1" applyAlignment="1">
      <alignment vertical="center"/>
    </xf>
    <xf numFmtId="4" fontId="7" fillId="0" borderId="0" xfId="0" applyNumberFormat="1" applyFont="1" applyAlignment="1">
      <alignment vertical="center"/>
    </xf>
    <xf numFmtId="0" fontId="7" fillId="0" borderId="0" xfId="0" applyFont="1" applyAlignment="1">
      <alignment vertical="center"/>
    </xf>
    <xf numFmtId="164" fontId="7" fillId="0" borderId="0" xfId="0" applyNumberFormat="1" applyFont="1" applyAlignment="1">
      <alignment horizontal="right" vertical="center" wrapText="1"/>
    </xf>
    <xf numFmtId="0" fontId="40" fillId="0" borderId="0" xfId="0" applyFont="1" applyAlignment="1">
      <alignment vertical="center"/>
    </xf>
    <xf numFmtId="0" fontId="38" fillId="0" borderId="0" xfId="0" applyFont="1" applyAlignment="1">
      <alignment horizontal="center" vertical="center"/>
    </xf>
    <xf numFmtId="0" fontId="40" fillId="0" borderId="0" xfId="0" applyFont="1" applyAlignment="1">
      <alignment horizontal="center" vertical="center"/>
    </xf>
    <xf numFmtId="0" fontId="40" fillId="0" borderId="0" xfId="0" applyFont="1" applyAlignment="1">
      <alignment horizontal="right" vertical="center"/>
    </xf>
    <xf numFmtId="49" fontId="38" fillId="0" borderId="7" xfId="0" applyNumberFormat="1" applyFont="1" applyBorder="1" applyAlignment="1">
      <alignment horizontal="center" vertical="center" wrapText="1"/>
    </xf>
    <xf numFmtId="4" fontId="40" fillId="0" borderId="0" xfId="0" applyNumberFormat="1" applyFont="1" applyAlignment="1">
      <alignment horizontal="center" vertical="center"/>
    </xf>
    <xf numFmtId="0" fontId="46" fillId="0" borderId="0" xfId="0" applyFont="1"/>
    <xf numFmtId="4" fontId="46" fillId="0" borderId="0" xfId="0" applyNumberFormat="1" applyFont="1"/>
    <xf numFmtId="0" fontId="9" fillId="0" borderId="0" xfId="35" applyFont="1"/>
    <xf numFmtId="0" fontId="5" fillId="0" borderId="0" xfId="35"/>
    <xf numFmtId="0" fontId="13" fillId="0" borderId="7" xfId="35" applyFont="1" applyBorder="1" applyAlignment="1">
      <alignment horizontal="center" vertical="center" wrapText="1"/>
    </xf>
    <xf numFmtId="0" fontId="30" fillId="0" borderId="7" xfId="35" applyFont="1" applyBorder="1" applyAlignment="1">
      <alignment horizontal="center" vertical="center" wrapText="1"/>
    </xf>
    <xf numFmtId="4" fontId="56" fillId="0" borderId="0" xfId="0" applyNumberFormat="1" applyFont="1" applyAlignment="1">
      <alignment vertical="center"/>
    </xf>
    <xf numFmtId="0" fontId="5" fillId="6" borderId="0" xfId="35" applyFill="1"/>
    <xf numFmtId="4" fontId="57" fillId="0" borderId="0" xfId="0" applyNumberFormat="1" applyFont="1" applyAlignment="1">
      <alignment vertical="center"/>
    </xf>
    <xf numFmtId="0" fontId="57" fillId="0" borderId="0" xfId="0" applyFont="1" applyAlignment="1">
      <alignment vertical="center"/>
    </xf>
    <xf numFmtId="0" fontId="58" fillId="0" borderId="0" xfId="0" applyFont="1" applyAlignment="1">
      <alignment vertical="center"/>
    </xf>
    <xf numFmtId="4" fontId="59" fillId="0" borderId="0" xfId="0" applyNumberFormat="1" applyFont="1" applyAlignment="1">
      <alignment vertical="center"/>
    </xf>
    <xf numFmtId="0" fontId="5" fillId="0" borderId="0" xfId="39"/>
    <xf numFmtId="0" fontId="29" fillId="0" borderId="0" xfId="39" applyFont="1" applyAlignment="1">
      <alignment horizontal="center" vertical="center"/>
    </xf>
    <xf numFmtId="0" fontId="14" fillId="0" borderId="11" xfId="39" applyFont="1" applyBorder="1" applyAlignment="1">
      <alignment vertical="center"/>
    </xf>
    <xf numFmtId="0" fontId="5" fillId="0" borderId="0" xfId="39" applyAlignment="1">
      <alignment vertical="center" wrapText="1"/>
    </xf>
    <xf numFmtId="0" fontId="13" fillId="0" borderId="7" xfId="39" applyFont="1" applyBorder="1" applyAlignment="1">
      <alignment horizontal="center" vertical="center" wrapText="1"/>
    </xf>
    <xf numFmtId="0" fontId="29" fillId="0" borderId="0" xfId="39" applyFont="1" applyAlignment="1">
      <alignment wrapText="1"/>
    </xf>
    <xf numFmtId="0" fontId="30" fillId="0" borderId="7" xfId="39" applyFont="1" applyBorder="1" applyAlignment="1">
      <alignment horizontal="center" vertical="center" wrapText="1"/>
    </xf>
    <xf numFmtId="0" fontId="30" fillId="0" borderId="7" xfId="39" applyFont="1" applyBorder="1" applyAlignment="1">
      <alignment horizontal="left" vertical="center" wrapText="1"/>
    </xf>
    <xf numFmtId="4" fontId="31" fillId="0" borderId="7" xfId="39" applyNumberFormat="1" applyFont="1" applyBorder="1" applyAlignment="1">
      <alignment vertical="center" wrapText="1"/>
    </xf>
    <xf numFmtId="0" fontId="30" fillId="0" borderId="0" xfId="39" applyFont="1" applyAlignment="1">
      <alignment wrapText="1"/>
    </xf>
    <xf numFmtId="0" fontId="29" fillId="0" borderId="7" xfId="39" applyFont="1" applyBorder="1" applyAlignment="1">
      <alignment horizontal="center" vertical="center" wrapText="1"/>
    </xf>
    <xf numFmtId="0" fontId="13" fillId="0" borderId="7" xfId="39" applyFont="1" applyBorder="1" applyAlignment="1">
      <alignment vertical="center" wrapText="1"/>
    </xf>
    <xf numFmtId="4" fontId="15" fillId="0" borderId="7" xfId="39" applyNumberFormat="1" applyFont="1" applyBorder="1" applyAlignment="1">
      <alignment vertical="center" wrapText="1"/>
    </xf>
    <xf numFmtId="4" fontId="32" fillId="0" borderId="7" xfId="39" applyNumberFormat="1" applyFont="1" applyBorder="1" applyAlignment="1">
      <alignment vertical="center" wrapText="1"/>
    </xf>
    <xf numFmtId="0" fontId="61" fillId="0" borderId="0" xfId="39" applyFont="1" applyAlignment="1">
      <alignment wrapText="1"/>
    </xf>
    <xf numFmtId="0" fontId="35" fillId="0" borderId="7" xfId="39" applyFont="1" applyBorder="1" applyAlignment="1">
      <alignment vertical="center" wrapText="1"/>
    </xf>
    <xf numFmtId="4" fontId="36" fillId="0" borderId="7" xfId="39" applyNumberFormat="1" applyFont="1" applyBorder="1" applyAlignment="1">
      <alignment vertical="center" wrapText="1"/>
    </xf>
    <xf numFmtId="0" fontId="61" fillId="0" borderId="7" xfId="39" applyFont="1" applyBorder="1" applyAlignment="1">
      <alignment horizontal="center" vertical="center" wrapText="1"/>
    </xf>
    <xf numFmtId="0" fontId="61" fillId="0" borderId="7" xfId="39" applyFont="1" applyBorder="1" applyAlignment="1">
      <alignment vertical="center" wrapText="1"/>
    </xf>
    <xf numFmtId="4" fontId="34" fillId="0" borderId="7" xfId="39" applyNumberFormat="1" applyFont="1" applyBorder="1" applyAlignment="1">
      <alignment vertical="center" wrapText="1"/>
    </xf>
    <xf numFmtId="4" fontId="30" fillId="0" borderId="7" xfId="39" applyNumberFormat="1" applyFont="1" applyBorder="1" applyAlignment="1">
      <alignment horizontal="right" vertical="center" wrapText="1"/>
    </xf>
    <xf numFmtId="4" fontId="29" fillId="0" borderId="7" xfId="39" applyNumberFormat="1" applyFont="1" applyBorder="1" applyAlignment="1">
      <alignment horizontal="right" vertical="center" wrapText="1"/>
    </xf>
    <xf numFmtId="0" fontId="61" fillId="0" borderId="7" xfId="37" applyFont="1" applyBorder="1" applyAlignment="1">
      <alignment horizontal="justify" vertical="top" wrapText="1"/>
    </xf>
    <xf numFmtId="4" fontId="29" fillId="0" borderId="7" xfId="39" applyNumberFormat="1" applyFont="1" applyBorder="1" applyAlignment="1">
      <alignment vertical="center" wrapText="1"/>
    </xf>
    <xf numFmtId="4" fontId="37" fillId="0" borderId="7" xfId="39" applyNumberFormat="1" applyFont="1" applyBorder="1" applyAlignment="1">
      <alignment vertical="center" wrapText="1"/>
    </xf>
    <xf numFmtId="0" fontId="5" fillId="0" borderId="0" xfId="39" applyAlignment="1">
      <alignment wrapText="1"/>
    </xf>
    <xf numFmtId="0" fontId="30" fillId="0" borderId="7" xfId="39" applyFont="1" applyBorder="1" applyAlignment="1">
      <alignment vertical="center" wrapText="1"/>
    </xf>
    <xf numFmtId="0" fontId="31" fillId="0" borderId="7" xfId="37" applyFont="1" applyBorder="1" applyAlignment="1">
      <alignment horizontal="justify" vertical="top" wrapText="1"/>
    </xf>
    <xf numFmtId="4" fontId="33" fillId="0" borderId="7" xfId="39" applyNumberFormat="1" applyFont="1" applyBorder="1" applyAlignment="1">
      <alignment vertical="center" wrapText="1"/>
    </xf>
    <xf numFmtId="0" fontId="34" fillId="0" borderId="7" xfId="37" applyFont="1" applyBorder="1" applyAlignment="1">
      <alignment horizontal="justify" vertical="top" wrapText="1"/>
    </xf>
    <xf numFmtId="0" fontId="61" fillId="0" borderId="13" xfId="37" applyFont="1" applyBorder="1" applyAlignment="1">
      <alignment horizontal="justify" vertical="top" wrapText="1"/>
    </xf>
    <xf numFmtId="0" fontId="62" fillId="0" borderId="7" xfId="37" applyFont="1" applyBorder="1" applyAlignment="1">
      <alignment horizontal="justify" vertical="top" wrapText="1"/>
    </xf>
    <xf numFmtId="0" fontId="63" fillId="0" borderId="7" xfId="37" applyFont="1" applyBorder="1" applyAlignment="1">
      <alignment horizontal="justify" vertical="top" wrapText="1"/>
    </xf>
    <xf numFmtId="0" fontId="35" fillId="0" borderId="7" xfId="39" applyFont="1" applyBorder="1" applyAlignment="1">
      <alignment horizontal="center" vertical="center" wrapText="1"/>
    </xf>
    <xf numFmtId="0" fontId="36" fillId="0" borderId="7" xfId="37" applyFont="1" applyBorder="1" applyAlignment="1">
      <alignment horizontal="justify" vertical="top" wrapText="1"/>
    </xf>
    <xf numFmtId="0" fontId="34" fillId="0" borderId="7" xfId="37" applyFont="1" applyBorder="1" applyAlignment="1">
      <alignment vertical="top" wrapText="1"/>
    </xf>
    <xf numFmtId="0" fontId="5" fillId="0" borderId="7" xfId="39" applyBorder="1" applyAlignment="1">
      <alignment vertical="center" wrapText="1"/>
    </xf>
    <xf numFmtId="0" fontId="64" fillId="0" borderId="0" xfId="39" applyFont="1" applyAlignment="1">
      <alignment wrapText="1"/>
    </xf>
    <xf numFmtId="0" fontId="63" fillId="0" borderId="7" xfId="39" applyFont="1" applyBorder="1" applyAlignment="1">
      <alignment horizontal="center" vertical="center" wrapText="1"/>
    </xf>
    <xf numFmtId="0" fontId="62" fillId="0" borderId="7" xfId="37" applyFont="1" applyBorder="1" applyAlignment="1">
      <alignment vertical="top" wrapText="1"/>
    </xf>
    <xf numFmtId="4" fontId="62" fillId="0" borderId="7" xfId="39" applyNumberFormat="1" applyFont="1" applyBorder="1" applyAlignment="1">
      <alignment vertical="center" wrapText="1"/>
    </xf>
    <xf numFmtId="4" fontId="65" fillId="0" borderId="7" xfId="39" applyNumberFormat="1" applyFont="1" applyBorder="1" applyAlignment="1">
      <alignment vertical="center" wrapText="1"/>
    </xf>
    <xf numFmtId="0" fontId="66" fillId="0" borderId="7" xfId="37" applyFont="1" applyBorder="1" applyAlignment="1">
      <alignment horizontal="justify" vertical="top" wrapText="1"/>
    </xf>
    <xf numFmtId="0" fontId="67" fillId="0" borderId="7" xfId="37" applyFont="1" applyBorder="1" applyAlignment="1">
      <alignment horizontal="justify" vertical="top" wrapText="1"/>
    </xf>
    <xf numFmtId="0" fontId="29" fillId="0" borderId="7" xfId="39" applyFont="1" applyBorder="1" applyAlignment="1">
      <alignment vertical="center" wrapText="1"/>
    </xf>
    <xf numFmtId="0" fontId="68" fillId="0" borderId="7" xfId="37" applyFont="1" applyBorder="1" applyAlignment="1">
      <alignment horizontal="justify" vertical="top" wrapText="1"/>
    </xf>
    <xf numFmtId="0" fontId="13" fillId="0" borderId="7" xfId="37" applyFont="1" applyBorder="1" applyAlignment="1">
      <alignment horizontal="justify" vertical="top" wrapText="1"/>
    </xf>
    <xf numFmtId="0" fontId="11" fillId="0" borderId="7" xfId="37" applyFont="1" applyBorder="1" applyAlignment="1">
      <alignment horizontal="justify" vertical="top" wrapText="1"/>
    </xf>
    <xf numFmtId="0" fontId="63" fillId="0" borderId="7" xfId="0" applyFont="1" applyBorder="1" applyAlignment="1">
      <alignment horizontal="left" vertical="center" wrapText="1"/>
    </xf>
    <xf numFmtId="0" fontId="61" fillId="0" borderId="7" xfId="0" applyFont="1" applyBorder="1" applyAlignment="1">
      <alignment horizontal="left" vertical="center" wrapText="1"/>
    </xf>
    <xf numFmtId="0" fontId="5" fillId="0" borderId="7" xfId="39" applyBorder="1" applyAlignment="1">
      <alignment horizontal="center" vertical="center" wrapText="1"/>
    </xf>
    <xf numFmtId="0" fontId="60" fillId="0" borderId="7" xfId="39" applyFont="1" applyBorder="1" applyAlignment="1">
      <alignment vertical="center" wrapText="1"/>
    </xf>
    <xf numFmtId="0" fontId="10" fillId="0" borderId="0" xfId="39" applyFont="1"/>
    <xf numFmtId="2" fontId="5" fillId="0" borderId="0" xfId="39" applyNumberFormat="1"/>
    <xf numFmtId="4" fontId="5" fillId="0" borderId="0" xfId="39" applyNumberFormat="1"/>
    <xf numFmtId="0" fontId="15" fillId="0" borderId="0" xfId="0" applyFont="1"/>
    <xf numFmtId="0" fontId="14" fillId="0" borderId="7" xfId="0" applyFont="1" applyBorder="1" applyAlignment="1">
      <alignment horizontal="center" vertical="top" wrapText="1"/>
    </xf>
    <xf numFmtId="0" fontId="71" fillId="0" borderId="7" xfId="0" applyFont="1" applyBorder="1" applyAlignment="1">
      <alignment horizontal="center" vertical="top" wrapText="1"/>
    </xf>
    <xf numFmtId="4" fontId="13" fillId="0" borderId="7"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5" fillId="0" borderId="7" xfId="0" applyFont="1" applyBorder="1" applyAlignment="1">
      <alignment horizontal="left" vertical="center" wrapText="1"/>
    </xf>
    <xf numFmtId="0" fontId="72" fillId="0" borderId="0" xfId="35" applyFont="1"/>
    <xf numFmtId="0" fontId="11" fillId="0" borderId="0" xfId="35" applyFont="1" applyAlignment="1">
      <alignment horizontal="center" vertical="center" wrapText="1"/>
    </xf>
    <xf numFmtId="0" fontId="14" fillId="0" borderId="0" xfId="35" applyFont="1" applyAlignment="1">
      <alignment horizontal="center" vertical="center" wrapText="1"/>
    </xf>
    <xf numFmtId="0" fontId="11" fillId="0" borderId="0" xfId="35" applyFont="1" applyAlignment="1">
      <alignment horizontal="center"/>
    </xf>
    <xf numFmtId="0" fontId="72" fillId="0" borderId="0" xfId="35" applyFont="1" applyAlignment="1">
      <alignment horizontal="center"/>
    </xf>
    <xf numFmtId="0" fontId="14" fillId="0" borderId="0" xfId="35" applyFont="1" applyAlignment="1">
      <alignment horizontal="right"/>
    </xf>
    <xf numFmtId="0" fontId="72" fillId="0" borderId="15" xfId="35" applyFont="1" applyBorder="1"/>
    <xf numFmtId="0" fontId="72" fillId="0" borderId="16" xfId="35" applyFont="1" applyBorder="1"/>
    <xf numFmtId="0" fontId="61" fillId="0" borderId="0" xfId="35" applyFont="1"/>
    <xf numFmtId="0" fontId="73" fillId="0" borderId="0" xfId="35" applyFont="1"/>
    <xf numFmtId="0" fontId="74" fillId="0" borderId="0" xfId="36" applyFont="1">
      <alignment vertical="top"/>
    </xf>
    <xf numFmtId="0" fontId="69" fillId="0" borderId="0" xfId="36">
      <alignment vertical="top"/>
    </xf>
    <xf numFmtId="0" fontId="74" fillId="0" borderId="0" xfId="36" applyFont="1" applyAlignment="1">
      <alignment horizontal="center" vertical="top"/>
    </xf>
    <xf numFmtId="0" fontId="10" fillId="0" borderId="0" xfId="36" applyFont="1" applyAlignment="1">
      <alignment horizontal="center" vertical="top"/>
    </xf>
    <xf numFmtId="2" fontId="69" fillId="0" borderId="0" xfId="36" applyNumberFormat="1" applyAlignment="1">
      <alignment horizontal="center" vertical="top"/>
    </xf>
    <xf numFmtId="2" fontId="74" fillId="0" borderId="7" xfId="36" applyNumberFormat="1" applyFont="1" applyBorder="1" applyAlignment="1">
      <alignment horizontal="center" vertical="center"/>
    </xf>
    <xf numFmtId="2" fontId="10" fillId="0" borderId="0" xfId="36" applyNumberFormat="1" applyFont="1" applyAlignment="1">
      <alignment horizontal="center" vertical="top"/>
    </xf>
    <xf numFmtId="2" fontId="9" fillId="0" borderId="7" xfId="36" applyNumberFormat="1" applyFont="1" applyBorder="1" applyAlignment="1">
      <alignment horizontal="center" vertical="center" wrapText="1"/>
    </xf>
    <xf numFmtId="4" fontId="9" fillId="0" borderId="7" xfId="36" applyNumberFormat="1" applyFont="1" applyBorder="1" applyAlignment="1">
      <alignment horizontal="center" vertical="center"/>
    </xf>
    <xf numFmtId="4" fontId="77" fillId="0" borderId="7" xfId="36" applyNumberFormat="1" applyFont="1" applyBorder="1" applyAlignment="1">
      <alignment horizontal="center" vertical="center" wrapText="1"/>
    </xf>
    <xf numFmtId="0" fontId="76" fillId="0" borderId="0" xfId="36" applyFont="1" applyAlignment="1">
      <alignment horizontal="center" vertical="top" wrapText="1"/>
    </xf>
    <xf numFmtId="2" fontId="76" fillId="0" borderId="0" xfId="36" applyNumberFormat="1" applyFont="1" applyAlignment="1">
      <alignment horizontal="center" vertical="top" wrapText="1"/>
    </xf>
    <xf numFmtId="165" fontId="9" fillId="0" borderId="0" xfId="36" applyNumberFormat="1" applyFont="1" applyAlignment="1">
      <alignment horizontal="center" vertical="top"/>
    </xf>
    <xf numFmtId="0" fontId="78" fillId="0" borderId="0" xfId="38" applyFont="1" applyAlignment="1" applyProtection="1">
      <alignment horizontal="left" vertical="center" wrapText="1"/>
      <protection locked="0"/>
    </xf>
    <xf numFmtId="0" fontId="76" fillId="0" borderId="0" xfId="36" applyFont="1" applyAlignment="1">
      <alignment horizontal="left" vertical="top" wrapText="1"/>
    </xf>
    <xf numFmtId="4" fontId="44" fillId="0" borderId="7" xfId="38" applyNumberFormat="1" applyFont="1" applyBorder="1" applyAlignment="1" applyProtection="1">
      <alignment horizontal="center" vertical="center" wrapText="1"/>
      <protection locked="0"/>
    </xf>
    <xf numFmtId="0" fontId="80" fillId="0" borderId="0" xfId="0" applyFont="1"/>
    <xf numFmtId="0" fontId="12" fillId="0" borderId="0" xfId="39" applyFont="1"/>
    <xf numFmtId="0" fontId="13" fillId="0" borderId="7" xfId="0" applyFont="1" applyBorder="1" applyAlignment="1">
      <alignment horizontal="left" vertical="center" wrapText="1"/>
    </xf>
    <xf numFmtId="0" fontId="90" fillId="0" borderId="0" xfId="0" applyFont="1" applyAlignment="1">
      <alignment vertical="center"/>
    </xf>
    <xf numFmtId="4" fontId="90" fillId="0" borderId="0" xfId="0" applyNumberFormat="1" applyFont="1" applyAlignment="1">
      <alignment vertical="center"/>
    </xf>
    <xf numFmtId="2" fontId="91" fillId="0" borderId="0" xfId="36" applyNumberFormat="1" applyFont="1" applyAlignment="1">
      <alignment horizontal="center" vertical="top"/>
    </xf>
    <xf numFmtId="4" fontId="5" fillId="0" borderId="0" xfId="35" applyNumberFormat="1"/>
    <xf numFmtId="4" fontId="92" fillId="0" borderId="0" xfId="0" applyNumberFormat="1" applyFont="1" applyAlignment="1">
      <alignment vertical="center"/>
    </xf>
    <xf numFmtId="4" fontId="93" fillId="0" borderId="0" xfId="0" applyNumberFormat="1" applyFont="1" applyAlignment="1">
      <alignment vertical="center"/>
    </xf>
    <xf numFmtId="0" fontId="95" fillId="0" borderId="0" xfId="0" applyFont="1" applyAlignment="1">
      <alignment horizontal="left" vertical="center"/>
    </xf>
    <xf numFmtId="0" fontId="97" fillId="0" borderId="0" xfId="0" applyFont="1" applyAlignment="1">
      <alignment horizontal="left" vertical="center"/>
    </xf>
    <xf numFmtId="0" fontId="54" fillId="0" borderId="0" xfId="0" applyFont="1"/>
    <xf numFmtId="0" fontId="5" fillId="0" borderId="0" xfId="0" applyFont="1"/>
    <xf numFmtId="0" fontId="98" fillId="0" borderId="7" xfId="0" applyFont="1" applyBorder="1" applyAlignment="1">
      <alignment horizontal="center" vertical="center" wrapText="1"/>
    </xf>
    <xf numFmtId="0" fontId="10" fillId="0" borderId="7" xfId="35" applyFont="1" applyBorder="1" applyAlignment="1">
      <alignment horizontal="center" vertical="center" wrapText="1"/>
    </xf>
    <xf numFmtId="0" fontId="98" fillId="0" borderId="7" xfId="0" applyFont="1" applyBorder="1" applyAlignment="1">
      <alignment horizontal="center" vertical="center"/>
    </xf>
    <xf numFmtId="4" fontId="98" fillId="25" borderId="7" xfId="0" applyNumberFormat="1" applyFont="1" applyFill="1" applyBorder="1" applyAlignment="1">
      <alignment horizontal="center" vertical="center"/>
    </xf>
    <xf numFmtId="0" fontId="9" fillId="0" borderId="0" xfId="0" applyFont="1"/>
    <xf numFmtId="2" fontId="9" fillId="0" borderId="0" xfId="36" applyNumberFormat="1" applyFont="1">
      <alignment vertical="top"/>
    </xf>
    <xf numFmtId="0" fontId="98" fillId="0" borderId="0" xfId="0" applyFont="1" applyAlignment="1">
      <alignment horizontal="center" vertical="center"/>
    </xf>
    <xf numFmtId="4" fontId="98" fillId="0" borderId="0" xfId="0" applyNumberFormat="1" applyFont="1" applyAlignment="1">
      <alignment horizontal="center" vertical="center"/>
    </xf>
    <xf numFmtId="4" fontId="102" fillId="0" borderId="0" xfId="0" applyNumberFormat="1" applyFont="1" applyAlignment="1">
      <alignment vertical="center"/>
    </xf>
    <xf numFmtId="0" fontId="10" fillId="0" borderId="7" xfId="37" applyFont="1" applyBorder="1" applyAlignment="1">
      <alignment horizontal="justify" vertical="top" wrapText="1"/>
    </xf>
    <xf numFmtId="0" fontId="29" fillId="0" borderId="7" xfId="37" applyFont="1" applyBorder="1" applyAlignment="1">
      <alignment horizontal="justify" vertical="top" wrapText="1"/>
    </xf>
    <xf numFmtId="0" fontId="13" fillId="0" borderId="7" xfId="0" applyFont="1" applyBorder="1" applyAlignment="1">
      <alignment horizontal="center" vertical="center" wrapText="1"/>
    </xf>
    <xf numFmtId="4" fontId="8" fillId="0" borderId="0" xfId="0" applyNumberFormat="1" applyFont="1"/>
    <xf numFmtId="0" fontId="5" fillId="26" borderId="0" xfId="35" applyFill="1"/>
    <xf numFmtId="0" fontId="5" fillId="0" borderId="0" xfId="35" applyAlignment="1">
      <alignment horizontal="center" vertical="center"/>
    </xf>
    <xf numFmtId="0" fontId="103" fillId="0" borderId="0" xfId="35" applyFont="1"/>
    <xf numFmtId="4" fontId="79" fillId="0" borderId="0" xfId="0" applyNumberFormat="1" applyFont="1" applyAlignment="1">
      <alignment horizontal="left" vertical="center"/>
    </xf>
    <xf numFmtId="4" fontId="42" fillId="0" borderId="7" xfId="38" applyNumberFormat="1" applyFont="1" applyBorder="1" applyAlignment="1" applyProtection="1">
      <alignment horizontal="center" vertical="center" wrapText="1"/>
      <protection locked="0"/>
    </xf>
    <xf numFmtId="4" fontId="42" fillId="29" borderId="7" xfId="0" applyNumberFormat="1" applyFont="1" applyFill="1" applyBorder="1" applyAlignment="1">
      <alignment horizontal="center" vertical="center"/>
    </xf>
    <xf numFmtId="0" fontId="30" fillId="29" borderId="7" xfId="35" applyFont="1" applyFill="1" applyBorder="1" applyAlignment="1">
      <alignment horizontal="center" vertical="center" wrapText="1"/>
    </xf>
    <xf numFmtId="4" fontId="30" fillId="29" borderId="7" xfId="35" applyNumberFormat="1" applyFont="1" applyFill="1" applyBorder="1" applyAlignment="1">
      <alignment horizontal="center" vertical="center"/>
    </xf>
    <xf numFmtId="4" fontId="31" fillId="29" borderId="7" xfId="35" applyNumberFormat="1" applyFont="1" applyFill="1" applyBorder="1" applyAlignment="1">
      <alignment horizontal="center" vertical="center"/>
    </xf>
    <xf numFmtId="2" fontId="69" fillId="29" borderId="7" xfId="36" applyNumberFormat="1" applyFill="1" applyBorder="1" applyAlignment="1">
      <alignment horizontal="center" vertical="center" wrapText="1"/>
    </xf>
    <xf numFmtId="4" fontId="77" fillId="29" borderId="7" xfId="36" applyNumberFormat="1" applyFont="1" applyFill="1" applyBorder="1" applyAlignment="1">
      <alignment horizontal="center" vertical="center"/>
    </xf>
    <xf numFmtId="2" fontId="9" fillId="29" borderId="7" xfId="36" applyNumberFormat="1" applyFont="1" applyFill="1" applyBorder="1" applyAlignment="1">
      <alignment horizontal="center" vertical="center" wrapText="1"/>
    </xf>
    <xf numFmtId="4" fontId="77" fillId="29" borderId="7" xfId="36" applyNumberFormat="1" applyFont="1" applyFill="1" applyBorder="1" applyAlignment="1">
      <alignment horizontal="center" vertical="center" wrapText="1"/>
    </xf>
    <xf numFmtId="4" fontId="98" fillId="29" borderId="7" xfId="0" applyNumberFormat="1" applyFont="1" applyFill="1" applyBorder="1" applyAlignment="1">
      <alignment horizontal="center" vertical="center"/>
    </xf>
    <xf numFmtId="4" fontId="40" fillId="0" borderId="0" xfId="0" applyNumberFormat="1" applyFont="1" applyAlignment="1">
      <alignment horizontal="left" vertical="center"/>
    </xf>
    <xf numFmtId="4" fontId="42" fillId="27" borderId="0" xfId="0" applyNumberFormat="1" applyFont="1" applyFill="1" applyAlignment="1">
      <alignment horizontal="center" vertical="center" wrapText="1"/>
    </xf>
    <xf numFmtId="4" fontId="44" fillId="0" borderId="7" xfId="38" applyNumberFormat="1" applyFont="1" applyBorder="1" applyAlignment="1">
      <alignment horizontal="center" vertical="center" wrapText="1"/>
    </xf>
    <xf numFmtId="4" fontId="42" fillId="27" borderId="0" xfId="0" applyNumberFormat="1" applyFont="1" applyFill="1" applyAlignment="1">
      <alignment horizontal="left" vertical="center" wrapText="1"/>
    </xf>
    <xf numFmtId="0" fontId="5" fillId="28" borderId="0" xfId="35" applyFill="1"/>
    <xf numFmtId="0" fontId="49" fillId="0" borderId="7" xfId="39" applyFont="1" applyBorder="1" applyAlignment="1">
      <alignment horizontal="center" vertical="center" wrapText="1"/>
    </xf>
    <xf numFmtId="0" fontId="49" fillId="0" borderId="0" xfId="39" applyFont="1" applyAlignment="1">
      <alignment wrapText="1"/>
    </xf>
    <xf numFmtId="0" fontId="104" fillId="0" borderId="0" xfId="0" applyFont="1"/>
    <xf numFmtId="164" fontId="32" fillId="0" borderId="7" xfId="30" applyNumberFormat="1" applyFont="1" applyBorder="1" applyAlignment="1">
      <alignment horizontal="center" vertical="center" wrapText="1"/>
    </xf>
    <xf numFmtId="0" fontId="99" fillId="0" borderId="7" xfId="0" applyFont="1" applyBorder="1" applyAlignment="1">
      <alignment horizontal="center" vertical="center"/>
    </xf>
    <xf numFmtId="0" fontId="99" fillId="0" borderId="7" xfId="0" applyFont="1" applyBorder="1" applyAlignment="1">
      <alignment horizontal="left" vertical="center" wrapText="1"/>
    </xf>
    <xf numFmtId="4" fontId="99" fillId="0" borderId="7" xfId="0" applyNumberFormat="1" applyFont="1" applyBorder="1" applyAlignment="1">
      <alignment horizontal="center" vertical="center"/>
    </xf>
    <xf numFmtId="0" fontId="9" fillId="0" borderId="7" xfId="0" applyFont="1" applyBorder="1" applyAlignment="1">
      <alignment horizontal="left" vertical="center" wrapText="1"/>
    </xf>
    <xf numFmtId="0" fontId="44" fillId="0" borderId="0" xfId="0" applyFont="1"/>
    <xf numFmtId="0" fontId="29" fillId="0" borderId="0" xfId="35" applyFont="1" applyAlignment="1">
      <alignment horizontal="center" vertical="center" wrapText="1"/>
    </xf>
    <xf numFmtId="4" fontId="30" fillId="0" borderId="0" xfId="35" applyNumberFormat="1" applyFont="1" applyAlignment="1">
      <alignment horizontal="center" vertical="center"/>
    </xf>
    <xf numFmtId="0" fontId="105" fillId="0" borderId="0" xfId="0" applyFont="1" applyAlignment="1">
      <alignment vertical="center"/>
    </xf>
    <xf numFmtId="4" fontId="106" fillId="0" borderId="0" xfId="0" applyNumberFormat="1" applyFont="1" applyAlignment="1">
      <alignment vertical="center"/>
    </xf>
    <xf numFmtId="4" fontId="107" fillId="0" borderId="0" xfId="0" applyNumberFormat="1" applyFont="1" applyAlignment="1">
      <alignment vertical="center"/>
    </xf>
    <xf numFmtId="0" fontId="107" fillId="0" borderId="0" xfId="0" applyFont="1" applyAlignment="1">
      <alignment vertical="center"/>
    </xf>
    <xf numFmtId="4" fontId="105" fillId="0" borderId="0" xfId="0" applyNumberFormat="1" applyFont="1" applyAlignment="1">
      <alignment vertical="center"/>
    </xf>
    <xf numFmtId="0" fontId="106" fillId="0" borderId="0" xfId="0" applyFont="1" applyAlignment="1">
      <alignment vertical="center"/>
    </xf>
    <xf numFmtId="0" fontId="52" fillId="0" borderId="0" xfId="35" applyFont="1"/>
    <xf numFmtId="0" fontId="99" fillId="0" borderId="0" xfId="0" applyFont="1" applyAlignment="1">
      <alignment horizontal="center" vertical="center"/>
    </xf>
    <xf numFmtId="4" fontId="99" fillId="0" borderId="0" xfId="0" applyNumberFormat="1" applyFont="1" applyAlignment="1">
      <alignment horizontal="center" vertical="center"/>
    </xf>
    <xf numFmtId="4" fontId="99" fillId="0" borderId="0" xfId="0" applyNumberFormat="1" applyFont="1" applyAlignment="1">
      <alignment horizontal="left" vertical="center"/>
    </xf>
    <xf numFmtId="0" fontId="99" fillId="0" borderId="0" xfId="0" applyFont="1" applyAlignment="1">
      <alignment horizontal="right" vertical="center"/>
    </xf>
    <xf numFmtId="2" fontId="12" fillId="0" borderId="0" xfId="36" applyNumberFormat="1" applyFont="1">
      <alignment vertical="top"/>
    </xf>
    <xf numFmtId="0" fontId="12" fillId="0" borderId="0" xfId="36" applyFont="1">
      <alignment vertical="top"/>
    </xf>
    <xf numFmtId="0" fontId="9" fillId="0" borderId="0" xfId="39" applyFont="1"/>
    <xf numFmtId="0" fontId="63" fillId="0" borderId="7" xfId="39" applyFont="1" applyBorder="1" applyAlignment="1">
      <alignment vertical="center" wrapText="1"/>
    </xf>
    <xf numFmtId="0" fontId="37" fillId="0" borderId="0" xfId="0" applyFont="1" applyAlignment="1">
      <alignment horizontal="right"/>
    </xf>
    <xf numFmtId="164" fontId="6" fillId="0" borderId="0" xfId="0" applyNumberFormat="1" applyFont="1" applyAlignment="1">
      <alignment horizontal="right" vertical="center" wrapText="1"/>
    </xf>
    <xf numFmtId="0" fontId="102" fillId="0" borderId="0" xfId="0" applyFont="1" applyAlignment="1">
      <alignment vertical="center"/>
    </xf>
    <xf numFmtId="0" fontId="5" fillId="0" borderId="11" xfId="35" applyBorder="1" applyAlignment="1">
      <alignment horizontal="right" vertical="center"/>
    </xf>
    <xf numFmtId="0" fontId="30" fillId="29" borderId="7" xfId="35" applyFont="1" applyFill="1" applyBorder="1" applyAlignment="1">
      <alignment horizontal="left" vertical="center" wrapText="1"/>
    </xf>
    <xf numFmtId="0" fontId="38" fillId="29" borderId="7" xfId="0" applyFont="1" applyFill="1" applyBorder="1" applyAlignment="1">
      <alignment horizontal="center" vertical="center"/>
    </xf>
    <xf numFmtId="0" fontId="38" fillId="29" borderId="7" xfId="0" applyFont="1" applyFill="1" applyBorder="1" applyAlignment="1">
      <alignment horizontal="left" vertical="center"/>
    </xf>
    <xf numFmtId="49" fontId="30" fillId="29" borderId="7" xfId="35" applyNumberFormat="1" applyFont="1" applyFill="1" applyBorder="1" applyAlignment="1">
      <alignment horizontal="center" vertical="center" wrapText="1"/>
    </xf>
    <xf numFmtId="0" fontId="108" fillId="0" borderId="7" xfId="35" applyFont="1" applyBorder="1" applyAlignment="1">
      <alignment horizontal="center" vertical="center" wrapText="1"/>
    </xf>
    <xf numFmtId="0" fontId="13" fillId="0" borderId="7" xfId="0" applyFont="1" applyBorder="1" applyAlignment="1">
      <alignment horizontal="center" vertical="center"/>
    </xf>
    <xf numFmtId="0" fontId="30" fillId="0" borderId="8" xfId="0" applyFont="1" applyBorder="1" applyAlignment="1">
      <alignment horizontal="center" vertical="center" wrapText="1"/>
    </xf>
    <xf numFmtId="0" fontId="9" fillId="0" borderId="0" xfId="36" applyFont="1" applyAlignment="1">
      <alignment horizontal="right" vertical="top"/>
    </xf>
    <xf numFmtId="0" fontId="38" fillId="0" borderId="7" xfId="0" applyFont="1" applyBorder="1" applyAlignment="1">
      <alignment horizontal="center" vertical="center" wrapText="1"/>
    </xf>
    <xf numFmtId="0" fontId="41" fillId="30" borderId="7" xfId="0" applyFont="1" applyFill="1" applyBorder="1" applyAlignment="1">
      <alignment horizontal="center" vertical="center" wrapText="1"/>
    </xf>
    <xf numFmtId="49" fontId="41" fillId="30" borderId="7" xfId="0" applyNumberFormat="1" applyFont="1" applyFill="1" applyBorder="1" applyAlignment="1">
      <alignment horizontal="center" vertical="center" wrapText="1"/>
    </xf>
    <xf numFmtId="4" fontId="45" fillId="30" borderId="7" xfId="0" applyNumberFormat="1" applyFont="1" applyFill="1" applyBorder="1" applyAlignment="1">
      <alignment horizontal="center" vertical="center" wrapText="1"/>
    </xf>
    <xf numFmtId="4" fontId="42" fillId="30" borderId="7" xfId="0" applyNumberFormat="1" applyFont="1" applyFill="1" applyBorder="1" applyAlignment="1">
      <alignment horizontal="center" vertical="center" wrapText="1"/>
    </xf>
    <xf numFmtId="0" fontId="38" fillId="30" borderId="7" xfId="0" applyFont="1" applyFill="1" applyBorder="1" applyAlignment="1">
      <alignment horizontal="center" vertical="center" wrapText="1"/>
    </xf>
    <xf numFmtId="49" fontId="38" fillId="30" borderId="7" xfId="0" applyNumberFormat="1" applyFont="1" applyFill="1" applyBorder="1" applyAlignment="1">
      <alignment horizontal="center" vertical="center" wrapText="1"/>
    </xf>
    <xf numFmtId="4" fontId="45" fillId="28" borderId="9" xfId="0" applyNumberFormat="1" applyFont="1" applyFill="1" applyBorder="1" applyAlignment="1">
      <alignment horizontal="center" vertical="center" wrapText="1"/>
    </xf>
    <xf numFmtId="0" fontId="109" fillId="0" borderId="0" xfId="0" applyFont="1" applyAlignment="1">
      <alignment horizontal="center" vertical="center"/>
    </xf>
    <xf numFmtId="49" fontId="40" fillId="0" borderId="7" xfId="0" applyNumberFormat="1" applyFont="1" applyBorder="1" applyAlignment="1">
      <alignment horizontal="center" vertical="center"/>
    </xf>
    <xf numFmtId="49" fontId="29" fillId="0" borderId="7" xfId="35" applyNumberFormat="1" applyFont="1" applyBorder="1" applyAlignment="1">
      <alignment horizontal="center" vertical="center" wrapText="1"/>
    </xf>
    <xf numFmtId="0" fontId="29" fillId="0" borderId="7" xfId="35" applyFont="1" applyBorder="1" applyAlignment="1">
      <alignment horizontal="center" vertical="center" wrapText="1"/>
    </xf>
    <xf numFmtId="4" fontId="29" fillId="0" borderId="7" xfId="35" applyNumberFormat="1" applyFont="1" applyBorder="1" applyAlignment="1">
      <alignment horizontal="center" vertical="center"/>
    </xf>
    <xf numFmtId="49" fontId="30" fillId="0" borderId="7" xfId="35" applyNumberFormat="1" applyFont="1" applyBorder="1" applyAlignment="1">
      <alignment horizontal="center" vertical="center" wrapText="1"/>
    </xf>
    <xf numFmtId="49" fontId="30" fillId="0" borderId="7" xfId="0" applyNumberFormat="1" applyFont="1" applyBorder="1" applyAlignment="1">
      <alignment horizontal="center" vertical="center" wrapText="1"/>
    </xf>
    <xf numFmtId="4" fontId="30" fillId="0" borderId="7" xfId="35" applyNumberFormat="1" applyFont="1" applyBorder="1" applyAlignment="1">
      <alignment horizontal="center" vertical="center"/>
    </xf>
    <xf numFmtId="49" fontId="49" fillId="0" borderId="7" xfId="35" applyNumberFormat="1" applyFont="1" applyBorder="1" applyAlignment="1">
      <alignment horizontal="center" vertical="center" wrapText="1"/>
    </xf>
    <xf numFmtId="49" fontId="49" fillId="0" borderId="7" xfId="0" applyNumberFormat="1" applyFont="1" applyBorder="1" applyAlignment="1">
      <alignment horizontal="center" vertical="center" wrapText="1"/>
    </xf>
    <xf numFmtId="4" fontId="49" fillId="0" borderId="7" xfId="35" applyNumberFormat="1" applyFont="1" applyBorder="1" applyAlignment="1">
      <alignment horizontal="center" vertical="center"/>
    </xf>
    <xf numFmtId="49" fontId="40" fillId="0" borderId="12" xfId="0" applyNumberFormat="1" applyFont="1" applyBorder="1" applyAlignment="1">
      <alignment horizontal="center" vertical="center" wrapText="1"/>
    </xf>
    <xf numFmtId="0" fontId="40" fillId="0" borderId="7" xfId="38" applyFont="1" applyBorder="1" applyAlignment="1" applyProtection="1">
      <alignment horizontal="center" vertical="center" wrapText="1"/>
      <protection locked="0"/>
    </xf>
    <xf numFmtId="49" fontId="40" fillId="0" borderId="0" xfId="0" applyNumberFormat="1" applyFont="1" applyAlignment="1">
      <alignment horizontal="center" vertical="top" wrapText="1"/>
    </xf>
    <xf numFmtId="0" fontId="40" fillId="0" borderId="8" xfId="0" applyFont="1" applyBorder="1" applyAlignment="1">
      <alignment horizontal="center" vertical="center" wrapText="1"/>
    </xf>
    <xf numFmtId="49" fontId="40" fillId="0" borderId="15" xfId="0" applyNumberFormat="1" applyFont="1" applyBorder="1" applyAlignment="1">
      <alignment horizontal="center" vertical="center" wrapText="1"/>
    </xf>
    <xf numFmtId="0" fontId="40" fillId="0" borderId="7" xfId="0" applyFont="1" applyBorder="1" applyAlignment="1">
      <alignment horizontal="center" vertical="center" wrapText="1"/>
    </xf>
    <xf numFmtId="0" fontId="40" fillId="0" borderId="0" xfId="0" applyFont="1" applyAlignment="1">
      <alignment horizontal="center" vertical="center" wrapText="1"/>
    </xf>
    <xf numFmtId="4" fontId="42" fillId="0" borderId="14" xfId="0" applyNumberFormat="1" applyFont="1" applyBorder="1" applyAlignment="1">
      <alignment horizontal="center" vertical="center" wrapText="1"/>
    </xf>
    <xf numFmtId="2" fontId="10" fillId="0" borderId="0" xfId="38" applyNumberFormat="1" applyFont="1" applyAlignment="1" applyProtection="1">
      <alignment vertical="center" wrapText="1"/>
      <protection locked="0"/>
    </xf>
    <xf numFmtId="2" fontId="110" fillId="0" borderId="0" xfId="0" applyNumberFormat="1" applyFont="1" applyAlignment="1">
      <alignment horizontal="center" vertical="center"/>
    </xf>
    <xf numFmtId="0" fontId="80" fillId="0" borderId="0" xfId="0" applyFont="1" applyAlignment="1">
      <alignment horizontal="center" vertical="center"/>
    </xf>
    <xf numFmtId="4" fontId="44" fillId="0" borderId="7" xfId="0" applyNumberFormat="1" applyFont="1" applyBorder="1" applyAlignment="1">
      <alignment horizontal="center" vertical="center" wrapText="1"/>
    </xf>
    <xf numFmtId="4" fontId="42" fillId="31" borderId="7" xfId="0" applyNumberFormat="1" applyFont="1" applyFill="1" applyBorder="1" applyAlignment="1">
      <alignment horizontal="center" vertical="center"/>
    </xf>
    <xf numFmtId="49" fontId="9" fillId="0" borderId="7" xfId="0" applyNumberFormat="1" applyFont="1" applyBorder="1" applyAlignment="1">
      <alignment horizontal="center" vertical="center" wrapText="1"/>
    </xf>
    <xf numFmtId="0" fontId="41" fillId="30" borderId="7" xfId="38" applyFont="1" applyFill="1" applyBorder="1" applyAlignment="1" applyProtection="1">
      <alignment horizontal="center" vertical="center" wrapText="1"/>
      <protection locked="0"/>
    </xf>
    <xf numFmtId="0" fontId="38" fillId="30" borderId="7" xfId="38" applyFont="1" applyFill="1" applyBorder="1" applyAlignment="1" applyProtection="1">
      <alignment horizontal="center" vertical="center" wrapText="1"/>
      <protection locked="0"/>
    </xf>
    <xf numFmtId="4" fontId="42" fillId="0" borderId="7" xfId="38" applyNumberFormat="1" applyFont="1" applyBorder="1" applyAlignment="1">
      <alignment horizontal="center" vertical="center" wrapText="1"/>
    </xf>
    <xf numFmtId="0" fontId="40" fillId="0" borderId="8" xfId="38" applyFont="1" applyBorder="1" applyAlignment="1" applyProtection="1">
      <alignment horizontal="center" vertical="center" wrapText="1"/>
      <protection locked="0"/>
    </xf>
    <xf numFmtId="49" fontId="41" fillId="30" borderId="7" xfId="0" applyNumberFormat="1" applyFont="1" applyFill="1" applyBorder="1" applyAlignment="1">
      <alignment horizontal="center" vertical="center"/>
    </xf>
    <xf numFmtId="49" fontId="39" fillId="30" borderId="7" xfId="0" applyNumberFormat="1" applyFont="1" applyFill="1" applyBorder="1" applyAlignment="1">
      <alignment horizontal="center" vertical="center"/>
    </xf>
    <xf numFmtId="4" fontId="45" fillId="30" borderId="7" xfId="38" applyNumberFormat="1" applyFont="1" applyFill="1" applyBorder="1" applyAlignment="1" applyProtection="1">
      <alignment horizontal="center" vertical="center" wrapText="1"/>
      <protection locked="0"/>
    </xf>
    <xf numFmtId="0" fontId="40" fillId="0" borderId="9" xfId="38" applyFont="1" applyBorder="1" applyAlignment="1" applyProtection="1">
      <alignment horizontal="center" vertical="center" wrapText="1"/>
      <protection locked="0"/>
    </xf>
    <xf numFmtId="2" fontId="113" fillId="0" borderId="0" xfId="36" applyNumberFormat="1" applyFont="1" applyAlignment="1">
      <alignment horizontal="center" vertical="top"/>
    </xf>
    <xf numFmtId="4" fontId="45" fillId="30" borderId="7" xfId="0" applyNumberFormat="1" applyFont="1" applyFill="1" applyBorder="1" applyAlignment="1">
      <alignment horizontal="center" vertical="center"/>
    </xf>
    <xf numFmtId="4" fontId="42" fillId="30" borderId="7" xfId="0" applyNumberFormat="1" applyFont="1" applyFill="1" applyBorder="1" applyAlignment="1">
      <alignment horizontal="center" vertical="center"/>
    </xf>
    <xf numFmtId="0" fontId="10" fillId="0" borderId="7" xfId="39" applyFont="1" applyBorder="1" applyAlignment="1">
      <alignment horizontal="center" vertical="center" wrapText="1"/>
    </xf>
    <xf numFmtId="0" fontId="5" fillId="0" borderId="0" xfId="0" applyFont="1" applyAlignment="1">
      <alignment horizontal="left" vertical="center" wrapText="1"/>
    </xf>
    <xf numFmtId="0" fontId="70" fillId="0" borderId="0" xfId="0" applyFont="1" applyAlignment="1">
      <alignment horizontal="center"/>
    </xf>
    <xf numFmtId="0" fontId="62" fillId="0" borderId="7" xfId="0" applyFont="1" applyBorder="1" applyAlignment="1">
      <alignment horizontal="center" vertical="center" wrapText="1"/>
    </xf>
    <xf numFmtId="4" fontId="44" fillId="0" borderId="7" xfId="0" applyNumberFormat="1" applyFont="1" applyBorder="1" applyAlignment="1">
      <alignment horizontal="center" vertical="center"/>
    </xf>
    <xf numFmtId="4" fontId="45" fillId="29" borderId="7" xfId="0" applyNumberFormat="1" applyFont="1" applyFill="1" applyBorder="1" applyAlignment="1">
      <alignment horizontal="center" vertical="center"/>
    </xf>
    <xf numFmtId="0" fontId="3" fillId="0" borderId="0" xfId="0" applyFont="1"/>
    <xf numFmtId="4" fontId="3" fillId="0" borderId="0" xfId="0" applyNumberFormat="1" applyFont="1"/>
    <xf numFmtId="4" fontId="5" fillId="0" borderId="7" xfId="0" applyNumberFormat="1" applyFont="1" applyBorder="1" applyAlignment="1">
      <alignment horizontal="center" vertical="center" wrapText="1"/>
    </xf>
    <xf numFmtId="0" fontId="115" fillId="0" borderId="0" xfId="0" applyFont="1"/>
    <xf numFmtId="0" fontId="115" fillId="0" borderId="0" xfId="36" applyFont="1">
      <alignment vertical="top"/>
    </xf>
    <xf numFmtId="0" fontId="115" fillId="0" borderId="0" xfId="35" applyFont="1"/>
    <xf numFmtId="0" fontId="44" fillId="0" borderId="0" xfId="36" applyFont="1">
      <alignment vertical="top"/>
    </xf>
    <xf numFmtId="0" fontId="44" fillId="0" borderId="0" xfId="35" applyFont="1" applyAlignment="1">
      <alignment horizontal="center" vertical="center"/>
    </xf>
    <xf numFmtId="0" fontId="44" fillId="0" borderId="0" xfId="35" applyFont="1"/>
    <xf numFmtId="4" fontId="116" fillId="0" borderId="0" xfId="0" applyNumberFormat="1" applyFont="1" applyAlignment="1">
      <alignment horizontal="center" vertical="center"/>
    </xf>
    <xf numFmtId="4" fontId="117" fillId="0" borderId="0" xfId="0" applyNumberFormat="1" applyFont="1" applyAlignment="1">
      <alignment vertical="center"/>
    </xf>
    <xf numFmtId="0" fontId="118" fillId="0" borderId="0" xfId="87" applyFont="1" applyAlignment="1">
      <alignment vertical="center"/>
    </xf>
    <xf numFmtId="0" fontId="2" fillId="0" borderId="0" xfId="87"/>
    <xf numFmtId="0" fontId="118" fillId="0" borderId="0" xfId="87" applyFont="1" applyAlignment="1">
      <alignment horizontal="center" vertical="center" wrapText="1"/>
    </xf>
    <xf numFmtId="0" fontId="120" fillId="0" borderId="7" xfId="87" applyFont="1" applyBorder="1" applyAlignment="1">
      <alignment horizontal="center" vertical="center" wrapText="1"/>
    </xf>
    <xf numFmtId="0" fontId="121" fillId="0" borderId="7" xfId="87" applyFont="1" applyBorder="1" applyAlignment="1">
      <alignment horizontal="center" vertical="center" wrapText="1"/>
    </xf>
    <xf numFmtId="49" fontId="118" fillId="0" borderId="7" xfId="87" applyNumberFormat="1" applyFont="1" applyBorder="1" applyAlignment="1">
      <alignment horizontal="center" vertical="center" wrapText="1"/>
    </xf>
    <xf numFmtId="0" fontId="118" fillId="0" borderId="7" xfId="87" applyFont="1" applyBorder="1" applyAlignment="1">
      <alignment horizontal="center" vertical="center" wrapText="1"/>
    </xf>
    <xf numFmtId="166" fontId="118" fillId="0" borderId="7" xfId="87" applyNumberFormat="1" applyFont="1" applyBorder="1" applyAlignment="1">
      <alignment horizontal="center" vertical="center" wrapText="1"/>
    </xf>
    <xf numFmtId="0" fontId="122" fillId="0" borderId="7" xfId="87" applyFont="1" applyBorder="1" applyAlignment="1">
      <alignment horizontal="center" vertical="center" wrapText="1"/>
    </xf>
    <xf numFmtId="0" fontId="123" fillId="0" borderId="7" xfId="87" applyFont="1" applyBorder="1" applyAlignment="1">
      <alignment horizontal="center" vertical="center" wrapText="1"/>
    </xf>
    <xf numFmtId="0" fontId="124" fillId="0" borderId="0" xfId="87" applyFont="1" applyAlignment="1">
      <alignment vertical="center"/>
    </xf>
    <xf numFmtId="0" fontId="29" fillId="0" borderId="0" xfId="35" applyFont="1"/>
    <xf numFmtId="49" fontId="40" fillId="0" borderId="8" xfId="0" applyNumberFormat="1" applyFont="1" applyBorder="1" applyAlignment="1">
      <alignment horizontal="center" vertical="center" wrapText="1"/>
    </xf>
    <xf numFmtId="4" fontId="42" fillId="0" borderId="8" xfId="0" applyNumberFormat="1" applyFont="1" applyBorder="1" applyAlignment="1">
      <alignment horizontal="center" vertical="center" wrapText="1"/>
    </xf>
    <xf numFmtId="49" fontId="40" fillId="0" borderId="7" xfId="0" applyNumberFormat="1" applyFont="1" applyBorder="1" applyAlignment="1">
      <alignment horizontal="center" vertical="center" wrapText="1"/>
    </xf>
    <xf numFmtId="4" fontId="42" fillId="0" borderId="7" xfId="0" applyNumberFormat="1" applyFont="1" applyBorder="1" applyAlignment="1">
      <alignment horizontal="center" vertical="center" wrapText="1"/>
    </xf>
    <xf numFmtId="4" fontId="44" fillId="0" borderId="8" xfId="0" applyNumberFormat="1" applyFont="1" applyBorder="1" applyAlignment="1">
      <alignment horizontal="center" vertical="center" wrapText="1"/>
    </xf>
    <xf numFmtId="49" fontId="40" fillId="33" borderId="7" xfId="0" applyNumberFormat="1" applyFont="1" applyFill="1" applyBorder="1" applyAlignment="1">
      <alignment horizontal="center" vertical="center" wrapText="1"/>
    </xf>
    <xf numFmtId="4" fontId="42" fillId="33" borderId="7" xfId="0" applyNumberFormat="1" applyFont="1" applyFill="1" applyBorder="1" applyAlignment="1">
      <alignment horizontal="center" vertical="center" wrapText="1"/>
    </xf>
    <xf numFmtId="4" fontId="44" fillId="33" borderId="7" xfId="38" applyNumberFormat="1" applyFont="1" applyFill="1" applyBorder="1" applyAlignment="1" applyProtection="1">
      <alignment horizontal="center" vertical="center" wrapText="1"/>
      <protection locked="0"/>
    </xf>
    <xf numFmtId="4" fontId="44" fillId="33" borderId="7" xfId="38" applyNumberFormat="1" applyFont="1" applyFill="1" applyBorder="1" applyAlignment="1">
      <alignment horizontal="center" vertical="center" wrapText="1"/>
    </xf>
    <xf numFmtId="4" fontId="44" fillId="33" borderId="7" xfId="0" applyNumberFormat="1" applyFont="1" applyFill="1" applyBorder="1" applyAlignment="1">
      <alignment horizontal="center" vertical="center" wrapText="1"/>
    </xf>
    <xf numFmtId="49" fontId="40" fillId="33" borderId="8" xfId="0" applyNumberFormat="1" applyFont="1" applyFill="1" applyBorder="1" applyAlignment="1">
      <alignment horizontal="center" vertical="center" wrapText="1"/>
    </xf>
    <xf numFmtId="4" fontId="42" fillId="33" borderId="7" xfId="38" applyNumberFormat="1" applyFont="1" applyFill="1" applyBorder="1" applyAlignment="1" applyProtection="1">
      <alignment horizontal="center" vertical="center" wrapText="1"/>
      <protection locked="0"/>
    </xf>
    <xf numFmtId="49" fontId="40" fillId="33" borderId="7" xfId="0" applyNumberFormat="1" applyFont="1" applyFill="1" applyBorder="1" applyAlignment="1">
      <alignment horizontal="center" vertical="center"/>
    </xf>
    <xf numFmtId="49" fontId="29" fillId="33" borderId="7" xfId="0" applyNumberFormat="1" applyFont="1" applyFill="1" applyBorder="1" applyAlignment="1">
      <alignment horizontal="center" vertical="center" wrapText="1"/>
    </xf>
    <xf numFmtId="164" fontId="32" fillId="33" borderId="7" xfId="30" applyNumberFormat="1" applyFont="1" applyFill="1" applyBorder="1" applyAlignment="1">
      <alignment horizontal="center" vertical="center"/>
    </xf>
    <xf numFmtId="4" fontId="32" fillId="33" borderId="7" xfId="30" applyNumberFormat="1" applyFont="1" applyFill="1" applyBorder="1" applyAlignment="1">
      <alignment horizontal="center" vertical="center"/>
    </xf>
    <xf numFmtId="164" fontId="32" fillId="33" borderId="7" xfId="30" applyNumberFormat="1" applyFont="1" applyFill="1" applyBorder="1" applyAlignment="1">
      <alignment horizontal="center" vertical="center" wrapText="1"/>
    </xf>
    <xf numFmtId="0" fontId="29" fillId="33" borderId="7" xfId="40" applyFont="1" applyFill="1" applyBorder="1" applyAlignment="1">
      <alignment horizontal="center" vertical="center" wrapText="1"/>
    </xf>
    <xf numFmtId="0" fontId="29" fillId="33" borderId="7" xfId="0" applyFont="1" applyFill="1" applyBorder="1" applyAlignment="1">
      <alignment horizontal="center" vertical="center" wrapText="1"/>
    </xf>
    <xf numFmtId="0" fontId="99" fillId="0" borderId="17" xfId="0" applyFont="1" applyBorder="1" applyAlignment="1">
      <alignment horizontal="center" vertical="center"/>
    </xf>
    <xf numFmtId="0" fontId="9" fillId="0" borderId="14" xfId="0" applyFont="1" applyBorder="1" applyAlignment="1">
      <alignment horizontal="left" vertical="center" wrapText="1"/>
    </xf>
    <xf numFmtId="49" fontId="29" fillId="0" borderId="7" xfId="0" applyNumberFormat="1" applyFont="1" applyBorder="1" applyAlignment="1">
      <alignment horizontal="center" vertical="center" wrapText="1"/>
    </xf>
    <xf numFmtId="164" fontId="32" fillId="0" borderId="7" xfId="30" applyNumberFormat="1" applyFont="1" applyBorder="1" applyAlignment="1">
      <alignment horizontal="center" vertical="center"/>
    </xf>
    <xf numFmtId="4" fontId="32" fillId="0" borderId="7" xfId="30" applyNumberFormat="1" applyFont="1" applyBorder="1" applyAlignment="1">
      <alignment horizontal="center" vertical="center"/>
    </xf>
    <xf numFmtId="4" fontId="29" fillId="0" borderId="7" xfId="0" applyNumberFormat="1" applyFont="1" applyBorder="1" applyAlignment="1">
      <alignment horizontal="center" vertical="center" wrapText="1"/>
    </xf>
    <xf numFmtId="9" fontId="29" fillId="0" borderId="7" xfId="0" applyNumberFormat="1" applyFont="1" applyBorder="1" applyAlignment="1">
      <alignment horizontal="center" vertical="center" wrapText="1"/>
    </xf>
    <xf numFmtId="164" fontId="111" fillId="0" borderId="7" xfId="30" applyNumberFormat="1" applyFont="1" applyBorder="1" applyAlignment="1">
      <alignment horizontal="center" vertical="center" wrapText="1"/>
    </xf>
    <xf numFmtId="4" fontId="40" fillId="0" borderId="7" xfId="0" applyNumberFormat="1" applyFont="1" applyBorder="1" applyAlignment="1">
      <alignment horizontal="center" vertical="center" wrapText="1"/>
    </xf>
    <xf numFmtId="49" fontId="41" fillId="34" borderId="7" xfId="0" applyNumberFormat="1" applyFont="1" applyFill="1" applyBorder="1" applyAlignment="1">
      <alignment horizontal="center" vertical="center" wrapText="1"/>
    </xf>
    <xf numFmtId="0" fontId="41" fillId="34" borderId="7" xfId="38" applyFont="1" applyFill="1" applyBorder="1" applyAlignment="1" applyProtection="1">
      <alignment horizontal="center" vertical="center" wrapText="1"/>
      <protection locked="0"/>
    </xf>
    <xf numFmtId="4" fontId="45" fillId="34" borderId="7" xfId="0" applyNumberFormat="1" applyFont="1" applyFill="1" applyBorder="1" applyAlignment="1">
      <alignment horizontal="center" vertical="center"/>
    </xf>
    <xf numFmtId="49" fontId="38" fillId="34" borderId="7" xfId="0" applyNumberFormat="1" applyFont="1" applyFill="1" applyBorder="1" applyAlignment="1">
      <alignment horizontal="center" vertical="center" wrapText="1"/>
    </xf>
    <xf numFmtId="0" fontId="38" fillId="34" borderId="7" xfId="38" applyFont="1" applyFill="1" applyBorder="1" applyAlignment="1" applyProtection="1">
      <alignment horizontal="center" vertical="center" wrapText="1"/>
      <protection locked="0"/>
    </xf>
    <xf numFmtId="4" fontId="42" fillId="34" borderId="7" xfId="0" applyNumberFormat="1" applyFont="1" applyFill="1" applyBorder="1" applyAlignment="1">
      <alignment horizontal="center" vertical="center" wrapText="1"/>
    </xf>
    <xf numFmtId="4" fontId="45" fillId="34" borderId="7" xfId="0" applyNumberFormat="1" applyFont="1" applyFill="1" applyBorder="1" applyAlignment="1">
      <alignment horizontal="center" vertical="center" wrapText="1"/>
    </xf>
    <xf numFmtId="49" fontId="41" fillId="34" borderId="7" xfId="0" applyNumberFormat="1" applyFont="1" applyFill="1" applyBorder="1" applyAlignment="1">
      <alignment horizontal="center" vertical="center"/>
    </xf>
    <xf numFmtId="49" fontId="39" fillId="34" borderId="7" xfId="0" applyNumberFormat="1" applyFont="1" applyFill="1" applyBorder="1" applyAlignment="1">
      <alignment horizontal="center" vertical="center"/>
    </xf>
    <xf numFmtId="4" fontId="45" fillId="34" borderId="7" xfId="38" applyNumberFormat="1" applyFont="1" applyFill="1" applyBorder="1" applyAlignment="1" applyProtection="1">
      <alignment horizontal="center" vertical="center" wrapText="1"/>
      <protection locked="0"/>
    </xf>
    <xf numFmtId="0" fontId="41" fillId="34" borderId="7" xfId="0" applyFont="1" applyFill="1" applyBorder="1" applyAlignment="1">
      <alignment horizontal="center" vertical="center" wrapText="1"/>
    </xf>
    <xf numFmtId="0" fontId="38" fillId="34" borderId="7" xfId="0" applyFont="1" applyFill="1" applyBorder="1" applyAlignment="1">
      <alignment horizontal="center" vertical="center" wrapText="1"/>
    </xf>
    <xf numFmtId="49" fontId="49" fillId="34" borderId="7" xfId="0" applyNumberFormat="1" applyFont="1" applyFill="1" applyBorder="1" applyAlignment="1">
      <alignment horizontal="center" vertical="center" wrapText="1"/>
    </xf>
    <xf numFmtId="49" fontId="29" fillId="34" borderId="7" xfId="35" applyNumberFormat="1" applyFont="1" applyFill="1" applyBorder="1" applyAlignment="1">
      <alignment horizontal="center" vertical="center" wrapText="1"/>
    </xf>
    <xf numFmtId="0" fontId="49" fillId="34" borderId="7" xfId="38" applyFont="1" applyFill="1" applyBorder="1" applyAlignment="1" applyProtection="1">
      <alignment horizontal="center" vertical="center" wrapText="1"/>
      <protection locked="0"/>
    </xf>
    <xf numFmtId="164" fontId="15" fillId="34" borderId="7" xfId="30" applyNumberFormat="1" applyFont="1" applyFill="1" applyBorder="1" applyAlignment="1">
      <alignment horizontal="center" vertical="center"/>
    </xf>
    <xf numFmtId="164" fontId="31" fillId="34" borderId="7" xfId="30" applyNumberFormat="1" applyFont="1" applyFill="1" applyBorder="1" applyAlignment="1">
      <alignment horizontal="center" vertical="center"/>
    </xf>
    <xf numFmtId="4" fontId="33" fillId="34" borderId="7" xfId="30" applyNumberFormat="1" applyFont="1" applyFill="1" applyBorder="1" applyAlignment="1">
      <alignment horizontal="center" vertical="center"/>
    </xf>
    <xf numFmtId="49" fontId="30" fillId="34" borderId="7" xfId="0" applyNumberFormat="1" applyFont="1" applyFill="1" applyBorder="1" applyAlignment="1">
      <alignment horizontal="center" vertical="center" wrapText="1"/>
    </xf>
    <xf numFmtId="0" fontId="30" fillId="34" borderId="7" xfId="35" applyFont="1" applyFill="1" applyBorder="1" applyAlignment="1">
      <alignment horizontal="center" vertical="center" wrapText="1"/>
    </xf>
    <xf numFmtId="49" fontId="30" fillId="34" borderId="7" xfId="35" applyNumberFormat="1" applyFont="1" applyFill="1" applyBorder="1" applyAlignment="1">
      <alignment horizontal="center" vertical="center" wrapText="1"/>
    </xf>
    <xf numFmtId="0" fontId="30" fillId="34" borderId="7" xfId="38" applyFont="1" applyFill="1" applyBorder="1" applyAlignment="1" applyProtection="1">
      <alignment horizontal="center" vertical="center" wrapText="1"/>
      <protection locked="0"/>
    </xf>
    <xf numFmtId="164" fontId="37" fillId="34" borderId="7" xfId="30" applyNumberFormat="1" applyFont="1" applyFill="1" applyBorder="1" applyAlignment="1">
      <alignment horizontal="center" vertical="center"/>
    </xf>
    <xf numFmtId="164" fontId="32" fillId="34" borderId="7" xfId="30" applyNumberFormat="1" applyFont="1" applyFill="1" applyBorder="1" applyAlignment="1">
      <alignment horizontal="center" vertical="center"/>
    </xf>
    <xf numFmtId="4" fontId="31" fillId="34" borderId="7" xfId="30" applyNumberFormat="1" applyFont="1" applyFill="1" applyBorder="1" applyAlignment="1">
      <alignment horizontal="center" vertical="center"/>
    </xf>
    <xf numFmtId="4" fontId="79" fillId="0" borderId="0" xfId="0" applyNumberFormat="1" applyFont="1" applyAlignment="1">
      <alignment horizontal="left"/>
    </xf>
    <xf numFmtId="4" fontId="38" fillId="34" borderId="7" xfId="0" applyNumberFormat="1" applyFont="1" applyFill="1" applyBorder="1" applyAlignment="1">
      <alignment horizontal="center" vertical="center" wrapText="1"/>
    </xf>
    <xf numFmtId="0" fontId="111" fillId="0" borderId="7" xfId="0" applyFont="1" applyBorder="1" applyAlignment="1">
      <alignment horizontal="center" vertical="center" wrapText="1"/>
    </xf>
    <xf numFmtId="0" fontId="29" fillId="0" borderId="7" xfId="40" applyFont="1" applyBorder="1" applyAlignment="1">
      <alignment horizontal="center" vertical="center" wrapText="1"/>
    </xf>
    <xf numFmtId="9" fontId="32" fillId="0" borderId="10" xfId="30" applyNumberFormat="1" applyFont="1" applyBorder="1" applyAlignment="1">
      <alignment horizontal="center" vertical="center"/>
    </xf>
    <xf numFmtId="0" fontId="29" fillId="0" borderId="7" xfId="41" applyFont="1" applyBorder="1" applyAlignment="1">
      <alignment horizontal="center" vertical="center" wrapText="1"/>
    </xf>
    <xf numFmtId="4" fontId="32" fillId="0" borderId="10" xfId="30" applyNumberFormat="1" applyFont="1" applyBorder="1" applyAlignment="1">
      <alignment horizontal="center" vertical="center"/>
    </xf>
    <xf numFmtId="4" fontId="29" fillId="0" borderId="7" xfId="30" applyNumberFormat="1" applyFont="1" applyBorder="1" applyAlignment="1">
      <alignment horizontal="center" vertical="center"/>
    </xf>
    <xf numFmtId="4" fontId="29" fillId="0" borderId="10" xfId="30" applyNumberFormat="1" applyFont="1" applyBorder="1" applyAlignment="1">
      <alignment horizontal="center" vertical="center"/>
    </xf>
    <xf numFmtId="9" fontId="29" fillId="0" borderId="10" xfId="30" applyNumberFormat="1" applyFont="1" applyBorder="1" applyAlignment="1">
      <alignment horizontal="center" vertical="center"/>
    </xf>
    <xf numFmtId="0" fontId="125" fillId="0" borderId="7" xfId="87" applyFont="1" applyBorder="1" applyAlignment="1">
      <alignment horizontal="center" vertical="center" wrapText="1"/>
    </xf>
    <xf numFmtId="0" fontId="50" fillId="0" borderId="7" xfId="87" applyFont="1" applyBorder="1" applyAlignment="1">
      <alignment horizontal="center" vertical="center" wrapText="1"/>
    </xf>
    <xf numFmtId="0" fontId="29" fillId="0" borderId="7" xfId="87" applyFont="1" applyBorder="1" applyAlignment="1">
      <alignment horizontal="center" vertical="center" wrapText="1"/>
    </xf>
    <xf numFmtId="9" fontId="29" fillId="0" borderId="7" xfId="30" applyNumberFormat="1" applyFont="1" applyBorder="1" applyAlignment="1">
      <alignment horizontal="center" vertical="center"/>
    </xf>
    <xf numFmtId="0" fontId="32" fillId="0" borderId="7" xfId="0" applyFont="1" applyBorder="1" applyAlignment="1">
      <alignment horizontal="center" vertical="center" wrapText="1"/>
    </xf>
    <xf numFmtId="9" fontId="50" fillId="0" borderId="7" xfId="30" applyNumberFormat="1" applyFont="1" applyBorder="1" applyAlignment="1">
      <alignment horizontal="center" vertical="center"/>
    </xf>
    <xf numFmtId="0" fontId="29" fillId="0" borderId="7" xfId="94" applyFont="1" applyBorder="1" applyAlignment="1">
      <alignment horizontal="center" vertical="center" wrapText="1"/>
    </xf>
    <xf numFmtId="0" fontId="114" fillId="0" borderId="7" xfId="0" applyFont="1" applyBorder="1" applyAlignment="1">
      <alignment horizontal="center" vertical="center" wrapText="1"/>
    </xf>
    <xf numFmtId="0" fontId="112" fillId="0" borderId="7" xfId="0" applyFont="1" applyBorder="1" applyAlignment="1">
      <alignment horizontal="center" vertical="center" wrapText="1"/>
    </xf>
    <xf numFmtId="4" fontId="40" fillId="0" borderId="7" xfId="38" applyNumberFormat="1" applyFont="1" applyBorder="1" applyAlignment="1" applyProtection="1">
      <alignment horizontal="center" vertical="center" wrapText="1"/>
      <protection locked="0"/>
    </xf>
    <xf numFmtId="0" fontId="29" fillId="0" borderId="7" xfId="0" applyFont="1" applyBorder="1" applyAlignment="1">
      <alignment horizontal="center" vertical="center" wrapText="1"/>
    </xf>
    <xf numFmtId="49" fontId="50" fillId="0" borderId="7" xfId="0" applyNumberFormat="1" applyFont="1" applyBorder="1" applyAlignment="1">
      <alignment horizontal="center" vertical="center" wrapText="1"/>
    </xf>
    <xf numFmtId="164" fontId="53" fillId="0" borderId="7" xfId="30" applyNumberFormat="1" applyFont="1" applyBorder="1" applyAlignment="1">
      <alignment horizontal="center" vertical="center"/>
    </xf>
    <xf numFmtId="4" fontId="50" fillId="0" borderId="7" xfId="30" applyNumberFormat="1" applyFont="1" applyBorder="1" applyAlignment="1">
      <alignment horizontal="center" vertical="center"/>
    </xf>
    <xf numFmtId="0" fontId="50" fillId="0" borderId="7" xfId="0" applyFont="1" applyBorder="1" applyAlignment="1">
      <alignment horizontal="center" vertical="center" wrapText="1"/>
    </xf>
    <xf numFmtId="0" fontId="50" fillId="0" borderId="7" xfId="46" applyFont="1" applyBorder="1" applyAlignment="1">
      <alignment horizontal="center" vertical="center" wrapText="1"/>
    </xf>
    <xf numFmtId="0" fontId="29" fillId="0" borderId="7" xfId="93" applyFont="1" applyBorder="1" applyAlignment="1">
      <alignment horizontal="center" vertical="center" wrapText="1"/>
    </xf>
    <xf numFmtId="0" fontId="29" fillId="0" borderId="7" xfId="85" applyFont="1" applyBorder="1" applyAlignment="1">
      <alignment horizontal="center" vertical="center" wrapText="1"/>
    </xf>
    <xf numFmtId="0" fontId="29" fillId="0" borderId="8" xfId="85" applyFont="1" applyBorder="1" applyAlignment="1">
      <alignment horizontal="center" vertical="center" wrapText="1"/>
    </xf>
    <xf numFmtId="4" fontId="43" fillId="0" borderId="7" xfId="0" applyNumberFormat="1" applyFont="1" applyBorder="1" applyAlignment="1">
      <alignment horizontal="center" vertical="center" wrapText="1"/>
    </xf>
    <xf numFmtId="49" fontId="39" fillId="0" borderId="7" xfId="0" applyNumberFormat="1" applyFont="1" applyBorder="1" applyAlignment="1">
      <alignment horizontal="center" vertical="center" wrapText="1"/>
    </xf>
    <xf numFmtId="4" fontId="42" fillId="26" borderId="7" xfId="0" applyNumberFormat="1" applyFont="1" applyFill="1" applyBorder="1" applyAlignment="1">
      <alignment horizontal="center" vertical="center"/>
    </xf>
    <xf numFmtId="0" fontId="126" fillId="0" borderId="0" xfId="0" applyFont="1" applyAlignment="1">
      <alignment horizontal="center" vertical="center"/>
    </xf>
    <xf numFmtId="4" fontId="43" fillId="0" borderId="0" xfId="0" applyNumberFormat="1" applyFont="1" applyAlignment="1">
      <alignment horizontal="center" vertical="center" wrapText="1"/>
    </xf>
    <xf numFmtId="9" fontId="32" fillId="0" borderId="7" xfId="30" applyNumberFormat="1" applyFont="1" applyBorder="1" applyAlignment="1">
      <alignment horizontal="center" vertical="center"/>
    </xf>
    <xf numFmtId="164" fontId="29" fillId="0" borderId="7" xfId="0" applyNumberFormat="1" applyFont="1" applyBorder="1" applyAlignment="1">
      <alignment horizontal="center" vertical="center" wrapText="1"/>
    </xf>
    <xf numFmtId="0" fontId="29" fillId="0" borderId="7" xfId="38" applyFont="1" applyBorder="1" applyAlignment="1" applyProtection="1">
      <alignment horizontal="center" vertical="center" wrapText="1"/>
      <protection locked="0"/>
    </xf>
    <xf numFmtId="164" fontId="32" fillId="0" borderId="0" xfId="30" applyNumberFormat="1" applyFont="1" applyAlignment="1">
      <alignment horizontal="center" vertical="center" wrapText="1"/>
    </xf>
    <xf numFmtId="49" fontId="49" fillId="34" borderId="8" xfId="0" applyNumberFormat="1" applyFont="1" applyFill="1" applyBorder="1" applyAlignment="1">
      <alignment horizontal="center" vertical="center" wrapText="1"/>
    </xf>
    <xf numFmtId="164" fontId="37" fillId="34" borderId="8" xfId="30" applyNumberFormat="1" applyFont="1" applyFill="1" applyBorder="1" applyAlignment="1">
      <alignment horizontal="center" vertical="center"/>
    </xf>
    <xf numFmtId="164" fontId="32" fillId="34" borderId="8" xfId="30" applyNumberFormat="1" applyFont="1" applyFill="1" applyBorder="1" applyAlignment="1">
      <alignment horizontal="center" vertical="center"/>
    </xf>
    <xf numFmtId="4" fontId="33" fillId="34" borderId="8" xfId="30" applyNumberFormat="1" applyFont="1" applyFill="1" applyBorder="1" applyAlignment="1">
      <alignment horizontal="center" vertical="center"/>
    </xf>
    <xf numFmtId="49" fontId="29" fillId="0" borderId="10" xfId="0" applyNumberFormat="1" applyFont="1" applyBorder="1" applyAlignment="1">
      <alignment horizontal="center" vertical="center" wrapText="1"/>
    </xf>
    <xf numFmtId="0" fontId="29" fillId="0" borderId="10" xfId="41" applyFont="1" applyBorder="1" applyAlignment="1">
      <alignment horizontal="center" vertical="center" wrapText="1"/>
    </xf>
    <xf numFmtId="0" fontId="5" fillId="0" borderId="7" xfId="35" applyBorder="1"/>
    <xf numFmtId="0" fontId="5" fillId="34" borderId="0" xfId="35" applyFill="1"/>
    <xf numFmtId="0" fontId="49" fillId="34" borderId="7" xfId="0" applyFont="1" applyFill="1" applyBorder="1" applyAlignment="1">
      <alignment horizontal="center" vertical="center" wrapText="1"/>
    </xf>
    <xf numFmtId="0" fontId="30" fillId="34" borderId="7" xfId="0" applyFont="1" applyFill="1" applyBorder="1" applyAlignment="1">
      <alignment horizontal="center" vertical="center" wrapText="1"/>
    </xf>
    <xf numFmtId="49" fontId="29" fillId="0" borderId="8" xfId="0" applyNumberFormat="1" applyFont="1" applyBorder="1" applyAlignment="1">
      <alignment horizontal="center" vertical="center" wrapText="1"/>
    </xf>
    <xf numFmtId="0" fontId="55" fillId="0" borderId="7" xfId="0" applyFont="1" applyBorder="1" applyAlignment="1">
      <alignment horizontal="center" vertical="center" wrapText="1"/>
    </xf>
    <xf numFmtId="4" fontId="43" fillId="0" borderId="8" xfId="0" applyNumberFormat="1" applyFont="1" applyBorder="1" applyAlignment="1">
      <alignment horizontal="center" vertical="center" wrapText="1"/>
    </xf>
    <xf numFmtId="164" fontId="111" fillId="0" borderId="8" xfId="30" applyNumberFormat="1" applyFont="1" applyBorder="1" applyAlignment="1">
      <alignment horizontal="center" vertical="center" wrapText="1"/>
    </xf>
    <xf numFmtId="4" fontId="44" fillId="0" borderId="0" xfId="0" applyNumberFormat="1" applyFont="1" applyAlignment="1">
      <alignment horizontal="center" vertical="center" wrapText="1"/>
    </xf>
    <xf numFmtId="4" fontId="45" fillId="28" borderId="22" xfId="0" applyNumberFormat="1" applyFont="1" applyFill="1" applyBorder="1" applyAlignment="1">
      <alignment horizontal="center" vertical="center" wrapText="1"/>
    </xf>
    <xf numFmtId="4" fontId="49" fillId="34" borderId="7" xfId="35" applyNumberFormat="1" applyFont="1" applyFill="1" applyBorder="1" applyAlignment="1">
      <alignment horizontal="center" vertical="center" wrapText="1"/>
    </xf>
    <xf numFmtId="4" fontId="30" fillId="34" borderId="7" xfId="35" applyNumberFormat="1" applyFont="1" applyFill="1" applyBorder="1" applyAlignment="1">
      <alignment horizontal="center" vertical="center" wrapText="1"/>
    </xf>
    <xf numFmtId="4" fontId="42" fillId="34" borderId="7" xfId="0" applyNumberFormat="1" applyFont="1" applyFill="1" applyBorder="1" applyAlignment="1">
      <alignment horizontal="center" vertical="center"/>
    </xf>
    <xf numFmtId="4" fontId="44" fillId="0" borderId="0" xfId="0" applyNumberFormat="1" applyFont="1" applyAlignment="1">
      <alignment horizontal="center" vertical="top" wrapText="1"/>
    </xf>
    <xf numFmtId="4" fontId="44" fillId="0" borderId="8" xfId="0" applyNumberFormat="1" applyFont="1" applyBorder="1" applyAlignment="1">
      <alignment horizontal="center" wrapText="1"/>
    </xf>
    <xf numFmtId="49" fontId="30" fillId="34" borderId="7" xfId="0" applyNumberFormat="1" applyFont="1" applyFill="1" applyBorder="1" applyAlignment="1">
      <alignment horizontal="center" vertical="center"/>
    </xf>
    <xf numFmtId="49" fontId="29" fillId="34" borderId="7" xfId="0" applyNumberFormat="1" applyFont="1" applyFill="1" applyBorder="1" applyAlignment="1">
      <alignment horizontal="center" vertical="center"/>
    </xf>
    <xf numFmtId="49" fontId="40" fillId="0" borderId="8" xfId="0" applyNumberFormat="1" applyFont="1" applyBorder="1" applyAlignment="1">
      <alignment horizontal="center" wrapText="1"/>
    </xf>
    <xf numFmtId="4" fontId="127" fillId="0" borderId="0" xfId="0" applyNumberFormat="1" applyFont="1" applyAlignment="1">
      <alignment horizontal="left" vertical="center"/>
    </xf>
    <xf numFmtId="164" fontId="29" fillId="0" borderId="7" xfId="30" applyNumberFormat="1" applyFont="1" applyBorder="1" applyAlignment="1">
      <alignment horizontal="center" vertical="center"/>
    </xf>
    <xf numFmtId="4" fontId="109" fillId="0" borderId="0" xfId="0" applyNumberFormat="1" applyFont="1" applyAlignment="1">
      <alignment horizontal="center" vertical="center"/>
    </xf>
    <xf numFmtId="0" fontId="128" fillId="0" borderId="0" xfId="35" applyFont="1" applyAlignment="1">
      <alignment horizontal="left"/>
    </xf>
    <xf numFmtId="4" fontId="30" fillId="0" borderId="7" xfId="0" applyNumberFormat="1" applyFont="1" applyBorder="1" applyAlignment="1">
      <alignment horizontal="center" vertical="center" wrapText="1"/>
    </xf>
    <xf numFmtId="49" fontId="40" fillId="0" borderId="7" xfId="35" applyNumberFormat="1" applyFont="1" applyBorder="1" applyAlignment="1">
      <alignment horizontal="center" vertical="center" wrapText="1"/>
    </xf>
    <xf numFmtId="0" fontId="40" fillId="0" borderId="7" xfId="35" applyFont="1" applyBorder="1" applyAlignment="1">
      <alignment horizontal="center" vertical="center" wrapText="1"/>
    </xf>
    <xf numFmtId="0" fontId="9" fillId="0" borderId="0" xfId="0" applyFont="1" applyAlignment="1">
      <alignment horizontal="center" vertical="center"/>
    </xf>
    <xf numFmtId="0" fontId="0" fillId="0" borderId="0" xfId="0"/>
    <xf numFmtId="0" fontId="0" fillId="0" borderId="0" xfId="0" applyAlignment="1">
      <alignment horizontal="center" vertical="center"/>
    </xf>
    <xf numFmtId="0" fontId="60" fillId="0" borderId="0" xfId="39" applyFont="1" applyAlignment="1">
      <alignment horizontal="center" vertical="center"/>
    </xf>
    <xf numFmtId="0" fontId="10" fillId="0" borderId="7" xfId="39" applyFont="1" applyBorder="1" applyAlignment="1">
      <alignment horizontal="center" vertical="center" wrapText="1"/>
    </xf>
    <xf numFmtId="0" fontId="13" fillId="0" borderId="17" xfId="0" applyFont="1" applyBorder="1" applyAlignment="1">
      <alignment horizontal="left" vertical="center" wrapText="1"/>
    </xf>
    <xf numFmtId="0" fontId="13" fillId="0" borderId="14" xfId="0" applyFont="1" applyBorder="1" applyAlignment="1">
      <alignment horizontal="left" vertical="center" wrapText="1"/>
    </xf>
    <xf numFmtId="0" fontId="8" fillId="0" borderId="14"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wrapText="1"/>
    </xf>
    <xf numFmtId="0" fontId="70" fillId="0" borderId="0" xfId="0" applyFont="1" applyAlignment="1">
      <alignment horizontal="center"/>
    </xf>
    <xf numFmtId="0" fontId="62" fillId="0" borderId="7" xfId="0" applyFont="1" applyBorder="1" applyAlignment="1">
      <alignment horizontal="center" vertical="center" wrapText="1"/>
    </xf>
    <xf numFmtId="0" fontId="62" fillId="0" borderId="8" xfId="0" applyFont="1" applyBorder="1" applyAlignment="1">
      <alignment horizontal="center" vertical="center" wrapText="1"/>
    </xf>
    <xf numFmtId="0" fontId="0" fillId="0" borderId="10" xfId="0" applyBorder="1" applyAlignment="1">
      <alignment horizontal="center" vertical="center" wrapText="1"/>
    </xf>
    <xf numFmtId="4" fontId="40" fillId="0" borderId="8" xfId="0" applyNumberFormat="1" applyFont="1" applyBorder="1" applyAlignment="1">
      <alignment horizontal="center" vertical="center" wrapText="1"/>
    </xf>
    <xf numFmtId="4" fontId="40" fillId="0" borderId="10" xfId="0" applyNumberFormat="1" applyFont="1" applyBorder="1" applyAlignment="1">
      <alignment horizontal="center" vertical="center" wrapText="1"/>
    </xf>
    <xf numFmtId="4" fontId="44" fillId="0" borderId="8" xfId="0" applyNumberFormat="1" applyFont="1" applyBorder="1" applyAlignment="1">
      <alignment horizontal="center" vertical="center"/>
    </xf>
    <xf numFmtId="4" fontId="44" fillId="0" borderId="10" xfId="0" applyNumberFormat="1" applyFont="1" applyBorder="1" applyAlignment="1">
      <alignment horizontal="center" vertical="center"/>
    </xf>
    <xf numFmtId="0" fontId="40" fillId="0" borderId="0" xfId="0" applyFont="1" applyAlignment="1">
      <alignment horizontal="center" vertical="center"/>
    </xf>
    <xf numFmtId="0" fontId="0" fillId="0" borderId="0" xfId="0" applyAlignment="1">
      <alignment vertical="center"/>
    </xf>
    <xf numFmtId="0" fontId="40" fillId="0" borderId="0" xfId="0" applyFont="1" applyAlignment="1">
      <alignment vertical="center"/>
    </xf>
    <xf numFmtId="0" fontId="38" fillId="0" borderId="7" xfId="0" applyFont="1" applyBorder="1" applyAlignment="1">
      <alignment horizontal="center" vertical="center"/>
    </xf>
    <xf numFmtId="0" fontId="38" fillId="0" borderId="0" xfId="0" applyFont="1" applyAlignment="1">
      <alignment horizontal="center" vertical="center"/>
    </xf>
    <xf numFmtId="0" fontId="38" fillId="0" borderId="7" xfId="0" applyFont="1" applyBorder="1" applyAlignment="1">
      <alignment horizontal="center" vertical="center" wrapText="1"/>
    </xf>
    <xf numFmtId="4" fontId="42" fillId="0" borderId="8" xfId="0" applyNumberFormat="1" applyFont="1" applyBorder="1" applyAlignment="1">
      <alignment horizontal="center" vertical="center" wrapText="1"/>
    </xf>
    <xf numFmtId="4" fontId="42" fillId="0" borderId="10" xfId="0" applyNumberFormat="1" applyFont="1" applyBorder="1" applyAlignment="1">
      <alignment horizontal="center" vertical="center" wrapText="1"/>
    </xf>
    <xf numFmtId="4" fontId="44" fillId="0" borderId="8" xfId="0" applyNumberFormat="1" applyFont="1" applyBorder="1" applyAlignment="1">
      <alignment horizontal="center" vertical="center" wrapText="1"/>
    </xf>
    <xf numFmtId="0" fontId="0" fillId="0" borderId="9" xfId="0" applyBorder="1" applyAlignment="1">
      <alignment horizontal="center" vertical="center" wrapText="1"/>
    </xf>
    <xf numFmtId="4" fontId="38" fillId="0" borderId="8" xfId="0" applyNumberFormat="1" applyFont="1" applyBorder="1" applyAlignment="1">
      <alignment horizontal="center" vertical="center" wrapText="1"/>
    </xf>
    <xf numFmtId="4" fontId="8" fillId="0" borderId="10" xfId="0" applyNumberFormat="1" applyFont="1" applyBorder="1" applyAlignment="1">
      <alignment horizontal="center" vertical="center" wrapText="1"/>
    </xf>
    <xf numFmtId="4" fontId="0" fillId="0" borderId="10" xfId="0" applyNumberFormat="1" applyBorder="1" applyAlignment="1">
      <alignment horizontal="center" vertical="center" wrapText="1"/>
    </xf>
    <xf numFmtId="0" fontId="8" fillId="0" borderId="10" xfId="0" applyFont="1" applyBorder="1" applyAlignment="1">
      <alignment horizontal="center" vertical="center" wrapText="1"/>
    </xf>
    <xf numFmtId="49" fontId="40" fillId="0" borderId="8" xfId="0" applyNumberFormat="1" applyFont="1" applyBorder="1" applyAlignment="1">
      <alignment horizontal="center" vertical="center" wrapText="1"/>
    </xf>
    <xf numFmtId="0" fontId="40" fillId="0" borderId="0" xfId="0" applyFont="1"/>
    <xf numFmtId="0" fontId="95" fillId="0" borderId="12" xfId="0" applyFont="1" applyBorder="1" applyAlignment="1">
      <alignment horizontal="left" vertical="center"/>
    </xf>
    <xf numFmtId="0" fontId="97" fillId="0" borderId="12" xfId="0" applyFont="1" applyBorder="1" applyAlignment="1">
      <alignment horizontal="left" vertical="center"/>
    </xf>
    <xf numFmtId="0" fontId="0" fillId="0" borderId="10" xfId="0" applyBorder="1" applyAlignment="1">
      <alignment horizontal="center" vertical="center"/>
    </xf>
    <xf numFmtId="4" fontId="38" fillId="0" borderId="10" xfId="0" applyNumberFormat="1" applyFont="1" applyBorder="1" applyAlignment="1">
      <alignment horizontal="center" vertical="center" wrapText="1"/>
    </xf>
    <xf numFmtId="49" fontId="40" fillId="0" borderId="10" xfId="0" applyNumberFormat="1"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38" fillId="0" borderId="17" xfId="0" applyFont="1" applyBorder="1" applyAlignment="1">
      <alignment horizontal="center" vertical="center"/>
    </xf>
    <xf numFmtId="0" fontId="38" fillId="0" borderId="18" xfId="0" applyFont="1" applyBorder="1" applyAlignment="1">
      <alignment horizontal="center" vertical="center"/>
    </xf>
    <xf numFmtId="0" fontId="0" fillId="0" borderId="14" xfId="0" applyBorder="1" applyAlignment="1">
      <alignment horizontal="center" vertical="center"/>
    </xf>
    <xf numFmtId="0" fontId="8" fillId="0" borderId="9" xfId="0" applyFont="1" applyBorder="1" applyAlignment="1">
      <alignment horizontal="center" vertical="center" wrapText="1"/>
    </xf>
    <xf numFmtId="0" fontId="0" fillId="0" borderId="9" xfId="0" applyBorder="1" applyAlignment="1">
      <alignment horizontal="center" vertical="center"/>
    </xf>
    <xf numFmtId="0" fontId="108" fillId="0" borderId="7" xfId="35" applyFont="1" applyBorder="1" applyAlignment="1">
      <alignment horizontal="center" vertical="center" wrapText="1"/>
    </xf>
    <xf numFmtId="0" fontId="8" fillId="0" borderId="7" xfId="0" applyFont="1" applyBorder="1" applyAlignment="1">
      <alignment horizontal="center" vertical="center" wrapText="1"/>
    </xf>
    <xf numFmtId="0" fontId="29" fillId="0" borderId="0" xfId="0" applyFont="1"/>
    <xf numFmtId="0" fontId="29" fillId="0" borderId="0" xfId="35" applyFont="1" applyAlignment="1">
      <alignment horizontal="center" vertical="center" wrapText="1"/>
    </xf>
    <xf numFmtId="0" fontId="11" fillId="0" borderId="0" xfId="35" applyFont="1" applyAlignment="1">
      <alignment horizontal="center" vertical="center" wrapText="1"/>
    </xf>
    <xf numFmtId="0" fontId="10" fillId="0" borderId="7" xfId="35" applyFont="1" applyBorder="1" applyAlignment="1">
      <alignment horizontal="center" vertical="center" wrapText="1"/>
    </xf>
    <xf numFmtId="0" fontId="72" fillId="0" borderId="0" xfId="35" applyFont="1"/>
    <xf numFmtId="0" fontId="13" fillId="0" borderId="7" xfId="35" applyFont="1" applyBorder="1" applyAlignment="1">
      <alignment horizontal="center" vertical="center" wrapText="1"/>
    </xf>
    <xf numFmtId="0" fontId="13" fillId="0" borderId="7" xfId="0" applyFont="1" applyBorder="1" applyAlignment="1">
      <alignment horizontal="center" vertical="center" wrapText="1"/>
    </xf>
    <xf numFmtId="0" fontId="8" fillId="0" borderId="7" xfId="0" applyFont="1" applyBorder="1" applyAlignment="1">
      <alignment horizontal="center" vertical="center"/>
    </xf>
    <xf numFmtId="0" fontId="13" fillId="0" borderId="7" xfId="0" applyFont="1" applyBorder="1" applyAlignment="1">
      <alignment horizontal="center" vertical="center"/>
    </xf>
    <xf numFmtId="0" fontId="12" fillId="0" borderId="0" xfId="0" applyFont="1" applyAlignment="1">
      <alignment horizontal="center" vertical="center"/>
    </xf>
    <xf numFmtId="0" fontId="100" fillId="0" borderId="12" xfId="0" applyFont="1" applyBorder="1" applyAlignment="1">
      <alignment horizontal="left" vertical="center"/>
    </xf>
    <xf numFmtId="0" fontId="0" fillId="0" borderId="12" xfId="0" applyBorder="1" applyAlignment="1">
      <alignment horizontal="left" vertical="center"/>
    </xf>
    <xf numFmtId="0" fontId="9" fillId="0" borderId="0" xfId="35" applyFont="1" applyAlignment="1">
      <alignment horizontal="center" vertical="center"/>
    </xf>
    <xf numFmtId="0" fontId="47" fillId="0" borderId="0" xfId="35" applyFont="1" applyAlignment="1">
      <alignment horizontal="center" vertical="center" wrapText="1"/>
    </xf>
    <xf numFmtId="0" fontId="74" fillId="0" borderId="0" xfId="36" applyFont="1" applyAlignment="1">
      <alignment horizontal="center"/>
    </xf>
    <xf numFmtId="0" fontId="74" fillId="0" borderId="0" xfId="0" applyFont="1" applyAlignment="1">
      <alignment horizontal="center"/>
    </xf>
    <xf numFmtId="0" fontId="0" fillId="0" borderId="0" xfId="0" applyAlignment="1">
      <alignment horizontal="center"/>
    </xf>
    <xf numFmtId="0" fontId="74" fillId="0" borderId="0" xfId="36" applyFont="1" applyAlignment="1">
      <alignment horizontal="center" vertical="top"/>
    </xf>
    <xf numFmtId="0" fontId="0" fillId="0" borderId="0" xfId="0" applyAlignment="1">
      <alignment vertical="top"/>
    </xf>
    <xf numFmtId="2" fontId="76" fillId="0" borderId="7" xfId="36" applyNumberFormat="1" applyFont="1" applyBorder="1" applyAlignment="1">
      <alignment horizontal="center" vertical="center" wrapText="1"/>
    </xf>
    <xf numFmtId="0" fontId="0" fillId="0" borderId="7" xfId="0" applyBorder="1" applyAlignment="1">
      <alignment horizontal="center"/>
    </xf>
    <xf numFmtId="0" fontId="12" fillId="0" borderId="0" xfId="36" applyFont="1" applyAlignment="1">
      <alignment horizontal="left" vertical="top" wrapText="1"/>
    </xf>
    <xf numFmtId="2" fontId="10" fillId="0" borderId="17" xfId="36" applyNumberFormat="1" applyFont="1" applyBorder="1" applyAlignment="1">
      <alignment horizontal="center" vertical="center" wrapText="1"/>
    </xf>
    <xf numFmtId="0" fontId="0" fillId="0" borderId="18" xfId="0" applyBorder="1" applyAlignment="1">
      <alignment horizontal="center"/>
    </xf>
    <xf numFmtId="0" fontId="0" fillId="0" borderId="14" xfId="0" applyBorder="1" applyAlignment="1">
      <alignment horizontal="center"/>
    </xf>
    <xf numFmtId="2" fontId="74" fillId="0" borderId="17" xfId="36" applyNumberFormat="1" applyFont="1" applyBorder="1" applyAlignment="1">
      <alignment horizontal="center" vertical="center"/>
    </xf>
    <xf numFmtId="2" fontId="74" fillId="29" borderId="7" xfId="36" applyNumberFormat="1" applyFont="1" applyFill="1" applyBorder="1" applyAlignment="1">
      <alignment horizontal="center" vertical="center" wrapText="1"/>
    </xf>
    <xf numFmtId="2" fontId="74" fillId="0" borderId="7" xfId="36" applyNumberFormat="1" applyFont="1" applyBorder="1" applyAlignment="1">
      <alignment horizontal="center" vertical="center" wrapText="1"/>
    </xf>
    <xf numFmtId="0" fontId="69" fillId="0" borderId="0" xfId="36">
      <alignment vertical="top"/>
    </xf>
    <xf numFmtId="0" fontId="9" fillId="0" borderId="0" xfId="36" applyFont="1" applyAlignment="1">
      <alignment horizontal="center" vertical="center" wrapText="1"/>
    </xf>
    <xf numFmtId="0" fontId="75" fillId="0" borderId="0" xfId="0" applyFont="1" applyAlignment="1">
      <alignment horizontal="center" vertical="center"/>
    </xf>
    <xf numFmtId="2" fontId="10" fillId="29" borderId="7" xfId="36" applyNumberFormat="1" applyFont="1" applyFill="1" applyBorder="1" applyAlignment="1">
      <alignment horizontal="center" vertical="center"/>
    </xf>
    <xf numFmtId="2" fontId="76" fillId="0" borderId="7" xfId="38" applyNumberFormat="1" applyFont="1" applyBorder="1" applyAlignment="1" applyProtection="1">
      <alignment horizontal="center" vertical="center" wrapText="1"/>
      <protection locked="0"/>
    </xf>
    <xf numFmtId="0" fontId="10" fillId="0" borderId="0" xfId="0" applyFont="1" applyAlignment="1">
      <alignment horizontal="center"/>
    </xf>
    <xf numFmtId="0" fontId="10" fillId="0" borderId="11" xfId="0" applyFont="1" applyBorder="1" applyAlignment="1">
      <alignment horizontal="center"/>
    </xf>
    <xf numFmtId="0" fontId="0" fillId="0" borderId="11" xfId="0" applyBorder="1" applyAlignment="1">
      <alignment horizontal="center"/>
    </xf>
    <xf numFmtId="0" fontId="98" fillId="29" borderId="17" xfId="0" applyFont="1" applyFill="1" applyBorder="1" applyAlignment="1">
      <alignment horizontal="center" vertical="center"/>
    </xf>
    <xf numFmtId="0" fontId="98" fillId="29" borderId="18" xfId="0" applyFont="1" applyFill="1" applyBorder="1" applyAlignment="1">
      <alignment horizontal="center" vertical="center"/>
    </xf>
    <xf numFmtId="0" fontId="98" fillId="29" borderId="14" xfId="0" applyFont="1" applyFill="1" applyBorder="1" applyAlignment="1">
      <alignment horizontal="center" vertical="center"/>
    </xf>
    <xf numFmtId="0" fontId="9" fillId="0" borderId="0" xfId="36" applyFont="1" applyAlignment="1">
      <alignment horizontal="left" vertical="top" wrapText="1"/>
    </xf>
    <xf numFmtId="0" fontId="99" fillId="0" borderId="0" xfId="0" applyFont="1" applyAlignment="1">
      <alignment horizontal="right" vertical="center"/>
    </xf>
    <xf numFmtId="0" fontId="9" fillId="0" borderId="0" xfId="0" applyFont="1" applyAlignment="1">
      <alignment horizontal="right" vertical="center"/>
    </xf>
    <xf numFmtId="0" fontId="9" fillId="0" borderId="0" xfId="0" applyFont="1" applyAlignment="1">
      <alignment horizontal="left"/>
    </xf>
    <xf numFmtId="4" fontId="44" fillId="0" borderId="8" xfId="38" applyNumberFormat="1" applyFont="1" applyBorder="1" applyAlignment="1" applyProtection="1">
      <alignment horizontal="center" vertical="center" wrapText="1"/>
      <protection locked="0"/>
    </xf>
    <xf numFmtId="49" fontId="40" fillId="0" borderId="9" xfId="0" applyNumberFormat="1" applyFont="1" applyBorder="1" applyAlignment="1">
      <alignment horizontal="center" vertical="center" wrapText="1"/>
    </xf>
    <xf numFmtId="164" fontId="111" fillId="0" borderId="8" xfId="30" applyNumberFormat="1" applyFont="1" applyBorder="1" applyAlignment="1">
      <alignment horizontal="center" vertical="center" wrapText="1"/>
    </xf>
    <xf numFmtId="4" fontId="45" fillId="28" borderId="16" xfId="0" applyNumberFormat="1" applyFont="1" applyFill="1" applyBorder="1" applyAlignment="1">
      <alignment horizontal="center" vertical="center" wrapText="1"/>
    </xf>
    <xf numFmtId="4" fontId="44" fillId="0" borderId="8" xfId="38" applyNumberFormat="1" applyFont="1" applyBorder="1" applyAlignment="1">
      <alignment horizontal="center" vertical="center" wrapText="1"/>
    </xf>
    <xf numFmtId="0" fontId="0" fillId="0" borderId="9" xfId="0" applyBorder="1"/>
    <xf numFmtId="0" fontId="0" fillId="0" borderId="10" xfId="0" applyBorder="1"/>
    <xf numFmtId="4" fontId="44" fillId="0" borderId="9" xfId="0" applyNumberFormat="1" applyFont="1" applyBorder="1" applyAlignment="1">
      <alignment horizontal="center" vertical="center" wrapText="1"/>
    </xf>
    <xf numFmtId="4" fontId="44" fillId="0" borderId="10" xfId="0" applyNumberFormat="1" applyFont="1" applyBorder="1" applyAlignment="1">
      <alignment horizontal="center" vertical="center" wrapText="1"/>
    </xf>
    <xf numFmtId="4" fontId="44" fillId="0" borderId="9" xfId="38" applyNumberFormat="1" applyFont="1" applyBorder="1" applyAlignment="1" applyProtection="1">
      <alignment horizontal="center" vertical="center" wrapText="1"/>
      <protection locked="0"/>
    </xf>
    <xf numFmtId="4" fontId="44" fillId="0" borderId="10" xfId="38" applyNumberFormat="1" applyFont="1" applyBorder="1" applyAlignment="1" applyProtection="1">
      <alignment horizontal="center" vertical="center" wrapText="1"/>
      <protection locked="0"/>
    </xf>
    <xf numFmtId="4" fontId="44" fillId="0" borderId="9" xfId="38" applyNumberFormat="1" applyFont="1" applyBorder="1" applyAlignment="1">
      <alignment horizontal="center" vertical="center" wrapText="1"/>
    </xf>
    <xf numFmtId="4" fontId="44" fillId="0" borderId="10" xfId="38" applyNumberFormat="1" applyFont="1" applyBorder="1" applyAlignment="1">
      <alignment horizontal="center" vertical="center" wrapText="1"/>
    </xf>
    <xf numFmtId="0" fontId="120" fillId="0" borderId="7" xfId="87" applyFont="1" applyBorder="1" applyAlignment="1">
      <alignment horizontal="center" vertical="center" wrapText="1"/>
    </xf>
    <xf numFmtId="0" fontId="118" fillId="0" borderId="0" xfId="87" applyFont="1" applyAlignment="1">
      <alignment horizontal="right" vertical="center"/>
    </xf>
    <xf numFmtId="0" fontId="119" fillId="0" borderId="0" xfId="87" applyFont="1" applyAlignment="1">
      <alignment horizontal="center" vertical="center"/>
    </xf>
    <xf numFmtId="49" fontId="119" fillId="32" borderId="0" xfId="87" applyNumberFormat="1" applyFont="1" applyFill="1" applyAlignment="1">
      <alignment horizontal="center" vertical="center" wrapText="1"/>
    </xf>
    <xf numFmtId="49" fontId="40" fillId="0" borderId="7" xfId="0" applyNumberFormat="1" applyFont="1" applyBorder="1" applyAlignment="1">
      <alignment horizontal="center" vertical="center" wrapText="1"/>
    </xf>
    <xf numFmtId="0" fontId="0" fillId="0" borderId="7" xfId="0" applyBorder="1" applyAlignment="1">
      <alignment horizontal="center" vertical="center" wrapText="1"/>
    </xf>
    <xf numFmtId="4" fontId="42" fillId="0" borderId="7" xfId="0" applyNumberFormat="1" applyFont="1" applyBorder="1" applyAlignment="1">
      <alignment horizontal="center" vertical="center" wrapText="1"/>
    </xf>
    <xf numFmtId="4" fontId="0" fillId="0" borderId="9" xfId="0" applyNumberFormat="1" applyBorder="1" applyAlignment="1">
      <alignment horizontal="center" vertical="center" wrapText="1"/>
    </xf>
  </cellXfs>
  <cellStyles count="95">
    <cellStyle name="20% - Акцент1" xfId="47" xr:uid="{00000000-0005-0000-0000-000000000000}"/>
    <cellStyle name="20% - Акцент2" xfId="48" xr:uid="{00000000-0005-0000-0000-000001000000}"/>
    <cellStyle name="20% - Акцент3" xfId="49" xr:uid="{00000000-0005-0000-0000-000002000000}"/>
    <cellStyle name="20% - Акцент4" xfId="50" xr:uid="{00000000-0005-0000-0000-000003000000}"/>
    <cellStyle name="20% - Акцент5" xfId="51" xr:uid="{00000000-0005-0000-0000-000004000000}"/>
    <cellStyle name="20% - Акцент6" xfId="52" xr:uid="{00000000-0005-0000-0000-000005000000}"/>
    <cellStyle name="40% - Акцент1" xfId="53" xr:uid="{00000000-0005-0000-0000-000006000000}"/>
    <cellStyle name="40% - Акцент2" xfId="54" xr:uid="{00000000-0005-0000-0000-000007000000}"/>
    <cellStyle name="40% - Акцент3" xfId="55" xr:uid="{00000000-0005-0000-0000-000008000000}"/>
    <cellStyle name="40% - Акцент4" xfId="56" xr:uid="{00000000-0005-0000-0000-000009000000}"/>
    <cellStyle name="40% - Акцент5" xfId="57" xr:uid="{00000000-0005-0000-0000-00000A000000}"/>
    <cellStyle name="40% - Акцент6" xfId="58" xr:uid="{00000000-0005-0000-0000-00000B000000}"/>
    <cellStyle name="60% - Акцент1" xfId="59" xr:uid="{00000000-0005-0000-0000-00000C000000}"/>
    <cellStyle name="60% - Акцент2" xfId="60" xr:uid="{00000000-0005-0000-0000-00000D000000}"/>
    <cellStyle name="60% - Акцент3" xfId="61" xr:uid="{00000000-0005-0000-0000-00000E000000}"/>
    <cellStyle name="60% - Акцент4" xfId="62" xr:uid="{00000000-0005-0000-0000-00000F000000}"/>
    <cellStyle name="60% - Акцент5" xfId="63" xr:uid="{00000000-0005-0000-0000-000010000000}"/>
    <cellStyle name="60% - Акцент6" xfId="64" xr:uid="{00000000-0005-0000-0000-000011000000}"/>
    <cellStyle name="Excel Built-in Обычный_УКБ до бюджету 2016р ост" xfId="85" xr:uid="{00000000-0005-0000-0000-000012000000}"/>
    <cellStyle name="Normal_meresha_07" xfId="1" xr:uid="{00000000-0005-0000-0000-000013000000}"/>
    <cellStyle name="Акцент1" xfId="65" xr:uid="{00000000-0005-0000-0000-000014000000}"/>
    <cellStyle name="Акцент2" xfId="66" xr:uid="{00000000-0005-0000-0000-000015000000}"/>
    <cellStyle name="Акцент3" xfId="67" xr:uid="{00000000-0005-0000-0000-000016000000}"/>
    <cellStyle name="Акцент4" xfId="68" xr:uid="{00000000-0005-0000-0000-000017000000}"/>
    <cellStyle name="Акцент5" xfId="69" xr:uid="{00000000-0005-0000-0000-000018000000}"/>
    <cellStyle name="Акцент6" xfId="70" xr:uid="{00000000-0005-0000-0000-000019000000}"/>
    <cellStyle name="Ввід" xfId="2" xr:uid="{00000000-0005-0000-0000-00001A000000}"/>
    <cellStyle name="Ввод " xfId="71" xr:uid="{00000000-0005-0000-0000-00001B000000}"/>
    <cellStyle name="Вывод" xfId="72" xr:uid="{00000000-0005-0000-0000-00001C000000}"/>
    <cellStyle name="Вычисление" xfId="73" xr:uid="{00000000-0005-0000-0000-00001D000000}"/>
    <cellStyle name="Гіперпосилання 2" xfId="74" xr:uid="{00000000-0005-0000-0000-00001E000000}"/>
    <cellStyle name="Добре" xfId="3" xr:uid="{00000000-0005-0000-0000-00001F000000}"/>
    <cellStyle name="Заголовок 1" xfId="4" builtinId="16" customBuiltin="1"/>
    <cellStyle name="Заголовок 2" xfId="5" builtinId="17" customBuiltin="1"/>
    <cellStyle name="Заголовок 3" xfId="6" builtinId="18" customBuiltin="1"/>
    <cellStyle name="Заголовок 4" xfId="7" builtinId="19" customBuiltin="1"/>
    <cellStyle name="Звичайний" xfId="0" builtinId="0"/>
    <cellStyle name="Звичайний 10" xfId="8" xr:uid="{00000000-0005-0000-0000-000025000000}"/>
    <cellStyle name="Звичайний 11" xfId="9" xr:uid="{00000000-0005-0000-0000-000026000000}"/>
    <cellStyle name="Звичайний 12" xfId="10" xr:uid="{00000000-0005-0000-0000-000027000000}"/>
    <cellStyle name="Звичайний 13" xfId="11" xr:uid="{00000000-0005-0000-0000-000028000000}"/>
    <cellStyle name="Звичайний 14" xfId="12" xr:uid="{00000000-0005-0000-0000-000029000000}"/>
    <cellStyle name="Звичайний 15" xfId="13" xr:uid="{00000000-0005-0000-0000-00002A000000}"/>
    <cellStyle name="Звичайний 16" xfId="14" xr:uid="{00000000-0005-0000-0000-00002B000000}"/>
    <cellStyle name="Звичайний 17" xfId="15" xr:uid="{00000000-0005-0000-0000-00002C000000}"/>
    <cellStyle name="Звичайний 18" xfId="16" xr:uid="{00000000-0005-0000-0000-00002D000000}"/>
    <cellStyle name="Звичайний 19" xfId="17" xr:uid="{00000000-0005-0000-0000-00002E000000}"/>
    <cellStyle name="Звичайний 2" xfId="18" xr:uid="{00000000-0005-0000-0000-00002F000000}"/>
    <cellStyle name="Звичайний 2 2" xfId="19" xr:uid="{00000000-0005-0000-0000-000030000000}"/>
    <cellStyle name="Звичайний 2 2 2" xfId="89" xr:uid="{00000000-0005-0000-0000-000031000000}"/>
    <cellStyle name="Звичайний 20" xfId="20" xr:uid="{00000000-0005-0000-0000-000032000000}"/>
    <cellStyle name="Звичайний 21" xfId="87" xr:uid="{00000000-0005-0000-0000-000033000000}"/>
    <cellStyle name="Звичайний 27 3 2" xfId="88" xr:uid="{00000000-0005-0000-0000-000034000000}"/>
    <cellStyle name="Звичайний 3" xfId="21" xr:uid="{00000000-0005-0000-0000-000035000000}"/>
    <cellStyle name="Звичайний 3 2" xfId="22" xr:uid="{00000000-0005-0000-0000-000036000000}"/>
    <cellStyle name="Звичайний 3 2 2" xfId="90" xr:uid="{00000000-0005-0000-0000-000037000000}"/>
    <cellStyle name="Звичайний 4" xfId="23" xr:uid="{00000000-0005-0000-0000-000038000000}"/>
    <cellStyle name="Звичайний 4 2" xfId="24" xr:uid="{00000000-0005-0000-0000-000039000000}"/>
    <cellStyle name="Звичайний 4 2 2" xfId="91" xr:uid="{00000000-0005-0000-0000-00003A000000}"/>
    <cellStyle name="Звичайний 5" xfId="25" xr:uid="{00000000-0005-0000-0000-00003B000000}"/>
    <cellStyle name="Звичайний 6" xfId="26" xr:uid="{00000000-0005-0000-0000-00003C000000}"/>
    <cellStyle name="Звичайний 7" xfId="27" xr:uid="{00000000-0005-0000-0000-00003D000000}"/>
    <cellStyle name="Звичайний 8" xfId="28" xr:uid="{00000000-0005-0000-0000-00003E000000}"/>
    <cellStyle name="Звичайний 9" xfId="29" xr:uid="{00000000-0005-0000-0000-00003F000000}"/>
    <cellStyle name="Звичайний_Додаток _ 3 зм_ни 4575" xfId="30" xr:uid="{00000000-0005-0000-0000-000040000000}"/>
    <cellStyle name="Зв'язана клітинка" xfId="42" xr:uid="{00000000-0005-0000-0000-000041000000}"/>
    <cellStyle name="Итог" xfId="75" xr:uid="{00000000-0005-0000-0000-000042000000}"/>
    <cellStyle name="Контрольна клітинка" xfId="31" xr:uid="{00000000-0005-0000-0000-000043000000}"/>
    <cellStyle name="Контрольная ячейка" xfId="76" xr:uid="{00000000-0005-0000-0000-000044000000}"/>
    <cellStyle name="Назва" xfId="32" xr:uid="{00000000-0005-0000-0000-000045000000}"/>
    <cellStyle name="Название" xfId="77" xr:uid="{00000000-0005-0000-0000-000046000000}"/>
    <cellStyle name="Нейтральный" xfId="78" xr:uid="{00000000-0005-0000-0000-000047000000}"/>
    <cellStyle name="Обычный 2" xfId="33" xr:uid="{00000000-0005-0000-0000-000048000000}"/>
    <cellStyle name="Обычный 2 2" xfId="34" xr:uid="{00000000-0005-0000-0000-000049000000}"/>
    <cellStyle name="Обычный 2 2 2" xfId="92" xr:uid="{00000000-0005-0000-0000-00004A000000}"/>
    <cellStyle name="Обычный 3" xfId="35" xr:uid="{00000000-0005-0000-0000-00004B000000}"/>
    <cellStyle name="Обычный 4 3" xfId="86" xr:uid="{00000000-0005-0000-0000-00004C000000}"/>
    <cellStyle name="Обычный_Plan_kapbud_2006 уточн." xfId="36" xr:uid="{00000000-0005-0000-0000-00004D000000}"/>
    <cellStyle name="Обычный_дод.1" xfId="37" xr:uid="{00000000-0005-0000-0000-00004E000000}"/>
    <cellStyle name="Обычный_Додаток 2 до бюджету 2000 року" xfId="38" xr:uid="{00000000-0005-0000-0000-00004F000000}"/>
    <cellStyle name="Обычный_Додаток №1" xfId="39" xr:uid="{00000000-0005-0000-0000-000050000000}"/>
    <cellStyle name="Обычный_КАПІТАЛЬНІ  ВКЛАДЕННЯ 2015 2 2" xfId="46" xr:uid="{00000000-0005-0000-0000-000051000000}"/>
    <cellStyle name="Обычный_УЖКГ бюджет 2016 Після Ямчука 2" xfId="40" xr:uid="{00000000-0005-0000-0000-000052000000}"/>
    <cellStyle name="Обычный_УКБ до бюджету 2016р ост" xfId="41" xr:uid="{00000000-0005-0000-0000-000053000000}"/>
    <cellStyle name="Обычный_УКБ до бюджету 2016р ост 2" xfId="94" xr:uid="{00000000-0005-0000-0000-000054000000}"/>
    <cellStyle name="Обычный_УКБ до бюджету 2016р ост 3" xfId="93" xr:uid="{00000000-0005-0000-0000-000055000000}"/>
    <cellStyle name="Плохой" xfId="79" xr:uid="{00000000-0005-0000-0000-000056000000}"/>
    <cellStyle name="Пояснение" xfId="80" xr:uid="{00000000-0005-0000-0000-000057000000}"/>
    <cellStyle name="Примечание" xfId="81" xr:uid="{00000000-0005-0000-0000-000058000000}"/>
    <cellStyle name="Связанная ячейка" xfId="82" xr:uid="{00000000-0005-0000-0000-000059000000}"/>
    <cellStyle name="Середній" xfId="43" xr:uid="{00000000-0005-0000-0000-00005A000000}"/>
    <cellStyle name="Стиль 1" xfId="44" xr:uid="{00000000-0005-0000-0000-00005B000000}"/>
    <cellStyle name="Текст попередження" xfId="45" xr:uid="{00000000-0005-0000-0000-00005C000000}"/>
    <cellStyle name="Текст предупреждения" xfId="83" xr:uid="{00000000-0005-0000-0000-00005D000000}"/>
    <cellStyle name="Хороший" xfId="84" xr:uid="{00000000-0005-0000-0000-00005E000000}"/>
  </cellStyles>
  <dxfs count="0"/>
  <tableStyles count="0" defaultTableStyle="TableStyleMedium2" defaultPivotStyle="PivotStyleLight16"/>
  <colors>
    <mruColors>
      <color rgb="FFCCFFCC"/>
      <color rgb="FF99FF99"/>
      <color rgb="FFCCFFFF"/>
      <color rgb="FFFFFFCC"/>
      <color rgb="FF66FFFF"/>
      <color rgb="FFFF99FF"/>
      <color rgb="FFFFFF99"/>
      <color rgb="FF66FFCC"/>
      <color rgb="FFFF9900"/>
      <color rgb="FFFB05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7"/>
  <sheetViews>
    <sheetView showZeros="0" view="pageBreakPreview" topLeftCell="A104" zoomScaleSheetLayoutView="100" workbookViewId="0">
      <selection activeCell="E109" sqref="E109"/>
    </sheetView>
  </sheetViews>
  <sheetFormatPr defaultColWidth="6.85546875" defaultRowHeight="12.75" x14ac:dyDescent="0.2"/>
  <cols>
    <col min="1" max="1" width="10.140625" style="25" customWidth="1"/>
    <col min="2" max="2" width="40.42578125" style="25" customWidth="1"/>
    <col min="3" max="4" width="17.28515625" style="25" customWidth="1"/>
    <col min="5" max="5" width="15.7109375" style="25" customWidth="1"/>
    <col min="6" max="6" width="14.5703125" style="25" customWidth="1"/>
    <col min="7" max="252" width="7.85546875" style="25" customWidth="1"/>
    <col min="253" max="16384" width="6.85546875" style="25"/>
  </cols>
  <sheetData>
    <row r="1" spans="1:7" ht="15.75" x14ac:dyDescent="0.2">
      <c r="D1" s="390" t="s">
        <v>92</v>
      </c>
      <c r="E1" s="391"/>
      <c r="F1" s="391"/>
      <c r="G1" s="391"/>
    </row>
    <row r="2" spans="1:7" ht="15.75" x14ac:dyDescent="0.2">
      <c r="C2" s="26"/>
      <c r="D2" s="390" t="s">
        <v>943</v>
      </c>
      <c r="E2" s="392"/>
      <c r="F2" s="392"/>
      <c r="G2" s="392"/>
    </row>
    <row r="3" spans="1:7" ht="6" customHeight="1" x14ac:dyDescent="0.2">
      <c r="C3" s="26"/>
      <c r="D3" s="390"/>
      <c r="E3" s="392"/>
      <c r="F3" s="392"/>
      <c r="G3" s="392"/>
    </row>
    <row r="4" spans="1:7" ht="20.25" hidden="1" x14ac:dyDescent="0.2">
      <c r="A4" s="393"/>
      <c r="B4" s="393"/>
      <c r="C4" s="393"/>
      <c r="D4" s="393"/>
      <c r="E4" s="393"/>
    </row>
    <row r="5" spans="1:7" ht="25.5" customHeight="1" x14ac:dyDescent="0.2">
      <c r="A5" s="393" t="s">
        <v>645</v>
      </c>
      <c r="B5" s="393"/>
      <c r="C5" s="393"/>
      <c r="D5" s="393"/>
      <c r="E5" s="393"/>
    </row>
    <row r="6" spans="1:7" ht="10.5" customHeight="1" x14ac:dyDescent="0.2">
      <c r="B6" s="27"/>
      <c r="C6" s="27"/>
      <c r="D6" s="27"/>
      <c r="E6" s="27"/>
      <c r="F6" s="27" t="s">
        <v>93</v>
      </c>
    </row>
    <row r="7" spans="1:7" s="28" customFormat="1" ht="31.7" customHeight="1" x14ac:dyDescent="0.2">
      <c r="A7" s="394" t="s">
        <v>94</v>
      </c>
      <c r="B7" s="394" t="s">
        <v>95</v>
      </c>
      <c r="C7" s="394" t="s">
        <v>653</v>
      </c>
      <c r="D7" s="394" t="s">
        <v>25</v>
      </c>
      <c r="E7" s="394" t="s">
        <v>84</v>
      </c>
      <c r="F7" s="394"/>
    </row>
    <row r="8" spans="1:7" s="30" customFormat="1" ht="38.25" x14ac:dyDescent="0.25">
      <c r="A8" s="394"/>
      <c r="B8" s="394"/>
      <c r="C8" s="394"/>
      <c r="D8" s="394"/>
      <c r="E8" s="239" t="s">
        <v>653</v>
      </c>
      <c r="F8" s="29" t="s">
        <v>764</v>
      </c>
    </row>
    <row r="9" spans="1:7" s="30" customFormat="1" ht="15.75" x14ac:dyDescent="0.25">
      <c r="A9" s="239">
        <v>1</v>
      </c>
      <c r="B9" s="239">
        <v>2</v>
      </c>
      <c r="C9" s="239">
        <v>3</v>
      </c>
      <c r="D9" s="239">
        <v>4</v>
      </c>
      <c r="E9" s="239">
        <v>5</v>
      </c>
      <c r="F9" s="29">
        <v>6</v>
      </c>
    </row>
    <row r="10" spans="1:7" s="34" customFormat="1" ht="14.25" x14ac:dyDescent="0.2">
      <c r="A10" s="31">
        <v>10000000</v>
      </c>
      <c r="B10" s="32" t="s">
        <v>96</v>
      </c>
      <c r="C10" s="33">
        <f>SUM(D10,E10)</f>
        <v>1706594360</v>
      </c>
      <c r="D10" s="33">
        <f>SUM(D11,D19,D20,D21,D22,D40)</f>
        <v>1706094360</v>
      </c>
      <c r="E10" s="33">
        <v>500000</v>
      </c>
      <c r="F10" s="33"/>
    </row>
    <row r="11" spans="1:7" s="39" customFormat="1" ht="25.5" x14ac:dyDescent="0.2">
      <c r="A11" s="35">
        <v>11000000</v>
      </c>
      <c r="B11" s="36" t="s">
        <v>97</v>
      </c>
      <c r="C11" s="37">
        <f t="shared" ref="C11:C79" si="0">SUM(D11,E11)</f>
        <v>1089318860</v>
      </c>
      <c r="D11" s="37">
        <f>SUM(D12,D17)</f>
        <v>1089318860</v>
      </c>
      <c r="E11" s="38"/>
      <c r="F11" s="38"/>
    </row>
    <row r="12" spans="1:7" s="39" customFormat="1" ht="14.25" x14ac:dyDescent="0.2">
      <c r="A12" s="31">
        <v>11010000</v>
      </c>
      <c r="B12" s="40" t="s">
        <v>98</v>
      </c>
      <c r="C12" s="37">
        <f t="shared" si="0"/>
        <v>1087678360</v>
      </c>
      <c r="D12" s="41">
        <f>SUM(D13:D16)</f>
        <v>1087678360</v>
      </c>
      <c r="E12" s="33"/>
      <c r="F12" s="33"/>
    </row>
    <row r="13" spans="1:7" s="39" customFormat="1" ht="36" x14ac:dyDescent="0.2">
      <c r="A13" s="42">
        <v>11010100</v>
      </c>
      <c r="B13" s="43" t="s">
        <v>99</v>
      </c>
      <c r="C13" s="33">
        <f t="shared" si="0"/>
        <v>922938360</v>
      </c>
      <c r="D13" s="44">
        <v>922938360</v>
      </c>
      <c r="E13" s="44"/>
      <c r="F13" s="44"/>
    </row>
    <row r="14" spans="1:7" s="39" customFormat="1" ht="60" x14ac:dyDescent="0.2">
      <c r="A14" s="42">
        <v>11010200</v>
      </c>
      <c r="B14" s="43" t="s">
        <v>100</v>
      </c>
      <c r="C14" s="33">
        <f t="shared" si="0"/>
        <v>136740000</v>
      </c>
      <c r="D14" s="44">
        <v>136740000</v>
      </c>
      <c r="E14" s="44"/>
      <c r="F14" s="44"/>
    </row>
    <row r="15" spans="1:7" s="39" customFormat="1" ht="36" x14ac:dyDescent="0.2">
      <c r="A15" s="42">
        <v>11010400</v>
      </c>
      <c r="B15" s="43" t="s">
        <v>101</v>
      </c>
      <c r="C15" s="33">
        <f t="shared" si="0"/>
        <v>13000000</v>
      </c>
      <c r="D15" s="44">
        <v>13000000</v>
      </c>
      <c r="E15" s="44"/>
      <c r="F15" s="44"/>
    </row>
    <row r="16" spans="1:7" s="30" customFormat="1" ht="36" x14ac:dyDescent="0.25">
      <c r="A16" s="42">
        <v>11010500</v>
      </c>
      <c r="B16" s="43" t="s">
        <v>102</v>
      </c>
      <c r="C16" s="33">
        <f t="shared" si="0"/>
        <v>15000000</v>
      </c>
      <c r="D16" s="44">
        <v>15000000</v>
      </c>
      <c r="E16" s="44"/>
      <c r="F16" s="44"/>
    </row>
    <row r="17" spans="1:6" s="34" customFormat="1" ht="15" x14ac:dyDescent="0.2">
      <c r="A17" s="35">
        <v>11020000</v>
      </c>
      <c r="B17" s="40" t="s">
        <v>103</v>
      </c>
      <c r="C17" s="33">
        <f t="shared" si="0"/>
        <v>1640500</v>
      </c>
      <c r="D17" s="45">
        <v>1640500</v>
      </c>
      <c r="E17" s="46"/>
      <c r="F17" s="46"/>
    </row>
    <row r="18" spans="1:6" s="30" customFormat="1" ht="24" x14ac:dyDescent="0.25">
      <c r="A18" s="42">
        <v>11020200</v>
      </c>
      <c r="B18" s="47" t="s">
        <v>104</v>
      </c>
      <c r="C18" s="33">
        <f t="shared" si="0"/>
        <v>1640500</v>
      </c>
      <c r="D18" s="38">
        <v>1640500</v>
      </c>
      <c r="E18" s="48"/>
      <c r="F18" s="38"/>
    </row>
    <row r="19" spans="1:6" s="50" customFormat="1" ht="26.45" customHeight="1" x14ac:dyDescent="0.2">
      <c r="A19" s="29">
        <v>14021900</v>
      </c>
      <c r="B19" s="36" t="s">
        <v>229</v>
      </c>
      <c r="C19" s="37">
        <f>SUM(D19,E19)</f>
        <v>12350000</v>
      </c>
      <c r="D19" s="37">
        <v>12350000</v>
      </c>
      <c r="E19" s="49"/>
      <c r="F19" s="49"/>
    </row>
    <row r="20" spans="1:6" s="50" customFormat="1" ht="22.7" customHeight="1" x14ac:dyDescent="0.2">
      <c r="A20" s="29">
        <v>14031900</v>
      </c>
      <c r="B20" s="36" t="s">
        <v>230</v>
      </c>
      <c r="C20" s="37">
        <v>57865000</v>
      </c>
      <c r="D20" s="37">
        <v>57865000</v>
      </c>
      <c r="E20" s="49"/>
      <c r="F20" s="49"/>
    </row>
    <row r="21" spans="1:6" s="50" customFormat="1" ht="39.75" customHeight="1" x14ac:dyDescent="0.2">
      <c r="A21" s="29">
        <v>14040000</v>
      </c>
      <c r="B21" s="36" t="s">
        <v>105</v>
      </c>
      <c r="C21" s="37">
        <v>78500000</v>
      </c>
      <c r="D21" s="37">
        <v>78500000</v>
      </c>
      <c r="E21" s="49"/>
      <c r="F21" s="49"/>
    </row>
    <row r="22" spans="1:6" s="30" customFormat="1" ht="15" x14ac:dyDescent="0.25">
      <c r="A22" s="31">
        <v>18000000</v>
      </c>
      <c r="B22" s="51" t="s">
        <v>106</v>
      </c>
      <c r="C22" s="33">
        <f t="shared" si="0"/>
        <v>468060500</v>
      </c>
      <c r="D22" s="33">
        <f>SUM(D23,D34,D37)</f>
        <v>468060500</v>
      </c>
      <c r="E22" s="33"/>
      <c r="F22" s="33"/>
    </row>
    <row r="23" spans="1:6" s="30" customFormat="1" ht="15" x14ac:dyDescent="0.25">
      <c r="A23" s="35">
        <v>18010000</v>
      </c>
      <c r="B23" s="52" t="s">
        <v>107</v>
      </c>
      <c r="C23" s="33">
        <f t="shared" si="0"/>
        <v>173960500</v>
      </c>
      <c r="D23" s="53">
        <f>SUM(D24:D33)</f>
        <v>173960500</v>
      </c>
      <c r="E23" s="38"/>
      <c r="F23" s="38"/>
    </row>
    <row r="24" spans="1:6" s="30" customFormat="1" ht="36" x14ac:dyDescent="0.25">
      <c r="A24" s="35">
        <v>18010100</v>
      </c>
      <c r="B24" s="54" t="s">
        <v>108</v>
      </c>
      <c r="C24" s="33">
        <f t="shared" si="0"/>
        <v>175500</v>
      </c>
      <c r="D24" s="38">
        <v>175500</v>
      </c>
      <c r="E24" s="38"/>
      <c r="F24" s="38"/>
    </row>
    <row r="25" spans="1:6" s="30" customFormat="1" ht="36" x14ac:dyDescent="0.25">
      <c r="A25" s="35">
        <v>18010200</v>
      </c>
      <c r="B25" s="54" t="s">
        <v>109</v>
      </c>
      <c r="C25" s="33">
        <f>D25</f>
        <v>11550000</v>
      </c>
      <c r="D25" s="38">
        <v>11550000</v>
      </c>
      <c r="E25" s="38"/>
      <c r="F25" s="38"/>
    </row>
    <row r="26" spans="1:6" s="30" customFormat="1" ht="36" x14ac:dyDescent="0.25">
      <c r="A26" s="35">
        <v>18010300</v>
      </c>
      <c r="B26" s="54" t="s">
        <v>110</v>
      </c>
      <c r="C26" s="33">
        <f t="shared" si="0"/>
        <v>825000</v>
      </c>
      <c r="D26" s="38">
        <v>825000</v>
      </c>
      <c r="E26" s="38"/>
      <c r="F26" s="38"/>
    </row>
    <row r="27" spans="1:6" s="30" customFormat="1" ht="36" x14ac:dyDescent="0.25">
      <c r="A27" s="35">
        <v>18010400</v>
      </c>
      <c r="B27" s="54" t="s">
        <v>111</v>
      </c>
      <c r="C27" s="33">
        <f t="shared" si="0"/>
        <v>8450000</v>
      </c>
      <c r="D27" s="38">
        <v>8450000</v>
      </c>
      <c r="E27" s="38"/>
      <c r="F27" s="38"/>
    </row>
    <row r="28" spans="1:6" s="30" customFormat="1" ht="15" x14ac:dyDescent="0.25">
      <c r="A28" s="35">
        <v>18010500</v>
      </c>
      <c r="B28" s="55" t="s">
        <v>112</v>
      </c>
      <c r="C28" s="33">
        <f t="shared" si="0"/>
        <v>34600000</v>
      </c>
      <c r="D28" s="38">
        <v>34600000</v>
      </c>
      <c r="E28" s="38"/>
      <c r="F28" s="38"/>
    </row>
    <row r="29" spans="1:6" s="30" customFormat="1" ht="15" x14ac:dyDescent="0.25">
      <c r="A29" s="35">
        <v>18010600</v>
      </c>
      <c r="B29" s="54" t="s">
        <v>113</v>
      </c>
      <c r="C29" s="33">
        <f t="shared" si="0"/>
        <v>86660000</v>
      </c>
      <c r="D29" s="38">
        <v>86660000</v>
      </c>
      <c r="E29" s="38"/>
      <c r="F29" s="38"/>
    </row>
    <row r="30" spans="1:6" s="30" customFormat="1" ht="15" x14ac:dyDescent="0.25">
      <c r="A30" s="35">
        <v>18010700</v>
      </c>
      <c r="B30" s="54" t="s">
        <v>114</v>
      </c>
      <c r="C30" s="33">
        <f t="shared" si="0"/>
        <v>2000000</v>
      </c>
      <c r="D30" s="38">
        <v>2000000</v>
      </c>
      <c r="E30" s="38"/>
      <c r="F30" s="38"/>
    </row>
    <row r="31" spans="1:6" s="30" customFormat="1" ht="15" x14ac:dyDescent="0.25">
      <c r="A31" s="35">
        <v>18010900</v>
      </c>
      <c r="B31" s="54" t="s">
        <v>115</v>
      </c>
      <c r="C31" s="33">
        <f t="shared" si="0"/>
        <v>25200000</v>
      </c>
      <c r="D31" s="38">
        <v>25200000</v>
      </c>
      <c r="E31" s="38"/>
      <c r="F31" s="38"/>
    </row>
    <row r="32" spans="1:6" s="34" customFormat="1" ht="15" x14ac:dyDescent="0.2">
      <c r="A32" s="35">
        <v>18011000</v>
      </c>
      <c r="B32" s="54" t="s">
        <v>116</v>
      </c>
      <c r="C32" s="33">
        <f t="shared" si="0"/>
        <v>2900000</v>
      </c>
      <c r="D32" s="38">
        <v>2900000</v>
      </c>
      <c r="E32" s="38"/>
      <c r="F32" s="38"/>
    </row>
    <row r="33" spans="1:6" s="30" customFormat="1" ht="15" x14ac:dyDescent="0.25">
      <c r="A33" s="35">
        <v>18011100</v>
      </c>
      <c r="B33" s="54" t="s">
        <v>117</v>
      </c>
      <c r="C33" s="33">
        <f t="shared" si="0"/>
        <v>1600000</v>
      </c>
      <c r="D33" s="38">
        <v>1600000</v>
      </c>
      <c r="E33" s="38"/>
      <c r="F33" s="38"/>
    </row>
    <row r="34" spans="1:6" s="30" customFormat="1" ht="15" x14ac:dyDescent="0.25">
      <c r="A34" s="31">
        <v>1803000</v>
      </c>
      <c r="B34" s="56" t="s">
        <v>118</v>
      </c>
      <c r="C34" s="33">
        <f t="shared" si="0"/>
        <v>250000</v>
      </c>
      <c r="D34" s="33">
        <f>SUM(D35:D36)</f>
        <v>250000</v>
      </c>
      <c r="E34" s="33"/>
      <c r="F34" s="33"/>
    </row>
    <row r="35" spans="1:6" s="30" customFormat="1" ht="15" x14ac:dyDescent="0.25">
      <c r="A35" s="35">
        <v>18030100</v>
      </c>
      <c r="B35" s="54" t="s">
        <v>119</v>
      </c>
      <c r="C35" s="33">
        <f t="shared" si="0"/>
        <v>130000</v>
      </c>
      <c r="D35" s="38">
        <v>130000</v>
      </c>
      <c r="E35" s="38"/>
      <c r="F35" s="38"/>
    </row>
    <row r="36" spans="1:6" s="30" customFormat="1" ht="15" x14ac:dyDescent="0.25">
      <c r="A36" s="35">
        <v>18030200</v>
      </c>
      <c r="B36" s="54" t="s">
        <v>120</v>
      </c>
      <c r="C36" s="33">
        <f t="shared" si="0"/>
        <v>120000</v>
      </c>
      <c r="D36" s="38">
        <v>120000</v>
      </c>
      <c r="E36" s="38"/>
      <c r="F36" s="38"/>
    </row>
    <row r="37" spans="1:6" s="30" customFormat="1" ht="15" x14ac:dyDescent="0.25">
      <c r="A37" s="31">
        <v>18050000</v>
      </c>
      <c r="B37" s="52" t="s">
        <v>121</v>
      </c>
      <c r="C37" s="33">
        <f t="shared" si="0"/>
        <v>293850000</v>
      </c>
      <c r="D37" s="33">
        <f>SUM(D38:D39)</f>
        <v>293850000</v>
      </c>
      <c r="E37" s="38"/>
      <c r="F37" s="38"/>
    </row>
    <row r="38" spans="1:6" s="30" customFormat="1" ht="17.45" customHeight="1" x14ac:dyDescent="0.25">
      <c r="A38" s="35">
        <v>18050300</v>
      </c>
      <c r="B38" s="43" t="s">
        <v>122</v>
      </c>
      <c r="C38" s="37">
        <f t="shared" si="0"/>
        <v>53500000</v>
      </c>
      <c r="D38" s="38">
        <v>53500000</v>
      </c>
      <c r="E38" s="38"/>
      <c r="F38" s="38"/>
    </row>
    <row r="39" spans="1:6" s="34" customFormat="1" ht="15" x14ac:dyDescent="0.2">
      <c r="A39" s="35">
        <v>18050400</v>
      </c>
      <c r="B39" s="54" t="s">
        <v>123</v>
      </c>
      <c r="C39" s="37">
        <f t="shared" si="0"/>
        <v>240350000</v>
      </c>
      <c r="D39" s="38">
        <v>240350000</v>
      </c>
      <c r="E39" s="38"/>
      <c r="F39" s="38"/>
    </row>
    <row r="40" spans="1:6" s="30" customFormat="1" ht="15" x14ac:dyDescent="0.25">
      <c r="A40" s="31">
        <v>1901000</v>
      </c>
      <c r="B40" s="51" t="s">
        <v>124</v>
      </c>
      <c r="C40" s="33">
        <f t="shared" si="0"/>
        <v>500000</v>
      </c>
      <c r="D40" s="33">
        <f>SUM(D41:D43)</f>
        <v>0</v>
      </c>
      <c r="E40" s="33">
        <v>500000</v>
      </c>
      <c r="F40" s="33"/>
    </row>
    <row r="41" spans="1:6" s="30" customFormat="1" ht="36" x14ac:dyDescent="0.25">
      <c r="A41" s="35">
        <v>19010100</v>
      </c>
      <c r="B41" s="43" t="s">
        <v>125</v>
      </c>
      <c r="C41" s="33">
        <f t="shared" si="0"/>
        <v>205000</v>
      </c>
      <c r="D41" s="38"/>
      <c r="E41" s="38">
        <v>205000</v>
      </c>
      <c r="F41" s="38"/>
    </row>
    <row r="42" spans="1:6" s="50" customFormat="1" ht="24" x14ac:dyDescent="0.2">
      <c r="A42" s="35">
        <v>19010200</v>
      </c>
      <c r="B42" s="43" t="s">
        <v>126</v>
      </c>
      <c r="C42" s="33">
        <f t="shared" si="0"/>
        <v>110000</v>
      </c>
      <c r="D42" s="38"/>
      <c r="E42" s="38">
        <v>110000</v>
      </c>
      <c r="F42" s="38"/>
    </row>
    <row r="43" spans="1:6" s="30" customFormat="1" ht="36" x14ac:dyDescent="0.25">
      <c r="A43" s="35">
        <v>19010300</v>
      </c>
      <c r="B43" s="43" t="s">
        <v>127</v>
      </c>
      <c r="C43" s="33">
        <f t="shared" si="0"/>
        <v>185000</v>
      </c>
      <c r="D43" s="38"/>
      <c r="E43" s="38">
        <v>185000</v>
      </c>
      <c r="F43" s="38"/>
    </row>
    <row r="44" spans="1:6" s="30" customFormat="1" ht="15" x14ac:dyDescent="0.25">
      <c r="A44" s="31">
        <v>20000000</v>
      </c>
      <c r="B44" s="32" t="s">
        <v>128</v>
      </c>
      <c r="C44" s="33">
        <f t="shared" si="0"/>
        <v>213090605</v>
      </c>
      <c r="D44" s="37">
        <f>SUM(D45,D46,D47,D50,D51,D60,D64)</f>
        <v>75920000</v>
      </c>
      <c r="E44" s="37">
        <f>SUM(E45,E51,E60,E56,E64)</f>
        <v>137170605</v>
      </c>
      <c r="F44" s="37">
        <f>SUM(F45,F51,F60,F56)</f>
        <v>18000000</v>
      </c>
    </row>
    <row r="45" spans="1:6" s="30" customFormat="1" ht="41.25" customHeight="1" x14ac:dyDescent="0.25">
      <c r="A45" s="35">
        <v>21010300</v>
      </c>
      <c r="B45" s="57" t="s">
        <v>129</v>
      </c>
      <c r="C45" s="33">
        <f t="shared" si="0"/>
        <v>1000000</v>
      </c>
      <c r="D45" s="38">
        <v>1000000</v>
      </c>
      <c r="E45" s="38"/>
      <c r="F45" s="38"/>
    </row>
    <row r="46" spans="1:6" s="30" customFormat="1" ht="27" customHeight="1" x14ac:dyDescent="0.25">
      <c r="A46" s="35">
        <v>21050000</v>
      </c>
      <c r="B46" s="57" t="s">
        <v>130</v>
      </c>
      <c r="C46" s="33">
        <v>12500000</v>
      </c>
      <c r="D46" s="38">
        <v>12500000</v>
      </c>
      <c r="E46" s="38"/>
      <c r="F46" s="38"/>
    </row>
    <row r="47" spans="1:6" s="50" customFormat="1" ht="27" x14ac:dyDescent="0.2">
      <c r="A47" s="58">
        <v>21800000</v>
      </c>
      <c r="B47" s="59" t="s">
        <v>131</v>
      </c>
      <c r="C47" s="37">
        <f>SUM(D47,E47)</f>
        <v>2300000</v>
      </c>
      <c r="D47" s="41">
        <f>SUM(D48:D49)</f>
        <v>2300000</v>
      </c>
      <c r="E47" s="41"/>
      <c r="F47" s="41"/>
    </row>
    <row r="48" spans="1:6" s="30" customFormat="1" ht="15" x14ac:dyDescent="0.25">
      <c r="A48" s="42">
        <v>21081100</v>
      </c>
      <c r="B48" s="60" t="s">
        <v>132</v>
      </c>
      <c r="C48" s="33">
        <f>SUM(D48,E48)</f>
        <v>1300000</v>
      </c>
      <c r="D48" s="38">
        <v>1300000</v>
      </c>
      <c r="E48" s="38"/>
      <c r="F48" s="38"/>
    </row>
    <row r="49" spans="1:6" s="30" customFormat="1" ht="36" x14ac:dyDescent="0.25">
      <c r="A49" s="35">
        <v>21081500</v>
      </c>
      <c r="B49" s="43" t="s">
        <v>133</v>
      </c>
      <c r="C49" s="33">
        <f>SUM(D49,E49)</f>
        <v>1000000</v>
      </c>
      <c r="D49" s="38">
        <v>1000000</v>
      </c>
      <c r="E49" s="38"/>
      <c r="F49" s="38"/>
    </row>
    <row r="50" spans="1:6" s="158" customFormat="1" ht="15" x14ac:dyDescent="0.25">
      <c r="A50" s="157">
        <v>21081700</v>
      </c>
      <c r="B50" s="182" t="s">
        <v>637</v>
      </c>
      <c r="C50" s="53">
        <f>SUM(D50,E50)</f>
        <v>9000000</v>
      </c>
      <c r="D50" s="53">
        <v>9000000</v>
      </c>
      <c r="E50" s="53"/>
      <c r="F50" s="53"/>
    </row>
    <row r="51" spans="1:6" s="30" customFormat="1" ht="27" x14ac:dyDescent="0.25">
      <c r="A51" s="31">
        <v>22000000</v>
      </c>
      <c r="B51" s="40" t="s">
        <v>134</v>
      </c>
      <c r="C51" s="33">
        <f t="shared" si="0"/>
        <v>42120000</v>
      </c>
      <c r="D51" s="38">
        <f>SUM(D52:D56)</f>
        <v>42120000</v>
      </c>
      <c r="E51" s="38"/>
      <c r="F51" s="38"/>
    </row>
    <row r="52" spans="1:6" s="30" customFormat="1" ht="38.25" x14ac:dyDescent="0.25">
      <c r="A52" s="35">
        <v>22010300</v>
      </c>
      <c r="B52" s="61" t="s">
        <v>233</v>
      </c>
      <c r="C52" s="33">
        <v>905000</v>
      </c>
      <c r="D52" s="38">
        <v>905000</v>
      </c>
      <c r="E52" s="38"/>
      <c r="F52" s="38"/>
    </row>
    <row r="53" spans="1:6" s="30" customFormat="1" ht="25.5" x14ac:dyDescent="0.25">
      <c r="A53" s="35">
        <v>22012600</v>
      </c>
      <c r="B53" s="61" t="s">
        <v>135</v>
      </c>
      <c r="C53" s="33">
        <v>1080000</v>
      </c>
      <c r="D53" s="38">
        <v>1080000</v>
      </c>
      <c r="E53" s="38"/>
      <c r="F53" s="38"/>
    </row>
    <row r="54" spans="1:6" s="62" customFormat="1" ht="15" x14ac:dyDescent="0.2">
      <c r="A54" s="35">
        <v>22012500</v>
      </c>
      <c r="B54" s="43" t="s">
        <v>136</v>
      </c>
      <c r="C54" s="33">
        <f t="shared" si="0"/>
        <v>28485000</v>
      </c>
      <c r="D54" s="38">
        <v>28485000</v>
      </c>
      <c r="E54" s="38"/>
      <c r="F54" s="38"/>
    </row>
    <row r="55" spans="1:6" s="30" customFormat="1" ht="36" x14ac:dyDescent="0.25">
      <c r="A55" s="42">
        <v>22080400</v>
      </c>
      <c r="B55" s="60" t="s">
        <v>137</v>
      </c>
      <c r="C55" s="33">
        <f t="shared" si="0"/>
        <v>10800000</v>
      </c>
      <c r="D55" s="38">
        <v>10800000</v>
      </c>
      <c r="E55" s="38"/>
      <c r="F55" s="38"/>
    </row>
    <row r="56" spans="1:6" s="30" customFormat="1" ht="15" x14ac:dyDescent="0.25">
      <c r="A56" s="63">
        <v>22090000</v>
      </c>
      <c r="B56" s="64" t="s">
        <v>138</v>
      </c>
      <c r="C56" s="33">
        <f t="shared" si="0"/>
        <v>850000</v>
      </c>
      <c r="D56" s="65">
        <f>SUM(D57:D59)</f>
        <v>850000</v>
      </c>
      <c r="E56" s="66"/>
      <c r="F56" s="66"/>
    </row>
    <row r="57" spans="1:6" s="30" customFormat="1" ht="36" x14ac:dyDescent="0.25">
      <c r="A57" s="42">
        <v>22090100</v>
      </c>
      <c r="B57" s="54" t="s">
        <v>139</v>
      </c>
      <c r="C57" s="33">
        <f t="shared" si="0"/>
        <v>235000</v>
      </c>
      <c r="D57" s="38">
        <v>235000</v>
      </c>
      <c r="E57" s="38"/>
      <c r="F57" s="38"/>
    </row>
    <row r="58" spans="1:6" s="30" customFormat="1" ht="15" x14ac:dyDescent="0.25">
      <c r="A58" s="42">
        <v>22090200</v>
      </c>
      <c r="B58" s="54" t="s">
        <v>140</v>
      </c>
      <c r="C58" s="33">
        <f t="shared" si="0"/>
        <v>115000</v>
      </c>
      <c r="D58" s="38">
        <v>115000</v>
      </c>
      <c r="E58" s="38"/>
      <c r="F58" s="38"/>
    </row>
    <row r="59" spans="1:6" s="39" customFormat="1" ht="36" x14ac:dyDescent="0.2">
      <c r="A59" s="42">
        <v>22090400</v>
      </c>
      <c r="B59" s="54" t="s">
        <v>141</v>
      </c>
      <c r="C59" s="33">
        <f t="shared" si="0"/>
        <v>500000</v>
      </c>
      <c r="D59" s="38">
        <v>500000</v>
      </c>
      <c r="E59" s="38"/>
      <c r="F59" s="38"/>
    </row>
    <row r="60" spans="1:6" s="30" customFormat="1" ht="15" x14ac:dyDescent="0.25">
      <c r="A60" s="31">
        <v>24000000</v>
      </c>
      <c r="B60" s="64" t="s">
        <v>142</v>
      </c>
      <c r="C60" s="33">
        <f t="shared" si="0"/>
        <v>27000000</v>
      </c>
      <c r="D60" s="45">
        <f>D61+D62+D63</f>
        <v>9000000</v>
      </c>
      <c r="E60" s="45">
        <f>E61+E63</f>
        <v>18000000</v>
      </c>
      <c r="F60" s="33">
        <v>18000000</v>
      </c>
    </row>
    <row r="61" spans="1:6" s="30" customFormat="1" ht="15" x14ac:dyDescent="0.25">
      <c r="A61" s="42">
        <v>24060300</v>
      </c>
      <c r="B61" s="43" t="s">
        <v>143</v>
      </c>
      <c r="C61" s="33">
        <f t="shared" si="0"/>
        <v>6000000</v>
      </c>
      <c r="D61" s="46">
        <v>6000000</v>
      </c>
      <c r="E61" s="46"/>
      <c r="F61" s="46"/>
    </row>
    <row r="62" spans="1:6" s="30" customFormat="1" ht="60" x14ac:dyDescent="0.25">
      <c r="A62" s="42">
        <v>24062200</v>
      </c>
      <c r="B62" s="43" t="s">
        <v>638</v>
      </c>
      <c r="C62" s="33">
        <f t="shared" si="0"/>
        <v>3000000</v>
      </c>
      <c r="D62" s="46">
        <v>3000000</v>
      </c>
      <c r="E62" s="46"/>
      <c r="F62" s="46"/>
    </row>
    <row r="63" spans="1:6" s="34" customFormat="1" ht="24" x14ac:dyDescent="0.2">
      <c r="A63" s="42">
        <v>24170000</v>
      </c>
      <c r="B63" s="47" t="s">
        <v>144</v>
      </c>
      <c r="C63" s="33">
        <f t="shared" si="0"/>
        <v>18000000</v>
      </c>
      <c r="D63" s="46"/>
      <c r="E63" s="46">
        <v>18000000</v>
      </c>
      <c r="F63" s="46">
        <v>18000000</v>
      </c>
    </row>
    <row r="64" spans="1:6" s="30" customFormat="1" ht="15" x14ac:dyDescent="0.25">
      <c r="A64" s="31">
        <v>25000000</v>
      </c>
      <c r="B64" s="36" t="s">
        <v>145</v>
      </c>
      <c r="C64" s="33">
        <f t="shared" si="0"/>
        <v>119170605</v>
      </c>
      <c r="D64" s="45">
        <f>SUM(D65,D70)</f>
        <v>0</v>
      </c>
      <c r="E64" s="45">
        <f>SUM(E65,E70)</f>
        <v>119170605</v>
      </c>
      <c r="F64" s="45"/>
    </row>
    <row r="65" spans="1:6" s="30" customFormat="1" ht="38.25" x14ac:dyDescent="0.25">
      <c r="A65" s="35">
        <v>25010000</v>
      </c>
      <c r="B65" s="67" t="s">
        <v>146</v>
      </c>
      <c r="C65" s="33">
        <f t="shared" si="0"/>
        <v>119170605</v>
      </c>
      <c r="D65" s="46">
        <v>0</v>
      </c>
      <c r="E65" s="46">
        <f>SUM(E66:E69)</f>
        <v>119170605</v>
      </c>
      <c r="F65" s="46"/>
    </row>
    <row r="66" spans="1:6" s="30" customFormat="1" ht="25.5" x14ac:dyDescent="0.25">
      <c r="A66" s="35">
        <v>25010100</v>
      </c>
      <c r="B66" s="68" t="s">
        <v>147</v>
      </c>
      <c r="C66" s="33">
        <v>106527114</v>
      </c>
      <c r="D66" s="46">
        <v>0</v>
      </c>
      <c r="E66" s="46">
        <v>106527114</v>
      </c>
      <c r="F66" s="46"/>
    </row>
    <row r="67" spans="1:6" s="30" customFormat="1" ht="25.5" x14ac:dyDescent="0.25">
      <c r="A67" s="35">
        <v>25010200</v>
      </c>
      <c r="B67" s="68" t="s">
        <v>148</v>
      </c>
      <c r="C67" s="33">
        <f t="shared" si="0"/>
        <v>9272745</v>
      </c>
      <c r="D67" s="46">
        <v>0</v>
      </c>
      <c r="E67" s="46">
        <v>9272745</v>
      </c>
      <c r="F67" s="46"/>
    </row>
    <row r="68" spans="1:6" s="30" customFormat="1" ht="15" x14ac:dyDescent="0.25">
      <c r="A68" s="35">
        <v>25010300</v>
      </c>
      <c r="B68" s="68" t="s">
        <v>149</v>
      </c>
      <c r="C68" s="33">
        <f t="shared" si="0"/>
        <v>3339396</v>
      </c>
      <c r="D68" s="46">
        <v>0</v>
      </c>
      <c r="E68" s="46">
        <v>3339396</v>
      </c>
      <c r="F68" s="46"/>
    </row>
    <row r="69" spans="1:6" s="30" customFormat="1" ht="38.25" x14ac:dyDescent="0.25">
      <c r="A69" s="35">
        <v>25010400</v>
      </c>
      <c r="B69" s="68" t="s">
        <v>150</v>
      </c>
      <c r="C69" s="33">
        <f t="shared" si="0"/>
        <v>31350</v>
      </c>
      <c r="D69" s="46">
        <v>0</v>
      </c>
      <c r="E69" s="46">
        <v>31350</v>
      </c>
      <c r="F69" s="46"/>
    </row>
    <row r="70" spans="1:6" s="30" customFormat="1" ht="28.5" x14ac:dyDescent="0.25">
      <c r="A70" s="35">
        <v>25020000</v>
      </c>
      <c r="B70" s="67" t="s">
        <v>151</v>
      </c>
      <c r="C70" s="33">
        <f t="shared" si="0"/>
        <v>0</v>
      </c>
      <c r="D70" s="46">
        <v>0</v>
      </c>
      <c r="E70" s="46">
        <v>0</v>
      </c>
      <c r="F70" s="46"/>
    </row>
    <row r="71" spans="1:6" s="50" customFormat="1" ht="15" x14ac:dyDescent="0.2">
      <c r="A71" s="35">
        <v>25020100</v>
      </c>
      <c r="B71" s="68" t="s">
        <v>152</v>
      </c>
      <c r="C71" s="33">
        <f t="shared" si="0"/>
        <v>0</v>
      </c>
      <c r="D71" s="46">
        <v>0</v>
      </c>
      <c r="E71" s="46">
        <v>0</v>
      </c>
      <c r="F71" s="46"/>
    </row>
    <row r="72" spans="1:6" s="30" customFormat="1" ht="89.25" hidden="1" x14ac:dyDescent="0.25">
      <c r="A72" s="35">
        <v>25020200</v>
      </c>
      <c r="B72" s="68" t="s">
        <v>153</v>
      </c>
      <c r="C72" s="33">
        <f t="shared" si="0"/>
        <v>0</v>
      </c>
      <c r="D72" s="46"/>
      <c r="E72" s="46">
        <v>0</v>
      </c>
      <c r="F72" s="46"/>
    </row>
    <row r="73" spans="1:6" s="39" customFormat="1" ht="14.25" x14ac:dyDescent="0.2">
      <c r="A73" s="31">
        <v>30000000</v>
      </c>
      <c r="B73" s="32" t="s">
        <v>154</v>
      </c>
      <c r="C73" s="33">
        <f t="shared" si="0"/>
        <v>9459905</v>
      </c>
      <c r="D73" s="45">
        <f>SUM(D74)</f>
        <v>60000</v>
      </c>
      <c r="E73" s="45">
        <f>SUM(E74,E77)</f>
        <v>9399905</v>
      </c>
      <c r="F73" s="45">
        <f>SUM(F74,F77)</f>
        <v>9399905</v>
      </c>
    </row>
    <row r="74" spans="1:6" s="30" customFormat="1" ht="30" x14ac:dyDescent="0.25">
      <c r="A74" s="35">
        <v>31000000</v>
      </c>
      <c r="B74" s="69" t="s">
        <v>155</v>
      </c>
      <c r="C74" s="33">
        <f t="shared" si="0"/>
        <v>1660000</v>
      </c>
      <c r="D74" s="53">
        <v>60000</v>
      </c>
      <c r="E74" s="53">
        <f>SUM(E76)</f>
        <v>1600000</v>
      </c>
      <c r="F74" s="53">
        <f>SUM(F76)</f>
        <v>1600000</v>
      </c>
    </row>
    <row r="75" spans="1:6" s="30" customFormat="1" ht="60" x14ac:dyDescent="0.25">
      <c r="A75" s="42">
        <v>31010200</v>
      </c>
      <c r="B75" s="47" t="s">
        <v>156</v>
      </c>
      <c r="C75" s="33">
        <f>SUM(D75,E75)</f>
        <v>60000</v>
      </c>
      <c r="D75" s="46">
        <v>60000</v>
      </c>
      <c r="E75" s="46"/>
      <c r="F75" s="46"/>
    </row>
    <row r="76" spans="1:6" s="30" customFormat="1" ht="36" x14ac:dyDescent="0.25">
      <c r="A76" s="42">
        <v>31030000</v>
      </c>
      <c r="B76" s="70" t="s">
        <v>157</v>
      </c>
      <c r="C76" s="33">
        <f t="shared" si="0"/>
        <v>1600000</v>
      </c>
      <c r="D76" s="44"/>
      <c r="E76" s="44">
        <v>1600000</v>
      </c>
      <c r="F76" s="44">
        <v>1600000</v>
      </c>
    </row>
    <row r="77" spans="1:6" s="30" customFormat="1" ht="30" x14ac:dyDescent="0.25">
      <c r="A77" s="35">
        <v>33000000</v>
      </c>
      <c r="B77" s="69" t="s">
        <v>158</v>
      </c>
      <c r="C77" s="33">
        <f t="shared" si="0"/>
        <v>7799905</v>
      </c>
      <c r="D77" s="53"/>
      <c r="E77" s="53">
        <f>SUM(E78)</f>
        <v>7799905</v>
      </c>
      <c r="F77" s="53">
        <f>SUM(F78)</f>
        <v>7799905</v>
      </c>
    </row>
    <row r="78" spans="1:6" s="30" customFormat="1" ht="15" x14ac:dyDescent="0.25">
      <c r="A78" s="35">
        <v>33010000</v>
      </c>
      <c r="B78" s="69" t="s">
        <v>159</v>
      </c>
      <c r="C78" s="33">
        <f t="shared" si="0"/>
        <v>7799905</v>
      </c>
      <c r="D78" s="38"/>
      <c r="E78" s="38">
        <f>SUM(E79,E80)</f>
        <v>7799905</v>
      </c>
      <c r="F78" s="38">
        <f>SUM(F79,F80)</f>
        <v>7799905</v>
      </c>
    </row>
    <row r="79" spans="1:6" s="30" customFormat="1" ht="48" x14ac:dyDescent="0.25">
      <c r="A79" s="35">
        <v>33010100</v>
      </c>
      <c r="B79" s="70" t="s">
        <v>545</v>
      </c>
      <c r="C79" s="33">
        <f t="shared" si="0"/>
        <v>4085990</v>
      </c>
      <c r="D79" s="38"/>
      <c r="E79" s="38">
        <v>4085990</v>
      </c>
      <c r="F79" s="38">
        <v>4085990</v>
      </c>
    </row>
    <row r="80" spans="1:6" s="30" customFormat="1" ht="48" x14ac:dyDescent="0.25">
      <c r="A80" s="35">
        <v>33010200</v>
      </c>
      <c r="B80" s="70" t="s">
        <v>160</v>
      </c>
      <c r="C80" s="33">
        <f t="shared" ref="C80:C107" si="1">SUM(D80,E80)</f>
        <v>3713915</v>
      </c>
      <c r="D80" s="38"/>
      <c r="E80" s="38">
        <v>3713915</v>
      </c>
      <c r="F80" s="38">
        <v>3713915</v>
      </c>
    </row>
    <row r="81" spans="1:6" s="30" customFormat="1" ht="53.45" customHeight="1" x14ac:dyDescent="0.25">
      <c r="A81" s="31">
        <v>50110000</v>
      </c>
      <c r="B81" s="71" t="s">
        <v>161</v>
      </c>
      <c r="C81" s="33">
        <v>4362100</v>
      </c>
      <c r="D81" s="38"/>
      <c r="E81" s="33">
        <v>4362100</v>
      </c>
      <c r="F81" s="38"/>
    </row>
    <row r="82" spans="1:6" s="34" customFormat="1" ht="18.75" x14ac:dyDescent="0.2">
      <c r="A82" s="31"/>
      <c r="B82" s="72" t="s">
        <v>765</v>
      </c>
      <c r="C82" s="33">
        <f t="shared" si="1"/>
        <v>1933506970</v>
      </c>
      <c r="D82" s="45">
        <f>D10+D44+D73</f>
        <v>1782074360</v>
      </c>
      <c r="E82" s="45">
        <f>E10+E44+E73+E81</f>
        <v>151432610</v>
      </c>
      <c r="F82" s="45">
        <f>F10+F44+F64+F73</f>
        <v>27399905</v>
      </c>
    </row>
    <row r="83" spans="1:6" s="34" customFormat="1" ht="18.75" x14ac:dyDescent="0.2">
      <c r="A83" s="31">
        <v>4000000</v>
      </c>
      <c r="B83" s="72" t="s">
        <v>766</v>
      </c>
      <c r="C83" s="33">
        <v>1186811054</v>
      </c>
      <c r="D83" s="45">
        <f>SUM(D84,D86)</f>
        <v>1212023653</v>
      </c>
      <c r="E83" s="45"/>
      <c r="F83" s="45"/>
    </row>
    <row r="84" spans="1:6" s="34" customFormat="1" ht="31.5" x14ac:dyDescent="0.2">
      <c r="A84" s="31">
        <v>41040000</v>
      </c>
      <c r="B84" s="134" t="s">
        <v>548</v>
      </c>
      <c r="C84" s="33">
        <v>17381620</v>
      </c>
      <c r="D84" s="45">
        <v>17381620</v>
      </c>
      <c r="E84" s="45"/>
      <c r="F84" s="45"/>
    </row>
    <row r="85" spans="1:6" s="34" customFormat="1" ht="78.75" customHeight="1" x14ac:dyDescent="0.2">
      <c r="A85" s="35">
        <v>41040200</v>
      </c>
      <c r="B85" s="135" t="s">
        <v>547</v>
      </c>
      <c r="C85" s="33">
        <v>17381620</v>
      </c>
      <c r="D85" s="45">
        <v>17381620</v>
      </c>
      <c r="E85" s="45"/>
      <c r="F85" s="45"/>
    </row>
    <row r="86" spans="1:6" s="34" customFormat="1" ht="14.25" x14ac:dyDescent="0.2">
      <c r="A86" s="31">
        <v>40000000</v>
      </c>
      <c r="B86" s="51" t="s">
        <v>162</v>
      </c>
      <c r="C86" s="33">
        <f t="shared" si="1"/>
        <v>1194642033</v>
      </c>
      <c r="D86" s="45">
        <f>SUM(D87:D101)</f>
        <v>1194642033</v>
      </c>
      <c r="E86" s="45">
        <f>SUM(E87:E101)</f>
        <v>0</v>
      </c>
      <c r="F86" s="33">
        <v>0</v>
      </c>
    </row>
    <row r="87" spans="1:6" s="34" customFormat="1" ht="25.5" x14ac:dyDescent="0.2">
      <c r="A87" s="35">
        <v>41033900</v>
      </c>
      <c r="B87" s="61" t="s">
        <v>163</v>
      </c>
      <c r="C87" s="33">
        <f t="shared" si="1"/>
        <v>368264000</v>
      </c>
      <c r="D87" s="38">
        <v>368264000</v>
      </c>
      <c r="E87" s="33"/>
      <c r="F87" s="33"/>
    </row>
    <row r="88" spans="1:6" s="34" customFormat="1" ht="25.5" x14ac:dyDescent="0.2">
      <c r="A88" s="35">
        <v>41034200</v>
      </c>
      <c r="B88" s="61" t="s">
        <v>164</v>
      </c>
      <c r="C88" s="33">
        <f t="shared" si="1"/>
        <v>192216600</v>
      </c>
      <c r="D88" s="38">
        <v>192216600</v>
      </c>
      <c r="E88" s="33"/>
      <c r="F88" s="33"/>
    </row>
    <row r="89" spans="1:6" s="34" customFormat="1" ht="42" customHeight="1" x14ac:dyDescent="0.2">
      <c r="A89" s="35">
        <v>41034500</v>
      </c>
      <c r="B89" s="61" t="s">
        <v>826</v>
      </c>
      <c r="C89" s="33">
        <v>8818000</v>
      </c>
      <c r="D89" s="38">
        <v>8818000</v>
      </c>
      <c r="E89" s="33"/>
      <c r="F89" s="33"/>
    </row>
    <row r="90" spans="1:6" s="34" customFormat="1" ht="42" customHeight="1" x14ac:dyDescent="0.2">
      <c r="A90" s="35">
        <v>41035400</v>
      </c>
      <c r="B90" s="61" t="s">
        <v>924</v>
      </c>
      <c r="C90" s="33">
        <v>1827557</v>
      </c>
      <c r="D90" s="38">
        <v>1827557</v>
      </c>
      <c r="E90" s="33"/>
      <c r="F90" s="33"/>
    </row>
    <row r="91" spans="1:6" s="34" customFormat="1" ht="63.75" x14ac:dyDescent="0.2">
      <c r="A91" s="35">
        <v>41051000</v>
      </c>
      <c r="B91" s="61" t="s">
        <v>808</v>
      </c>
      <c r="C91" s="33">
        <v>1416600</v>
      </c>
      <c r="D91" s="38">
        <v>1416600</v>
      </c>
      <c r="E91" s="33"/>
      <c r="F91" s="33"/>
    </row>
    <row r="92" spans="1:6" s="34" customFormat="1" ht="63.75" x14ac:dyDescent="0.2">
      <c r="A92" s="35">
        <v>41051200</v>
      </c>
      <c r="B92" s="61" t="s">
        <v>809</v>
      </c>
      <c r="C92" s="33">
        <v>3131372</v>
      </c>
      <c r="D92" s="38">
        <v>3131372</v>
      </c>
      <c r="E92" s="33"/>
      <c r="F92" s="33"/>
    </row>
    <row r="93" spans="1:6" s="34" customFormat="1" ht="51" x14ac:dyDescent="0.2">
      <c r="A93" s="35">
        <v>41051400</v>
      </c>
      <c r="B93" s="61" t="s">
        <v>926</v>
      </c>
      <c r="C93" s="33">
        <v>4877626</v>
      </c>
      <c r="D93" s="38">
        <v>4877626</v>
      </c>
      <c r="E93" s="33"/>
      <c r="F93" s="33"/>
    </row>
    <row r="94" spans="1:6" s="34" customFormat="1" ht="193.7" customHeight="1" x14ac:dyDescent="0.2">
      <c r="A94" s="31">
        <v>41050300</v>
      </c>
      <c r="B94" s="61" t="s">
        <v>498</v>
      </c>
      <c r="C94" s="33">
        <f t="shared" si="1"/>
        <v>354029500</v>
      </c>
      <c r="D94" s="38">
        <v>354029500</v>
      </c>
      <c r="E94" s="33"/>
      <c r="F94" s="33"/>
    </row>
    <row r="95" spans="1:6" s="34" customFormat="1" ht="117" customHeight="1" x14ac:dyDescent="0.2">
      <c r="A95" s="31">
        <v>41050100</v>
      </c>
      <c r="B95" s="61" t="s">
        <v>499</v>
      </c>
      <c r="C95" s="33">
        <v>237190900</v>
      </c>
      <c r="D95" s="38">
        <v>237190900</v>
      </c>
      <c r="E95" s="33"/>
      <c r="F95" s="33"/>
    </row>
    <row r="96" spans="1:6" s="34" customFormat="1" ht="65.25" customHeight="1" x14ac:dyDescent="0.2">
      <c r="A96" s="31">
        <v>41050200</v>
      </c>
      <c r="B96" s="61" t="s">
        <v>500</v>
      </c>
      <c r="C96" s="33">
        <f t="shared" si="1"/>
        <v>49300</v>
      </c>
      <c r="D96" s="38">
        <v>49300</v>
      </c>
      <c r="E96" s="33"/>
      <c r="F96" s="33"/>
    </row>
    <row r="97" spans="1:6" s="34" customFormat="1" ht="154.5" customHeight="1" x14ac:dyDescent="0.2">
      <c r="A97" s="31">
        <v>41050700</v>
      </c>
      <c r="B97" s="61" t="s">
        <v>501</v>
      </c>
      <c r="C97" s="33">
        <f t="shared" si="1"/>
        <v>1030700</v>
      </c>
      <c r="D97" s="38">
        <v>1030700</v>
      </c>
      <c r="E97" s="33"/>
      <c r="F97" s="33"/>
    </row>
    <row r="98" spans="1:6" s="34" customFormat="1" ht="49.7" customHeight="1" x14ac:dyDescent="0.2">
      <c r="A98" s="31">
        <v>41051500</v>
      </c>
      <c r="B98" s="61" t="s">
        <v>794</v>
      </c>
      <c r="C98" s="33">
        <f t="shared" si="1"/>
        <v>15778616</v>
      </c>
      <c r="D98" s="38">
        <v>15778616</v>
      </c>
      <c r="E98" s="33"/>
      <c r="F98" s="33"/>
    </row>
    <row r="99" spans="1:6" s="34" customFormat="1" ht="42.75" customHeight="1" x14ac:dyDescent="0.2">
      <c r="A99" s="31">
        <v>41051600</v>
      </c>
      <c r="B99" s="61" t="s">
        <v>827</v>
      </c>
      <c r="C99" s="33">
        <f t="shared" si="1"/>
        <v>1310000</v>
      </c>
      <c r="D99" s="38">
        <v>1310000</v>
      </c>
      <c r="E99" s="33"/>
      <c r="F99" s="33"/>
    </row>
    <row r="100" spans="1:6" s="34" customFormat="1" ht="58.7" customHeight="1" x14ac:dyDescent="0.2">
      <c r="A100" s="31">
        <v>41052000</v>
      </c>
      <c r="B100" s="61" t="s">
        <v>795</v>
      </c>
      <c r="C100" s="33">
        <f t="shared" si="1"/>
        <v>1734200</v>
      </c>
      <c r="D100" s="38">
        <v>1734200</v>
      </c>
      <c r="E100" s="33"/>
      <c r="F100" s="33"/>
    </row>
    <row r="101" spans="1:6" s="34" customFormat="1" ht="17.45" customHeight="1" x14ac:dyDescent="0.2">
      <c r="A101" s="31">
        <v>41053900</v>
      </c>
      <c r="B101" s="73" t="s">
        <v>546</v>
      </c>
      <c r="C101" s="33">
        <f t="shared" si="1"/>
        <v>2967062</v>
      </c>
      <c r="D101" s="45">
        <f>SUM(D102:D106)</f>
        <v>2967062</v>
      </c>
      <c r="E101" s="33"/>
      <c r="F101" s="33"/>
    </row>
    <row r="102" spans="1:6" s="34" customFormat="1" ht="24" x14ac:dyDescent="0.2">
      <c r="A102" s="31"/>
      <c r="B102" s="74" t="s">
        <v>165</v>
      </c>
      <c r="C102" s="33">
        <f t="shared" si="1"/>
        <v>179080</v>
      </c>
      <c r="D102" s="38">
        <v>179080</v>
      </c>
      <c r="E102" s="33"/>
      <c r="F102" s="33"/>
    </row>
    <row r="103" spans="1:6" s="34" customFormat="1" ht="36" x14ac:dyDescent="0.2">
      <c r="A103" s="31"/>
      <c r="B103" s="74" t="s">
        <v>166</v>
      </c>
      <c r="C103" s="33">
        <f t="shared" si="1"/>
        <v>135534</v>
      </c>
      <c r="D103" s="38">
        <v>135534</v>
      </c>
      <c r="E103" s="33"/>
      <c r="F103" s="33"/>
    </row>
    <row r="104" spans="1:6" s="50" customFormat="1" ht="24" x14ac:dyDescent="0.2">
      <c r="A104" s="31"/>
      <c r="B104" s="74" t="s">
        <v>167</v>
      </c>
      <c r="C104" s="33">
        <f t="shared" si="1"/>
        <v>168</v>
      </c>
      <c r="D104" s="38">
        <v>168</v>
      </c>
      <c r="E104" s="33"/>
      <c r="F104" s="33"/>
    </row>
    <row r="105" spans="1:6" ht="24" x14ac:dyDescent="0.2">
      <c r="A105" s="31"/>
      <c r="B105" s="74" t="s">
        <v>168</v>
      </c>
      <c r="C105" s="33">
        <f t="shared" si="1"/>
        <v>152280</v>
      </c>
      <c r="D105" s="38">
        <v>152280</v>
      </c>
      <c r="E105" s="33"/>
      <c r="F105" s="33"/>
    </row>
    <row r="106" spans="1:6" ht="24" x14ac:dyDescent="0.2">
      <c r="A106" s="31"/>
      <c r="B106" s="74" t="s">
        <v>807</v>
      </c>
      <c r="C106" s="33">
        <f t="shared" si="1"/>
        <v>2500000</v>
      </c>
      <c r="D106" s="38">
        <v>2500000</v>
      </c>
      <c r="E106" s="33"/>
      <c r="F106" s="33"/>
    </row>
    <row r="107" spans="1:6" s="77" customFormat="1" ht="20.25" x14ac:dyDescent="0.25">
      <c r="A107" s="75"/>
      <c r="B107" s="76" t="s">
        <v>169</v>
      </c>
      <c r="C107" s="33">
        <f t="shared" si="1"/>
        <v>3145530623</v>
      </c>
      <c r="D107" s="45">
        <f>SUM(D82,D84,D86)</f>
        <v>2994098013</v>
      </c>
      <c r="E107" s="45">
        <f>SUM(E82,E86)</f>
        <v>151432610</v>
      </c>
      <c r="F107" s="45">
        <f>SUM(F82:F86)</f>
        <v>27399905</v>
      </c>
    </row>
    <row r="109" spans="1:6" ht="15" customHeight="1" x14ac:dyDescent="0.25">
      <c r="B109" s="181" t="s">
        <v>944</v>
      </c>
      <c r="E109" s="181" t="s">
        <v>945</v>
      </c>
    </row>
    <row r="110" spans="1:6" ht="1.5" hidden="1" customHeight="1" x14ac:dyDescent="0.25">
      <c r="B110" s="181"/>
      <c r="E110" s="181"/>
    </row>
    <row r="111" spans="1:6" ht="15.75" x14ac:dyDescent="0.25">
      <c r="A111" s="77"/>
      <c r="B111" s="181" t="s">
        <v>170</v>
      </c>
      <c r="C111" s="181"/>
      <c r="D111" s="181"/>
      <c r="E111" s="181" t="s">
        <v>171</v>
      </c>
      <c r="F111" s="77"/>
    </row>
    <row r="113" spans="4:4" x14ac:dyDescent="0.2">
      <c r="D113" s="78"/>
    </row>
    <row r="114" spans="4:4" x14ac:dyDescent="0.2">
      <c r="D114" s="79"/>
    </row>
    <row r="157" spans="5:5" ht="18.75" x14ac:dyDescent="0.3">
      <c r="E157" s="113"/>
    </row>
  </sheetData>
  <mergeCells count="10">
    <mergeCell ref="A7:A8"/>
    <mergeCell ref="B7:B8"/>
    <mergeCell ref="C7:C8"/>
    <mergeCell ref="D7:D8"/>
    <mergeCell ref="E7:F7"/>
    <mergeCell ref="D1:G1"/>
    <mergeCell ref="D2:G2"/>
    <mergeCell ref="D3:G3"/>
    <mergeCell ref="A4:E4"/>
    <mergeCell ref="A5:E5"/>
  </mergeCells>
  <hyperlinks>
    <hyperlink ref="B74" location="_ftn1" display="_ftn1" xr:uid="{00000000-0004-0000-0000-000000000000}"/>
    <hyperlink ref="B73" location="_ftn1" display="_ftn1" xr:uid="{00000000-0004-0000-0000-000001000000}"/>
    <hyperlink ref="B59" location="_ftn1" display="_ftn1" xr:uid="{00000000-0004-0000-0000-000002000000}"/>
    <hyperlink ref="B15" location="_ftn1" display="_ftn1" xr:uid="{00000000-0004-0000-0000-000003000000}"/>
    <hyperlink ref="B14" location="_ftn1" display="_ftn1" xr:uid="{00000000-0004-0000-0000-000004000000}"/>
    <hyperlink ref="B42" location="_ftn1" display="_ftn1" xr:uid="{00000000-0004-0000-0000-000005000000}"/>
    <hyperlink ref="B77" location="_ftn1" display="_ftn1" xr:uid="{00000000-0004-0000-0000-000006000000}"/>
    <hyperlink ref="B78" location="_ftn1" display="_ftn1" xr:uid="{00000000-0004-0000-0000-000007000000}"/>
    <hyperlink ref="B47" location="_ftn1" display="_ftn1" xr:uid="{00000000-0004-0000-0000-000008000000}"/>
    <hyperlink ref="B48" location="_ftn1" display="_ftn1" xr:uid="{00000000-0004-0000-0000-000009000000}"/>
  </hyperlinks>
  <printOptions horizontalCentered="1"/>
  <pageMargins left="0.35433070866141736" right="0.15748031496062992" top="0.59055118110236227" bottom="0.51181102362204722" header="0.51181102362204722" footer="0.51181102362204722"/>
  <pageSetup paperSize="9" scale="85" fitToHeight="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188"/>
  <sheetViews>
    <sheetView view="pageBreakPreview" zoomScale="25" zoomScaleNormal="25" zoomScaleSheetLayoutView="25" zoomScalePageLayoutView="10" workbookViewId="0">
      <pane ySplit="11" topLeftCell="A42" activePane="bottomLeft" state="frozen"/>
      <selection activeCell="K153" sqref="K153"/>
      <selection pane="bottomLeft" activeCell="L162" sqref="L162"/>
    </sheetView>
  </sheetViews>
  <sheetFormatPr defaultRowHeight="12.75" x14ac:dyDescent="0.2"/>
  <cols>
    <col min="2" max="2" width="48" style="1" customWidth="1"/>
    <col min="3" max="3" width="52.5703125" style="1" customWidth="1"/>
    <col min="4" max="4" width="65.7109375" style="1" customWidth="1"/>
    <col min="5" max="5" width="106.28515625" style="1" customWidth="1"/>
    <col min="6" max="6" width="66.42578125" style="5" customWidth="1"/>
    <col min="7" max="7" width="58.5703125" style="1" customWidth="1"/>
    <col min="8" max="8" width="55.42578125" style="1" customWidth="1"/>
    <col min="9" max="9" width="48.140625" style="1" customWidth="1"/>
    <col min="10" max="10" width="32.7109375" style="1" customWidth="1"/>
    <col min="11" max="11" width="50.5703125" style="5" customWidth="1"/>
    <col min="12" max="12" width="52.5703125" style="5" customWidth="1"/>
    <col min="13" max="13" width="56.140625" style="1" customWidth="1"/>
    <col min="14" max="14" width="54.85546875" style="1" customWidth="1"/>
    <col min="15" max="15" width="45.28515625" style="1" bestFit="1" customWidth="1"/>
    <col min="16" max="16" width="52.7109375" style="1" bestFit="1" customWidth="1"/>
    <col min="17" max="17" width="86.28515625" style="5" customWidth="1"/>
    <col min="18" max="18" width="52.140625" customWidth="1"/>
    <col min="19" max="19" width="66.42578125" bestFit="1" customWidth="1"/>
    <col min="21" max="21" width="24.7109375" bestFit="1" customWidth="1"/>
  </cols>
  <sheetData>
    <row r="1" spans="1:19" ht="45.75" x14ac:dyDescent="0.2">
      <c r="E1" s="7"/>
      <c r="F1" s="8"/>
      <c r="G1" s="9"/>
      <c r="H1" s="8"/>
      <c r="I1" s="8"/>
      <c r="J1" s="8"/>
      <c r="K1" s="8"/>
      <c r="L1" s="8"/>
      <c r="M1" s="8"/>
      <c r="N1" s="8"/>
      <c r="O1" s="8"/>
      <c r="P1" s="408"/>
      <c r="Q1" s="408"/>
    </row>
    <row r="2" spans="1:19" ht="45.75" x14ac:dyDescent="0.2">
      <c r="B2" s="7"/>
      <c r="C2" s="7"/>
      <c r="D2" s="7"/>
      <c r="E2" s="7"/>
      <c r="F2" s="8"/>
      <c r="G2" s="9"/>
      <c r="H2" s="8"/>
      <c r="I2" s="8"/>
      <c r="J2" s="8"/>
      <c r="K2" s="8"/>
      <c r="L2" s="8"/>
      <c r="M2" s="8"/>
      <c r="N2" s="8"/>
      <c r="O2" s="8"/>
      <c r="P2" s="408"/>
      <c r="Q2" s="410"/>
    </row>
    <row r="3" spans="1:19" ht="40.700000000000003" customHeight="1" x14ac:dyDescent="0.2">
      <c r="B3" s="7"/>
      <c r="C3" s="7"/>
      <c r="D3" s="7"/>
      <c r="E3" s="7"/>
      <c r="F3" s="8"/>
      <c r="G3" s="9"/>
      <c r="H3" s="8"/>
      <c r="I3" s="8"/>
      <c r="J3" s="8"/>
      <c r="K3" s="8"/>
      <c r="L3" s="8"/>
      <c r="M3" s="8"/>
      <c r="N3" s="8"/>
      <c r="O3" s="8"/>
      <c r="P3" s="408"/>
      <c r="Q3" s="410"/>
    </row>
    <row r="4" spans="1:19" ht="45.75" hidden="1" x14ac:dyDescent="0.2">
      <c r="B4" s="7"/>
      <c r="C4" s="7"/>
      <c r="D4" s="7"/>
      <c r="E4" s="7"/>
      <c r="F4" s="8"/>
      <c r="G4" s="9"/>
      <c r="H4" s="8"/>
      <c r="I4" s="8"/>
      <c r="J4" s="8"/>
      <c r="K4" s="8"/>
      <c r="L4" s="8"/>
      <c r="M4" s="8"/>
      <c r="N4" s="8"/>
      <c r="O4" s="8"/>
      <c r="P4" s="7"/>
      <c r="Q4" s="9"/>
    </row>
    <row r="5" spans="1:19" ht="45" x14ac:dyDescent="0.2">
      <c r="B5" s="412" t="s">
        <v>88</v>
      </c>
      <c r="C5" s="412"/>
      <c r="D5" s="412"/>
      <c r="E5" s="412"/>
      <c r="F5" s="412"/>
      <c r="G5" s="412"/>
      <c r="H5" s="412"/>
      <c r="I5" s="412"/>
      <c r="J5" s="412"/>
      <c r="K5" s="412"/>
      <c r="L5" s="412"/>
      <c r="M5" s="412"/>
      <c r="N5" s="412"/>
      <c r="O5" s="412"/>
      <c r="P5" s="412"/>
      <c r="Q5" s="412"/>
    </row>
    <row r="6" spans="1:19" ht="45" x14ac:dyDescent="0.2">
      <c r="B6" s="412" t="s">
        <v>657</v>
      </c>
      <c r="C6" s="412"/>
      <c r="D6" s="412"/>
      <c r="E6" s="412"/>
      <c r="F6" s="412"/>
      <c r="G6" s="412"/>
      <c r="H6" s="412"/>
      <c r="I6" s="412"/>
      <c r="J6" s="412"/>
      <c r="K6" s="412"/>
      <c r="L6" s="412"/>
      <c r="M6" s="412"/>
      <c r="N6" s="412"/>
      <c r="O6" s="412"/>
      <c r="P6" s="412"/>
      <c r="Q6" s="412"/>
    </row>
    <row r="7" spans="1:19" ht="53.45" customHeight="1" x14ac:dyDescent="0.2">
      <c r="B7" s="8"/>
      <c r="C7" s="8"/>
      <c r="D7" s="8"/>
      <c r="E7" s="8"/>
      <c r="F7" s="8"/>
      <c r="G7" s="9"/>
      <c r="H7" s="8"/>
      <c r="I7" s="8"/>
      <c r="J7" s="8"/>
      <c r="K7" s="8"/>
      <c r="L7" s="8"/>
      <c r="M7" s="8"/>
      <c r="N7" s="8"/>
      <c r="O7" s="8"/>
      <c r="P7" s="8"/>
      <c r="Q7" s="10" t="s">
        <v>658</v>
      </c>
    </row>
    <row r="8" spans="1:19" ht="62.45" customHeight="1" x14ac:dyDescent="0.2">
      <c r="B8" s="429" t="s">
        <v>29</v>
      </c>
      <c r="C8" s="429" t="s">
        <v>661</v>
      </c>
      <c r="D8" s="429" t="s">
        <v>668</v>
      </c>
      <c r="E8" s="429" t="s">
        <v>662</v>
      </c>
      <c r="F8" s="411" t="s">
        <v>25</v>
      </c>
      <c r="G8" s="411"/>
      <c r="H8" s="411"/>
      <c r="I8" s="411"/>
      <c r="J8" s="411"/>
      <c r="K8" s="433" t="s">
        <v>84</v>
      </c>
      <c r="L8" s="434"/>
      <c r="M8" s="434"/>
      <c r="N8" s="434"/>
      <c r="O8" s="434"/>
      <c r="P8" s="435"/>
      <c r="Q8" s="411" t="s">
        <v>24</v>
      </c>
    </row>
    <row r="9" spans="1:19" ht="255" customHeight="1" x14ac:dyDescent="0.2">
      <c r="A9" s="413" t="s">
        <v>87</v>
      </c>
      <c r="B9" s="430"/>
      <c r="C9" s="432"/>
      <c r="D9" s="432"/>
      <c r="E9" s="430"/>
      <c r="F9" s="413" t="s">
        <v>654</v>
      </c>
      <c r="G9" s="413" t="s">
        <v>85</v>
      </c>
      <c r="H9" s="413" t="s">
        <v>26</v>
      </c>
      <c r="I9" s="413"/>
      <c r="J9" s="413" t="s">
        <v>87</v>
      </c>
      <c r="K9" s="413" t="s">
        <v>654</v>
      </c>
      <c r="L9" s="413" t="s">
        <v>655</v>
      </c>
      <c r="M9" s="413" t="s">
        <v>85</v>
      </c>
      <c r="N9" s="413" t="s">
        <v>26</v>
      </c>
      <c r="O9" s="413"/>
      <c r="P9" s="413" t="s">
        <v>87</v>
      </c>
      <c r="Q9" s="411"/>
    </row>
    <row r="10" spans="1:19" ht="135" x14ac:dyDescent="0.2">
      <c r="A10" s="413"/>
      <c r="B10" s="431"/>
      <c r="C10" s="431"/>
      <c r="D10" s="431"/>
      <c r="E10" s="431"/>
      <c r="F10" s="413"/>
      <c r="G10" s="413"/>
      <c r="H10" s="195" t="s">
        <v>86</v>
      </c>
      <c r="I10" s="195" t="s">
        <v>28</v>
      </c>
      <c r="J10" s="413"/>
      <c r="K10" s="413"/>
      <c r="L10" s="413"/>
      <c r="M10" s="413"/>
      <c r="N10" s="195" t="s">
        <v>86</v>
      </c>
      <c r="O10" s="195" t="s">
        <v>28</v>
      </c>
      <c r="P10" s="413"/>
      <c r="Q10" s="411"/>
    </row>
    <row r="11" spans="1:19" s="2" customFormat="1" ht="111" customHeight="1" x14ac:dyDescent="0.2">
      <c r="A11" s="11" t="s">
        <v>681</v>
      </c>
      <c r="B11" s="11" t="s">
        <v>4</v>
      </c>
      <c r="C11" s="11" t="s">
        <v>5</v>
      </c>
      <c r="D11" s="11" t="s">
        <v>27</v>
      </c>
      <c r="E11" s="11" t="s">
        <v>7</v>
      </c>
      <c r="F11" s="11" t="s">
        <v>671</v>
      </c>
      <c r="G11" s="11" t="s">
        <v>672</v>
      </c>
      <c r="H11" s="11" t="s">
        <v>673</v>
      </c>
      <c r="I11" s="11" t="s">
        <v>674</v>
      </c>
      <c r="J11" s="11" t="s">
        <v>675</v>
      </c>
      <c r="K11" s="11" t="s">
        <v>676</v>
      </c>
      <c r="L11" s="11" t="s">
        <v>677</v>
      </c>
      <c r="M11" s="11" t="s">
        <v>678</v>
      </c>
      <c r="N11" s="11" t="s">
        <v>679</v>
      </c>
      <c r="O11" s="11" t="s">
        <v>680</v>
      </c>
      <c r="P11" s="11" t="s">
        <v>681</v>
      </c>
      <c r="Q11" s="11" t="s">
        <v>682</v>
      </c>
    </row>
    <row r="12" spans="1:19" s="2" customFormat="1" ht="135" x14ac:dyDescent="0.2">
      <c r="A12" s="237">
        <f>A13</f>
        <v>50000</v>
      </c>
      <c r="B12" s="197" t="s">
        <v>234</v>
      </c>
      <c r="C12" s="197"/>
      <c r="D12" s="197"/>
      <c r="E12" s="228" t="s">
        <v>236</v>
      </c>
      <c r="F12" s="237">
        <f>F13</f>
        <v>85998150</v>
      </c>
      <c r="G12" s="237">
        <f t="shared" ref="G12:Q12" si="0">G13</f>
        <v>85998150</v>
      </c>
      <c r="H12" s="237">
        <f t="shared" si="0"/>
        <v>54985000</v>
      </c>
      <c r="I12" s="237">
        <f t="shared" si="0"/>
        <v>2450700</v>
      </c>
      <c r="J12" s="237">
        <f t="shared" si="0"/>
        <v>0</v>
      </c>
      <c r="K12" s="237">
        <f t="shared" si="0"/>
        <v>3985100</v>
      </c>
      <c r="L12" s="237">
        <f t="shared" si="0"/>
        <v>1710000</v>
      </c>
      <c r="M12" s="237">
        <f t="shared" si="0"/>
        <v>2225100</v>
      </c>
      <c r="N12" s="237">
        <f t="shared" si="0"/>
        <v>0</v>
      </c>
      <c r="O12" s="237">
        <f t="shared" si="0"/>
        <v>0</v>
      </c>
      <c r="P12" s="237">
        <f t="shared" ref="P12:P18" si="1">L12+A12</f>
        <v>1760000</v>
      </c>
      <c r="Q12" s="237">
        <f t="shared" si="0"/>
        <v>89983250</v>
      </c>
    </row>
    <row r="13" spans="1:19" s="2" customFormat="1" ht="135" x14ac:dyDescent="0.2">
      <c r="A13" s="199">
        <f>SUM(A14:A21)</f>
        <v>50000</v>
      </c>
      <c r="B13" s="201" t="s">
        <v>235</v>
      </c>
      <c r="C13" s="201"/>
      <c r="D13" s="201"/>
      <c r="E13" s="229" t="s">
        <v>237</v>
      </c>
      <c r="F13" s="199">
        <f>SUM(F14:F21)</f>
        <v>85998150</v>
      </c>
      <c r="G13" s="199">
        <f>SUM(G14:G21)</f>
        <v>85998150</v>
      </c>
      <c r="H13" s="199">
        <f>SUM(H14:H21)</f>
        <v>54985000</v>
      </c>
      <c r="I13" s="199">
        <f>SUM(I14:I21)</f>
        <v>2450700</v>
      </c>
      <c r="J13" s="199">
        <f>SUM(J14:J21)</f>
        <v>0</v>
      </c>
      <c r="K13" s="199">
        <f t="shared" ref="K13:K18" si="2">M13+P13</f>
        <v>3985100</v>
      </c>
      <c r="L13" s="199">
        <f>SUM(L14:L21)</f>
        <v>1710000</v>
      </c>
      <c r="M13" s="199">
        <f>SUM(M14:M21)</f>
        <v>2225100</v>
      </c>
      <c r="N13" s="199">
        <f>SUM(N14:N21)</f>
        <v>0</v>
      </c>
      <c r="O13" s="199">
        <f>SUM(O14:O21)</f>
        <v>0</v>
      </c>
      <c r="P13" s="238">
        <f t="shared" si="1"/>
        <v>1760000</v>
      </c>
      <c r="Q13" s="199">
        <f>F13+K13</f>
        <v>89983250</v>
      </c>
      <c r="R13" s="141" t="b">
        <f>Q14+Q15+Q16+Q17+Q20+Q21+Q18=Q13</f>
        <v>1</v>
      </c>
      <c r="S13" s="141" t="b">
        <f>L13='dod5'!I6</f>
        <v>0</v>
      </c>
    </row>
    <row r="14" spans="1:19" ht="320.25" x14ac:dyDescent="0.2">
      <c r="A14" s="225">
        <v>0</v>
      </c>
      <c r="B14" s="270" t="s">
        <v>337</v>
      </c>
      <c r="C14" s="270" t="s">
        <v>338</v>
      </c>
      <c r="D14" s="270" t="s">
        <v>339</v>
      </c>
      <c r="E14" s="270" t="s">
        <v>336</v>
      </c>
      <c r="F14" s="271">
        <f t="shared" ref="F14:F21" si="3">G14</f>
        <v>77586750</v>
      </c>
      <c r="G14" s="111">
        <v>77586750</v>
      </c>
      <c r="H14" s="111">
        <v>54985000</v>
      </c>
      <c r="I14" s="111">
        <v>2450700</v>
      </c>
      <c r="J14" s="111"/>
      <c r="K14" s="271">
        <f t="shared" si="2"/>
        <v>210000</v>
      </c>
      <c r="L14" s="111">
        <v>210000</v>
      </c>
      <c r="M14" s="154"/>
      <c r="N14" s="230"/>
      <c r="O14" s="230"/>
      <c r="P14" s="243">
        <f t="shared" si="1"/>
        <v>210000</v>
      </c>
      <c r="Q14" s="271">
        <f>+K14+F14</f>
        <v>77796750</v>
      </c>
    </row>
    <row r="15" spans="1:19" ht="91.5" x14ac:dyDescent="0.2">
      <c r="A15" s="225"/>
      <c r="B15" s="270" t="s">
        <v>353</v>
      </c>
      <c r="C15" s="270" t="s">
        <v>71</v>
      </c>
      <c r="D15" s="270" t="s">
        <v>70</v>
      </c>
      <c r="E15" s="270" t="s">
        <v>354</v>
      </c>
      <c r="F15" s="271">
        <f t="shared" si="3"/>
        <v>1305000</v>
      </c>
      <c r="G15" s="225">
        <v>1305000</v>
      </c>
      <c r="H15" s="225"/>
      <c r="I15" s="225"/>
      <c r="J15" s="225"/>
      <c r="K15" s="271">
        <f t="shared" si="2"/>
        <v>0</v>
      </c>
      <c r="L15" s="225"/>
      <c r="M15" s="225"/>
      <c r="N15" s="225"/>
      <c r="O15" s="225"/>
      <c r="P15" s="243">
        <f t="shared" si="1"/>
        <v>0</v>
      </c>
      <c r="Q15" s="271">
        <f>F15+K15</f>
        <v>1305000</v>
      </c>
    </row>
    <row r="16" spans="1:19" ht="91.5" x14ac:dyDescent="0.2">
      <c r="A16" s="225"/>
      <c r="B16" s="270" t="s">
        <v>343</v>
      </c>
      <c r="C16" s="270" t="s">
        <v>344</v>
      </c>
      <c r="D16" s="270" t="s">
        <v>345</v>
      </c>
      <c r="E16" s="270" t="s">
        <v>342</v>
      </c>
      <c r="F16" s="271">
        <f t="shared" si="3"/>
        <v>3236400</v>
      </c>
      <c r="G16" s="225">
        <v>3236400</v>
      </c>
      <c r="H16" s="225">
        <f>I16+J16</f>
        <v>0</v>
      </c>
      <c r="I16" s="225"/>
      <c r="J16" s="225"/>
      <c r="K16" s="271">
        <f t="shared" si="2"/>
        <v>1500000</v>
      </c>
      <c r="L16" s="225">
        <v>1500000</v>
      </c>
      <c r="M16" s="225"/>
      <c r="N16" s="225"/>
      <c r="O16" s="225"/>
      <c r="P16" s="243">
        <f t="shared" si="1"/>
        <v>1500000</v>
      </c>
      <c r="Q16" s="271">
        <f>+K16+F16</f>
        <v>4736400</v>
      </c>
    </row>
    <row r="17" spans="1:21" ht="137.25" x14ac:dyDescent="0.2">
      <c r="A17" s="225"/>
      <c r="B17" s="270" t="s">
        <v>445</v>
      </c>
      <c r="C17" s="270" t="s">
        <v>446</v>
      </c>
      <c r="D17" s="270" t="s">
        <v>256</v>
      </c>
      <c r="E17" s="268" t="s">
        <v>444</v>
      </c>
      <c r="F17" s="271">
        <f t="shared" si="3"/>
        <v>165000</v>
      </c>
      <c r="G17" s="225">
        <v>165000</v>
      </c>
      <c r="H17" s="225"/>
      <c r="I17" s="225"/>
      <c r="J17" s="225"/>
      <c r="K17" s="271">
        <f t="shared" si="2"/>
        <v>0</v>
      </c>
      <c r="L17" s="225"/>
      <c r="M17" s="225"/>
      <c r="N17" s="225"/>
      <c r="O17" s="225"/>
      <c r="P17" s="243">
        <f t="shared" si="1"/>
        <v>0</v>
      </c>
      <c r="Q17" s="271">
        <f>+K17+F17</f>
        <v>165000</v>
      </c>
    </row>
    <row r="18" spans="1:21" s="123" customFormat="1" ht="409.5" x14ac:dyDescent="0.2">
      <c r="A18" s="404">
        <v>50000</v>
      </c>
      <c r="B18" s="422" t="s">
        <v>539</v>
      </c>
      <c r="C18" s="422" t="s">
        <v>538</v>
      </c>
      <c r="D18" s="422" t="s">
        <v>256</v>
      </c>
      <c r="E18" s="231" t="s">
        <v>549</v>
      </c>
      <c r="F18" s="418">
        <f t="shared" si="3"/>
        <v>0</v>
      </c>
      <c r="G18" s="404"/>
      <c r="H18" s="404"/>
      <c r="I18" s="404"/>
      <c r="J18" s="404"/>
      <c r="K18" s="414">
        <f t="shared" si="2"/>
        <v>2275100</v>
      </c>
      <c r="L18" s="404"/>
      <c r="M18" s="404">
        <v>2225100</v>
      </c>
      <c r="N18" s="404"/>
      <c r="O18" s="404"/>
      <c r="P18" s="406">
        <f t="shared" si="1"/>
        <v>50000</v>
      </c>
      <c r="Q18" s="418">
        <f>F18+K18</f>
        <v>2275100</v>
      </c>
      <c r="R18" s="254">
        <f>Q18</f>
        <v>2275100</v>
      </c>
    </row>
    <row r="19" spans="1:21" s="123" customFormat="1" ht="137.25" x14ac:dyDescent="0.2">
      <c r="A19" s="420"/>
      <c r="B19" s="403"/>
      <c r="C19" s="403"/>
      <c r="D19" s="403"/>
      <c r="E19" s="235" t="s">
        <v>550</v>
      </c>
      <c r="F19" s="419"/>
      <c r="G19" s="420"/>
      <c r="H19" s="420"/>
      <c r="I19" s="420"/>
      <c r="J19" s="420"/>
      <c r="K19" s="403"/>
      <c r="L19" s="403"/>
      <c r="M19" s="420"/>
      <c r="N19" s="420"/>
      <c r="O19" s="420"/>
      <c r="P19" s="426"/>
      <c r="Q19" s="419"/>
    </row>
    <row r="20" spans="1:21" ht="91.5" x14ac:dyDescent="0.2">
      <c r="A20" s="225"/>
      <c r="B20" s="270" t="s">
        <v>346</v>
      </c>
      <c r="C20" s="270" t="s">
        <v>347</v>
      </c>
      <c r="D20" s="270" t="s">
        <v>348</v>
      </c>
      <c r="E20" s="268" t="s">
        <v>349</v>
      </c>
      <c r="F20" s="271">
        <f>G20</f>
        <v>3515000</v>
      </c>
      <c r="G20" s="225">
        <v>3515000</v>
      </c>
      <c r="H20" s="225"/>
      <c r="I20" s="225"/>
      <c r="J20" s="225"/>
      <c r="K20" s="271">
        <f>M20+P20</f>
        <v>0</v>
      </c>
      <c r="L20" s="225"/>
      <c r="M20" s="225"/>
      <c r="N20" s="225"/>
      <c r="O20" s="225"/>
      <c r="P20" s="243">
        <f t="shared" ref="P20:P51" si="4">L20+A20</f>
        <v>0</v>
      </c>
      <c r="Q20" s="271">
        <f>F20+K20</f>
        <v>3515000</v>
      </c>
    </row>
    <row r="21" spans="1:21" ht="274.5" x14ac:dyDescent="0.2">
      <c r="A21" s="225"/>
      <c r="B21" s="270" t="s">
        <v>350</v>
      </c>
      <c r="C21" s="270" t="s">
        <v>351</v>
      </c>
      <c r="D21" s="270" t="s">
        <v>71</v>
      </c>
      <c r="E21" s="270" t="s">
        <v>352</v>
      </c>
      <c r="F21" s="271">
        <f t="shared" si="3"/>
        <v>190000</v>
      </c>
      <c r="G21" s="225">
        <v>190000</v>
      </c>
      <c r="H21" s="225"/>
      <c r="I21" s="225"/>
      <c r="J21" s="225"/>
      <c r="K21" s="271">
        <f>M21+P21</f>
        <v>0</v>
      </c>
      <c r="L21" s="225"/>
      <c r="M21" s="225"/>
      <c r="N21" s="225"/>
      <c r="O21" s="225"/>
      <c r="P21" s="243">
        <f t="shared" si="4"/>
        <v>0</v>
      </c>
      <c r="Q21" s="271">
        <f>F21+K21</f>
        <v>190000</v>
      </c>
    </row>
    <row r="22" spans="1:21" ht="135" x14ac:dyDescent="0.2">
      <c r="A22" s="198">
        <f>A23</f>
        <v>1311450</v>
      </c>
      <c r="B22" s="197" t="s">
        <v>238</v>
      </c>
      <c r="C22" s="197"/>
      <c r="D22" s="197"/>
      <c r="E22" s="228" t="s">
        <v>0</v>
      </c>
      <c r="F22" s="237">
        <f>F23</f>
        <v>977233885</v>
      </c>
      <c r="G22" s="237">
        <f t="shared" ref="G22:H22" si="5">G23</f>
        <v>977233885</v>
      </c>
      <c r="H22" s="237">
        <f t="shared" si="5"/>
        <v>647363089</v>
      </c>
      <c r="I22" s="237">
        <f>I23</f>
        <v>85925323</v>
      </c>
      <c r="J22" s="237">
        <f t="shared" ref="J22" si="6">J23</f>
        <v>0</v>
      </c>
      <c r="K22" s="237">
        <f>K23</f>
        <v>116725990</v>
      </c>
      <c r="L22" s="237">
        <f>L23</f>
        <v>13764000</v>
      </c>
      <c r="M22" s="237">
        <f>M23</f>
        <v>101650540</v>
      </c>
      <c r="N22" s="237">
        <f t="shared" ref="N22" si="7">N23</f>
        <v>26627480</v>
      </c>
      <c r="O22" s="237">
        <f>O23</f>
        <v>8054210</v>
      </c>
      <c r="P22" s="237">
        <f t="shared" si="4"/>
        <v>15075450</v>
      </c>
      <c r="Q22" s="198">
        <f t="shared" ref="Q22" si="8">Q23</f>
        <v>1093959875</v>
      </c>
    </row>
    <row r="23" spans="1:21" ht="135" x14ac:dyDescent="0.2">
      <c r="A23" s="199">
        <f>SUM(A24:A32)</f>
        <v>1311450</v>
      </c>
      <c r="B23" s="201" t="s">
        <v>239</v>
      </c>
      <c r="C23" s="201"/>
      <c r="D23" s="201"/>
      <c r="E23" s="229" t="s">
        <v>1</v>
      </c>
      <c r="F23" s="199">
        <f>SUM(F24:F32)</f>
        <v>977233885</v>
      </c>
      <c r="G23" s="199">
        <f t="shared" ref="G23:O23" si="9">SUM(G24:G32)</f>
        <v>977233885</v>
      </c>
      <c r="H23" s="199">
        <f>SUM(H24:H32)</f>
        <v>647363089</v>
      </c>
      <c r="I23" s="199">
        <f t="shared" si="9"/>
        <v>85925323</v>
      </c>
      <c r="J23" s="199">
        <f t="shared" si="9"/>
        <v>0</v>
      </c>
      <c r="K23" s="199">
        <f t="shared" ref="K23:K32" si="10">M23+P23</f>
        <v>116725990</v>
      </c>
      <c r="L23" s="199">
        <f t="shared" si="9"/>
        <v>13764000</v>
      </c>
      <c r="M23" s="199">
        <f t="shared" si="9"/>
        <v>101650540</v>
      </c>
      <c r="N23" s="199">
        <f t="shared" si="9"/>
        <v>26627480</v>
      </c>
      <c r="O23" s="199">
        <f t="shared" si="9"/>
        <v>8054210</v>
      </c>
      <c r="P23" s="238">
        <f t="shared" si="4"/>
        <v>15075450</v>
      </c>
      <c r="Q23" s="199">
        <f t="shared" ref="Q23:Q32" si="11">F23+K23</f>
        <v>1093959875</v>
      </c>
      <c r="R23" s="141" t="b">
        <f>Q23=Q24+Q25+Q26+Q27+Q28+Q29+Q30+Q31+Q32</f>
        <v>1</v>
      </c>
      <c r="S23" s="141" t="b">
        <f>L23='dod5'!I14</f>
        <v>0</v>
      </c>
    </row>
    <row r="24" spans="1:21" ht="46.5" x14ac:dyDescent="0.55000000000000004">
      <c r="A24" s="225">
        <v>333000</v>
      </c>
      <c r="B24" s="270" t="s">
        <v>294</v>
      </c>
      <c r="C24" s="270" t="s">
        <v>295</v>
      </c>
      <c r="D24" s="270" t="s">
        <v>297</v>
      </c>
      <c r="E24" s="270" t="s">
        <v>298</v>
      </c>
      <c r="F24" s="271">
        <f>G24</f>
        <v>259096280</v>
      </c>
      <c r="G24" s="225">
        <f>165508870+36411952+4442800+121320+24563500+1338350+273720+18519120+1241048+6540100+35500+100000</f>
        <v>259096280</v>
      </c>
      <c r="H24" s="225">
        <v>165508870</v>
      </c>
      <c r="I24" s="225">
        <f>18519120+1241048+6540100</f>
        <v>26300268</v>
      </c>
      <c r="J24" s="225"/>
      <c r="K24" s="271">
        <f t="shared" si="10"/>
        <v>42872420</v>
      </c>
      <c r="L24" s="225">
        <f>252000+2500000</f>
        <v>2752000</v>
      </c>
      <c r="M24" s="225">
        <v>39787420</v>
      </c>
      <c r="N24" s="225">
        <v>7603840</v>
      </c>
      <c r="O24" s="225">
        <v>826450</v>
      </c>
      <c r="P24" s="243">
        <f t="shared" si="4"/>
        <v>3085000</v>
      </c>
      <c r="Q24" s="271">
        <f t="shared" si="11"/>
        <v>301968700</v>
      </c>
      <c r="R24" s="14"/>
      <c r="S24" s="14"/>
    </row>
    <row r="25" spans="1:21" ht="366" x14ac:dyDescent="0.55000000000000004">
      <c r="A25" s="225">
        <v>844450</v>
      </c>
      <c r="B25" s="270" t="s">
        <v>300</v>
      </c>
      <c r="C25" s="270" t="s">
        <v>296</v>
      </c>
      <c r="D25" s="270" t="s">
        <v>301</v>
      </c>
      <c r="E25" s="270" t="s">
        <v>628</v>
      </c>
      <c r="F25" s="271">
        <f t="shared" ref="F25:F31" si="12">G25</f>
        <v>551802059</v>
      </c>
      <c r="G25" s="225">
        <f>377515910+83053501+7371100+178740+32183400+3499459+415560+30995614+945670+7256140+593970+178740+8163+2093100-15000000+17381620+3131372</f>
        <v>551802059</v>
      </c>
      <c r="H25" s="225">
        <f>377515910+1668354</f>
        <v>379184264</v>
      </c>
      <c r="I25" s="225">
        <f>30995614+945670+7256140+593970-15000000+17381620</f>
        <v>42173014</v>
      </c>
      <c r="J25" s="225"/>
      <c r="K25" s="271">
        <f t="shared" si="10"/>
        <v>45623360</v>
      </c>
      <c r="L25" s="225">
        <f>171000+2450000+400000+655000</f>
        <v>3676000</v>
      </c>
      <c r="M25" s="225">
        <v>41102910</v>
      </c>
      <c r="N25" s="225">
        <v>13732800</v>
      </c>
      <c r="O25" s="225">
        <v>963180</v>
      </c>
      <c r="P25" s="243">
        <f t="shared" si="4"/>
        <v>4520450</v>
      </c>
      <c r="Q25" s="271">
        <f t="shared" si="11"/>
        <v>597425419</v>
      </c>
      <c r="R25" s="14"/>
      <c r="S25" s="14"/>
      <c r="U25" s="112"/>
    </row>
    <row r="26" spans="1:21" ht="366" x14ac:dyDescent="0.2">
      <c r="A26" s="225"/>
      <c r="B26" s="270" t="s">
        <v>304</v>
      </c>
      <c r="C26" s="270" t="s">
        <v>303</v>
      </c>
      <c r="D26" s="270" t="s">
        <v>305</v>
      </c>
      <c r="E26" s="270" t="s">
        <v>32</v>
      </c>
      <c r="F26" s="271">
        <f t="shared" si="12"/>
        <v>16875606</v>
      </c>
      <c r="G26" s="225">
        <f>11987275+2637201+297700+3970+635400+74400+12000+1090080+19380+107800+5400+5000</f>
        <v>16875606</v>
      </c>
      <c r="H26" s="225">
        <v>11987275</v>
      </c>
      <c r="I26" s="225">
        <f>1090080+19380+107800</f>
        <v>1217260</v>
      </c>
      <c r="J26" s="225"/>
      <c r="K26" s="271">
        <f t="shared" si="10"/>
        <v>59000</v>
      </c>
      <c r="L26" s="225">
        <v>9000</v>
      </c>
      <c r="M26" s="225">
        <v>50000</v>
      </c>
      <c r="N26" s="225"/>
      <c r="O26" s="225">
        <v>29400</v>
      </c>
      <c r="P26" s="243">
        <f t="shared" si="4"/>
        <v>9000</v>
      </c>
      <c r="Q26" s="271">
        <f t="shared" si="11"/>
        <v>16934606</v>
      </c>
    </row>
    <row r="27" spans="1:21" ht="183" x14ac:dyDescent="0.2">
      <c r="A27" s="225">
        <v>134000</v>
      </c>
      <c r="B27" s="270" t="s">
        <v>306</v>
      </c>
      <c r="C27" s="270" t="s">
        <v>287</v>
      </c>
      <c r="D27" s="270" t="s">
        <v>275</v>
      </c>
      <c r="E27" s="270" t="s">
        <v>33</v>
      </c>
      <c r="F27" s="271">
        <f t="shared" si="12"/>
        <v>27335937</v>
      </c>
      <c r="G27" s="225">
        <f>19190813+4221979+572200+13650+0+820000+23640+304700+1254870+46020+589810+263715+3840+30500+200</f>
        <v>27335937</v>
      </c>
      <c r="H27" s="225">
        <v>19190813</v>
      </c>
      <c r="I27" s="225">
        <f>1254870+46020+589810+263715</f>
        <v>2154415</v>
      </c>
      <c r="J27" s="225"/>
      <c r="K27" s="271">
        <f t="shared" si="10"/>
        <v>7031670</v>
      </c>
      <c r="L27" s="225">
        <f>18000+2000000+300000</f>
        <v>2318000</v>
      </c>
      <c r="M27" s="225">
        <v>4579670</v>
      </c>
      <c r="N27" s="225">
        <v>1037200</v>
      </c>
      <c r="O27" s="225">
        <v>348290</v>
      </c>
      <c r="P27" s="243">
        <f t="shared" si="4"/>
        <v>2452000</v>
      </c>
      <c r="Q27" s="271">
        <f t="shared" si="11"/>
        <v>34367607</v>
      </c>
    </row>
    <row r="28" spans="1:21" ht="137.25" x14ac:dyDescent="0.2">
      <c r="A28" s="225"/>
      <c r="B28" s="270" t="s">
        <v>307</v>
      </c>
      <c r="C28" s="270" t="s">
        <v>308</v>
      </c>
      <c r="D28" s="270" t="s">
        <v>309</v>
      </c>
      <c r="E28" s="270" t="s">
        <v>310</v>
      </c>
      <c r="F28" s="271">
        <f t="shared" si="12"/>
        <v>99743470</v>
      </c>
      <c r="G28" s="225">
        <f>55361620+12179557+98200+14420+3078726+14900+65640+8051698+582633+3183200+1360000+15250000+502876</f>
        <v>99743470</v>
      </c>
      <c r="H28" s="225">
        <v>55361620</v>
      </c>
      <c r="I28" s="225">
        <f>8051698+582633+3183200+1360000</f>
        <v>13177531</v>
      </c>
      <c r="J28" s="225"/>
      <c r="K28" s="271">
        <f t="shared" si="10"/>
        <v>15728160</v>
      </c>
      <c r="L28" s="225"/>
      <c r="M28" s="225">
        <v>15728160</v>
      </c>
      <c r="N28" s="225">
        <v>4054000</v>
      </c>
      <c r="O28" s="225">
        <v>5883570</v>
      </c>
      <c r="P28" s="243">
        <f t="shared" si="4"/>
        <v>0</v>
      </c>
      <c r="Q28" s="271">
        <f t="shared" si="11"/>
        <v>115471630</v>
      </c>
    </row>
    <row r="29" spans="1:21" ht="91.5" x14ac:dyDescent="0.2">
      <c r="A29" s="225"/>
      <c r="B29" s="270" t="s">
        <v>312</v>
      </c>
      <c r="C29" s="270" t="s">
        <v>313</v>
      </c>
      <c r="D29" s="270" t="s">
        <v>314</v>
      </c>
      <c r="E29" s="270" t="s">
        <v>311</v>
      </c>
      <c r="F29" s="271">
        <f t="shared" si="12"/>
        <v>4604366</v>
      </c>
      <c r="G29" s="225">
        <f>3056197+672364+210900+430000+3120+40000+126900+4845+57140+400+2500</f>
        <v>4604366</v>
      </c>
      <c r="H29" s="225">
        <v>3056197</v>
      </c>
      <c r="I29" s="225">
        <f>126900+4845+57140</f>
        <v>188885</v>
      </c>
      <c r="J29" s="225"/>
      <c r="K29" s="271">
        <f t="shared" si="10"/>
        <v>73740</v>
      </c>
      <c r="L29" s="225"/>
      <c r="M29" s="225">
        <v>73740</v>
      </c>
      <c r="N29" s="225"/>
      <c r="O29" s="225"/>
      <c r="P29" s="243">
        <f t="shared" si="4"/>
        <v>0</v>
      </c>
      <c r="Q29" s="271">
        <f t="shared" si="11"/>
        <v>4678106</v>
      </c>
    </row>
    <row r="30" spans="1:21" s="123" customFormat="1" ht="91.5" x14ac:dyDescent="0.2">
      <c r="A30" s="225"/>
      <c r="B30" s="268" t="s">
        <v>503</v>
      </c>
      <c r="C30" s="268" t="s">
        <v>504</v>
      </c>
      <c r="D30" s="268" t="s">
        <v>314</v>
      </c>
      <c r="E30" s="268" t="s">
        <v>502</v>
      </c>
      <c r="F30" s="271">
        <f t="shared" si="12"/>
        <v>17627207</v>
      </c>
      <c r="G30" s="225">
        <f>11912850+2620827+577800+1200+362900+12480+440620+8475+262150+2705+4360+400+3840+1416600</f>
        <v>17627207</v>
      </c>
      <c r="H30" s="225">
        <f>11912850+1161200</f>
        <v>13074050</v>
      </c>
      <c r="I30" s="225">
        <f>440620+8475+262150+2705</f>
        <v>713950</v>
      </c>
      <c r="J30" s="272"/>
      <c r="K30" s="271">
        <f t="shared" si="10"/>
        <v>337640</v>
      </c>
      <c r="L30" s="225">
        <v>9000</v>
      </c>
      <c r="M30" s="225">
        <v>328640</v>
      </c>
      <c r="N30" s="225">
        <v>199640</v>
      </c>
      <c r="O30" s="225">
        <v>3320</v>
      </c>
      <c r="P30" s="243">
        <f t="shared" si="4"/>
        <v>9000</v>
      </c>
      <c r="Q30" s="271">
        <f t="shared" si="11"/>
        <v>17964847</v>
      </c>
    </row>
    <row r="31" spans="1:21" s="123" customFormat="1" ht="91.5" x14ac:dyDescent="0.2">
      <c r="A31" s="272"/>
      <c r="B31" s="268" t="s">
        <v>536</v>
      </c>
      <c r="C31" s="268" t="s">
        <v>537</v>
      </c>
      <c r="D31" s="268" t="s">
        <v>314</v>
      </c>
      <c r="E31" s="270" t="s">
        <v>535</v>
      </c>
      <c r="F31" s="269">
        <f t="shared" si="12"/>
        <v>148960</v>
      </c>
      <c r="G31" s="272">
        <v>148960</v>
      </c>
      <c r="H31" s="272"/>
      <c r="I31" s="272"/>
      <c r="J31" s="272"/>
      <c r="K31" s="271">
        <f t="shared" si="10"/>
        <v>0</v>
      </c>
      <c r="L31" s="272"/>
      <c r="M31" s="272"/>
      <c r="N31" s="272"/>
      <c r="O31" s="272"/>
      <c r="P31" s="243">
        <f t="shared" si="4"/>
        <v>0</v>
      </c>
      <c r="Q31" s="271">
        <f t="shared" si="11"/>
        <v>148960</v>
      </c>
    </row>
    <row r="32" spans="1:21" s="123" customFormat="1" ht="46.5" x14ac:dyDescent="0.2">
      <c r="A32" s="272"/>
      <c r="B32" s="270" t="s">
        <v>316</v>
      </c>
      <c r="C32" s="270" t="s">
        <v>317</v>
      </c>
      <c r="D32" s="270" t="s">
        <v>318</v>
      </c>
      <c r="E32" s="270" t="s">
        <v>67</v>
      </c>
      <c r="F32" s="269"/>
      <c r="G32" s="272"/>
      <c r="H32" s="272"/>
      <c r="I32" s="272"/>
      <c r="J32" s="272"/>
      <c r="K32" s="271">
        <f t="shared" si="10"/>
        <v>5000000</v>
      </c>
      <c r="L32" s="272">
        <v>5000000</v>
      </c>
      <c r="M32" s="272"/>
      <c r="N32" s="272"/>
      <c r="O32" s="272"/>
      <c r="P32" s="243">
        <f t="shared" si="4"/>
        <v>5000000</v>
      </c>
      <c r="Q32" s="271">
        <f t="shared" si="11"/>
        <v>5000000</v>
      </c>
    </row>
    <row r="33" spans="1:21" ht="135" x14ac:dyDescent="0.2">
      <c r="A33" s="234">
        <f>A34</f>
        <v>742400</v>
      </c>
      <c r="B33" s="232" t="s">
        <v>240</v>
      </c>
      <c r="C33" s="233"/>
      <c r="D33" s="233"/>
      <c r="E33" s="228" t="s">
        <v>36</v>
      </c>
      <c r="F33" s="237">
        <f>F34</f>
        <v>346814218</v>
      </c>
      <c r="G33" s="237">
        <f t="shared" ref="G33:H33" si="13">G34</f>
        <v>346814218</v>
      </c>
      <c r="H33" s="237">
        <f t="shared" si="13"/>
        <v>3641900</v>
      </c>
      <c r="I33" s="237">
        <f>I34</f>
        <v>212270</v>
      </c>
      <c r="J33" s="237">
        <f t="shared" ref="J33" si="14">J34</f>
        <v>0</v>
      </c>
      <c r="K33" s="237">
        <f>K34</f>
        <v>22172971</v>
      </c>
      <c r="L33" s="237">
        <f>L34</f>
        <v>5499500</v>
      </c>
      <c r="M33" s="237">
        <f>M34</f>
        <v>15931071</v>
      </c>
      <c r="N33" s="237">
        <f t="shared" ref="N33" si="15">N34</f>
        <v>0</v>
      </c>
      <c r="O33" s="237">
        <f>O34</f>
        <v>0</v>
      </c>
      <c r="P33" s="237">
        <f t="shared" si="4"/>
        <v>6241900</v>
      </c>
      <c r="Q33" s="234">
        <f t="shared" ref="Q33" si="16">Q34</f>
        <v>368987189</v>
      </c>
    </row>
    <row r="34" spans="1:21" ht="135" x14ac:dyDescent="0.2">
      <c r="A34" s="199">
        <f>SUM(A35:A44)</f>
        <v>742400</v>
      </c>
      <c r="B34" s="201" t="s">
        <v>241</v>
      </c>
      <c r="C34" s="201"/>
      <c r="D34" s="201"/>
      <c r="E34" s="229" t="s">
        <v>59</v>
      </c>
      <c r="F34" s="199">
        <f>SUM(F35:F44)</f>
        <v>346814218</v>
      </c>
      <c r="G34" s="199">
        <f>SUM(G35:G44)</f>
        <v>346814218</v>
      </c>
      <c r="H34" s="199">
        <f>SUM(H35:H44)</f>
        <v>3641900</v>
      </c>
      <c r="I34" s="199">
        <f>SUM(I35:I44)</f>
        <v>212270</v>
      </c>
      <c r="J34" s="199">
        <f t="shared" ref="J34" si="17">SUM(J35:J44)</f>
        <v>0</v>
      </c>
      <c r="K34" s="199">
        <f t="shared" ref="K34:K44" si="18">M34+P34</f>
        <v>22172971</v>
      </c>
      <c r="L34" s="199">
        <f>SUM(L35:L44)</f>
        <v>5499500</v>
      </c>
      <c r="M34" s="199">
        <f>SUM(M35:M44)</f>
        <v>15931071</v>
      </c>
      <c r="N34" s="199">
        <f>SUM(N35:N44)</f>
        <v>0</v>
      </c>
      <c r="O34" s="199">
        <f>SUM(O35:O44)</f>
        <v>0</v>
      </c>
      <c r="P34" s="238">
        <f t="shared" si="4"/>
        <v>6241900</v>
      </c>
      <c r="Q34" s="199">
        <f t="shared" ref="Q34:Q44" si="19">F34+K34</f>
        <v>368987189</v>
      </c>
      <c r="R34" s="141" t="b">
        <f>Q34=Q36+Q37+Q38+Q39+Q40+Q41+Q42+Q43+Q44+Q35</f>
        <v>1</v>
      </c>
      <c r="S34" s="141" t="b">
        <f>L34='dod5'!I28</f>
        <v>0</v>
      </c>
    </row>
    <row r="35" spans="1:21" ht="228.75" x14ac:dyDescent="0.2">
      <c r="A35" s="271"/>
      <c r="B35" s="270" t="s">
        <v>727</v>
      </c>
      <c r="C35" s="270" t="s">
        <v>341</v>
      </c>
      <c r="D35" s="270" t="s">
        <v>339</v>
      </c>
      <c r="E35" s="270" t="s">
        <v>340</v>
      </c>
      <c r="F35" s="271">
        <f>G35</f>
        <v>2501100</v>
      </c>
      <c r="G35" s="225">
        <v>2501100</v>
      </c>
      <c r="H35" s="225">
        <v>1884600</v>
      </c>
      <c r="I35" s="225">
        <v>101500</v>
      </c>
      <c r="J35" s="225"/>
      <c r="K35" s="271">
        <f t="shared" si="18"/>
        <v>0</v>
      </c>
      <c r="L35" s="271"/>
      <c r="M35" s="271"/>
      <c r="N35" s="271"/>
      <c r="O35" s="271"/>
      <c r="P35" s="243">
        <f t="shared" si="4"/>
        <v>0</v>
      </c>
      <c r="Q35" s="271">
        <f t="shared" si="19"/>
        <v>2501100</v>
      </c>
      <c r="R35" s="141"/>
      <c r="S35" s="141"/>
    </row>
    <row r="36" spans="1:21" ht="91.5" x14ac:dyDescent="0.2">
      <c r="A36" s="225">
        <v>300000</v>
      </c>
      <c r="B36" s="270" t="s">
        <v>319</v>
      </c>
      <c r="C36" s="270" t="s">
        <v>315</v>
      </c>
      <c r="D36" s="270" t="s">
        <v>320</v>
      </c>
      <c r="E36" s="270" t="s">
        <v>37</v>
      </c>
      <c r="F36" s="271">
        <f>G36</f>
        <v>191597912</v>
      </c>
      <c r="G36" s="225">
        <f>190671412+426500+500000</f>
        <v>191597912</v>
      </c>
      <c r="H36" s="225"/>
      <c r="I36" s="225"/>
      <c r="J36" s="225"/>
      <c r="K36" s="271">
        <f t="shared" si="18"/>
        <v>9050900</v>
      </c>
      <c r="L36" s="225">
        <v>4532900</v>
      </c>
      <c r="M36" s="225">
        <v>4218000</v>
      </c>
      <c r="N36" s="225"/>
      <c r="O36" s="225"/>
      <c r="P36" s="243">
        <f t="shared" si="4"/>
        <v>4832900</v>
      </c>
      <c r="Q36" s="271">
        <f t="shared" si="19"/>
        <v>200648812</v>
      </c>
    </row>
    <row r="37" spans="1:21" ht="137.25" x14ac:dyDescent="0.2">
      <c r="A37" s="225"/>
      <c r="B37" s="270" t="s">
        <v>321</v>
      </c>
      <c r="C37" s="270" t="s">
        <v>322</v>
      </c>
      <c r="D37" s="270" t="s">
        <v>323</v>
      </c>
      <c r="E37" s="270" t="s">
        <v>324</v>
      </c>
      <c r="F37" s="271">
        <f t="shared" ref="F37:F44" si="20">G37</f>
        <v>59783500</v>
      </c>
      <c r="G37" s="225">
        <v>59783500</v>
      </c>
      <c r="H37" s="225"/>
      <c r="I37" s="225"/>
      <c r="J37" s="225"/>
      <c r="K37" s="271">
        <f t="shared" si="18"/>
        <v>1164271</v>
      </c>
      <c r="L37" s="225">
        <v>126000</v>
      </c>
      <c r="M37" s="225">
        <v>1038271</v>
      </c>
      <c r="N37" s="225"/>
      <c r="O37" s="225"/>
      <c r="P37" s="243">
        <f t="shared" si="4"/>
        <v>126000</v>
      </c>
      <c r="Q37" s="271">
        <f t="shared" si="19"/>
        <v>60947771</v>
      </c>
    </row>
    <row r="38" spans="1:21" ht="137.25" x14ac:dyDescent="0.2">
      <c r="A38" s="225">
        <v>342400</v>
      </c>
      <c r="B38" s="270" t="s">
        <v>325</v>
      </c>
      <c r="C38" s="270" t="s">
        <v>326</v>
      </c>
      <c r="D38" s="270" t="s">
        <v>327</v>
      </c>
      <c r="E38" s="270" t="s">
        <v>551</v>
      </c>
      <c r="F38" s="271">
        <f t="shared" si="20"/>
        <v>57684870</v>
      </c>
      <c r="G38" s="225">
        <v>57684870</v>
      </c>
      <c r="H38" s="225"/>
      <c r="I38" s="225"/>
      <c r="J38" s="225"/>
      <c r="K38" s="271">
        <f t="shared" si="18"/>
        <v>6437900</v>
      </c>
      <c r="L38" s="225">
        <f>939600-99000</f>
        <v>840600</v>
      </c>
      <c r="M38" s="225">
        <v>5254900</v>
      </c>
      <c r="N38" s="225"/>
      <c r="O38" s="225"/>
      <c r="P38" s="243">
        <f t="shared" si="4"/>
        <v>1183000</v>
      </c>
      <c r="Q38" s="271">
        <f t="shared" si="19"/>
        <v>64122770</v>
      </c>
    </row>
    <row r="39" spans="1:21" ht="91.5" x14ac:dyDescent="0.2">
      <c r="A39" s="225">
        <v>100000</v>
      </c>
      <c r="B39" s="270" t="s">
        <v>328</v>
      </c>
      <c r="C39" s="270" t="s">
        <v>329</v>
      </c>
      <c r="D39" s="270" t="s">
        <v>330</v>
      </c>
      <c r="E39" s="270" t="s">
        <v>331</v>
      </c>
      <c r="F39" s="271">
        <f t="shared" si="20"/>
        <v>9871950</v>
      </c>
      <c r="G39" s="225">
        <v>9871950</v>
      </c>
      <c r="H39" s="225"/>
      <c r="I39" s="225"/>
      <c r="J39" s="225"/>
      <c r="K39" s="271">
        <f t="shared" si="18"/>
        <v>5497900</v>
      </c>
      <c r="L39" s="225"/>
      <c r="M39" s="225">
        <v>5397900</v>
      </c>
      <c r="N39" s="225"/>
      <c r="O39" s="225"/>
      <c r="P39" s="243">
        <f t="shared" si="4"/>
        <v>100000</v>
      </c>
      <c r="Q39" s="271">
        <f t="shared" si="19"/>
        <v>15369850</v>
      </c>
    </row>
    <row r="40" spans="1:21" ht="183" x14ac:dyDescent="0.2">
      <c r="A40" s="225"/>
      <c r="B40" s="270" t="s">
        <v>332</v>
      </c>
      <c r="C40" s="268" t="s">
        <v>333</v>
      </c>
      <c r="D40" s="268" t="s">
        <v>552</v>
      </c>
      <c r="E40" s="270" t="s">
        <v>334</v>
      </c>
      <c r="F40" s="271">
        <f t="shared" si="20"/>
        <v>8891316</v>
      </c>
      <c r="G40" s="225">
        <v>8891316</v>
      </c>
      <c r="H40" s="225"/>
      <c r="I40" s="225"/>
      <c r="J40" s="225"/>
      <c r="K40" s="271">
        <f t="shared" si="18"/>
        <v>0</v>
      </c>
      <c r="L40" s="225"/>
      <c r="M40" s="225"/>
      <c r="N40" s="225"/>
      <c r="O40" s="225"/>
      <c r="P40" s="243">
        <f t="shared" si="4"/>
        <v>0</v>
      </c>
      <c r="Q40" s="271">
        <f t="shared" si="19"/>
        <v>8891316</v>
      </c>
    </row>
    <row r="41" spans="1:21" ht="183" x14ac:dyDescent="0.2">
      <c r="A41" s="225"/>
      <c r="B41" s="270" t="s">
        <v>591</v>
      </c>
      <c r="C41" s="270" t="s">
        <v>592</v>
      </c>
      <c r="D41" s="268" t="s">
        <v>335</v>
      </c>
      <c r="E41" s="215" t="s">
        <v>593</v>
      </c>
      <c r="F41" s="271">
        <f t="shared" si="20"/>
        <v>8972700</v>
      </c>
      <c r="G41" s="225">
        <v>8972700</v>
      </c>
      <c r="H41" s="225"/>
      <c r="I41" s="225"/>
      <c r="J41" s="225"/>
      <c r="K41" s="271">
        <f t="shared" si="18"/>
        <v>0</v>
      </c>
      <c r="L41" s="225"/>
      <c r="M41" s="225"/>
      <c r="N41" s="225"/>
      <c r="O41" s="225"/>
      <c r="P41" s="243">
        <f t="shared" si="4"/>
        <v>0</v>
      </c>
      <c r="Q41" s="271">
        <f t="shared" si="19"/>
        <v>8972700</v>
      </c>
    </row>
    <row r="42" spans="1:21" ht="183" x14ac:dyDescent="0.2">
      <c r="A42" s="225"/>
      <c r="B42" s="270" t="s">
        <v>596</v>
      </c>
      <c r="C42" s="270" t="s">
        <v>595</v>
      </c>
      <c r="D42" s="268" t="s">
        <v>335</v>
      </c>
      <c r="E42" s="215" t="s">
        <v>594</v>
      </c>
      <c r="F42" s="271">
        <f t="shared" si="20"/>
        <v>1734200</v>
      </c>
      <c r="G42" s="225">
        <v>1734200</v>
      </c>
      <c r="H42" s="225"/>
      <c r="I42" s="225"/>
      <c r="J42" s="225"/>
      <c r="K42" s="271">
        <f t="shared" si="18"/>
        <v>0</v>
      </c>
      <c r="L42" s="225"/>
      <c r="M42" s="225"/>
      <c r="N42" s="225"/>
      <c r="O42" s="225"/>
      <c r="P42" s="243">
        <f t="shared" si="4"/>
        <v>0</v>
      </c>
      <c r="Q42" s="271">
        <f t="shared" si="19"/>
        <v>1734200</v>
      </c>
    </row>
    <row r="43" spans="1:21" s="123" customFormat="1" ht="137.25" x14ac:dyDescent="0.2">
      <c r="A43" s="225"/>
      <c r="B43" s="270" t="s">
        <v>507</v>
      </c>
      <c r="C43" s="270" t="s">
        <v>509</v>
      </c>
      <c r="D43" s="268" t="s">
        <v>335</v>
      </c>
      <c r="E43" s="215" t="s">
        <v>505</v>
      </c>
      <c r="F43" s="271">
        <f t="shared" si="20"/>
        <v>2416670</v>
      </c>
      <c r="G43" s="225">
        <v>2416670</v>
      </c>
      <c r="H43" s="225">
        <v>1757300</v>
      </c>
      <c r="I43" s="225">
        <v>110770</v>
      </c>
      <c r="J43" s="225"/>
      <c r="K43" s="271">
        <f t="shared" si="18"/>
        <v>22000</v>
      </c>
      <c r="L43" s="225"/>
      <c r="M43" s="225">
        <v>22000</v>
      </c>
      <c r="N43" s="225"/>
      <c r="O43" s="225"/>
      <c r="P43" s="243">
        <f t="shared" si="4"/>
        <v>0</v>
      </c>
      <c r="Q43" s="271">
        <f t="shared" si="19"/>
        <v>2438670</v>
      </c>
    </row>
    <row r="44" spans="1:21" s="123" customFormat="1" ht="91.5" x14ac:dyDescent="0.2">
      <c r="A44" s="225"/>
      <c r="B44" s="270" t="s">
        <v>508</v>
      </c>
      <c r="C44" s="270" t="s">
        <v>510</v>
      </c>
      <c r="D44" s="268" t="s">
        <v>335</v>
      </c>
      <c r="E44" s="215" t="s">
        <v>506</v>
      </c>
      <c r="F44" s="271">
        <f t="shared" si="20"/>
        <v>3360000</v>
      </c>
      <c r="G44" s="225">
        <v>3360000</v>
      </c>
      <c r="H44" s="225"/>
      <c r="I44" s="225"/>
      <c r="J44" s="225"/>
      <c r="K44" s="271">
        <f t="shared" si="18"/>
        <v>0</v>
      </c>
      <c r="L44" s="225"/>
      <c r="M44" s="225"/>
      <c r="N44" s="225"/>
      <c r="O44" s="225"/>
      <c r="P44" s="243">
        <f t="shared" si="4"/>
        <v>0</v>
      </c>
      <c r="Q44" s="271">
        <f t="shared" si="19"/>
        <v>3360000</v>
      </c>
    </row>
    <row r="45" spans="1:21" ht="225" x14ac:dyDescent="0.2">
      <c r="A45" s="198">
        <f t="shared" ref="A45" si="21">A46</f>
        <v>0</v>
      </c>
      <c r="B45" s="197" t="s">
        <v>242</v>
      </c>
      <c r="C45" s="197"/>
      <c r="D45" s="197"/>
      <c r="E45" s="228" t="s">
        <v>60</v>
      </c>
      <c r="F45" s="237">
        <f>F46</f>
        <v>775767046</v>
      </c>
      <c r="G45" s="237">
        <f t="shared" ref="G45:H45" si="22">G46</f>
        <v>775767046</v>
      </c>
      <c r="H45" s="237">
        <f t="shared" si="22"/>
        <v>45023549</v>
      </c>
      <c r="I45" s="237">
        <f>I46</f>
        <v>1897264</v>
      </c>
      <c r="J45" s="237">
        <f t="shared" ref="J45" si="23">J46</f>
        <v>0</v>
      </c>
      <c r="K45" s="237">
        <f>K46</f>
        <v>8150400</v>
      </c>
      <c r="L45" s="237">
        <f>L46</f>
        <v>7475000</v>
      </c>
      <c r="M45" s="237">
        <f>M46</f>
        <v>675400</v>
      </c>
      <c r="N45" s="237">
        <f t="shared" ref="N45" si="24">N46</f>
        <v>60000</v>
      </c>
      <c r="O45" s="237">
        <f>O46</f>
        <v>4000</v>
      </c>
      <c r="P45" s="237">
        <f t="shared" si="4"/>
        <v>7475000</v>
      </c>
      <c r="Q45" s="198">
        <f>Q46</f>
        <v>783917446</v>
      </c>
    </row>
    <row r="46" spans="1:21" ht="225" x14ac:dyDescent="0.2">
      <c r="A46" s="199">
        <f>SUM(A47:A86)</f>
        <v>0</v>
      </c>
      <c r="B46" s="201" t="s">
        <v>243</v>
      </c>
      <c r="C46" s="201"/>
      <c r="D46" s="201"/>
      <c r="E46" s="229" t="s">
        <v>61</v>
      </c>
      <c r="F46" s="199">
        <f>SUM(F47:F86)</f>
        <v>775767046</v>
      </c>
      <c r="G46" s="199">
        <f t="shared" ref="G46:O46" si="25">SUM(G47:G86)</f>
        <v>775767046</v>
      </c>
      <c r="H46" s="199">
        <f>SUM(H47:H86)</f>
        <v>45023549</v>
      </c>
      <c r="I46" s="199">
        <f t="shared" si="25"/>
        <v>1897264</v>
      </c>
      <c r="J46" s="199">
        <f t="shared" si="25"/>
        <v>0</v>
      </c>
      <c r="K46" s="199">
        <f t="shared" ref="K46:K79" si="26">M46+P46</f>
        <v>8150400</v>
      </c>
      <c r="L46" s="199">
        <f t="shared" si="25"/>
        <v>7475000</v>
      </c>
      <c r="M46" s="199">
        <f t="shared" si="25"/>
        <v>675400</v>
      </c>
      <c r="N46" s="199">
        <f t="shared" si="25"/>
        <v>60000</v>
      </c>
      <c r="O46" s="199">
        <f t="shared" si="25"/>
        <v>4000</v>
      </c>
      <c r="P46" s="238">
        <f t="shared" si="4"/>
        <v>7475000</v>
      </c>
      <c r="Q46" s="199">
        <f t="shared" ref="Q46:Q72" si="27">F46+K46</f>
        <v>783917446</v>
      </c>
      <c r="R46" s="153" t="b">
        <f>Q46=Q48+Q49+Q50+Q51+Q52+Q53+Q54+Q55+Q56+Q57+Q58+Q59+Q60+Q61+Q62+Q63+Q64+Q65+Q66+Q67+Q68+Q69+Q70+Q71+Q72+Q73+Q74+Q75+Q76+Q77+Q79+Q81+Q82+Q83+Q78+Q84+Q47+Q85</f>
        <v>1</v>
      </c>
      <c r="S46" s="155" t="b">
        <f>L46='dod5'!I42</f>
        <v>0</v>
      </c>
      <c r="U46" s="153"/>
    </row>
    <row r="47" spans="1:21" ht="228.75" x14ac:dyDescent="0.2">
      <c r="A47" s="225"/>
      <c r="B47" s="270" t="s">
        <v>726</v>
      </c>
      <c r="C47" s="270" t="s">
        <v>341</v>
      </c>
      <c r="D47" s="270" t="s">
        <v>339</v>
      </c>
      <c r="E47" s="270" t="s">
        <v>340</v>
      </c>
      <c r="F47" s="269">
        <f t="shared" ref="F47:F51" si="28">G47</f>
        <v>35993100</v>
      </c>
      <c r="G47" s="225">
        <v>35993100</v>
      </c>
      <c r="H47" s="225">
        <v>26800000</v>
      </c>
      <c r="I47" s="225">
        <v>991000</v>
      </c>
      <c r="J47" s="225"/>
      <c r="K47" s="271">
        <f t="shared" si="26"/>
        <v>450000</v>
      </c>
      <c r="L47" s="225">
        <v>450000</v>
      </c>
      <c r="M47" s="225"/>
      <c r="N47" s="225"/>
      <c r="O47" s="225"/>
      <c r="P47" s="243">
        <f t="shared" si="4"/>
        <v>450000</v>
      </c>
      <c r="Q47" s="269">
        <f t="shared" si="27"/>
        <v>36443100</v>
      </c>
      <c r="R47" s="153"/>
      <c r="S47" s="155"/>
      <c r="U47" s="153"/>
    </row>
    <row r="48" spans="1:21" ht="183" x14ac:dyDescent="0.2">
      <c r="A48" s="272"/>
      <c r="B48" s="268" t="s">
        <v>356</v>
      </c>
      <c r="C48" s="268" t="s">
        <v>357</v>
      </c>
      <c r="D48" s="268" t="s">
        <v>302</v>
      </c>
      <c r="E48" s="217" t="s">
        <v>355</v>
      </c>
      <c r="F48" s="269">
        <f t="shared" si="28"/>
        <v>43000000</v>
      </c>
      <c r="G48" s="272">
        <f>44000000-1000000</f>
        <v>43000000</v>
      </c>
      <c r="H48" s="272"/>
      <c r="I48" s="272"/>
      <c r="J48" s="272"/>
      <c r="K48" s="271">
        <f t="shared" si="26"/>
        <v>0</v>
      </c>
      <c r="L48" s="272"/>
      <c r="M48" s="272"/>
      <c r="N48" s="272"/>
      <c r="O48" s="272"/>
      <c r="P48" s="243">
        <f t="shared" si="4"/>
        <v>0</v>
      </c>
      <c r="Q48" s="269">
        <f t="shared" si="27"/>
        <v>43000000</v>
      </c>
    </row>
    <row r="49" spans="1:17" ht="183" x14ac:dyDescent="0.2">
      <c r="A49" s="225"/>
      <c r="B49" s="218" t="s">
        <v>375</v>
      </c>
      <c r="C49" s="268" t="s">
        <v>376</v>
      </c>
      <c r="D49" s="268" t="s">
        <v>79</v>
      </c>
      <c r="E49" s="270" t="s">
        <v>8</v>
      </c>
      <c r="F49" s="221">
        <f t="shared" si="28"/>
        <v>194190900</v>
      </c>
      <c r="G49" s="225">
        <f>200838400-6647500</f>
        <v>194190900</v>
      </c>
      <c r="H49" s="225"/>
      <c r="I49" s="225"/>
      <c r="J49" s="225"/>
      <c r="K49" s="271">
        <f t="shared" si="26"/>
        <v>0</v>
      </c>
      <c r="L49" s="272"/>
      <c r="M49" s="225"/>
      <c r="N49" s="225"/>
      <c r="O49" s="225"/>
      <c r="P49" s="243">
        <f t="shared" si="4"/>
        <v>0</v>
      </c>
      <c r="Q49" s="271">
        <f t="shared" si="27"/>
        <v>194190900</v>
      </c>
    </row>
    <row r="50" spans="1:17" ht="274.5" x14ac:dyDescent="0.2">
      <c r="A50" s="272"/>
      <c r="B50" s="270" t="s">
        <v>378</v>
      </c>
      <c r="C50" s="270" t="s">
        <v>379</v>
      </c>
      <c r="D50" s="270" t="s">
        <v>302</v>
      </c>
      <c r="E50" s="219" t="s">
        <v>377</v>
      </c>
      <c r="F50" s="269">
        <f t="shared" si="28"/>
        <v>3000</v>
      </c>
      <c r="G50" s="272">
        <v>3000</v>
      </c>
      <c r="H50" s="272"/>
      <c r="I50" s="272"/>
      <c r="J50" s="272"/>
      <c r="K50" s="271">
        <f t="shared" si="26"/>
        <v>0</v>
      </c>
      <c r="L50" s="272"/>
      <c r="M50" s="272"/>
      <c r="N50" s="272"/>
      <c r="O50" s="272"/>
      <c r="P50" s="243">
        <f t="shared" si="4"/>
        <v>0</v>
      </c>
      <c r="Q50" s="269">
        <f t="shared" si="27"/>
        <v>3000</v>
      </c>
    </row>
    <row r="51" spans="1:17" ht="228.75" x14ac:dyDescent="0.2">
      <c r="A51" s="225"/>
      <c r="B51" s="270" t="s">
        <v>380</v>
      </c>
      <c r="C51" s="270" t="s">
        <v>381</v>
      </c>
      <c r="D51" s="219">
        <v>1060</v>
      </c>
      <c r="E51" s="220" t="s">
        <v>19</v>
      </c>
      <c r="F51" s="271">
        <f t="shared" si="28"/>
        <v>46300</v>
      </c>
      <c r="G51" s="225">
        <f>44700+1600</f>
        <v>46300</v>
      </c>
      <c r="H51" s="225"/>
      <c r="I51" s="225"/>
      <c r="J51" s="225"/>
      <c r="K51" s="271">
        <f t="shared" si="26"/>
        <v>0</v>
      </c>
      <c r="L51" s="225"/>
      <c r="M51" s="225"/>
      <c r="N51" s="225"/>
      <c r="O51" s="225"/>
      <c r="P51" s="243">
        <f t="shared" si="4"/>
        <v>0</v>
      </c>
      <c r="Q51" s="271">
        <f t="shared" si="27"/>
        <v>46300</v>
      </c>
    </row>
    <row r="52" spans="1:17" s="123" customFormat="1" ht="137.25" x14ac:dyDescent="0.2">
      <c r="A52" s="272"/>
      <c r="B52" s="268" t="s">
        <v>406</v>
      </c>
      <c r="C52" s="268" t="s">
        <v>407</v>
      </c>
      <c r="D52" s="268" t="s">
        <v>302</v>
      </c>
      <c r="E52" s="217" t="s">
        <v>408</v>
      </c>
      <c r="F52" s="269">
        <f>G52</f>
        <v>322970</v>
      </c>
      <c r="G52" s="272">
        <v>322970</v>
      </c>
      <c r="H52" s="272"/>
      <c r="I52" s="272"/>
      <c r="J52" s="272"/>
      <c r="K52" s="271">
        <f t="shared" si="26"/>
        <v>100000</v>
      </c>
      <c r="L52" s="272">
        <v>100000</v>
      </c>
      <c r="M52" s="272"/>
      <c r="N52" s="272"/>
      <c r="O52" s="272"/>
      <c r="P52" s="243">
        <f t="shared" ref="P52:P79" si="29">L52+A52</f>
        <v>100000</v>
      </c>
      <c r="Q52" s="269">
        <f t="shared" si="27"/>
        <v>422970</v>
      </c>
    </row>
    <row r="53" spans="1:17" s="123" customFormat="1" ht="137.25" x14ac:dyDescent="0.2">
      <c r="A53" s="225"/>
      <c r="B53" s="270" t="s">
        <v>409</v>
      </c>
      <c r="C53" s="270" t="s">
        <v>410</v>
      </c>
      <c r="D53" s="270" t="s">
        <v>303</v>
      </c>
      <c r="E53" s="270" t="s">
        <v>16</v>
      </c>
      <c r="F53" s="271">
        <f t="shared" ref="F53:F85" si="30">G53</f>
        <v>1360000</v>
      </c>
      <c r="G53" s="225">
        <v>1360000</v>
      </c>
      <c r="H53" s="225"/>
      <c r="I53" s="225"/>
      <c r="J53" s="225"/>
      <c r="K53" s="271">
        <f t="shared" si="26"/>
        <v>0</v>
      </c>
      <c r="L53" s="225"/>
      <c r="M53" s="225"/>
      <c r="N53" s="225"/>
      <c r="O53" s="225"/>
      <c r="P53" s="243">
        <f t="shared" si="29"/>
        <v>0</v>
      </c>
      <c r="Q53" s="271">
        <f t="shared" si="27"/>
        <v>1360000</v>
      </c>
    </row>
    <row r="54" spans="1:17" s="123" customFormat="1" ht="183" x14ac:dyDescent="0.2">
      <c r="A54" s="225"/>
      <c r="B54" s="270" t="s">
        <v>412</v>
      </c>
      <c r="C54" s="270" t="s">
        <v>413</v>
      </c>
      <c r="D54" s="270" t="s">
        <v>303</v>
      </c>
      <c r="E54" s="268" t="s">
        <v>17</v>
      </c>
      <c r="F54" s="271">
        <f t="shared" si="30"/>
        <v>8000000</v>
      </c>
      <c r="G54" s="225">
        <v>8000000</v>
      </c>
      <c r="H54" s="225"/>
      <c r="I54" s="225"/>
      <c r="J54" s="225"/>
      <c r="K54" s="271">
        <f t="shared" si="26"/>
        <v>0</v>
      </c>
      <c r="L54" s="225"/>
      <c r="M54" s="225"/>
      <c r="N54" s="225"/>
      <c r="O54" s="225"/>
      <c r="P54" s="243">
        <f t="shared" si="29"/>
        <v>0</v>
      </c>
      <c r="Q54" s="271">
        <f t="shared" si="27"/>
        <v>8000000</v>
      </c>
    </row>
    <row r="55" spans="1:17" s="123" customFormat="1" ht="183" x14ac:dyDescent="0.2">
      <c r="A55" s="225"/>
      <c r="B55" s="268" t="s">
        <v>414</v>
      </c>
      <c r="C55" s="268" t="s">
        <v>411</v>
      </c>
      <c r="D55" s="268" t="s">
        <v>303</v>
      </c>
      <c r="E55" s="268" t="s">
        <v>18</v>
      </c>
      <c r="F55" s="271">
        <f t="shared" si="30"/>
        <v>600000</v>
      </c>
      <c r="G55" s="225">
        <v>600000</v>
      </c>
      <c r="H55" s="225"/>
      <c r="I55" s="225"/>
      <c r="J55" s="225"/>
      <c r="K55" s="271">
        <f t="shared" si="26"/>
        <v>0</v>
      </c>
      <c r="L55" s="225"/>
      <c r="M55" s="225"/>
      <c r="N55" s="225"/>
      <c r="O55" s="225"/>
      <c r="P55" s="243">
        <f t="shared" si="29"/>
        <v>0</v>
      </c>
      <c r="Q55" s="271">
        <f t="shared" si="27"/>
        <v>600000</v>
      </c>
    </row>
    <row r="56" spans="1:17" s="123" customFormat="1" ht="183" x14ac:dyDescent="0.2">
      <c r="A56" s="225"/>
      <c r="B56" s="268" t="s">
        <v>415</v>
      </c>
      <c r="C56" s="268" t="s">
        <v>416</v>
      </c>
      <c r="D56" s="268" t="s">
        <v>303</v>
      </c>
      <c r="E56" s="268" t="s">
        <v>21</v>
      </c>
      <c r="F56" s="271">
        <f t="shared" si="30"/>
        <v>82000000</v>
      </c>
      <c r="G56" s="225">
        <v>82000000</v>
      </c>
      <c r="H56" s="225"/>
      <c r="I56" s="225"/>
      <c r="J56" s="225"/>
      <c r="K56" s="271">
        <f t="shared" si="26"/>
        <v>0</v>
      </c>
      <c r="L56" s="225"/>
      <c r="M56" s="225"/>
      <c r="N56" s="225"/>
      <c r="O56" s="225"/>
      <c r="P56" s="243">
        <f t="shared" si="29"/>
        <v>0</v>
      </c>
      <c r="Q56" s="271">
        <f t="shared" si="27"/>
        <v>82000000</v>
      </c>
    </row>
    <row r="57" spans="1:17" s="123" customFormat="1" ht="91.5" x14ac:dyDescent="0.2">
      <c r="A57" s="225"/>
      <c r="B57" s="270" t="s">
        <v>366</v>
      </c>
      <c r="C57" s="270" t="s">
        <v>358</v>
      </c>
      <c r="D57" s="270" t="s">
        <v>279</v>
      </c>
      <c r="E57" s="270" t="s">
        <v>10</v>
      </c>
      <c r="F57" s="271">
        <f t="shared" si="30"/>
        <v>2814000</v>
      </c>
      <c r="G57" s="225">
        <v>2814000</v>
      </c>
      <c r="H57" s="225"/>
      <c r="I57" s="225"/>
      <c r="J57" s="225"/>
      <c r="K57" s="271">
        <f t="shared" si="26"/>
        <v>0</v>
      </c>
      <c r="L57" s="225"/>
      <c r="M57" s="225"/>
      <c r="N57" s="225"/>
      <c r="O57" s="225"/>
      <c r="P57" s="243">
        <f t="shared" si="29"/>
        <v>0</v>
      </c>
      <c r="Q57" s="271">
        <f t="shared" si="27"/>
        <v>2814000</v>
      </c>
    </row>
    <row r="58" spans="1:17" s="123" customFormat="1" ht="91.5" x14ac:dyDescent="0.2">
      <c r="A58" s="225"/>
      <c r="B58" s="270" t="s">
        <v>367</v>
      </c>
      <c r="C58" s="270" t="s">
        <v>359</v>
      </c>
      <c r="D58" s="270" t="s">
        <v>279</v>
      </c>
      <c r="E58" s="270" t="s">
        <v>365</v>
      </c>
      <c r="F58" s="271">
        <f>G58</f>
        <v>371520</v>
      </c>
      <c r="G58" s="225">
        <v>371520</v>
      </c>
      <c r="H58" s="225"/>
      <c r="I58" s="225"/>
      <c r="J58" s="225"/>
      <c r="K58" s="271">
        <f t="shared" si="26"/>
        <v>0</v>
      </c>
      <c r="L58" s="225"/>
      <c r="M58" s="225"/>
      <c r="N58" s="225"/>
      <c r="O58" s="225"/>
      <c r="P58" s="243">
        <f t="shared" si="29"/>
        <v>0</v>
      </c>
      <c r="Q58" s="271">
        <f t="shared" si="27"/>
        <v>371520</v>
      </c>
    </row>
    <row r="59" spans="1:17" s="123" customFormat="1" ht="91.5" x14ac:dyDescent="0.2">
      <c r="A59" s="225"/>
      <c r="B59" s="270" t="s">
        <v>368</v>
      </c>
      <c r="C59" s="270" t="s">
        <v>360</v>
      </c>
      <c r="D59" s="270" t="s">
        <v>279</v>
      </c>
      <c r="E59" s="270" t="s">
        <v>11</v>
      </c>
      <c r="F59" s="271">
        <f t="shared" si="30"/>
        <v>157736000</v>
      </c>
      <c r="G59" s="225">
        <v>157736000</v>
      </c>
      <c r="H59" s="225"/>
      <c r="I59" s="225"/>
      <c r="J59" s="225"/>
      <c r="K59" s="271">
        <f t="shared" si="26"/>
        <v>0</v>
      </c>
      <c r="L59" s="225"/>
      <c r="M59" s="225"/>
      <c r="N59" s="225"/>
      <c r="O59" s="225"/>
      <c r="P59" s="243">
        <f t="shared" si="29"/>
        <v>0</v>
      </c>
      <c r="Q59" s="271">
        <f t="shared" si="27"/>
        <v>157736000</v>
      </c>
    </row>
    <row r="60" spans="1:17" s="123" customFormat="1" ht="137.25" x14ac:dyDescent="0.2">
      <c r="A60" s="225"/>
      <c r="B60" s="270" t="s">
        <v>369</v>
      </c>
      <c r="C60" s="270" t="s">
        <v>361</v>
      </c>
      <c r="D60" s="270" t="s">
        <v>279</v>
      </c>
      <c r="E60" s="270" t="s">
        <v>12</v>
      </c>
      <c r="F60" s="271">
        <f t="shared" si="30"/>
        <v>4266000</v>
      </c>
      <c r="G60" s="225">
        <v>4266000</v>
      </c>
      <c r="H60" s="225"/>
      <c r="I60" s="225"/>
      <c r="J60" s="225"/>
      <c r="K60" s="271">
        <f t="shared" si="26"/>
        <v>0</v>
      </c>
      <c r="L60" s="225"/>
      <c r="M60" s="225"/>
      <c r="N60" s="225"/>
      <c r="O60" s="225"/>
      <c r="P60" s="243">
        <f t="shared" si="29"/>
        <v>0</v>
      </c>
      <c r="Q60" s="271">
        <f t="shared" si="27"/>
        <v>4266000</v>
      </c>
    </row>
    <row r="61" spans="1:17" s="123" customFormat="1" ht="91.5" x14ac:dyDescent="0.2">
      <c r="A61" s="225"/>
      <c r="B61" s="270" t="s">
        <v>370</v>
      </c>
      <c r="C61" s="270" t="s">
        <v>362</v>
      </c>
      <c r="D61" s="270" t="s">
        <v>279</v>
      </c>
      <c r="E61" s="270" t="s">
        <v>13</v>
      </c>
      <c r="F61" s="271">
        <f t="shared" si="30"/>
        <v>27062400</v>
      </c>
      <c r="G61" s="225">
        <v>27062400</v>
      </c>
      <c r="H61" s="225"/>
      <c r="I61" s="225"/>
      <c r="J61" s="225"/>
      <c r="K61" s="271">
        <f t="shared" si="26"/>
        <v>0</v>
      </c>
      <c r="L61" s="225"/>
      <c r="M61" s="225"/>
      <c r="N61" s="225"/>
      <c r="O61" s="225"/>
      <c r="P61" s="243">
        <f t="shared" si="29"/>
        <v>0</v>
      </c>
      <c r="Q61" s="271">
        <f t="shared" si="27"/>
        <v>27062400</v>
      </c>
    </row>
    <row r="62" spans="1:17" s="123" customFormat="1" ht="91.5" x14ac:dyDescent="0.2">
      <c r="A62" s="225"/>
      <c r="B62" s="270" t="s">
        <v>371</v>
      </c>
      <c r="C62" s="270" t="s">
        <v>363</v>
      </c>
      <c r="D62" s="270" t="s">
        <v>279</v>
      </c>
      <c r="E62" s="270" t="s">
        <v>14</v>
      </c>
      <c r="F62" s="271">
        <f t="shared" si="30"/>
        <v>2700000</v>
      </c>
      <c r="G62" s="225">
        <v>2700000</v>
      </c>
      <c r="H62" s="225"/>
      <c r="I62" s="225"/>
      <c r="J62" s="225"/>
      <c r="K62" s="271">
        <f t="shared" si="26"/>
        <v>0</v>
      </c>
      <c r="L62" s="225"/>
      <c r="M62" s="225"/>
      <c r="N62" s="225"/>
      <c r="O62" s="225"/>
      <c r="P62" s="243">
        <f t="shared" si="29"/>
        <v>0</v>
      </c>
      <c r="Q62" s="271">
        <f t="shared" si="27"/>
        <v>2700000</v>
      </c>
    </row>
    <row r="63" spans="1:17" s="123" customFormat="1" ht="137.25" x14ac:dyDescent="0.2">
      <c r="A63" s="225"/>
      <c r="B63" s="270" t="s">
        <v>372</v>
      </c>
      <c r="C63" s="270" t="s">
        <v>364</v>
      </c>
      <c r="D63" s="270" t="s">
        <v>279</v>
      </c>
      <c r="E63" s="270" t="s">
        <v>15</v>
      </c>
      <c r="F63" s="271">
        <f t="shared" si="30"/>
        <v>39337958</v>
      </c>
      <c r="G63" s="225">
        <v>39337958</v>
      </c>
      <c r="H63" s="225"/>
      <c r="I63" s="225"/>
      <c r="J63" s="225"/>
      <c r="K63" s="271">
        <f t="shared" si="26"/>
        <v>0</v>
      </c>
      <c r="L63" s="225"/>
      <c r="M63" s="225"/>
      <c r="N63" s="225"/>
      <c r="O63" s="225"/>
      <c r="P63" s="243">
        <f t="shared" si="29"/>
        <v>0</v>
      </c>
      <c r="Q63" s="271">
        <f t="shared" si="27"/>
        <v>39337958</v>
      </c>
    </row>
    <row r="64" spans="1:17" ht="183" x14ac:dyDescent="0.2">
      <c r="A64" s="225"/>
      <c r="B64" s="270" t="s">
        <v>382</v>
      </c>
      <c r="C64" s="270" t="s">
        <v>373</v>
      </c>
      <c r="D64" s="270" t="s">
        <v>303</v>
      </c>
      <c r="E64" s="270" t="s">
        <v>9</v>
      </c>
      <c r="F64" s="271">
        <f t="shared" si="30"/>
        <v>179080</v>
      </c>
      <c r="G64" s="225">
        <v>179080</v>
      </c>
      <c r="H64" s="225"/>
      <c r="I64" s="225"/>
      <c r="J64" s="225"/>
      <c r="K64" s="271">
        <f t="shared" si="26"/>
        <v>0</v>
      </c>
      <c r="L64" s="271"/>
      <c r="M64" s="225"/>
      <c r="N64" s="225"/>
      <c r="O64" s="225"/>
      <c r="P64" s="243">
        <f t="shared" si="29"/>
        <v>0</v>
      </c>
      <c r="Q64" s="271">
        <f t="shared" si="27"/>
        <v>179080</v>
      </c>
    </row>
    <row r="65" spans="1:17" s="123" customFormat="1" ht="183" x14ac:dyDescent="0.2">
      <c r="A65" s="225"/>
      <c r="B65" s="270" t="s">
        <v>556</v>
      </c>
      <c r="C65" s="270" t="s">
        <v>557</v>
      </c>
      <c r="D65" s="270" t="s">
        <v>295</v>
      </c>
      <c r="E65" s="270" t="s">
        <v>555</v>
      </c>
      <c r="F65" s="271">
        <f t="shared" si="30"/>
        <v>78472603.400000006</v>
      </c>
      <c r="G65" s="225">
        <v>78472603.400000006</v>
      </c>
      <c r="H65" s="225"/>
      <c r="I65" s="225"/>
      <c r="J65" s="225"/>
      <c r="K65" s="271">
        <f t="shared" si="26"/>
        <v>0</v>
      </c>
      <c r="L65" s="225"/>
      <c r="M65" s="225"/>
      <c r="N65" s="225"/>
      <c r="O65" s="225"/>
      <c r="P65" s="243">
        <f t="shared" si="29"/>
        <v>0</v>
      </c>
      <c r="Q65" s="271">
        <f t="shared" si="27"/>
        <v>78472603.400000006</v>
      </c>
    </row>
    <row r="66" spans="1:17" s="123" customFormat="1" ht="228.75" x14ac:dyDescent="0.2">
      <c r="A66" s="225"/>
      <c r="B66" s="270" t="s">
        <v>615</v>
      </c>
      <c r="C66" s="270" t="s">
        <v>616</v>
      </c>
      <c r="D66" s="270" t="s">
        <v>295</v>
      </c>
      <c r="E66" s="270" t="s">
        <v>617</v>
      </c>
      <c r="F66" s="271">
        <f t="shared" si="30"/>
        <v>25694626.600000001</v>
      </c>
      <c r="G66" s="225">
        <v>25694626.600000001</v>
      </c>
      <c r="H66" s="225"/>
      <c r="I66" s="225"/>
      <c r="J66" s="225"/>
      <c r="K66" s="271">
        <f t="shared" si="26"/>
        <v>0</v>
      </c>
      <c r="L66" s="225"/>
      <c r="M66" s="225"/>
      <c r="N66" s="225"/>
      <c r="O66" s="225"/>
      <c r="P66" s="243">
        <f t="shared" si="29"/>
        <v>0</v>
      </c>
      <c r="Q66" s="271">
        <f t="shared" si="27"/>
        <v>25694626.600000001</v>
      </c>
    </row>
    <row r="67" spans="1:17" s="123" customFormat="1" ht="183" x14ac:dyDescent="0.2">
      <c r="A67" s="225"/>
      <c r="B67" s="270" t="s">
        <v>553</v>
      </c>
      <c r="C67" s="270" t="s">
        <v>554</v>
      </c>
      <c r="D67" s="270" t="s">
        <v>295</v>
      </c>
      <c r="E67" s="270" t="s">
        <v>511</v>
      </c>
      <c r="F67" s="271">
        <f t="shared" si="30"/>
        <v>14110200</v>
      </c>
      <c r="G67" s="225">
        <v>14110200</v>
      </c>
      <c r="H67" s="225"/>
      <c r="I67" s="225"/>
      <c r="J67" s="225"/>
      <c r="K67" s="271">
        <f t="shared" si="26"/>
        <v>0</v>
      </c>
      <c r="L67" s="225"/>
      <c r="M67" s="225"/>
      <c r="N67" s="225"/>
      <c r="O67" s="225"/>
      <c r="P67" s="243">
        <f t="shared" si="29"/>
        <v>0</v>
      </c>
      <c r="Q67" s="271">
        <f t="shared" si="27"/>
        <v>14110200</v>
      </c>
    </row>
    <row r="68" spans="1:17" s="123" customFormat="1" ht="274.5" x14ac:dyDescent="0.2">
      <c r="A68" s="225"/>
      <c r="B68" s="270" t="s">
        <v>560</v>
      </c>
      <c r="C68" s="270" t="s">
        <v>561</v>
      </c>
      <c r="D68" s="270" t="s">
        <v>295</v>
      </c>
      <c r="E68" s="270" t="s">
        <v>562</v>
      </c>
      <c r="F68" s="271">
        <f t="shared" si="30"/>
        <v>1200000</v>
      </c>
      <c r="G68" s="225">
        <v>1200000</v>
      </c>
      <c r="H68" s="225"/>
      <c r="I68" s="225"/>
      <c r="J68" s="225"/>
      <c r="K68" s="271">
        <f t="shared" si="26"/>
        <v>0</v>
      </c>
      <c r="L68" s="225"/>
      <c r="M68" s="225"/>
      <c r="N68" s="225"/>
      <c r="O68" s="225"/>
      <c r="P68" s="243">
        <f t="shared" si="29"/>
        <v>0</v>
      </c>
      <c r="Q68" s="271">
        <f t="shared" si="27"/>
        <v>1200000</v>
      </c>
    </row>
    <row r="69" spans="1:17" s="123" customFormat="1" ht="320.25" x14ac:dyDescent="0.2">
      <c r="A69" s="225"/>
      <c r="B69" s="270" t="s">
        <v>558</v>
      </c>
      <c r="C69" s="270" t="s">
        <v>559</v>
      </c>
      <c r="D69" s="270" t="s">
        <v>295</v>
      </c>
      <c r="E69" s="270" t="s">
        <v>563</v>
      </c>
      <c r="F69" s="271">
        <f t="shared" si="30"/>
        <v>264192</v>
      </c>
      <c r="G69" s="225">
        <v>264192</v>
      </c>
      <c r="H69" s="225"/>
      <c r="I69" s="225"/>
      <c r="J69" s="225"/>
      <c r="K69" s="271">
        <f t="shared" si="26"/>
        <v>0</v>
      </c>
      <c r="L69" s="225"/>
      <c r="M69" s="225"/>
      <c r="N69" s="225"/>
      <c r="O69" s="225"/>
      <c r="P69" s="243">
        <f t="shared" si="29"/>
        <v>0</v>
      </c>
      <c r="Q69" s="271">
        <f t="shared" si="27"/>
        <v>264192</v>
      </c>
    </row>
    <row r="70" spans="1:17" ht="163.5" customHeight="1" x14ac:dyDescent="0.2">
      <c r="A70" s="225"/>
      <c r="B70" s="270" t="s">
        <v>383</v>
      </c>
      <c r="C70" s="270" t="s">
        <v>374</v>
      </c>
      <c r="D70" s="270" t="s">
        <v>302</v>
      </c>
      <c r="E70" s="270" t="s">
        <v>512</v>
      </c>
      <c r="F70" s="271">
        <f t="shared" si="30"/>
        <v>152280</v>
      </c>
      <c r="G70" s="225">
        <v>152280</v>
      </c>
      <c r="H70" s="225"/>
      <c r="I70" s="225"/>
      <c r="J70" s="225"/>
      <c r="K70" s="271">
        <f t="shared" si="26"/>
        <v>0</v>
      </c>
      <c r="L70" s="271"/>
      <c r="M70" s="225"/>
      <c r="N70" s="225"/>
      <c r="O70" s="225"/>
      <c r="P70" s="243">
        <f t="shared" si="29"/>
        <v>0</v>
      </c>
      <c r="Q70" s="271">
        <f t="shared" si="27"/>
        <v>152280</v>
      </c>
    </row>
    <row r="71" spans="1:17" ht="301.7" customHeight="1" x14ac:dyDescent="0.2">
      <c r="A71" s="225"/>
      <c r="B71" s="270" t="s">
        <v>404</v>
      </c>
      <c r="C71" s="270" t="s">
        <v>402</v>
      </c>
      <c r="D71" s="270" t="s">
        <v>296</v>
      </c>
      <c r="E71" s="270" t="s">
        <v>35</v>
      </c>
      <c r="F71" s="271">
        <f t="shared" si="30"/>
        <v>17332984</v>
      </c>
      <c r="G71" s="225">
        <v>17332984</v>
      </c>
      <c r="H71" s="225">
        <v>11859350</v>
      </c>
      <c r="I71" s="225">
        <v>241174</v>
      </c>
      <c r="J71" s="225"/>
      <c r="K71" s="271">
        <f t="shared" si="26"/>
        <v>284400</v>
      </c>
      <c r="L71" s="225">
        <v>175000</v>
      </c>
      <c r="M71" s="225">
        <v>109400</v>
      </c>
      <c r="N71" s="225">
        <v>60000</v>
      </c>
      <c r="O71" s="225">
        <v>4000</v>
      </c>
      <c r="P71" s="243">
        <f t="shared" si="29"/>
        <v>175000</v>
      </c>
      <c r="Q71" s="271">
        <f t="shared" si="27"/>
        <v>17617384</v>
      </c>
    </row>
    <row r="72" spans="1:17" ht="137.25" x14ac:dyDescent="0.2">
      <c r="A72" s="225"/>
      <c r="B72" s="270" t="s">
        <v>405</v>
      </c>
      <c r="C72" s="270" t="s">
        <v>403</v>
      </c>
      <c r="D72" s="270" t="s">
        <v>295</v>
      </c>
      <c r="E72" s="270" t="s">
        <v>513</v>
      </c>
      <c r="F72" s="271">
        <f t="shared" si="30"/>
        <v>5162423</v>
      </c>
      <c r="G72" s="225">
        <v>5162423</v>
      </c>
      <c r="H72" s="225">
        <v>3617760</v>
      </c>
      <c r="I72" s="225">
        <v>286645</v>
      </c>
      <c r="J72" s="225"/>
      <c r="K72" s="271">
        <f t="shared" si="26"/>
        <v>0</v>
      </c>
      <c r="L72" s="225"/>
      <c r="M72" s="225"/>
      <c r="N72" s="225"/>
      <c r="O72" s="225"/>
      <c r="P72" s="243">
        <f t="shared" si="29"/>
        <v>0</v>
      </c>
      <c r="Q72" s="271">
        <f t="shared" si="27"/>
        <v>5162423</v>
      </c>
    </row>
    <row r="73" spans="1:17" ht="409.5" x14ac:dyDescent="0.2">
      <c r="A73" s="225"/>
      <c r="B73" s="270" t="s">
        <v>400</v>
      </c>
      <c r="C73" s="270" t="s">
        <v>401</v>
      </c>
      <c r="D73" s="270" t="s">
        <v>295</v>
      </c>
      <c r="E73" s="270" t="s">
        <v>514</v>
      </c>
      <c r="F73" s="271">
        <f t="shared" si="30"/>
        <v>1554600</v>
      </c>
      <c r="G73" s="225">
        <v>1554600</v>
      </c>
      <c r="H73" s="225"/>
      <c r="I73" s="225"/>
      <c r="J73" s="225"/>
      <c r="K73" s="271">
        <f t="shared" si="26"/>
        <v>0</v>
      </c>
      <c r="L73" s="271"/>
      <c r="M73" s="225"/>
      <c r="N73" s="225"/>
      <c r="O73" s="225"/>
      <c r="P73" s="243">
        <f t="shared" si="29"/>
        <v>0</v>
      </c>
      <c r="Q73" s="271">
        <f>+K73+F73</f>
        <v>1554600</v>
      </c>
    </row>
    <row r="74" spans="1:17" ht="274.5" x14ac:dyDescent="0.2">
      <c r="A74" s="225"/>
      <c r="B74" s="270" t="s">
        <v>515</v>
      </c>
      <c r="C74" s="270" t="s">
        <v>516</v>
      </c>
      <c r="D74" s="270" t="s">
        <v>295</v>
      </c>
      <c r="E74" s="270" t="s">
        <v>564</v>
      </c>
      <c r="F74" s="271">
        <f t="shared" si="30"/>
        <v>135534</v>
      </c>
      <c r="G74" s="225">
        <v>135534</v>
      </c>
      <c r="H74" s="225"/>
      <c r="I74" s="225"/>
      <c r="J74" s="225"/>
      <c r="K74" s="271">
        <f t="shared" si="26"/>
        <v>0</v>
      </c>
      <c r="L74" s="225"/>
      <c r="M74" s="225"/>
      <c r="N74" s="225"/>
      <c r="O74" s="225"/>
      <c r="P74" s="243">
        <f t="shared" si="29"/>
        <v>0</v>
      </c>
      <c r="Q74" s="271">
        <f>+K74+F74</f>
        <v>135534</v>
      </c>
    </row>
    <row r="75" spans="1:17" ht="112.7" customHeight="1" x14ac:dyDescent="0.2">
      <c r="A75" s="225"/>
      <c r="B75" s="270" t="s">
        <v>517</v>
      </c>
      <c r="C75" s="270" t="s">
        <v>518</v>
      </c>
      <c r="D75" s="270" t="s">
        <v>295</v>
      </c>
      <c r="E75" s="270" t="s">
        <v>565</v>
      </c>
      <c r="F75" s="271">
        <f t="shared" si="30"/>
        <v>168</v>
      </c>
      <c r="G75" s="225">
        <v>168</v>
      </c>
      <c r="H75" s="225"/>
      <c r="I75" s="225"/>
      <c r="J75" s="225"/>
      <c r="K75" s="271">
        <f t="shared" si="26"/>
        <v>0</v>
      </c>
      <c r="L75" s="225"/>
      <c r="M75" s="225"/>
      <c r="N75" s="225"/>
      <c r="O75" s="225"/>
      <c r="P75" s="243">
        <f t="shared" si="29"/>
        <v>0</v>
      </c>
      <c r="Q75" s="271">
        <f>+K75+F75</f>
        <v>168</v>
      </c>
    </row>
    <row r="76" spans="1:17" ht="366" x14ac:dyDescent="0.2">
      <c r="A76" s="225"/>
      <c r="B76" s="270" t="s">
        <v>568</v>
      </c>
      <c r="C76" s="270" t="s">
        <v>567</v>
      </c>
      <c r="D76" s="270" t="s">
        <v>79</v>
      </c>
      <c r="E76" s="270" t="s">
        <v>566</v>
      </c>
      <c r="F76" s="271">
        <f t="shared" si="30"/>
        <v>1808500</v>
      </c>
      <c r="G76" s="225">
        <v>1808500</v>
      </c>
      <c r="H76" s="225"/>
      <c r="I76" s="225"/>
      <c r="J76" s="225"/>
      <c r="K76" s="271">
        <f t="shared" si="26"/>
        <v>0</v>
      </c>
      <c r="L76" s="271"/>
      <c r="M76" s="225"/>
      <c r="N76" s="225"/>
      <c r="O76" s="225"/>
      <c r="P76" s="243">
        <f t="shared" si="29"/>
        <v>0</v>
      </c>
      <c r="Q76" s="271">
        <f>F76+K76</f>
        <v>1808500</v>
      </c>
    </row>
    <row r="77" spans="1:17" ht="228.75" x14ac:dyDescent="0.2">
      <c r="A77" s="225"/>
      <c r="B77" s="270" t="s">
        <v>519</v>
      </c>
      <c r="C77" s="270" t="s">
        <v>520</v>
      </c>
      <c r="D77" s="270" t="s">
        <v>302</v>
      </c>
      <c r="E77" s="270" t="s">
        <v>569</v>
      </c>
      <c r="F77" s="271">
        <f t="shared" si="30"/>
        <v>550000</v>
      </c>
      <c r="G77" s="225">
        <v>550000</v>
      </c>
      <c r="H77" s="225"/>
      <c r="I77" s="225"/>
      <c r="J77" s="225"/>
      <c r="K77" s="271">
        <f t="shared" si="26"/>
        <v>0</v>
      </c>
      <c r="L77" s="225"/>
      <c r="M77" s="225"/>
      <c r="N77" s="225"/>
      <c r="O77" s="225"/>
      <c r="P77" s="243">
        <f t="shared" si="29"/>
        <v>0</v>
      </c>
      <c r="Q77" s="271">
        <f>F77+K77</f>
        <v>550000</v>
      </c>
    </row>
    <row r="78" spans="1:17" ht="91.5" x14ac:dyDescent="0.2">
      <c r="A78" s="225"/>
      <c r="B78" s="270" t="s">
        <v>796</v>
      </c>
      <c r="C78" s="270" t="s">
        <v>632</v>
      </c>
      <c r="D78" s="270" t="s">
        <v>633</v>
      </c>
      <c r="E78" s="270" t="s">
        <v>631</v>
      </c>
      <c r="F78" s="271">
        <f t="shared" si="30"/>
        <v>250000</v>
      </c>
      <c r="G78" s="225">
        <v>250000</v>
      </c>
      <c r="H78" s="225">
        <v>205000</v>
      </c>
      <c r="I78" s="225"/>
      <c r="J78" s="225"/>
      <c r="K78" s="271">
        <f t="shared" si="26"/>
        <v>0</v>
      </c>
      <c r="L78" s="225"/>
      <c r="M78" s="225"/>
      <c r="N78" s="225"/>
      <c r="O78" s="225"/>
      <c r="P78" s="243">
        <f t="shared" si="29"/>
        <v>0</v>
      </c>
      <c r="Q78" s="271">
        <f>F78+K78</f>
        <v>250000</v>
      </c>
    </row>
    <row r="79" spans="1:17" ht="409.5" x14ac:dyDescent="0.2">
      <c r="A79" s="416"/>
      <c r="B79" s="422" t="s">
        <v>399</v>
      </c>
      <c r="C79" s="422" t="s">
        <v>286</v>
      </c>
      <c r="D79" s="500" t="s">
        <v>279</v>
      </c>
      <c r="E79" s="214" t="s">
        <v>521</v>
      </c>
      <c r="F79" s="502">
        <f>G79</f>
        <v>1030700</v>
      </c>
      <c r="G79" s="416">
        <v>1030700</v>
      </c>
      <c r="H79" s="416"/>
      <c r="I79" s="416"/>
      <c r="J79" s="416"/>
      <c r="K79" s="414">
        <f t="shared" si="26"/>
        <v>0</v>
      </c>
      <c r="L79" s="414"/>
      <c r="M79" s="416"/>
      <c r="N79" s="416"/>
      <c r="O79" s="416"/>
      <c r="P79" s="406">
        <f t="shared" si="29"/>
        <v>0</v>
      </c>
      <c r="Q79" s="414">
        <f>F79+K79</f>
        <v>1030700</v>
      </c>
    </row>
    <row r="80" spans="1:17" ht="327.75" customHeight="1" x14ac:dyDescent="0.2">
      <c r="A80" s="403"/>
      <c r="B80" s="403"/>
      <c r="C80" s="403"/>
      <c r="D80" s="501"/>
      <c r="E80" s="216" t="s">
        <v>522</v>
      </c>
      <c r="F80" s="439"/>
      <c r="G80" s="403"/>
      <c r="H80" s="403"/>
      <c r="I80" s="403"/>
      <c r="J80" s="403"/>
      <c r="K80" s="403"/>
      <c r="L80" s="403"/>
      <c r="M80" s="403"/>
      <c r="N80" s="403"/>
      <c r="O80" s="403"/>
      <c r="P80" s="426"/>
      <c r="Q80" s="421"/>
    </row>
    <row r="81" spans="1:19" ht="183" x14ac:dyDescent="0.2">
      <c r="A81" s="225"/>
      <c r="B81" s="270" t="s">
        <v>523</v>
      </c>
      <c r="C81" s="270" t="s">
        <v>525</v>
      </c>
      <c r="D81" s="270" t="s">
        <v>287</v>
      </c>
      <c r="E81" s="215" t="s">
        <v>527</v>
      </c>
      <c r="F81" s="271">
        <f t="shared" si="30"/>
        <v>4578467</v>
      </c>
      <c r="G81" s="225">
        <v>4578467</v>
      </c>
      <c r="H81" s="111">
        <v>2541439</v>
      </c>
      <c r="I81" s="111">
        <v>378445</v>
      </c>
      <c r="J81" s="225"/>
      <c r="K81" s="271">
        <f>M81+P81</f>
        <v>2030000</v>
      </c>
      <c r="L81" s="225">
        <f>1380000+650000</f>
        <v>2030000</v>
      </c>
      <c r="M81" s="225"/>
      <c r="N81" s="225"/>
      <c r="O81" s="225"/>
      <c r="P81" s="243">
        <f>L81+A81</f>
        <v>2030000</v>
      </c>
      <c r="Q81" s="271">
        <f>F81+K81</f>
        <v>6608467</v>
      </c>
    </row>
    <row r="82" spans="1:19" ht="137.25" x14ac:dyDescent="0.2">
      <c r="A82" s="225"/>
      <c r="B82" s="270" t="s">
        <v>524</v>
      </c>
      <c r="C82" s="270" t="s">
        <v>526</v>
      </c>
      <c r="D82" s="270" t="s">
        <v>287</v>
      </c>
      <c r="E82" s="215" t="s">
        <v>528</v>
      </c>
      <c r="F82" s="271">
        <f t="shared" si="30"/>
        <v>23486540</v>
      </c>
      <c r="G82" s="225">
        <v>23486540</v>
      </c>
      <c r="H82" s="225"/>
      <c r="I82" s="225"/>
      <c r="J82" s="225"/>
      <c r="K82" s="271">
        <f>M82+P82</f>
        <v>220000</v>
      </c>
      <c r="L82" s="225">
        <v>220000</v>
      </c>
      <c r="M82" s="225"/>
      <c r="N82" s="225"/>
      <c r="O82" s="225"/>
      <c r="P82" s="243">
        <f>L82+A82</f>
        <v>220000</v>
      </c>
      <c r="Q82" s="271">
        <f>F82+K82</f>
        <v>23706540</v>
      </c>
    </row>
    <row r="83" spans="1:19" ht="137.25" x14ac:dyDescent="0.2">
      <c r="A83" s="225"/>
      <c r="B83" s="270" t="s">
        <v>608</v>
      </c>
      <c r="C83" s="270" t="s">
        <v>606</v>
      </c>
      <c r="D83" s="270" t="s">
        <v>542</v>
      </c>
      <c r="E83" s="215" t="s">
        <v>607</v>
      </c>
      <c r="F83" s="271">
        <f t="shared" si="30"/>
        <v>0</v>
      </c>
      <c r="G83" s="225"/>
      <c r="H83" s="225"/>
      <c r="I83" s="225"/>
      <c r="J83" s="225"/>
      <c r="K83" s="271">
        <f>M83+P83</f>
        <v>3500000</v>
      </c>
      <c r="L83" s="225">
        <v>3500000</v>
      </c>
      <c r="M83" s="225"/>
      <c r="N83" s="225"/>
      <c r="O83" s="225"/>
      <c r="P83" s="243">
        <f>L83+A83</f>
        <v>3500000</v>
      </c>
      <c r="Q83" s="271">
        <f>F83+K83</f>
        <v>3500000</v>
      </c>
    </row>
    <row r="84" spans="1:19" ht="91.5" x14ac:dyDescent="0.2">
      <c r="A84" s="225"/>
      <c r="B84" s="270" t="s">
        <v>708</v>
      </c>
      <c r="C84" s="270" t="s">
        <v>709</v>
      </c>
      <c r="D84" s="270" t="s">
        <v>450</v>
      </c>
      <c r="E84" s="215" t="s">
        <v>710</v>
      </c>
      <c r="F84" s="271">
        <f t="shared" si="30"/>
        <v>0</v>
      </c>
      <c r="G84" s="225"/>
      <c r="H84" s="225"/>
      <c r="I84" s="225"/>
      <c r="J84" s="225"/>
      <c r="K84" s="271">
        <f>M84+P84</f>
        <v>1000000</v>
      </c>
      <c r="L84" s="225">
        <v>1000000</v>
      </c>
      <c r="M84" s="225"/>
      <c r="N84" s="225"/>
      <c r="O84" s="225"/>
      <c r="P84" s="243">
        <f>L84+A84</f>
        <v>1000000</v>
      </c>
      <c r="Q84" s="271">
        <f>F84+K84</f>
        <v>1000000</v>
      </c>
    </row>
    <row r="85" spans="1:19" ht="409.5" x14ac:dyDescent="0.2">
      <c r="A85" s="404"/>
      <c r="B85" s="422" t="s">
        <v>749</v>
      </c>
      <c r="C85" s="422" t="s">
        <v>538</v>
      </c>
      <c r="D85" s="422" t="s">
        <v>256</v>
      </c>
      <c r="E85" s="231" t="s">
        <v>549</v>
      </c>
      <c r="F85" s="418">
        <f t="shared" si="30"/>
        <v>0</v>
      </c>
      <c r="G85" s="404"/>
      <c r="H85" s="404"/>
      <c r="I85" s="404"/>
      <c r="J85" s="404"/>
      <c r="K85" s="414">
        <f>M85+P85</f>
        <v>566000</v>
      </c>
      <c r="L85" s="404"/>
      <c r="M85" s="404">
        <v>566000</v>
      </c>
      <c r="N85" s="404"/>
      <c r="O85" s="404"/>
      <c r="P85" s="406">
        <f>L85+A85</f>
        <v>0</v>
      </c>
      <c r="Q85" s="418">
        <f>F85+K85</f>
        <v>566000</v>
      </c>
      <c r="R85" s="120">
        <f>Q85</f>
        <v>566000</v>
      </c>
    </row>
    <row r="86" spans="1:19" ht="137.25" x14ac:dyDescent="0.2">
      <c r="A86" s="420"/>
      <c r="B86" s="403"/>
      <c r="C86" s="403"/>
      <c r="D86" s="403"/>
      <c r="E86" s="235" t="s">
        <v>550</v>
      </c>
      <c r="F86" s="419"/>
      <c r="G86" s="420"/>
      <c r="H86" s="420"/>
      <c r="I86" s="420"/>
      <c r="J86" s="420"/>
      <c r="K86" s="403"/>
      <c r="L86" s="403"/>
      <c r="M86" s="420"/>
      <c r="N86" s="420"/>
      <c r="O86" s="420"/>
      <c r="P86" s="426"/>
      <c r="Q86" s="419"/>
    </row>
    <row r="87" spans="1:19" ht="180" x14ac:dyDescent="0.2">
      <c r="A87" s="199">
        <f>A88</f>
        <v>35000</v>
      </c>
      <c r="B87" s="196">
        <v>1000000</v>
      </c>
      <c r="C87" s="196"/>
      <c r="D87" s="196"/>
      <c r="E87" s="197" t="s">
        <v>43</v>
      </c>
      <c r="F87" s="237">
        <f>F88</f>
        <v>80851044</v>
      </c>
      <c r="G87" s="237">
        <f t="shared" ref="G87:H87" si="31">G88</f>
        <v>80851044</v>
      </c>
      <c r="H87" s="237">
        <f t="shared" si="31"/>
        <v>56675325</v>
      </c>
      <c r="I87" s="237">
        <f>I88</f>
        <v>3158297</v>
      </c>
      <c r="J87" s="237">
        <f t="shared" ref="J87" si="32">J88</f>
        <v>0</v>
      </c>
      <c r="K87" s="237">
        <f>K88</f>
        <v>11373222</v>
      </c>
      <c r="L87" s="237">
        <f>L88</f>
        <v>3886442</v>
      </c>
      <c r="M87" s="237">
        <f>M88</f>
        <v>7451780</v>
      </c>
      <c r="N87" s="237">
        <f t="shared" ref="N87" si="33">N88</f>
        <v>5409770</v>
      </c>
      <c r="O87" s="237">
        <f>O88</f>
        <v>197280</v>
      </c>
      <c r="P87" s="237">
        <f t="shared" ref="P87:P127" si="34">L87+A87</f>
        <v>3921442</v>
      </c>
      <c r="Q87" s="198">
        <f t="shared" ref="Q87" si="35">Q88</f>
        <v>92224266</v>
      </c>
    </row>
    <row r="88" spans="1:19" ht="180" x14ac:dyDescent="0.2">
      <c r="A88" s="199">
        <f>SUM(A89:A95)</f>
        <v>35000</v>
      </c>
      <c r="B88" s="200">
        <v>1010000</v>
      </c>
      <c r="C88" s="200"/>
      <c r="D88" s="200"/>
      <c r="E88" s="201" t="s">
        <v>62</v>
      </c>
      <c r="F88" s="199">
        <f>G88</f>
        <v>80851044</v>
      </c>
      <c r="G88" s="199">
        <f>SUM(G89:G95)</f>
        <v>80851044</v>
      </c>
      <c r="H88" s="199">
        <f t="shared" ref="H88:J88" si="36">SUM(H89:H95)</f>
        <v>56675325</v>
      </c>
      <c r="I88" s="199">
        <f t="shared" si="36"/>
        <v>3158297</v>
      </c>
      <c r="J88" s="199">
        <f t="shared" si="36"/>
        <v>0</v>
      </c>
      <c r="K88" s="199">
        <f t="shared" ref="K88:K95" si="37">M88+P88</f>
        <v>11373222</v>
      </c>
      <c r="L88" s="199">
        <f t="shared" ref="L88:O88" si="38">SUM(L89:L95)</f>
        <v>3886442</v>
      </c>
      <c r="M88" s="199">
        <f t="shared" si="38"/>
        <v>7451780</v>
      </c>
      <c r="N88" s="199">
        <f t="shared" si="38"/>
        <v>5409770</v>
      </c>
      <c r="O88" s="199">
        <f t="shared" si="38"/>
        <v>197280</v>
      </c>
      <c r="P88" s="238">
        <f t="shared" si="34"/>
        <v>3921442</v>
      </c>
      <c r="Q88" s="199">
        <f t="shared" ref="Q88:Q95" si="39">F88+K88</f>
        <v>92224266</v>
      </c>
      <c r="R88" s="153" t="b">
        <f>Q88=Q89+Q90+Q91+Q92+Q93+Q94+Q95</f>
        <v>1</v>
      </c>
      <c r="S88" s="155" t="b">
        <f>L88='dod5'!I54</f>
        <v>0</v>
      </c>
    </row>
    <row r="89" spans="1:19" ht="274.5" x14ac:dyDescent="0.2">
      <c r="A89" s="225">
        <v>25900</v>
      </c>
      <c r="B89" s="270" t="s">
        <v>34</v>
      </c>
      <c r="C89" s="270" t="s">
        <v>274</v>
      </c>
      <c r="D89" s="270" t="s">
        <v>275</v>
      </c>
      <c r="E89" s="270" t="s">
        <v>273</v>
      </c>
      <c r="F89" s="271">
        <f>G89</f>
        <v>46221680</v>
      </c>
      <c r="G89" s="225">
        <v>46221680</v>
      </c>
      <c r="H89" s="225">
        <v>35856900</v>
      </c>
      <c r="I89" s="225">
        <v>1889830</v>
      </c>
      <c r="J89" s="225"/>
      <c r="K89" s="271">
        <f t="shared" si="37"/>
        <v>7217822</v>
      </c>
      <c r="L89" s="225">
        <v>386442</v>
      </c>
      <c r="M89" s="225">
        <v>6805480</v>
      </c>
      <c r="N89" s="225">
        <v>5170040</v>
      </c>
      <c r="O89" s="225">
        <v>138080</v>
      </c>
      <c r="P89" s="243">
        <f t="shared" si="34"/>
        <v>412342</v>
      </c>
      <c r="Q89" s="271">
        <f t="shared" si="39"/>
        <v>53439502</v>
      </c>
    </row>
    <row r="90" spans="1:19" ht="46.5" x14ac:dyDescent="0.2">
      <c r="A90" s="225"/>
      <c r="B90" s="270" t="s">
        <v>257</v>
      </c>
      <c r="C90" s="270" t="s">
        <v>258</v>
      </c>
      <c r="D90" s="270" t="s">
        <v>261</v>
      </c>
      <c r="E90" s="270" t="s">
        <v>262</v>
      </c>
      <c r="F90" s="271">
        <f t="shared" ref="F90:F93" si="40">G90</f>
        <v>726700</v>
      </c>
      <c r="G90" s="225">
        <v>726700</v>
      </c>
      <c r="H90" s="225"/>
      <c r="I90" s="225"/>
      <c r="J90" s="225"/>
      <c r="K90" s="271">
        <f t="shared" si="37"/>
        <v>0</v>
      </c>
      <c r="L90" s="225"/>
      <c r="M90" s="225"/>
      <c r="N90" s="225"/>
      <c r="O90" s="225"/>
      <c r="P90" s="243">
        <f t="shared" si="34"/>
        <v>0</v>
      </c>
      <c r="Q90" s="271">
        <f t="shared" si="39"/>
        <v>726700</v>
      </c>
    </row>
    <row r="91" spans="1:19" ht="91.5" x14ac:dyDescent="0.2">
      <c r="A91" s="225"/>
      <c r="B91" s="270" t="s">
        <v>263</v>
      </c>
      <c r="C91" s="270" t="s">
        <v>264</v>
      </c>
      <c r="D91" s="270" t="s">
        <v>265</v>
      </c>
      <c r="E91" s="270" t="s">
        <v>266</v>
      </c>
      <c r="F91" s="271">
        <f t="shared" si="40"/>
        <v>7716225</v>
      </c>
      <c r="G91" s="225">
        <v>7716225</v>
      </c>
      <c r="H91" s="225">
        <v>5790700</v>
      </c>
      <c r="I91" s="225">
        <v>449025</v>
      </c>
      <c r="J91" s="225"/>
      <c r="K91" s="271">
        <f t="shared" si="37"/>
        <v>85000</v>
      </c>
      <c r="L91" s="225"/>
      <c r="M91" s="225">
        <v>85000</v>
      </c>
      <c r="N91" s="225">
        <v>9800</v>
      </c>
      <c r="O91" s="225">
        <v>18500</v>
      </c>
      <c r="P91" s="243">
        <f t="shared" si="34"/>
        <v>0</v>
      </c>
      <c r="Q91" s="271">
        <f t="shared" si="39"/>
        <v>7801225</v>
      </c>
    </row>
    <row r="92" spans="1:19" ht="91.5" x14ac:dyDescent="0.2">
      <c r="A92" s="225"/>
      <c r="B92" s="270" t="s">
        <v>267</v>
      </c>
      <c r="C92" s="270" t="s">
        <v>268</v>
      </c>
      <c r="D92" s="270" t="s">
        <v>265</v>
      </c>
      <c r="E92" s="270" t="s">
        <v>269</v>
      </c>
      <c r="F92" s="271">
        <f t="shared" si="40"/>
        <v>1220535</v>
      </c>
      <c r="G92" s="225">
        <v>1220535</v>
      </c>
      <c r="H92" s="225">
        <v>796025</v>
      </c>
      <c r="I92" s="225">
        <v>199670</v>
      </c>
      <c r="J92" s="225"/>
      <c r="K92" s="271">
        <f t="shared" si="37"/>
        <v>3075000</v>
      </c>
      <c r="L92" s="225">
        <v>3000000</v>
      </c>
      <c r="M92" s="225">
        <v>75000</v>
      </c>
      <c r="N92" s="225">
        <v>6100</v>
      </c>
      <c r="O92" s="225">
        <v>3300</v>
      </c>
      <c r="P92" s="243">
        <f t="shared" si="34"/>
        <v>3000000</v>
      </c>
      <c r="Q92" s="271">
        <f t="shared" si="39"/>
        <v>4295535</v>
      </c>
    </row>
    <row r="93" spans="1:19" ht="183" x14ac:dyDescent="0.2">
      <c r="A93" s="225">
        <v>9100</v>
      </c>
      <c r="B93" s="270" t="s">
        <v>270</v>
      </c>
      <c r="C93" s="270" t="s">
        <v>259</v>
      </c>
      <c r="D93" s="270" t="s">
        <v>271</v>
      </c>
      <c r="E93" s="270" t="s">
        <v>272</v>
      </c>
      <c r="F93" s="271">
        <f t="shared" si="40"/>
        <v>5699642</v>
      </c>
      <c r="G93" s="225">
        <v>5699642</v>
      </c>
      <c r="H93" s="225">
        <v>4068700</v>
      </c>
      <c r="I93" s="225">
        <v>585642</v>
      </c>
      <c r="J93" s="225"/>
      <c r="K93" s="271">
        <f t="shared" si="37"/>
        <v>865400</v>
      </c>
      <c r="L93" s="225">
        <v>500000</v>
      </c>
      <c r="M93" s="225">
        <v>356300</v>
      </c>
      <c r="N93" s="225">
        <v>218030</v>
      </c>
      <c r="O93" s="225">
        <v>37400</v>
      </c>
      <c r="P93" s="243">
        <f t="shared" si="34"/>
        <v>509100</v>
      </c>
      <c r="Q93" s="271">
        <f t="shared" si="39"/>
        <v>6565042</v>
      </c>
    </row>
    <row r="94" spans="1:19" ht="137.25" x14ac:dyDescent="0.2">
      <c r="A94" s="225"/>
      <c r="B94" s="270" t="s">
        <v>530</v>
      </c>
      <c r="C94" s="270" t="s">
        <v>531</v>
      </c>
      <c r="D94" s="270" t="s">
        <v>276</v>
      </c>
      <c r="E94" s="270" t="s">
        <v>529</v>
      </c>
      <c r="F94" s="271">
        <f>G94</f>
        <v>13266262</v>
      </c>
      <c r="G94" s="225">
        <v>13266262</v>
      </c>
      <c r="H94" s="225">
        <v>10163000</v>
      </c>
      <c r="I94" s="225">
        <v>34130</v>
      </c>
      <c r="J94" s="225"/>
      <c r="K94" s="271">
        <f t="shared" si="37"/>
        <v>130000</v>
      </c>
      <c r="L94" s="225"/>
      <c r="M94" s="225">
        <v>130000</v>
      </c>
      <c r="N94" s="225">
        <v>5800</v>
      </c>
      <c r="O94" s="225"/>
      <c r="P94" s="243">
        <f t="shared" si="34"/>
        <v>0</v>
      </c>
      <c r="Q94" s="271">
        <f t="shared" si="39"/>
        <v>13396262</v>
      </c>
    </row>
    <row r="95" spans="1:19" ht="91.5" x14ac:dyDescent="0.2">
      <c r="A95" s="225"/>
      <c r="B95" s="270" t="s">
        <v>532</v>
      </c>
      <c r="C95" s="270" t="s">
        <v>533</v>
      </c>
      <c r="D95" s="270" t="s">
        <v>276</v>
      </c>
      <c r="E95" s="270" t="s">
        <v>534</v>
      </c>
      <c r="F95" s="271">
        <f>G95</f>
        <v>6000000</v>
      </c>
      <c r="G95" s="225">
        <v>6000000</v>
      </c>
      <c r="H95" s="225"/>
      <c r="I95" s="225"/>
      <c r="J95" s="225"/>
      <c r="K95" s="271">
        <f t="shared" si="37"/>
        <v>0</v>
      </c>
      <c r="L95" s="225"/>
      <c r="M95" s="225"/>
      <c r="N95" s="225"/>
      <c r="O95" s="225"/>
      <c r="P95" s="243">
        <f t="shared" si="34"/>
        <v>0</v>
      </c>
      <c r="Q95" s="271">
        <f t="shared" si="39"/>
        <v>6000000</v>
      </c>
    </row>
    <row r="96" spans="1:19" ht="135" x14ac:dyDescent="0.2">
      <c r="A96" s="198">
        <f>A97</f>
        <v>0</v>
      </c>
      <c r="B96" s="197" t="s">
        <v>40</v>
      </c>
      <c r="C96" s="197"/>
      <c r="D96" s="197"/>
      <c r="E96" s="197" t="s">
        <v>41</v>
      </c>
      <c r="F96" s="237">
        <f>F97</f>
        <v>50014852</v>
      </c>
      <c r="G96" s="237">
        <f t="shared" ref="G96:H96" si="41">G97</f>
        <v>50014852</v>
      </c>
      <c r="H96" s="237">
        <f t="shared" si="41"/>
        <v>18072174</v>
      </c>
      <c r="I96" s="237">
        <f>I97</f>
        <v>1632525</v>
      </c>
      <c r="J96" s="237">
        <f t="shared" ref="J96" si="42">J97</f>
        <v>0</v>
      </c>
      <c r="K96" s="237">
        <f>K97</f>
        <v>3425177</v>
      </c>
      <c r="L96" s="237">
        <f>L97</f>
        <v>1408533</v>
      </c>
      <c r="M96" s="237">
        <f>M97</f>
        <v>2016644</v>
      </c>
      <c r="N96" s="237">
        <f t="shared" ref="N96" si="43">N97</f>
        <v>946255</v>
      </c>
      <c r="O96" s="237">
        <f>O97</f>
        <v>338236</v>
      </c>
      <c r="P96" s="237">
        <f t="shared" si="34"/>
        <v>1408533</v>
      </c>
      <c r="Q96" s="198">
        <f t="shared" ref="Q96" si="44">Q97</f>
        <v>53440029</v>
      </c>
    </row>
    <row r="97" spans="1:19" ht="135" x14ac:dyDescent="0.2">
      <c r="A97" s="199">
        <f>SUM(A98:A109)</f>
        <v>0</v>
      </c>
      <c r="B97" s="201" t="s">
        <v>39</v>
      </c>
      <c r="C97" s="201"/>
      <c r="D97" s="201"/>
      <c r="E97" s="201" t="s">
        <v>58</v>
      </c>
      <c r="F97" s="199">
        <f t="shared" ref="F97:O97" si="45">SUM(F98:F109)</f>
        <v>50014852</v>
      </c>
      <c r="G97" s="199">
        <f t="shared" si="45"/>
        <v>50014852</v>
      </c>
      <c r="H97" s="199">
        <f t="shared" si="45"/>
        <v>18072174</v>
      </c>
      <c r="I97" s="199">
        <f t="shared" si="45"/>
        <v>1632525</v>
      </c>
      <c r="J97" s="199">
        <f t="shared" si="45"/>
        <v>0</v>
      </c>
      <c r="K97" s="199">
        <f t="shared" ref="K97:K110" si="46">M97+P97</f>
        <v>3425177</v>
      </c>
      <c r="L97" s="199">
        <f t="shared" si="45"/>
        <v>1408533</v>
      </c>
      <c r="M97" s="199">
        <f t="shared" si="45"/>
        <v>2016644</v>
      </c>
      <c r="N97" s="199">
        <f t="shared" si="45"/>
        <v>946255</v>
      </c>
      <c r="O97" s="199">
        <f t="shared" si="45"/>
        <v>338236</v>
      </c>
      <c r="P97" s="238">
        <f t="shared" si="34"/>
        <v>1408533</v>
      </c>
      <c r="Q97" s="199">
        <f>F97+K97</f>
        <v>53440029</v>
      </c>
      <c r="R97" s="153" t="b">
        <f>Q97=Q98+Q99+Q100+Q101+Q102+Q103+Q104+Q105+Q106+Q107+Q108+Q109</f>
        <v>1</v>
      </c>
      <c r="S97" s="155" t="b">
        <f>L97='dod5'!I63</f>
        <v>0</v>
      </c>
    </row>
    <row r="98" spans="1:19" ht="137.25" x14ac:dyDescent="0.2">
      <c r="A98" s="154"/>
      <c r="B98" s="270" t="s">
        <v>277</v>
      </c>
      <c r="C98" s="270" t="s">
        <v>278</v>
      </c>
      <c r="D98" s="270" t="s">
        <v>279</v>
      </c>
      <c r="E98" s="270" t="s">
        <v>280</v>
      </c>
      <c r="F98" s="142">
        <f t="shared" ref="F98:F107" si="47">G98</f>
        <v>3278423</v>
      </c>
      <c r="G98" s="111">
        <v>3278423</v>
      </c>
      <c r="H98" s="111">
        <v>2517500</v>
      </c>
      <c r="I98" s="111">
        <v>65293</v>
      </c>
      <c r="J98" s="111"/>
      <c r="K98" s="271">
        <f t="shared" si="46"/>
        <v>0</v>
      </c>
      <c r="L98" s="111"/>
      <c r="M98" s="154"/>
      <c r="N98" s="154"/>
      <c r="O98" s="154"/>
      <c r="P98" s="243">
        <f t="shared" si="34"/>
        <v>0</v>
      </c>
      <c r="Q98" s="271">
        <f>+K98+F98</f>
        <v>3278423</v>
      </c>
    </row>
    <row r="99" spans="1:19" ht="228.75" x14ac:dyDescent="0.2">
      <c r="A99" s="154"/>
      <c r="B99" s="270" t="s">
        <v>72</v>
      </c>
      <c r="C99" s="270" t="s">
        <v>260</v>
      </c>
      <c r="D99" s="270" t="s">
        <v>279</v>
      </c>
      <c r="E99" s="270" t="s">
        <v>22</v>
      </c>
      <c r="F99" s="142">
        <f t="shared" si="47"/>
        <v>875790</v>
      </c>
      <c r="G99" s="111">
        <v>875790</v>
      </c>
      <c r="H99" s="111"/>
      <c r="I99" s="111"/>
      <c r="J99" s="111"/>
      <c r="K99" s="271">
        <f t="shared" si="46"/>
        <v>0</v>
      </c>
      <c r="L99" s="111"/>
      <c r="M99" s="154"/>
      <c r="N99" s="154"/>
      <c r="O99" s="154"/>
      <c r="P99" s="243">
        <f t="shared" si="34"/>
        <v>0</v>
      </c>
      <c r="Q99" s="271">
        <f>+K99+F99</f>
        <v>875790</v>
      </c>
    </row>
    <row r="100" spans="1:19" ht="91.5" x14ac:dyDescent="0.2">
      <c r="A100" s="154"/>
      <c r="B100" s="270" t="s">
        <v>284</v>
      </c>
      <c r="C100" s="270" t="s">
        <v>285</v>
      </c>
      <c r="D100" s="270" t="s">
        <v>279</v>
      </c>
      <c r="E100" s="270" t="s">
        <v>23</v>
      </c>
      <c r="F100" s="142">
        <f t="shared" si="47"/>
        <v>3054118</v>
      </c>
      <c r="G100" s="111">
        <v>3054118</v>
      </c>
      <c r="H100" s="111">
        <v>1623800</v>
      </c>
      <c r="I100" s="111">
        <v>435988</v>
      </c>
      <c r="J100" s="111"/>
      <c r="K100" s="271">
        <f t="shared" si="46"/>
        <v>917430</v>
      </c>
      <c r="L100" s="111">
        <v>592430</v>
      </c>
      <c r="M100" s="154">
        <v>325000</v>
      </c>
      <c r="N100" s="154">
        <v>189100</v>
      </c>
      <c r="O100" s="154">
        <v>89400</v>
      </c>
      <c r="P100" s="243">
        <f t="shared" si="34"/>
        <v>592430</v>
      </c>
      <c r="Q100" s="271">
        <f t="shared" ref="Q100:Q110" si="48">F100+K100</f>
        <v>3971548</v>
      </c>
    </row>
    <row r="101" spans="1:19" ht="91.5" x14ac:dyDescent="0.2">
      <c r="A101" s="154"/>
      <c r="B101" s="270" t="s">
        <v>574</v>
      </c>
      <c r="C101" s="270" t="s">
        <v>575</v>
      </c>
      <c r="D101" s="270" t="s">
        <v>279</v>
      </c>
      <c r="E101" s="270" t="s">
        <v>576</v>
      </c>
      <c r="F101" s="142">
        <f t="shared" si="47"/>
        <v>5941879</v>
      </c>
      <c r="G101" s="111">
        <f>5640576+301303</f>
        <v>5941879</v>
      </c>
      <c r="H101" s="111">
        <v>714843</v>
      </c>
      <c r="I101" s="111">
        <v>110000</v>
      </c>
      <c r="J101" s="111"/>
      <c r="K101" s="271">
        <f t="shared" si="46"/>
        <v>816103</v>
      </c>
      <c r="L101" s="111">
        <v>816103</v>
      </c>
      <c r="M101" s="154"/>
      <c r="N101" s="154"/>
      <c r="O101" s="154"/>
      <c r="P101" s="243">
        <f t="shared" si="34"/>
        <v>816103</v>
      </c>
      <c r="Q101" s="271">
        <f t="shared" si="48"/>
        <v>6757982</v>
      </c>
    </row>
    <row r="102" spans="1:19" ht="137.25" x14ac:dyDescent="0.2">
      <c r="A102" s="154"/>
      <c r="B102" s="270" t="s">
        <v>73</v>
      </c>
      <c r="C102" s="270" t="s">
        <v>281</v>
      </c>
      <c r="D102" s="270" t="s">
        <v>291</v>
      </c>
      <c r="E102" s="270" t="s">
        <v>74</v>
      </c>
      <c r="F102" s="142">
        <f t="shared" si="47"/>
        <v>10002475</v>
      </c>
      <c r="G102" s="111">
        <v>10002475</v>
      </c>
      <c r="H102" s="225"/>
      <c r="I102" s="225"/>
      <c r="J102" s="225"/>
      <c r="K102" s="271">
        <f t="shared" si="46"/>
        <v>0</v>
      </c>
      <c r="L102" s="225"/>
      <c r="M102" s="225"/>
      <c r="N102" s="225"/>
      <c r="O102" s="225"/>
      <c r="P102" s="243">
        <f t="shared" si="34"/>
        <v>0</v>
      </c>
      <c r="Q102" s="271">
        <f t="shared" si="48"/>
        <v>10002475</v>
      </c>
    </row>
    <row r="103" spans="1:19" ht="137.25" x14ac:dyDescent="0.2">
      <c r="A103" s="154"/>
      <c r="B103" s="270" t="s">
        <v>75</v>
      </c>
      <c r="C103" s="270" t="s">
        <v>282</v>
      </c>
      <c r="D103" s="270" t="s">
        <v>291</v>
      </c>
      <c r="E103" s="270" t="s">
        <v>6</v>
      </c>
      <c r="F103" s="142">
        <f t="shared" si="47"/>
        <v>1727513</v>
      </c>
      <c r="G103" s="111">
        <v>1727513</v>
      </c>
      <c r="H103" s="225"/>
      <c r="I103" s="225"/>
      <c r="J103" s="225"/>
      <c r="K103" s="271">
        <f t="shared" si="46"/>
        <v>0</v>
      </c>
      <c r="L103" s="225"/>
      <c r="M103" s="225"/>
      <c r="N103" s="225"/>
      <c r="O103" s="225"/>
      <c r="P103" s="243">
        <f t="shared" si="34"/>
        <v>0</v>
      </c>
      <c r="Q103" s="271">
        <f t="shared" si="48"/>
        <v>1727513</v>
      </c>
    </row>
    <row r="104" spans="1:19" ht="183" x14ac:dyDescent="0.2">
      <c r="A104" s="154"/>
      <c r="B104" s="270" t="s">
        <v>76</v>
      </c>
      <c r="C104" s="270" t="s">
        <v>283</v>
      </c>
      <c r="D104" s="270" t="s">
        <v>291</v>
      </c>
      <c r="E104" s="270" t="s">
        <v>570</v>
      </c>
      <c r="F104" s="142">
        <f>G104</f>
        <v>53014</v>
      </c>
      <c r="G104" s="111">
        <v>53014</v>
      </c>
      <c r="H104" s="111"/>
      <c r="I104" s="111"/>
      <c r="J104" s="225"/>
      <c r="K104" s="271">
        <f t="shared" si="46"/>
        <v>0</v>
      </c>
      <c r="L104" s="225"/>
      <c r="M104" s="111"/>
      <c r="N104" s="111"/>
      <c r="O104" s="111"/>
      <c r="P104" s="243">
        <f t="shared" si="34"/>
        <v>0</v>
      </c>
      <c r="Q104" s="271">
        <f t="shared" si="48"/>
        <v>53014</v>
      </c>
    </row>
    <row r="105" spans="1:19" ht="183" x14ac:dyDescent="0.2">
      <c r="A105" s="154"/>
      <c r="B105" s="270" t="s">
        <v>49</v>
      </c>
      <c r="C105" s="270" t="s">
        <v>288</v>
      </c>
      <c r="D105" s="270" t="s">
        <v>291</v>
      </c>
      <c r="E105" s="270" t="s">
        <v>77</v>
      </c>
      <c r="F105" s="142">
        <f t="shared" si="47"/>
        <v>18126095</v>
      </c>
      <c r="G105" s="111">
        <v>18126095</v>
      </c>
      <c r="H105" s="111">
        <f>12402731</f>
        <v>12402731</v>
      </c>
      <c r="I105" s="111">
        <v>1021244</v>
      </c>
      <c r="J105" s="111"/>
      <c r="K105" s="271">
        <f t="shared" si="46"/>
        <v>1649644</v>
      </c>
      <c r="L105" s="111"/>
      <c r="M105" s="111">
        <v>1649644</v>
      </c>
      <c r="N105" s="111">
        <v>757155</v>
      </c>
      <c r="O105" s="111">
        <v>248836</v>
      </c>
      <c r="P105" s="243">
        <f t="shared" si="34"/>
        <v>0</v>
      </c>
      <c r="Q105" s="271">
        <f t="shared" si="48"/>
        <v>19775739</v>
      </c>
    </row>
    <row r="106" spans="1:19" ht="183" x14ac:dyDescent="0.2">
      <c r="A106" s="154"/>
      <c r="B106" s="270" t="s">
        <v>50</v>
      </c>
      <c r="C106" s="270" t="s">
        <v>289</v>
      </c>
      <c r="D106" s="270" t="s">
        <v>291</v>
      </c>
      <c r="E106" s="270" t="s">
        <v>78</v>
      </c>
      <c r="F106" s="142">
        <f t="shared" si="47"/>
        <v>4254685</v>
      </c>
      <c r="G106" s="111">
        <v>4254685</v>
      </c>
      <c r="H106" s="111"/>
      <c r="I106" s="111"/>
      <c r="J106" s="111"/>
      <c r="K106" s="271">
        <f t="shared" si="46"/>
        <v>0</v>
      </c>
      <c r="L106" s="111"/>
      <c r="M106" s="111"/>
      <c r="N106" s="111"/>
      <c r="O106" s="111"/>
      <c r="P106" s="243">
        <f t="shared" si="34"/>
        <v>0</v>
      </c>
      <c r="Q106" s="271">
        <f t="shared" si="48"/>
        <v>4254685</v>
      </c>
    </row>
    <row r="107" spans="1:19" ht="274.5" x14ac:dyDescent="0.2">
      <c r="A107" s="154"/>
      <c r="B107" s="204" t="s">
        <v>51</v>
      </c>
      <c r="C107" s="204" t="s">
        <v>290</v>
      </c>
      <c r="D107" s="204" t="s">
        <v>291</v>
      </c>
      <c r="E107" s="270" t="s">
        <v>52</v>
      </c>
      <c r="F107" s="142">
        <f t="shared" si="47"/>
        <v>1500611</v>
      </c>
      <c r="G107" s="111">
        <v>1500611</v>
      </c>
      <c r="H107" s="225"/>
      <c r="I107" s="225"/>
      <c r="J107" s="225"/>
      <c r="K107" s="271">
        <f t="shared" si="46"/>
        <v>0</v>
      </c>
      <c r="L107" s="225"/>
      <c r="M107" s="225"/>
      <c r="N107" s="225"/>
      <c r="O107" s="225"/>
      <c r="P107" s="243">
        <f t="shared" si="34"/>
        <v>0</v>
      </c>
      <c r="Q107" s="271">
        <f t="shared" si="48"/>
        <v>1500611</v>
      </c>
    </row>
    <row r="108" spans="1:19" ht="91.5" x14ac:dyDescent="0.2">
      <c r="A108" s="154"/>
      <c r="B108" s="204" t="s">
        <v>53</v>
      </c>
      <c r="C108" s="204" t="s">
        <v>292</v>
      </c>
      <c r="D108" s="204" t="s">
        <v>291</v>
      </c>
      <c r="E108" s="270" t="s">
        <v>54</v>
      </c>
      <c r="F108" s="142">
        <f>G108</f>
        <v>1179249</v>
      </c>
      <c r="G108" s="111">
        <v>1179249</v>
      </c>
      <c r="H108" s="225">
        <v>813300</v>
      </c>
      <c r="I108" s="225"/>
      <c r="J108" s="225"/>
      <c r="K108" s="271">
        <f t="shared" si="46"/>
        <v>42000</v>
      </c>
      <c r="L108" s="225"/>
      <c r="M108" s="225">
        <v>42000</v>
      </c>
      <c r="N108" s="225"/>
      <c r="O108" s="225"/>
      <c r="P108" s="243">
        <f t="shared" si="34"/>
        <v>0</v>
      </c>
      <c r="Q108" s="271">
        <f t="shared" si="48"/>
        <v>1221249</v>
      </c>
    </row>
    <row r="109" spans="1:19" ht="274.5" x14ac:dyDescent="0.2">
      <c r="A109" s="154"/>
      <c r="B109" s="204" t="s">
        <v>544</v>
      </c>
      <c r="C109" s="204" t="s">
        <v>543</v>
      </c>
      <c r="D109" s="204" t="s">
        <v>542</v>
      </c>
      <c r="E109" s="270" t="s">
        <v>541</v>
      </c>
      <c r="F109" s="142">
        <f>G109</f>
        <v>21000</v>
      </c>
      <c r="G109" s="111">
        <v>21000</v>
      </c>
      <c r="H109" s="225"/>
      <c r="I109" s="225"/>
      <c r="J109" s="225"/>
      <c r="K109" s="271">
        <f t="shared" si="46"/>
        <v>0</v>
      </c>
      <c r="L109" s="225"/>
      <c r="M109" s="225"/>
      <c r="N109" s="225"/>
      <c r="O109" s="225"/>
      <c r="P109" s="243">
        <f t="shared" si="34"/>
        <v>0</v>
      </c>
      <c r="Q109" s="271">
        <f t="shared" si="48"/>
        <v>21000</v>
      </c>
    </row>
    <row r="110" spans="1:19" ht="91.5" hidden="1" x14ac:dyDescent="0.2">
      <c r="A110" s="154" t="e">
        <f>#REF!</f>
        <v>#REF!</v>
      </c>
      <c r="B110" s="270" t="s">
        <v>639</v>
      </c>
      <c r="C110" s="268" t="s">
        <v>601</v>
      </c>
      <c r="D110" s="268" t="s">
        <v>71</v>
      </c>
      <c r="E110" s="268" t="s">
        <v>602</v>
      </c>
      <c r="F110" s="142">
        <f>G110</f>
        <v>0</v>
      </c>
      <c r="G110" s="111">
        <f>30000-30000</f>
        <v>0</v>
      </c>
      <c r="H110" s="111"/>
      <c r="I110" s="111"/>
      <c r="J110" s="111"/>
      <c r="K110" s="271" t="e">
        <f t="shared" si="46"/>
        <v>#REF!</v>
      </c>
      <c r="L110" s="271"/>
      <c r="M110" s="111"/>
      <c r="N110" s="111"/>
      <c r="O110" s="111"/>
      <c r="P110" s="237" t="e">
        <f t="shared" si="34"/>
        <v>#REF!</v>
      </c>
      <c r="Q110" s="271" t="e">
        <f t="shared" si="48"/>
        <v>#REF!</v>
      </c>
    </row>
    <row r="111" spans="1:19" ht="180" x14ac:dyDescent="0.2">
      <c r="A111" s="198">
        <f>A112</f>
        <v>0</v>
      </c>
      <c r="B111" s="197" t="s">
        <v>244</v>
      </c>
      <c r="C111" s="197"/>
      <c r="D111" s="197"/>
      <c r="E111" s="197" t="s">
        <v>42</v>
      </c>
      <c r="F111" s="237">
        <f>F112</f>
        <v>227887687</v>
      </c>
      <c r="G111" s="237">
        <f t="shared" ref="G111:H111" si="49">G112</f>
        <v>227887687</v>
      </c>
      <c r="H111" s="237">
        <f t="shared" si="49"/>
        <v>7972950</v>
      </c>
      <c r="I111" s="237">
        <f>I112</f>
        <v>151500</v>
      </c>
      <c r="J111" s="237">
        <f t="shared" ref="J111" si="50">J112</f>
        <v>0</v>
      </c>
      <c r="K111" s="237">
        <f>K112</f>
        <v>154962314</v>
      </c>
      <c r="L111" s="237">
        <f>L112</f>
        <v>153591314</v>
      </c>
      <c r="M111" s="237">
        <f>M112</f>
        <v>1371000</v>
      </c>
      <c r="N111" s="237">
        <f t="shared" ref="N111" si="51">N112</f>
        <v>0</v>
      </c>
      <c r="O111" s="237">
        <f>O112</f>
        <v>0</v>
      </c>
      <c r="P111" s="237">
        <f t="shared" si="34"/>
        <v>153591314</v>
      </c>
      <c r="Q111" s="198">
        <f t="shared" ref="Q111" si="52">Q112</f>
        <v>382850001</v>
      </c>
    </row>
    <row r="112" spans="1:19" ht="180" x14ac:dyDescent="0.2">
      <c r="A112" s="199">
        <f>SUM(A113:A129)</f>
        <v>0</v>
      </c>
      <c r="B112" s="201" t="s">
        <v>245</v>
      </c>
      <c r="C112" s="201"/>
      <c r="D112" s="201"/>
      <c r="E112" s="201" t="s">
        <v>63</v>
      </c>
      <c r="F112" s="199">
        <f>SUM(F113:F129)</f>
        <v>227887687</v>
      </c>
      <c r="G112" s="199">
        <f t="shared" ref="G112:O112" si="53">SUM(G113:G129)</f>
        <v>227887687</v>
      </c>
      <c r="H112" s="199">
        <f t="shared" si="53"/>
        <v>7972950</v>
      </c>
      <c r="I112" s="199">
        <f t="shared" si="53"/>
        <v>151500</v>
      </c>
      <c r="J112" s="199">
        <f t="shared" si="53"/>
        <v>0</v>
      </c>
      <c r="K112" s="199">
        <f t="shared" ref="K112:K127" si="54">M112+P112</f>
        <v>154962314</v>
      </c>
      <c r="L112" s="199">
        <f t="shared" si="53"/>
        <v>153591314</v>
      </c>
      <c r="M112" s="199">
        <f t="shared" si="53"/>
        <v>1371000</v>
      </c>
      <c r="N112" s="199">
        <f t="shared" si="53"/>
        <v>0</v>
      </c>
      <c r="O112" s="199">
        <f t="shared" si="53"/>
        <v>0</v>
      </c>
      <c r="P112" s="238">
        <f t="shared" si="34"/>
        <v>153591314</v>
      </c>
      <c r="Q112" s="199">
        <f>F112+K112</f>
        <v>382850001</v>
      </c>
      <c r="R112" s="153" t="b">
        <f>Q112=Q114+Q116+Q117+Q118+Q119+Q120+Q121+Q124+Q125+Q126+Q129+Q115+Q113+Q122+Q123+Q127</f>
        <v>1</v>
      </c>
      <c r="S112" s="155">
        <f>Q112</f>
        <v>382850001</v>
      </c>
    </row>
    <row r="113" spans="1:19" ht="228.75" x14ac:dyDescent="0.2">
      <c r="A113" s="154"/>
      <c r="B113" s="270" t="s">
        <v>743</v>
      </c>
      <c r="C113" s="270" t="s">
        <v>341</v>
      </c>
      <c r="D113" s="270" t="s">
        <v>339</v>
      </c>
      <c r="E113" s="270" t="s">
        <v>340</v>
      </c>
      <c r="F113" s="142">
        <f>G113</f>
        <v>9531200</v>
      </c>
      <c r="G113" s="111">
        <v>9531200</v>
      </c>
      <c r="H113" s="111">
        <v>7129200</v>
      </c>
      <c r="I113" s="111">
        <v>130000</v>
      </c>
      <c r="J113" s="111"/>
      <c r="K113" s="271">
        <f t="shared" si="54"/>
        <v>0</v>
      </c>
      <c r="L113" s="111"/>
      <c r="M113" s="154"/>
      <c r="N113" s="154"/>
      <c r="O113" s="154"/>
      <c r="P113" s="243">
        <f t="shared" si="34"/>
        <v>0</v>
      </c>
      <c r="Q113" s="271">
        <f t="shared" ref="Q113:Q118" si="55">+K113+F113</f>
        <v>9531200</v>
      </c>
      <c r="R113" s="153"/>
      <c r="S113" s="155">
        <f>'dod3'!P125-'dod3 - базовий бюджет'!S112</f>
        <v>108633335.79000002</v>
      </c>
    </row>
    <row r="114" spans="1:19" ht="137.25" x14ac:dyDescent="0.2">
      <c r="A114" s="154"/>
      <c r="B114" s="270" t="s">
        <v>417</v>
      </c>
      <c r="C114" s="270" t="s">
        <v>418</v>
      </c>
      <c r="D114" s="270" t="s">
        <v>420</v>
      </c>
      <c r="E114" s="270" t="s">
        <v>419</v>
      </c>
      <c r="F114" s="142">
        <f t="shared" ref="F114:F129" si="56">G114</f>
        <v>50000</v>
      </c>
      <c r="G114" s="111">
        <v>50000</v>
      </c>
      <c r="H114" s="111"/>
      <c r="I114" s="111"/>
      <c r="J114" s="111"/>
      <c r="K114" s="271">
        <f t="shared" si="54"/>
        <v>4550000</v>
      </c>
      <c r="L114" s="111">
        <v>4550000</v>
      </c>
      <c r="M114" s="154"/>
      <c r="N114" s="154"/>
      <c r="O114" s="154"/>
      <c r="P114" s="243">
        <f t="shared" si="34"/>
        <v>4550000</v>
      </c>
      <c r="Q114" s="271">
        <f t="shared" si="55"/>
        <v>4600000</v>
      </c>
      <c r="S114" s="155" t="e">
        <f>#REF!-S113+8818000</f>
        <v>#REF!</v>
      </c>
    </row>
    <row r="115" spans="1:19" ht="137.25" x14ac:dyDescent="0.2">
      <c r="A115" s="154"/>
      <c r="B115" s="270" t="s">
        <v>641</v>
      </c>
      <c r="C115" s="270" t="s">
        <v>642</v>
      </c>
      <c r="D115" s="270" t="s">
        <v>420</v>
      </c>
      <c r="E115" s="270" t="s">
        <v>643</v>
      </c>
      <c r="F115" s="142">
        <f t="shared" si="56"/>
        <v>18000000</v>
      </c>
      <c r="G115" s="111">
        <v>18000000</v>
      </c>
      <c r="H115" s="111"/>
      <c r="I115" s="111"/>
      <c r="J115" s="111"/>
      <c r="K115" s="271">
        <f t="shared" si="54"/>
        <v>0</v>
      </c>
      <c r="L115" s="111"/>
      <c r="M115" s="154"/>
      <c r="N115" s="154"/>
      <c r="O115" s="154"/>
      <c r="P115" s="243">
        <f t="shared" si="34"/>
        <v>0</v>
      </c>
      <c r="Q115" s="271">
        <f t="shared" si="55"/>
        <v>18000000</v>
      </c>
    </row>
    <row r="116" spans="1:19" ht="137.25" x14ac:dyDescent="0.2">
      <c r="A116" s="154"/>
      <c r="B116" s="270" t="s">
        <v>424</v>
      </c>
      <c r="C116" s="270" t="s">
        <v>425</v>
      </c>
      <c r="D116" s="270" t="s">
        <v>420</v>
      </c>
      <c r="E116" s="270" t="s">
        <v>426</v>
      </c>
      <c r="F116" s="142">
        <f t="shared" si="56"/>
        <v>553700</v>
      </c>
      <c r="G116" s="111">
        <v>553700</v>
      </c>
      <c r="H116" s="111"/>
      <c r="I116" s="111"/>
      <c r="J116" s="111"/>
      <c r="K116" s="271">
        <f t="shared" si="54"/>
        <v>0</v>
      </c>
      <c r="L116" s="111"/>
      <c r="M116" s="154"/>
      <c r="N116" s="154"/>
      <c r="O116" s="154"/>
      <c r="P116" s="243">
        <f t="shared" si="34"/>
        <v>0</v>
      </c>
      <c r="Q116" s="271">
        <f t="shared" si="55"/>
        <v>553700</v>
      </c>
    </row>
    <row r="117" spans="1:19" ht="137.25" x14ac:dyDescent="0.2">
      <c r="A117" s="154"/>
      <c r="B117" s="270" t="s">
        <v>447</v>
      </c>
      <c r="C117" s="270" t="s">
        <v>448</v>
      </c>
      <c r="D117" s="270" t="s">
        <v>420</v>
      </c>
      <c r="E117" s="270" t="s">
        <v>449</v>
      </c>
      <c r="F117" s="142">
        <f t="shared" si="56"/>
        <v>0</v>
      </c>
      <c r="G117" s="111"/>
      <c r="H117" s="111"/>
      <c r="I117" s="111"/>
      <c r="J117" s="111"/>
      <c r="K117" s="271">
        <f t="shared" si="54"/>
        <v>5000000</v>
      </c>
      <c r="L117" s="111">
        <v>5000000</v>
      </c>
      <c r="M117" s="154"/>
      <c r="N117" s="154"/>
      <c r="O117" s="154"/>
      <c r="P117" s="243">
        <f t="shared" si="34"/>
        <v>5000000</v>
      </c>
      <c r="Q117" s="271">
        <f t="shared" si="55"/>
        <v>5000000</v>
      </c>
    </row>
    <row r="118" spans="1:19" ht="183" x14ac:dyDescent="0.2">
      <c r="A118" s="154"/>
      <c r="B118" s="270" t="s">
        <v>421</v>
      </c>
      <c r="C118" s="270" t="s">
        <v>422</v>
      </c>
      <c r="D118" s="270" t="s">
        <v>420</v>
      </c>
      <c r="E118" s="270" t="s">
        <v>423</v>
      </c>
      <c r="F118" s="142">
        <f t="shared" si="56"/>
        <v>0</v>
      </c>
      <c r="G118" s="111">
        <v>0</v>
      </c>
      <c r="H118" s="111"/>
      <c r="I118" s="111"/>
      <c r="J118" s="111"/>
      <c r="K118" s="271">
        <f t="shared" si="54"/>
        <v>23000000</v>
      </c>
      <c r="L118" s="111">
        <v>23000000</v>
      </c>
      <c r="M118" s="154"/>
      <c r="N118" s="154"/>
      <c r="O118" s="154"/>
      <c r="P118" s="243">
        <f t="shared" si="34"/>
        <v>23000000</v>
      </c>
      <c r="Q118" s="271">
        <f t="shared" si="55"/>
        <v>23000000</v>
      </c>
    </row>
    <row r="119" spans="1:19" ht="228.75" x14ac:dyDescent="0.2">
      <c r="A119" s="154"/>
      <c r="B119" s="270" t="s">
        <v>441</v>
      </c>
      <c r="C119" s="270" t="s">
        <v>442</v>
      </c>
      <c r="D119" s="270" t="s">
        <v>420</v>
      </c>
      <c r="E119" s="270" t="s">
        <v>443</v>
      </c>
      <c r="F119" s="142">
        <f t="shared" si="56"/>
        <v>370575</v>
      </c>
      <c r="G119" s="111">
        <v>370575</v>
      </c>
      <c r="H119" s="111"/>
      <c r="I119" s="111"/>
      <c r="J119" s="111"/>
      <c r="K119" s="271">
        <f t="shared" si="54"/>
        <v>0</v>
      </c>
      <c r="L119" s="225"/>
      <c r="M119" s="111"/>
      <c r="N119" s="111"/>
      <c r="O119" s="111"/>
      <c r="P119" s="243">
        <f t="shared" si="34"/>
        <v>0</v>
      </c>
      <c r="Q119" s="271">
        <f>F119+K119</f>
        <v>370575</v>
      </c>
    </row>
    <row r="120" spans="1:19" ht="91.5" x14ac:dyDescent="0.2">
      <c r="A120" s="154"/>
      <c r="B120" s="270" t="s">
        <v>427</v>
      </c>
      <c r="C120" s="270" t="s">
        <v>428</v>
      </c>
      <c r="D120" s="270" t="s">
        <v>420</v>
      </c>
      <c r="E120" s="270" t="s">
        <v>429</v>
      </c>
      <c r="F120" s="142">
        <f t="shared" si="56"/>
        <v>111566028</v>
      </c>
      <c r="G120" s="111">
        <v>111566028</v>
      </c>
      <c r="H120" s="111"/>
      <c r="I120" s="111">
        <v>10000</v>
      </c>
      <c r="J120" s="111"/>
      <c r="K120" s="271">
        <f t="shared" si="54"/>
        <v>19160721</v>
      </c>
      <c r="L120" s="225">
        <v>19160721</v>
      </c>
      <c r="M120" s="111"/>
      <c r="N120" s="111"/>
      <c r="O120" s="111"/>
      <c r="P120" s="243">
        <f t="shared" si="34"/>
        <v>19160721</v>
      </c>
      <c r="Q120" s="271">
        <f>F120+K120</f>
        <v>130726749</v>
      </c>
    </row>
    <row r="121" spans="1:19" ht="92.25" x14ac:dyDescent="0.2">
      <c r="A121" s="154"/>
      <c r="B121" s="270" t="s">
        <v>451</v>
      </c>
      <c r="C121" s="270" t="s">
        <v>452</v>
      </c>
      <c r="D121" s="270" t="s">
        <v>450</v>
      </c>
      <c r="E121" s="270" t="s">
        <v>453</v>
      </c>
      <c r="F121" s="142">
        <f t="shared" si="56"/>
        <v>0</v>
      </c>
      <c r="G121" s="111"/>
      <c r="H121" s="111"/>
      <c r="I121" s="111"/>
      <c r="J121" s="111"/>
      <c r="K121" s="271">
        <f t="shared" si="54"/>
        <v>9700000</v>
      </c>
      <c r="L121" s="225">
        <v>9700000</v>
      </c>
      <c r="M121" s="111"/>
      <c r="N121" s="111"/>
      <c r="O121" s="111"/>
      <c r="P121" s="243">
        <f t="shared" si="34"/>
        <v>9700000</v>
      </c>
      <c r="Q121" s="271">
        <f>F121+K121</f>
        <v>9700000</v>
      </c>
    </row>
    <row r="122" spans="1:19" ht="91.5" x14ac:dyDescent="0.2">
      <c r="A122" s="154"/>
      <c r="B122" s="270" t="s">
        <v>722</v>
      </c>
      <c r="C122" s="270" t="s">
        <v>723</v>
      </c>
      <c r="D122" s="270" t="s">
        <v>724</v>
      </c>
      <c r="E122" s="270" t="s">
        <v>725</v>
      </c>
      <c r="F122" s="142">
        <f t="shared" si="56"/>
        <v>10620634</v>
      </c>
      <c r="G122" s="111">
        <v>10620634</v>
      </c>
      <c r="H122" s="111"/>
      <c r="I122" s="111"/>
      <c r="J122" s="111"/>
      <c r="K122" s="271">
        <f t="shared" si="54"/>
        <v>0</v>
      </c>
      <c r="L122" s="225"/>
      <c r="M122" s="111"/>
      <c r="N122" s="111"/>
      <c r="O122" s="111"/>
      <c r="P122" s="243">
        <f t="shared" si="34"/>
        <v>0</v>
      </c>
      <c r="Q122" s="271">
        <f>F122+K122</f>
        <v>10620634</v>
      </c>
    </row>
    <row r="123" spans="1:19" ht="91.5" x14ac:dyDescent="0.2">
      <c r="A123" s="154"/>
      <c r="B123" s="270" t="s">
        <v>430</v>
      </c>
      <c r="C123" s="270" t="s">
        <v>431</v>
      </c>
      <c r="D123" s="270" t="s">
        <v>433</v>
      </c>
      <c r="E123" s="270" t="s">
        <v>432</v>
      </c>
      <c r="F123" s="142">
        <f t="shared" si="56"/>
        <v>16217135</v>
      </c>
      <c r="G123" s="111">
        <v>16217135</v>
      </c>
      <c r="H123" s="111"/>
      <c r="I123" s="111"/>
      <c r="J123" s="111"/>
      <c r="K123" s="271">
        <f t="shared" si="54"/>
        <v>0</v>
      </c>
      <c r="L123" s="225"/>
      <c r="M123" s="111"/>
      <c r="N123" s="111"/>
      <c r="O123" s="111"/>
      <c r="P123" s="243">
        <f t="shared" si="34"/>
        <v>0</v>
      </c>
      <c r="Q123" s="271">
        <f>F123+K123</f>
        <v>16217135</v>
      </c>
    </row>
    <row r="124" spans="1:19" ht="228.75" x14ac:dyDescent="0.2">
      <c r="A124" s="154"/>
      <c r="B124" s="270" t="s">
        <v>434</v>
      </c>
      <c r="C124" s="270" t="s">
        <v>435</v>
      </c>
      <c r="D124" s="270" t="s">
        <v>437</v>
      </c>
      <c r="E124" s="270" t="s">
        <v>436</v>
      </c>
      <c r="F124" s="142">
        <f t="shared" si="56"/>
        <v>59477425</v>
      </c>
      <c r="G124" s="111">
        <v>59477425</v>
      </c>
      <c r="H124" s="111"/>
      <c r="I124" s="111"/>
      <c r="J124" s="111"/>
      <c r="K124" s="271">
        <f t="shared" si="54"/>
        <v>82193108</v>
      </c>
      <c r="L124" s="111">
        <f>82763108-570000</f>
        <v>82193108</v>
      </c>
      <c r="M124" s="154"/>
      <c r="N124" s="154"/>
      <c r="O124" s="154"/>
      <c r="P124" s="243">
        <f t="shared" si="34"/>
        <v>82193108</v>
      </c>
      <c r="Q124" s="271">
        <f>+K124+F124</f>
        <v>141670533</v>
      </c>
    </row>
    <row r="125" spans="1:19" ht="46.5" x14ac:dyDescent="0.2">
      <c r="A125" s="154"/>
      <c r="B125" s="270" t="s">
        <v>438</v>
      </c>
      <c r="C125" s="270" t="s">
        <v>317</v>
      </c>
      <c r="D125" s="270" t="s">
        <v>318</v>
      </c>
      <c r="E125" s="270" t="s">
        <v>67</v>
      </c>
      <c r="F125" s="142">
        <f t="shared" si="56"/>
        <v>250000</v>
      </c>
      <c r="G125" s="111">
        <v>250000</v>
      </c>
      <c r="H125" s="111"/>
      <c r="I125" s="111"/>
      <c r="J125" s="111"/>
      <c r="K125" s="271">
        <f t="shared" si="54"/>
        <v>1250000</v>
      </c>
      <c r="L125" s="225">
        <f>1000000+250000</f>
        <v>1250000</v>
      </c>
      <c r="M125" s="111"/>
      <c r="N125" s="111"/>
      <c r="O125" s="111"/>
      <c r="P125" s="243">
        <f t="shared" si="34"/>
        <v>1250000</v>
      </c>
      <c r="Q125" s="271">
        <f>F125+K125</f>
        <v>1500000</v>
      </c>
    </row>
    <row r="126" spans="1:19" ht="91.5" x14ac:dyDescent="0.65">
      <c r="A126" s="154"/>
      <c r="B126" s="270" t="s">
        <v>455</v>
      </c>
      <c r="C126" s="270" t="s">
        <v>293</v>
      </c>
      <c r="D126" s="270" t="s">
        <v>256</v>
      </c>
      <c r="E126" s="270" t="s">
        <v>57</v>
      </c>
      <c r="F126" s="142">
        <f t="shared" si="56"/>
        <v>0</v>
      </c>
      <c r="G126" s="111"/>
      <c r="H126" s="111"/>
      <c r="I126" s="111"/>
      <c r="J126" s="111"/>
      <c r="K126" s="271">
        <f t="shared" si="54"/>
        <v>8737485</v>
      </c>
      <c r="L126" s="225">
        <f>8180115+557370</f>
        <v>8737485</v>
      </c>
      <c r="M126" s="111"/>
      <c r="N126" s="111"/>
      <c r="O126" s="111"/>
      <c r="P126" s="243">
        <f t="shared" si="34"/>
        <v>8737485</v>
      </c>
      <c r="Q126" s="271">
        <f>F126+K126</f>
        <v>8737485</v>
      </c>
      <c r="R126" s="165"/>
    </row>
    <row r="127" spans="1:19" ht="409.5" x14ac:dyDescent="0.2">
      <c r="A127" s="404"/>
      <c r="B127" s="422" t="s">
        <v>750</v>
      </c>
      <c r="C127" s="422" t="s">
        <v>538</v>
      </c>
      <c r="D127" s="422" t="s">
        <v>256</v>
      </c>
      <c r="E127" s="231" t="s">
        <v>549</v>
      </c>
      <c r="F127" s="418">
        <f t="shared" si="56"/>
        <v>0</v>
      </c>
      <c r="G127" s="404"/>
      <c r="H127" s="404"/>
      <c r="I127" s="404"/>
      <c r="J127" s="404"/>
      <c r="K127" s="414">
        <f t="shared" si="54"/>
        <v>1371000</v>
      </c>
      <c r="L127" s="404"/>
      <c r="M127" s="404">
        <v>1371000</v>
      </c>
      <c r="N127" s="404"/>
      <c r="O127" s="404"/>
      <c r="P127" s="406">
        <f t="shared" si="34"/>
        <v>0</v>
      </c>
      <c r="Q127" s="418">
        <f>F127+K127</f>
        <v>1371000</v>
      </c>
      <c r="R127" s="255">
        <f>Q127</f>
        <v>1371000</v>
      </c>
    </row>
    <row r="128" spans="1:19" ht="137.25" x14ac:dyDescent="0.65">
      <c r="A128" s="420"/>
      <c r="B128" s="403"/>
      <c r="C128" s="403"/>
      <c r="D128" s="403"/>
      <c r="E128" s="235" t="s">
        <v>550</v>
      </c>
      <c r="F128" s="419"/>
      <c r="G128" s="420"/>
      <c r="H128" s="405"/>
      <c r="I128" s="420"/>
      <c r="J128" s="420"/>
      <c r="K128" s="403"/>
      <c r="L128" s="403"/>
      <c r="M128" s="420"/>
      <c r="N128" s="420"/>
      <c r="O128" s="420"/>
      <c r="P128" s="426"/>
      <c r="Q128" s="419"/>
      <c r="R128" s="165"/>
    </row>
    <row r="129" spans="1:19" ht="91.5" x14ac:dyDescent="0.2">
      <c r="A129" s="154"/>
      <c r="B129" s="270" t="s">
        <v>385</v>
      </c>
      <c r="C129" s="270" t="s">
        <v>386</v>
      </c>
      <c r="D129" s="270" t="s">
        <v>387</v>
      </c>
      <c r="E129" s="270" t="s">
        <v>384</v>
      </c>
      <c r="F129" s="142">
        <f t="shared" si="56"/>
        <v>1250990</v>
      </c>
      <c r="G129" s="111">
        <v>1250990</v>
      </c>
      <c r="H129" s="111">
        <v>843750</v>
      </c>
      <c r="I129" s="111">
        <v>11500</v>
      </c>
      <c r="J129" s="111"/>
      <c r="K129" s="271">
        <f>M129+P129</f>
        <v>0</v>
      </c>
      <c r="L129" s="225"/>
      <c r="M129" s="111"/>
      <c r="N129" s="111"/>
      <c r="O129" s="111"/>
      <c r="P129" s="243">
        <f t="shared" ref="P129:P162" si="57">L129+A129</f>
        <v>0</v>
      </c>
      <c r="Q129" s="271">
        <f>F129+K129</f>
        <v>1250990</v>
      </c>
    </row>
    <row r="130" spans="1:19" ht="315" x14ac:dyDescent="0.2">
      <c r="A130" s="198">
        <f>A131</f>
        <v>0</v>
      </c>
      <c r="B130" s="197" t="s">
        <v>44</v>
      </c>
      <c r="C130" s="197"/>
      <c r="D130" s="197"/>
      <c r="E130" s="197" t="s">
        <v>635</v>
      </c>
      <c r="F130" s="237">
        <f>F131</f>
        <v>2696500</v>
      </c>
      <c r="G130" s="237">
        <f t="shared" ref="G130:H130" si="58">G131</f>
        <v>2696500</v>
      </c>
      <c r="H130" s="237">
        <f t="shared" si="58"/>
        <v>1776300</v>
      </c>
      <c r="I130" s="237">
        <f>I131</f>
        <v>100000</v>
      </c>
      <c r="J130" s="237">
        <f t="shared" ref="J130" si="59">J131</f>
        <v>0</v>
      </c>
      <c r="K130" s="237">
        <f>K131</f>
        <v>53000000</v>
      </c>
      <c r="L130" s="237">
        <f>L131</f>
        <v>53000000</v>
      </c>
      <c r="M130" s="237">
        <f>M131</f>
        <v>0</v>
      </c>
      <c r="N130" s="237">
        <f t="shared" ref="N130" si="60">N131</f>
        <v>0</v>
      </c>
      <c r="O130" s="237">
        <f>O131</f>
        <v>0</v>
      </c>
      <c r="P130" s="237">
        <f t="shared" si="57"/>
        <v>53000000</v>
      </c>
      <c r="Q130" s="198">
        <f t="shared" ref="Q130" si="61">Q131</f>
        <v>55696500</v>
      </c>
    </row>
    <row r="131" spans="1:19" ht="270" x14ac:dyDescent="0.2">
      <c r="A131" s="199">
        <f>SUM(A132:A135)</f>
        <v>0</v>
      </c>
      <c r="B131" s="201" t="s">
        <v>45</v>
      </c>
      <c r="C131" s="201"/>
      <c r="D131" s="201"/>
      <c r="E131" s="201" t="s">
        <v>634</v>
      </c>
      <c r="F131" s="199">
        <f t="shared" ref="F131:O131" si="62">SUM(F132:F135)</f>
        <v>2696500</v>
      </c>
      <c r="G131" s="199">
        <f t="shared" si="62"/>
        <v>2696500</v>
      </c>
      <c r="H131" s="199">
        <f t="shared" si="62"/>
        <v>1776300</v>
      </c>
      <c r="I131" s="199">
        <f t="shared" si="62"/>
        <v>100000</v>
      </c>
      <c r="J131" s="199">
        <f t="shared" si="62"/>
        <v>0</v>
      </c>
      <c r="K131" s="199">
        <f>M131+P131</f>
        <v>53000000</v>
      </c>
      <c r="L131" s="199">
        <f t="shared" si="62"/>
        <v>53000000</v>
      </c>
      <c r="M131" s="199">
        <f t="shared" si="62"/>
        <v>0</v>
      </c>
      <c r="N131" s="199">
        <f t="shared" si="62"/>
        <v>0</v>
      </c>
      <c r="O131" s="199">
        <f t="shared" si="62"/>
        <v>0</v>
      </c>
      <c r="P131" s="238">
        <f t="shared" si="57"/>
        <v>53000000</v>
      </c>
      <c r="Q131" s="199">
        <f>F131+K131</f>
        <v>55696500</v>
      </c>
      <c r="R131" s="153" t="b">
        <f>Q131=Q133+Q134+Q135+Q132</f>
        <v>1</v>
      </c>
      <c r="S131" s="155" t="b">
        <f>L131='dod5'!I122</f>
        <v>0</v>
      </c>
    </row>
    <row r="132" spans="1:19" ht="228.75" x14ac:dyDescent="0.2">
      <c r="A132" s="225"/>
      <c r="B132" s="270" t="s">
        <v>739</v>
      </c>
      <c r="C132" s="270" t="s">
        <v>341</v>
      </c>
      <c r="D132" s="270" t="s">
        <v>339</v>
      </c>
      <c r="E132" s="270" t="s">
        <v>340</v>
      </c>
      <c r="F132" s="271">
        <f t="shared" ref="F132:F134" si="63">G132</f>
        <v>2696500</v>
      </c>
      <c r="G132" s="225">
        <v>2696500</v>
      </c>
      <c r="H132" s="225">
        <v>1776300</v>
      </c>
      <c r="I132" s="225">
        <v>100000</v>
      </c>
      <c r="J132" s="225"/>
      <c r="K132" s="271">
        <f>M132+P132</f>
        <v>0</v>
      </c>
      <c r="L132" s="225"/>
      <c r="M132" s="225"/>
      <c r="N132" s="225"/>
      <c r="O132" s="225"/>
      <c r="P132" s="243">
        <f t="shared" si="57"/>
        <v>0</v>
      </c>
      <c r="Q132" s="271">
        <f>F132+K132</f>
        <v>2696500</v>
      </c>
      <c r="R132" s="153"/>
      <c r="S132" s="155"/>
    </row>
    <row r="133" spans="1:19" ht="91.5" x14ac:dyDescent="0.2">
      <c r="A133" s="225"/>
      <c r="B133" s="270" t="s">
        <v>469</v>
      </c>
      <c r="C133" s="270" t="s">
        <v>470</v>
      </c>
      <c r="D133" s="270" t="s">
        <v>450</v>
      </c>
      <c r="E133" s="270" t="s">
        <v>468</v>
      </c>
      <c r="F133" s="271">
        <f t="shared" si="63"/>
        <v>0</v>
      </c>
      <c r="G133" s="225"/>
      <c r="H133" s="225"/>
      <c r="I133" s="225"/>
      <c r="J133" s="225"/>
      <c r="K133" s="271">
        <f>M133+P133</f>
        <v>37000000</v>
      </c>
      <c r="L133" s="225">
        <v>37000000</v>
      </c>
      <c r="M133" s="225"/>
      <c r="N133" s="225"/>
      <c r="O133" s="225"/>
      <c r="P133" s="243">
        <f t="shared" si="57"/>
        <v>37000000</v>
      </c>
      <c r="Q133" s="271">
        <f>F133+K133</f>
        <v>37000000</v>
      </c>
    </row>
    <row r="134" spans="1:19" ht="137.25" x14ac:dyDescent="0.2">
      <c r="A134" s="225"/>
      <c r="B134" s="270" t="s">
        <v>471</v>
      </c>
      <c r="C134" s="270" t="s">
        <v>472</v>
      </c>
      <c r="D134" s="270" t="s">
        <v>450</v>
      </c>
      <c r="E134" s="270" t="s">
        <v>473</v>
      </c>
      <c r="F134" s="271">
        <f t="shared" si="63"/>
        <v>0</v>
      </c>
      <c r="G134" s="225"/>
      <c r="H134" s="225"/>
      <c r="I134" s="225"/>
      <c r="J134" s="225"/>
      <c r="K134" s="271">
        <f>M134+P134</f>
        <v>4500000</v>
      </c>
      <c r="L134" s="225">
        <v>4500000</v>
      </c>
      <c r="M134" s="225"/>
      <c r="N134" s="225"/>
      <c r="O134" s="225"/>
      <c r="P134" s="243">
        <f t="shared" si="57"/>
        <v>4500000</v>
      </c>
      <c r="Q134" s="271">
        <f>F134+K134</f>
        <v>4500000</v>
      </c>
    </row>
    <row r="135" spans="1:19" ht="183" x14ac:dyDescent="0.2">
      <c r="A135" s="225"/>
      <c r="B135" s="270" t="s">
        <v>475</v>
      </c>
      <c r="C135" s="270" t="s">
        <v>476</v>
      </c>
      <c r="D135" s="270" t="s">
        <v>450</v>
      </c>
      <c r="E135" s="270" t="s">
        <v>474</v>
      </c>
      <c r="F135" s="271">
        <f>G135</f>
        <v>0</v>
      </c>
      <c r="G135" s="225"/>
      <c r="H135" s="225"/>
      <c r="I135" s="225"/>
      <c r="J135" s="225"/>
      <c r="K135" s="225">
        <f>M135+P135</f>
        <v>11500000</v>
      </c>
      <c r="L135" s="225">
        <v>11500000</v>
      </c>
      <c r="M135" s="225"/>
      <c r="N135" s="225"/>
      <c r="O135" s="225"/>
      <c r="P135" s="243">
        <f t="shared" si="57"/>
        <v>11500000</v>
      </c>
      <c r="Q135" s="271">
        <f>F135+K135</f>
        <v>11500000</v>
      </c>
    </row>
    <row r="136" spans="1:19" ht="270" x14ac:dyDescent="0.2">
      <c r="A136" s="198">
        <f>A137</f>
        <v>0</v>
      </c>
      <c r="B136" s="197" t="s">
        <v>246</v>
      </c>
      <c r="C136" s="197"/>
      <c r="D136" s="197"/>
      <c r="E136" s="197" t="s">
        <v>46</v>
      </c>
      <c r="F136" s="237">
        <f>F137</f>
        <v>3880500</v>
      </c>
      <c r="G136" s="237">
        <f t="shared" ref="G136:H136" si="64">G137</f>
        <v>3880500</v>
      </c>
      <c r="H136" s="237">
        <f t="shared" si="64"/>
        <v>2850700</v>
      </c>
      <c r="I136" s="237">
        <f>I137</f>
        <v>107000</v>
      </c>
      <c r="J136" s="237">
        <f t="shared" ref="J136" si="65">J137</f>
        <v>0</v>
      </c>
      <c r="K136" s="237">
        <f>K137</f>
        <v>2000000</v>
      </c>
      <c r="L136" s="237">
        <f>L137</f>
        <v>2000000</v>
      </c>
      <c r="M136" s="237">
        <f>M137</f>
        <v>0</v>
      </c>
      <c r="N136" s="237">
        <f t="shared" ref="N136" si="66">N137</f>
        <v>0</v>
      </c>
      <c r="O136" s="237">
        <f>O137</f>
        <v>0</v>
      </c>
      <c r="P136" s="237">
        <f t="shared" si="57"/>
        <v>2000000</v>
      </c>
      <c r="Q136" s="198">
        <f t="shared" ref="Q136" si="67">Q137</f>
        <v>5880500</v>
      </c>
    </row>
    <row r="137" spans="1:19" ht="270" x14ac:dyDescent="0.2">
      <c r="A137" s="199">
        <f>SUM(A138:A139)</f>
        <v>0</v>
      </c>
      <c r="B137" s="201" t="s">
        <v>247</v>
      </c>
      <c r="C137" s="201"/>
      <c r="D137" s="201"/>
      <c r="E137" s="201" t="s">
        <v>64</v>
      </c>
      <c r="F137" s="199">
        <f>SUM(F138:F139)</f>
        <v>3880500</v>
      </c>
      <c r="G137" s="199">
        <f t="shared" ref="G137:O137" si="68">SUM(G138:G139)</f>
        <v>3880500</v>
      </c>
      <c r="H137" s="199">
        <f t="shared" si="68"/>
        <v>2850700</v>
      </c>
      <c r="I137" s="199">
        <f t="shared" si="68"/>
        <v>107000</v>
      </c>
      <c r="J137" s="199">
        <f t="shared" si="68"/>
        <v>0</v>
      </c>
      <c r="K137" s="199">
        <f>M137+P137</f>
        <v>2000000</v>
      </c>
      <c r="L137" s="199">
        <f t="shared" si="68"/>
        <v>2000000</v>
      </c>
      <c r="M137" s="199">
        <f t="shared" si="68"/>
        <v>0</v>
      </c>
      <c r="N137" s="199">
        <f t="shared" si="68"/>
        <v>0</v>
      </c>
      <c r="O137" s="199">
        <f t="shared" si="68"/>
        <v>0</v>
      </c>
      <c r="P137" s="238">
        <f t="shared" si="57"/>
        <v>2000000</v>
      </c>
      <c r="Q137" s="199">
        <f>F137+K137</f>
        <v>5880500</v>
      </c>
      <c r="R137" s="153" t="b">
        <f>Q137=Q139+Q138</f>
        <v>1</v>
      </c>
      <c r="S137" s="155" t="b">
        <f>L137='dod5'!I146</f>
        <v>0</v>
      </c>
    </row>
    <row r="138" spans="1:19" ht="228.75" x14ac:dyDescent="0.2">
      <c r="A138" s="225"/>
      <c r="B138" s="270" t="s">
        <v>741</v>
      </c>
      <c r="C138" s="270" t="s">
        <v>341</v>
      </c>
      <c r="D138" s="270" t="s">
        <v>339</v>
      </c>
      <c r="E138" s="270" t="s">
        <v>340</v>
      </c>
      <c r="F138" s="271">
        <f>G138</f>
        <v>3880500</v>
      </c>
      <c r="G138" s="225">
        <v>3880500</v>
      </c>
      <c r="H138" s="225">
        <v>2850700</v>
      </c>
      <c r="I138" s="225">
        <v>107000</v>
      </c>
      <c r="J138" s="225"/>
      <c r="K138" s="225">
        <f>M138+P138</f>
        <v>0</v>
      </c>
      <c r="L138" s="225"/>
      <c r="M138" s="225"/>
      <c r="N138" s="225"/>
      <c r="O138" s="225"/>
      <c r="P138" s="243">
        <f t="shared" si="57"/>
        <v>0</v>
      </c>
      <c r="Q138" s="271">
        <f>F138+K138</f>
        <v>3880500</v>
      </c>
      <c r="R138" s="153"/>
      <c r="S138" s="155"/>
    </row>
    <row r="139" spans="1:19" ht="137.25" x14ac:dyDescent="0.2">
      <c r="A139" s="225"/>
      <c r="B139" s="270" t="s">
        <v>460</v>
      </c>
      <c r="C139" s="270" t="s">
        <v>461</v>
      </c>
      <c r="D139" s="270" t="s">
        <v>450</v>
      </c>
      <c r="E139" s="270" t="s">
        <v>462</v>
      </c>
      <c r="F139" s="271">
        <f>G139</f>
        <v>0</v>
      </c>
      <c r="G139" s="225">
        <v>0</v>
      </c>
      <c r="H139" s="225"/>
      <c r="I139" s="225"/>
      <c r="J139" s="225"/>
      <c r="K139" s="271">
        <f>M139+P139</f>
        <v>2000000</v>
      </c>
      <c r="L139" s="225">
        <v>2000000</v>
      </c>
      <c r="M139" s="225"/>
      <c r="N139" s="225"/>
      <c r="O139" s="225"/>
      <c r="P139" s="243">
        <f t="shared" si="57"/>
        <v>2000000</v>
      </c>
      <c r="Q139" s="271">
        <f>F139+K139</f>
        <v>2000000</v>
      </c>
    </row>
    <row r="140" spans="1:19" ht="135" x14ac:dyDescent="0.2">
      <c r="A140" s="198">
        <f>A141</f>
        <v>0</v>
      </c>
      <c r="B140" s="197" t="s">
        <v>252</v>
      </c>
      <c r="C140" s="197"/>
      <c r="D140" s="197"/>
      <c r="E140" s="197" t="s">
        <v>577</v>
      </c>
      <c r="F140" s="237">
        <f>F141</f>
        <v>4870650</v>
      </c>
      <c r="G140" s="237">
        <f t="shared" ref="G140:H140" si="69">G141</f>
        <v>4870650</v>
      </c>
      <c r="H140" s="237">
        <f t="shared" si="69"/>
        <v>0</v>
      </c>
      <c r="I140" s="237">
        <f>I141</f>
        <v>0</v>
      </c>
      <c r="J140" s="237">
        <f t="shared" ref="J140" si="70">J141</f>
        <v>0</v>
      </c>
      <c r="K140" s="237">
        <f>K141</f>
        <v>2570000</v>
      </c>
      <c r="L140" s="237">
        <f>L141</f>
        <v>2570000</v>
      </c>
      <c r="M140" s="237">
        <f>M141</f>
        <v>0</v>
      </c>
      <c r="N140" s="237">
        <f t="shared" ref="N140" si="71">N141</f>
        <v>0</v>
      </c>
      <c r="O140" s="237">
        <f>O141</f>
        <v>0</v>
      </c>
      <c r="P140" s="237">
        <f t="shared" si="57"/>
        <v>2570000</v>
      </c>
      <c r="Q140" s="198">
        <f t="shared" ref="Q140" si="72">Q141</f>
        <v>7440650</v>
      </c>
    </row>
    <row r="141" spans="1:19" ht="135" x14ac:dyDescent="0.2">
      <c r="A141" s="199">
        <f>SUM(A142:A145)</f>
        <v>0</v>
      </c>
      <c r="B141" s="201" t="s">
        <v>253</v>
      </c>
      <c r="C141" s="201"/>
      <c r="D141" s="201"/>
      <c r="E141" s="201" t="s">
        <v>578</v>
      </c>
      <c r="F141" s="199">
        <f>SUM(F142:F145)</f>
        <v>4870650</v>
      </c>
      <c r="G141" s="199">
        <f t="shared" ref="G141:O141" si="73">SUM(G142:G145)</f>
        <v>4870650</v>
      </c>
      <c r="H141" s="199">
        <f t="shared" si="73"/>
        <v>0</v>
      </c>
      <c r="I141" s="199">
        <f t="shared" si="73"/>
        <v>0</v>
      </c>
      <c r="J141" s="199">
        <f t="shared" si="73"/>
        <v>0</v>
      </c>
      <c r="K141" s="199">
        <f>M141+P141</f>
        <v>2570000</v>
      </c>
      <c r="L141" s="199">
        <f t="shared" si="73"/>
        <v>2570000</v>
      </c>
      <c r="M141" s="199">
        <f t="shared" si="73"/>
        <v>0</v>
      </c>
      <c r="N141" s="199">
        <f t="shared" si="73"/>
        <v>0</v>
      </c>
      <c r="O141" s="199">
        <f t="shared" si="73"/>
        <v>0</v>
      </c>
      <c r="P141" s="238">
        <f t="shared" si="57"/>
        <v>2570000</v>
      </c>
      <c r="Q141" s="199">
        <f>F141+K141</f>
        <v>7440650</v>
      </c>
      <c r="R141" s="153" t="b">
        <f>Q141=Q142+Q143+Q144+Q145</f>
        <v>1</v>
      </c>
      <c r="S141" s="155" t="b">
        <f>L141='dod5'!I152</f>
        <v>0</v>
      </c>
    </row>
    <row r="142" spans="1:19" ht="137.25" x14ac:dyDescent="0.2">
      <c r="A142" s="225"/>
      <c r="B142" s="270" t="s">
        <v>571</v>
      </c>
      <c r="C142" s="270" t="s">
        <v>572</v>
      </c>
      <c r="D142" s="270" t="s">
        <v>256</v>
      </c>
      <c r="E142" s="270" t="s">
        <v>398</v>
      </c>
      <c r="F142" s="271">
        <f>G142</f>
        <v>0</v>
      </c>
      <c r="G142" s="225"/>
      <c r="H142" s="225"/>
      <c r="I142" s="225"/>
      <c r="J142" s="225"/>
      <c r="K142" s="271">
        <f>M142+P142</f>
        <v>2000000</v>
      </c>
      <c r="L142" s="225">
        <v>2000000</v>
      </c>
      <c r="M142" s="225"/>
      <c r="N142" s="225"/>
      <c r="O142" s="225"/>
      <c r="P142" s="243">
        <f t="shared" si="57"/>
        <v>2000000</v>
      </c>
      <c r="Q142" s="271">
        <f>F142+K142</f>
        <v>2000000</v>
      </c>
    </row>
    <row r="143" spans="1:19" ht="91.5" x14ac:dyDescent="0.2">
      <c r="A143" s="225"/>
      <c r="B143" s="270" t="s">
        <v>396</v>
      </c>
      <c r="C143" s="270" t="s">
        <v>397</v>
      </c>
      <c r="D143" s="270" t="s">
        <v>395</v>
      </c>
      <c r="E143" s="270" t="s">
        <v>394</v>
      </c>
      <c r="F143" s="271">
        <f t="shared" ref="F143:F145" si="74">G143</f>
        <v>2656650</v>
      </c>
      <c r="G143" s="225">
        <v>2656650</v>
      </c>
      <c r="H143" s="225"/>
      <c r="I143" s="225"/>
      <c r="J143" s="225"/>
      <c r="K143" s="271">
        <f>M143+P143</f>
        <v>570000</v>
      </c>
      <c r="L143" s="225">
        <v>570000</v>
      </c>
      <c r="M143" s="225"/>
      <c r="N143" s="225"/>
      <c r="O143" s="225"/>
      <c r="P143" s="243">
        <f t="shared" si="57"/>
        <v>570000</v>
      </c>
      <c r="Q143" s="271">
        <f>F143+K143</f>
        <v>3226650</v>
      </c>
    </row>
    <row r="144" spans="1:19" ht="137.25" x14ac:dyDescent="0.2">
      <c r="A144" s="225"/>
      <c r="B144" s="270" t="s">
        <v>388</v>
      </c>
      <c r="C144" s="270" t="s">
        <v>390</v>
      </c>
      <c r="D144" s="270" t="s">
        <v>318</v>
      </c>
      <c r="E144" s="270" t="s">
        <v>389</v>
      </c>
      <c r="F144" s="271">
        <f t="shared" si="74"/>
        <v>420000</v>
      </c>
      <c r="G144" s="225">
        <v>420000</v>
      </c>
      <c r="H144" s="225"/>
      <c r="I144" s="225"/>
      <c r="J144" s="225"/>
      <c r="K144" s="271">
        <f>M144+P144</f>
        <v>0</v>
      </c>
      <c r="L144" s="225"/>
      <c r="M144" s="225"/>
      <c r="N144" s="225"/>
      <c r="O144" s="225"/>
      <c r="P144" s="243">
        <f t="shared" si="57"/>
        <v>0</v>
      </c>
      <c r="Q144" s="271">
        <f>F144+K144</f>
        <v>420000</v>
      </c>
    </row>
    <row r="145" spans="1:19" ht="91.5" x14ac:dyDescent="0.2">
      <c r="A145" s="225"/>
      <c r="B145" s="270" t="s">
        <v>392</v>
      </c>
      <c r="C145" s="270" t="s">
        <v>393</v>
      </c>
      <c r="D145" s="270" t="s">
        <v>256</v>
      </c>
      <c r="E145" s="270" t="s">
        <v>391</v>
      </c>
      <c r="F145" s="271">
        <f t="shared" si="74"/>
        <v>1794000</v>
      </c>
      <c r="G145" s="225">
        <v>1794000</v>
      </c>
      <c r="H145" s="225"/>
      <c r="I145" s="225"/>
      <c r="J145" s="225"/>
      <c r="K145" s="271">
        <f>M145+P145</f>
        <v>0</v>
      </c>
      <c r="L145" s="225"/>
      <c r="M145" s="225"/>
      <c r="N145" s="225"/>
      <c r="O145" s="225"/>
      <c r="P145" s="243">
        <f t="shared" si="57"/>
        <v>0</v>
      </c>
      <c r="Q145" s="271">
        <f>F145+K145</f>
        <v>1794000</v>
      </c>
    </row>
    <row r="146" spans="1:19" ht="180" x14ac:dyDescent="0.2">
      <c r="A146" s="198">
        <f>A147</f>
        <v>500000</v>
      </c>
      <c r="B146" s="197" t="s">
        <v>250</v>
      </c>
      <c r="C146" s="197"/>
      <c r="D146" s="197"/>
      <c r="E146" s="197" t="s">
        <v>47</v>
      </c>
      <c r="F146" s="237">
        <f>F147</f>
        <v>4223100</v>
      </c>
      <c r="G146" s="237">
        <f t="shared" ref="G146:H146" si="75">G147</f>
        <v>4223100</v>
      </c>
      <c r="H146" s="237">
        <f t="shared" si="75"/>
        <v>3166500</v>
      </c>
      <c r="I146" s="237">
        <f>I147</f>
        <v>117900</v>
      </c>
      <c r="J146" s="237">
        <f t="shared" ref="J146" si="76">J147</f>
        <v>0</v>
      </c>
      <c r="K146" s="237">
        <f>K147</f>
        <v>500000</v>
      </c>
      <c r="L146" s="237">
        <f>L147</f>
        <v>0</v>
      </c>
      <c r="M146" s="237">
        <f>M147</f>
        <v>0</v>
      </c>
      <c r="N146" s="237">
        <f t="shared" ref="N146" si="77">N147</f>
        <v>0</v>
      </c>
      <c r="O146" s="237">
        <f>O147</f>
        <v>0</v>
      </c>
      <c r="P146" s="237">
        <f t="shared" si="57"/>
        <v>500000</v>
      </c>
      <c r="Q146" s="198">
        <f t="shared" ref="Q146" si="78">Q147</f>
        <v>4723100</v>
      </c>
    </row>
    <row r="147" spans="1:19" ht="180" x14ac:dyDescent="0.2">
      <c r="A147" s="199">
        <f>SUM(A148:A150)</f>
        <v>500000</v>
      </c>
      <c r="B147" s="201" t="s">
        <v>251</v>
      </c>
      <c r="C147" s="201"/>
      <c r="D147" s="201"/>
      <c r="E147" s="201" t="s">
        <v>65</v>
      </c>
      <c r="F147" s="199">
        <f t="shared" ref="F147:O147" si="79">SUM(F148:F150)</f>
        <v>4223100</v>
      </c>
      <c r="G147" s="199">
        <f t="shared" si="79"/>
        <v>4223100</v>
      </c>
      <c r="H147" s="199">
        <f t="shared" si="79"/>
        <v>3166500</v>
      </c>
      <c r="I147" s="199">
        <f t="shared" si="79"/>
        <v>117900</v>
      </c>
      <c r="J147" s="199">
        <f t="shared" si="79"/>
        <v>0</v>
      </c>
      <c r="K147" s="199">
        <f>M147+P147</f>
        <v>500000</v>
      </c>
      <c r="L147" s="199">
        <f t="shared" si="79"/>
        <v>0</v>
      </c>
      <c r="M147" s="199">
        <f t="shared" si="79"/>
        <v>0</v>
      </c>
      <c r="N147" s="199">
        <f t="shared" si="79"/>
        <v>0</v>
      </c>
      <c r="O147" s="199">
        <f t="shared" si="79"/>
        <v>0</v>
      </c>
      <c r="P147" s="238">
        <f t="shared" si="57"/>
        <v>500000</v>
      </c>
      <c r="Q147" s="199">
        <f>F147+K147</f>
        <v>4723100</v>
      </c>
      <c r="R147" s="153" t="b">
        <f>Q147=Q149+Q150+Q148</f>
        <v>1</v>
      </c>
      <c r="S147" s="155" t="b">
        <f>K147='dod7'!F16</f>
        <v>0</v>
      </c>
    </row>
    <row r="148" spans="1:19" ht="228.75" x14ac:dyDescent="0.2">
      <c r="A148" s="225"/>
      <c r="B148" s="270" t="s">
        <v>744</v>
      </c>
      <c r="C148" s="270" t="s">
        <v>341</v>
      </c>
      <c r="D148" s="270" t="s">
        <v>339</v>
      </c>
      <c r="E148" s="270" t="s">
        <v>340</v>
      </c>
      <c r="F148" s="271">
        <f>G148</f>
        <v>4223100</v>
      </c>
      <c r="G148" s="225">
        <v>4223100</v>
      </c>
      <c r="H148" s="225">
        <v>3166500</v>
      </c>
      <c r="I148" s="225">
        <v>117900</v>
      </c>
      <c r="J148" s="225"/>
      <c r="K148" s="271">
        <f>M148+P148</f>
        <v>0</v>
      </c>
      <c r="L148" s="225"/>
      <c r="M148" s="225"/>
      <c r="N148" s="225"/>
      <c r="O148" s="225"/>
      <c r="P148" s="243">
        <f t="shared" si="57"/>
        <v>0</v>
      </c>
      <c r="Q148" s="271">
        <f>F148+K148</f>
        <v>4223100</v>
      </c>
      <c r="R148" s="153"/>
      <c r="S148" s="155"/>
    </row>
    <row r="149" spans="1:19" ht="137.25" x14ac:dyDescent="0.2">
      <c r="A149" s="225">
        <v>400000</v>
      </c>
      <c r="B149" s="270" t="s">
        <v>463</v>
      </c>
      <c r="C149" s="270" t="s">
        <v>464</v>
      </c>
      <c r="D149" s="270" t="s">
        <v>81</v>
      </c>
      <c r="E149" s="270" t="s">
        <v>82</v>
      </c>
      <c r="F149" s="271">
        <f t="shared" ref="F149" si="80">G149</f>
        <v>0</v>
      </c>
      <c r="G149" s="225"/>
      <c r="H149" s="225"/>
      <c r="I149" s="225"/>
      <c r="J149" s="225"/>
      <c r="K149" s="271">
        <f>M149+P149</f>
        <v>400000</v>
      </c>
      <c r="L149" s="225"/>
      <c r="M149" s="225"/>
      <c r="N149" s="225"/>
      <c r="O149" s="225"/>
      <c r="P149" s="243">
        <f t="shared" si="57"/>
        <v>400000</v>
      </c>
      <c r="Q149" s="271">
        <f>F149+K149</f>
        <v>400000</v>
      </c>
    </row>
    <row r="150" spans="1:19" ht="91.5" x14ac:dyDescent="0.2">
      <c r="A150" s="154">
        <v>100000</v>
      </c>
      <c r="B150" s="270" t="s">
        <v>465</v>
      </c>
      <c r="C150" s="270" t="s">
        <v>466</v>
      </c>
      <c r="D150" s="270" t="s">
        <v>83</v>
      </c>
      <c r="E150" s="270" t="s">
        <v>467</v>
      </c>
      <c r="F150" s="271">
        <v>0</v>
      </c>
      <c r="G150" s="225"/>
      <c r="H150" s="225"/>
      <c r="I150" s="225"/>
      <c r="J150" s="225"/>
      <c r="K150" s="271">
        <f>M150+P150</f>
        <v>100000</v>
      </c>
      <c r="L150" s="271"/>
      <c r="M150" s="225"/>
      <c r="N150" s="225"/>
      <c r="O150" s="225"/>
      <c r="P150" s="243">
        <f t="shared" si="57"/>
        <v>100000</v>
      </c>
      <c r="Q150" s="271">
        <f>F150+K150</f>
        <v>100000</v>
      </c>
    </row>
    <row r="151" spans="1:19" ht="315" x14ac:dyDescent="0.2">
      <c r="A151" s="198">
        <f>A152</f>
        <v>0</v>
      </c>
      <c r="B151" s="197" t="s">
        <v>248</v>
      </c>
      <c r="C151" s="197"/>
      <c r="D151" s="197"/>
      <c r="E151" s="197" t="s">
        <v>579</v>
      </c>
      <c r="F151" s="237">
        <f>F152</f>
        <v>3469300</v>
      </c>
      <c r="G151" s="237">
        <f t="shared" ref="G151:H151" si="81">G152</f>
        <v>3469300</v>
      </c>
      <c r="H151" s="237">
        <f t="shared" si="81"/>
        <v>2641000</v>
      </c>
      <c r="I151" s="237">
        <f>I152</f>
        <v>60000</v>
      </c>
      <c r="J151" s="237">
        <f t="shared" ref="J151" si="82">J152</f>
        <v>0</v>
      </c>
      <c r="K151" s="237">
        <f>K152</f>
        <v>500000</v>
      </c>
      <c r="L151" s="237">
        <f>L152</f>
        <v>500000</v>
      </c>
      <c r="M151" s="237">
        <f>M152</f>
        <v>0</v>
      </c>
      <c r="N151" s="237">
        <f t="shared" ref="N151" si="83">N152</f>
        <v>0</v>
      </c>
      <c r="O151" s="237">
        <f>O152</f>
        <v>0</v>
      </c>
      <c r="P151" s="237">
        <f t="shared" si="57"/>
        <v>500000</v>
      </c>
      <c r="Q151" s="198">
        <f t="shared" ref="Q151" si="84">Q152</f>
        <v>3969300</v>
      </c>
    </row>
    <row r="152" spans="1:19" ht="315" x14ac:dyDescent="0.2">
      <c r="A152" s="199">
        <f>SUM(A153:A155)</f>
        <v>0</v>
      </c>
      <c r="B152" s="201" t="s">
        <v>249</v>
      </c>
      <c r="C152" s="201"/>
      <c r="D152" s="201"/>
      <c r="E152" s="201" t="s">
        <v>580</v>
      </c>
      <c r="F152" s="199">
        <f>SUM(F153:F155)</f>
        <v>3469300</v>
      </c>
      <c r="G152" s="199">
        <f t="shared" ref="G152:O152" si="85">SUM(G153:G155)</f>
        <v>3469300</v>
      </c>
      <c r="H152" s="199">
        <f t="shared" si="85"/>
        <v>2641000</v>
      </c>
      <c r="I152" s="199">
        <f t="shared" si="85"/>
        <v>60000</v>
      </c>
      <c r="J152" s="199">
        <f t="shared" si="85"/>
        <v>0</v>
      </c>
      <c r="K152" s="199">
        <f>M152+P152</f>
        <v>500000</v>
      </c>
      <c r="L152" s="199">
        <f t="shared" si="85"/>
        <v>500000</v>
      </c>
      <c r="M152" s="199">
        <f t="shared" si="85"/>
        <v>0</v>
      </c>
      <c r="N152" s="199">
        <f t="shared" si="85"/>
        <v>0</v>
      </c>
      <c r="O152" s="199">
        <f t="shared" si="85"/>
        <v>0</v>
      </c>
      <c r="P152" s="238">
        <f t="shared" si="57"/>
        <v>500000</v>
      </c>
      <c r="Q152" s="199">
        <f>F152+K152</f>
        <v>3969300</v>
      </c>
      <c r="R152" s="153" t="b">
        <f>Q152=Q154+Q155+Q153</f>
        <v>1</v>
      </c>
      <c r="S152" s="155" t="b">
        <f>L152='dod5'!I158</f>
        <v>1</v>
      </c>
    </row>
    <row r="153" spans="1:19" ht="228.75" x14ac:dyDescent="0.2">
      <c r="A153" s="225"/>
      <c r="B153" s="270" t="s">
        <v>740</v>
      </c>
      <c r="C153" s="270" t="s">
        <v>341</v>
      </c>
      <c r="D153" s="270" t="s">
        <v>339</v>
      </c>
      <c r="E153" s="270" t="s">
        <v>340</v>
      </c>
      <c r="F153" s="271">
        <f>G153</f>
        <v>3469300</v>
      </c>
      <c r="G153" s="225">
        <v>3469300</v>
      </c>
      <c r="H153" s="225">
        <v>2641000</v>
      </c>
      <c r="I153" s="225">
        <v>60000</v>
      </c>
      <c r="J153" s="225"/>
      <c r="K153" s="271">
        <f>M153+P153</f>
        <v>0</v>
      </c>
      <c r="L153" s="225"/>
      <c r="M153" s="225"/>
      <c r="N153" s="225"/>
      <c r="O153" s="225"/>
      <c r="P153" s="243">
        <f t="shared" si="57"/>
        <v>0</v>
      </c>
      <c r="Q153" s="271">
        <f>F153+K153</f>
        <v>3469300</v>
      </c>
      <c r="R153" s="153"/>
      <c r="S153" s="155"/>
    </row>
    <row r="154" spans="1:19" ht="91.5" x14ac:dyDescent="0.2">
      <c r="A154" s="225"/>
      <c r="B154" s="270" t="s">
        <v>457</v>
      </c>
      <c r="C154" s="270" t="s">
        <v>458</v>
      </c>
      <c r="D154" s="270" t="s">
        <v>459</v>
      </c>
      <c r="E154" s="270" t="s">
        <v>456</v>
      </c>
      <c r="F154" s="271">
        <f>G154</f>
        <v>0</v>
      </c>
      <c r="G154" s="225">
        <v>0</v>
      </c>
      <c r="H154" s="225"/>
      <c r="I154" s="225"/>
      <c r="J154" s="225"/>
      <c r="K154" s="271">
        <f>M154+P154</f>
        <v>410000</v>
      </c>
      <c r="L154" s="225">
        <v>410000</v>
      </c>
      <c r="M154" s="225"/>
      <c r="N154" s="225"/>
      <c r="O154" s="225"/>
      <c r="P154" s="243">
        <f t="shared" si="57"/>
        <v>410000</v>
      </c>
      <c r="Q154" s="271">
        <f>F154+K154</f>
        <v>410000</v>
      </c>
    </row>
    <row r="155" spans="1:19" ht="137.25" x14ac:dyDescent="0.2">
      <c r="A155" s="225"/>
      <c r="B155" s="270" t="s">
        <v>610</v>
      </c>
      <c r="C155" s="270" t="s">
        <v>611</v>
      </c>
      <c r="D155" s="270" t="s">
        <v>256</v>
      </c>
      <c r="E155" s="270" t="s">
        <v>612</v>
      </c>
      <c r="F155" s="271">
        <f>G155</f>
        <v>0</v>
      </c>
      <c r="G155" s="225">
        <v>0</v>
      </c>
      <c r="H155" s="225"/>
      <c r="I155" s="225"/>
      <c r="J155" s="225"/>
      <c r="K155" s="271">
        <f>M155+P155</f>
        <v>90000</v>
      </c>
      <c r="L155" s="225">
        <v>90000</v>
      </c>
      <c r="M155" s="225"/>
      <c r="N155" s="225"/>
      <c r="O155" s="225"/>
      <c r="P155" s="243">
        <f t="shared" si="57"/>
        <v>90000</v>
      </c>
      <c r="Q155" s="271">
        <f>F155+K155</f>
        <v>90000</v>
      </c>
    </row>
    <row r="156" spans="1:19" ht="135" x14ac:dyDescent="0.2">
      <c r="A156" s="198">
        <f>A157</f>
        <v>0</v>
      </c>
      <c r="B156" s="197" t="s">
        <v>254</v>
      </c>
      <c r="C156" s="197"/>
      <c r="D156" s="197"/>
      <c r="E156" s="197" t="s">
        <v>48</v>
      </c>
      <c r="F156" s="237">
        <f>F157</f>
        <v>66901500</v>
      </c>
      <c r="G156" s="237">
        <f t="shared" ref="G156:H156" si="86">G157</f>
        <v>66901500</v>
      </c>
      <c r="H156" s="237">
        <f t="shared" si="86"/>
        <v>5254100</v>
      </c>
      <c r="I156" s="237">
        <f>I157</f>
        <v>140000</v>
      </c>
      <c r="J156" s="237">
        <f t="shared" ref="J156" si="87">J157</f>
        <v>0</v>
      </c>
      <c r="K156" s="237">
        <f>K157</f>
        <v>50000</v>
      </c>
      <c r="L156" s="237">
        <f>L157</f>
        <v>50000</v>
      </c>
      <c r="M156" s="237">
        <f>M157</f>
        <v>0</v>
      </c>
      <c r="N156" s="237">
        <f t="shared" ref="N156" si="88">N157</f>
        <v>0</v>
      </c>
      <c r="O156" s="237">
        <f>O157</f>
        <v>0</v>
      </c>
      <c r="P156" s="237">
        <f t="shared" si="57"/>
        <v>50000</v>
      </c>
      <c r="Q156" s="198">
        <f t="shared" ref="Q156" si="89">Q157</f>
        <v>66951500</v>
      </c>
    </row>
    <row r="157" spans="1:19" ht="135" x14ac:dyDescent="0.2">
      <c r="A157" s="199">
        <f>SUM(A158:A161)</f>
        <v>0</v>
      </c>
      <c r="B157" s="201" t="s">
        <v>255</v>
      </c>
      <c r="C157" s="201"/>
      <c r="D157" s="201"/>
      <c r="E157" s="201" t="s">
        <v>66</v>
      </c>
      <c r="F157" s="199">
        <f>SUM(F158:F161)</f>
        <v>66901500</v>
      </c>
      <c r="G157" s="199">
        <f t="shared" ref="G157:O157" si="90">SUM(G158:G161)</f>
        <v>66901500</v>
      </c>
      <c r="H157" s="199">
        <f t="shared" si="90"/>
        <v>5254100</v>
      </c>
      <c r="I157" s="199">
        <f t="shared" si="90"/>
        <v>140000</v>
      </c>
      <c r="J157" s="199">
        <f t="shared" si="90"/>
        <v>0</v>
      </c>
      <c r="K157" s="199">
        <f>M157+P157</f>
        <v>50000</v>
      </c>
      <c r="L157" s="199">
        <f>SUM(L158:L161)</f>
        <v>50000</v>
      </c>
      <c r="M157" s="199">
        <f t="shared" si="90"/>
        <v>0</v>
      </c>
      <c r="N157" s="199">
        <f t="shared" si="90"/>
        <v>0</v>
      </c>
      <c r="O157" s="199">
        <f t="shared" si="90"/>
        <v>0</v>
      </c>
      <c r="P157" s="238">
        <f t="shared" si="57"/>
        <v>50000</v>
      </c>
      <c r="Q157" s="199">
        <f>F157+K157</f>
        <v>66951500</v>
      </c>
      <c r="R157" s="153" t="b">
        <f>Q157=Q159+Q160+Q161+Q158</f>
        <v>1</v>
      </c>
      <c r="S157" s="155" t="b">
        <f>L157='dod5'!I166</f>
        <v>1</v>
      </c>
    </row>
    <row r="158" spans="1:19" ht="228.75" x14ac:dyDescent="0.2">
      <c r="A158" s="225"/>
      <c r="B158" s="270" t="s">
        <v>742</v>
      </c>
      <c r="C158" s="270" t="s">
        <v>341</v>
      </c>
      <c r="D158" s="270" t="s">
        <v>339</v>
      </c>
      <c r="E158" s="270" t="s">
        <v>340</v>
      </c>
      <c r="F158" s="271">
        <f>G158</f>
        <v>6887800</v>
      </c>
      <c r="G158" s="225">
        <v>6887800</v>
      </c>
      <c r="H158" s="225">
        <v>5254100</v>
      </c>
      <c r="I158" s="225">
        <v>140000</v>
      </c>
      <c r="J158" s="225"/>
      <c r="K158" s="271">
        <f>M158+P158</f>
        <v>50000</v>
      </c>
      <c r="L158" s="225">
        <v>50000</v>
      </c>
      <c r="M158" s="225"/>
      <c r="N158" s="225"/>
      <c r="O158" s="225"/>
      <c r="P158" s="243">
        <f t="shared" si="57"/>
        <v>50000</v>
      </c>
      <c r="Q158" s="271">
        <f>F158+K158</f>
        <v>6937800</v>
      </c>
      <c r="R158" s="153"/>
      <c r="S158" s="155"/>
    </row>
    <row r="159" spans="1:19" ht="91.5" x14ac:dyDescent="0.2">
      <c r="A159" s="225"/>
      <c r="B159" s="219">
        <v>3718600</v>
      </c>
      <c r="C159" s="219">
        <v>8600</v>
      </c>
      <c r="D159" s="270" t="s">
        <v>589</v>
      </c>
      <c r="E159" s="219" t="s">
        <v>590</v>
      </c>
      <c r="F159" s="271">
        <f>G159</f>
        <v>1282700</v>
      </c>
      <c r="G159" s="225">
        <v>1282700</v>
      </c>
      <c r="H159" s="225"/>
      <c r="I159" s="225"/>
      <c r="J159" s="225"/>
      <c r="K159" s="271">
        <f>M159+P159</f>
        <v>0</v>
      </c>
      <c r="L159" s="225"/>
      <c r="M159" s="225"/>
      <c r="N159" s="225"/>
      <c r="O159" s="225"/>
      <c r="P159" s="243">
        <f t="shared" si="57"/>
        <v>0</v>
      </c>
      <c r="Q159" s="271">
        <f>F159+K159</f>
        <v>1282700</v>
      </c>
    </row>
    <row r="160" spans="1:19" ht="69" customHeight="1" x14ac:dyDescent="0.2">
      <c r="A160" s="225"/>
      <c r="B160" s="219">
        <v>3718700</v>
      </c>
      <c r="C160" s="219">
        <v>8700</v>
      </c>
      <c r="D160" s="270" t="s">
        <v>70</v>
      </c>
      <c r="E160" s="215" t="s">
        <v>68</v>
      </c>
      <c r="F160" s="271">
        <f>G160</f>
        <v>4345000</v>
      </c>
      <c r="G160" s="225">
        <f>5000000-655000</f>
        <v>4345000</v>
      </c>
      <c r="H160" s="225"/>
      <c r="I160" s="225"/>
      <c r="J160" s="225"/>
      <c r="K160" s="271">
        <f>M160+P160</f>
        <v>0</v>
      </c>
      <c r="L160" s="225"/>
      <c r="M160" s="225"/>
      <c r="N160" s="225"/>
      <c r="O160" s="225"/>
      <c r="P160" s="243">
        <f t="shared" si="57"/>
        <v>0</v>
      </c>
      <c r="Q160" s="271">
        <f>F160+K160</f>
        <v>4345000</v>
      </c>
    </row>
    <row r="161" spans="1:19" ht="65.25" customHeight="1" x14ac:dyDescent="0.2">
      <c r="A161" s="225"/>
      <c r="B161" s="219">
        <v>3719110</v>
      </c>
      <c r="C161" s="219">
        <v>9110</v>
      </c>
      <c r="D161" s="270" t="s">
        <v>71</v>
      </c>
      <c r="E161" s="215" t="s">
        <v>69</v>
      </c>
      <c r="F161" s="271">
        <f>G161</f>
        <v>54386000</v>
      </c>
      <c r="G161" s="225">
        <v>54386000</v>
      </c>
      <c r="H161" s="225"/>
      <c r="I161" s="225"/>
      <c r="J161" s="225"/>
      <c r="K161" s="271">
        <f>M161+P161</f>
        <v>0</v>
      </c>
      <c r="L161" s="225"/>
      <c r="M161" s="225"/>
      <c r="N161" s="225"/>
      <c r="O161" s="225"/>
      <c r="P161" s="243">
        <f t="shared" si="57"/>
        <v>0</v>
      </c>
      <c r="Q161" s="271">
        <f>F161+K161</f>
        <v>54386000</v>
      </c>
    </row>
    <row r="162" spans="1:19" ht="81.75" customHeight="1" x14ac:dyDescent="0.55000000000000004">
      <c r="A162" s="143">
        <f>A13+A23+A97+A34+A46+A88+A112+A131+A137+A157+A141+A147+A152</f>
        <v>2638850</v>
      </c>
      <c r="B162" s="188" t="s">
        <v>651</v>
      </c>
      <c r="C162" s="188" t="s">
        <v>651</v>
      </c>
      <c r="D162" s="188" t="s">
        <v>651</v>
      </c>
      <c r="E162" s="189" t="s">
        <v>669</v>
      </c>
      <c r="F162" s="143">
        <f>F13+F23+F97+F34+F46+F88+F112+F131+F137+F157+F141+F147+F152</f>
        <v>2630608432</v>
      </c>
      <c r="G162" s="143">
        <f>G13+G23+G97+G34+G45+G88+G112+G131+G137+G157+G141+G147+G152</f>
        <v>2630608432</v>
      </c>
      <c r="H162" s="143">
        <f t="shared" ref="H162:O162" si="91">H13+H23+H97+H34+H46+H88+H112+H131+H137+H157+H141+H147+H152</f>
        <v>849422587</v>
      </c>
      <c r="I162" s="143">
        <f t="shared" si="91"/>
        <v>95952779</v>
      </c>
      <c r="J162" s="143">
        <f t="shared" si="91"/>
        <v>0</v>
      </c>
      <c r="K162" s="143">
        <f t="shared" si="91"/>
        <v>379415174</v>
      </c>
      <c r="L162" s="143">
        <f t="shared" si="91"/>
        <v>245454789</v>
      </c>
      <c r="M162" s="143">
        <f t="shared" si="91"/>
        <v>131321535</v>
      </c>
      <c r="N162" s="143">
        <f t="shared" si="91"/>
        <v>33043505</v>
      </c>
      <c r="O162" s="143">
        <f t="shared" si="91"/>
        <v>8593726</v>
      </c>
      <c r="P162" s="244">
        <f t="shared" si="57"/>
        <v>248093639</v>
      </c>
      <c r="Q162" s="143">
        <f>Q13+Q23+Q97+Q34+Q45+Q88+Q112+Q131+Q137+Q157+Q141+Q147+Q152</f>
        <v>3010023606</v>
      </c>
      <c r="R162" s="14" t="b">
        <f>L162='dod5'!I169</f>
        <v>0</v>
      </c>
    </row>
    <row r="163" spans="1:19" ht="45.75" x14ac:dyDescent="0.2">
      <c r="B163" s="424" t="s">
        <v>454</v>
      </c>
      <c r="C163" s="425"/>
      <c r="D163" s="425"/>
      <c r="E163" s="425"/>
      <c r="F163" s="425"/>
      <c r="G163" s="425"/>
      <c r="H163" s="425"/>
      <c r="I163" s="425"/>
      <c r="J163" s="425"/>
      <c r="K163" s="425"/>
      <c r="L163" s="425"/>
      <c r="M163" s="425"/>
      <c r="N163" s="425"/>
      <c r="O163" s="425"/>
      <c r="P163" s="425"/>
      <c r="Q163" s="425"/>
      <c r="R163" s="12"/>
    </row>
    <row r="164" spans="1:19" ht="45.75" hidden="1" x14ac:dyDescent="0.2">
      <c r="B164" s="121"/>
      <c r="C164" s="122"/>
      <c r="D164" s="122"/>
      <c r="E164" s="122"/>
      <c r="F164" s="226">
        <f>G164</f>
        <v>2630608432</v>
      </c>
      <c r="G164" s="226">
        <f>2608918648-'dod4'!Q14+'dod2'!E19+9399200+1734200+1600-7647500-655000+17381620+1416600+3131372+500000</f>
        <v>2630608432</v>
      </c>
      <c r="H164" s="226">
        <f>54985000+26800000+1884600+1776300+2641000+2850700+5254100+7129200+3166500+205000+644533535+1757300+35856900+5790700+796025+4068700+10163000+2517500+1623800+714843+12402731+813300+843750+11859350+3617760+2541439+1161200+1668354</f>
        <v>849422587</v>
      </c>
      <c r="I164" s="226">
        <f>11500+10000+2450700+991000+101500+100000+60000+107000+140000+130000+117900+45478902+2848071+17996340+2220390+110770+1460520+27100+257400+144810+353700+7270+70355+17700+131400+3520+64750+387900+10250+119350+68142+31230+2900+50003+1800+13490+309408+3480+123100+30000+20000+60000+463014+55900+276730+225600+241174+286645+378445+17381620</f>
        <v>95952779</v>
      </c>
      <c r="J164" s="226">
        <v>0</v>
      </c>
      <c r="K164" s="226"/>
      <c r="L164" s="226">
        <f>3985100-2275100+13109000+5499500+8041000-566000+3886442+1408533+155532314-1371000+53000000+2000000+2000000+500000+50000+655000</f>
        <v>245454789</v>
      </c>
      <c r="M164" s="226"/>
      <c r="N164" s="226"/>
      <c r="O164" s="226"/>
      <c r="P164" s="226"/>
      <c r="Q164" s="226"/>
      <c r="R164" s="12"/>
    </row>
    <row r="165" spans="1:19" ht="45.75" x14ac:dyDescent="0.2">
      <c r="B165" s="121"/>
      <c r="C165" s="122"/>
      <c r="D165" s="122"/>
      <c r="E165" s="122"/>
      <c r="F165" s="122"/>
      <c r="G165" s="122"/>
      <c r="H165" s="122"/>
      <c r="I165" s="122"/>
      <c r="J165" s="122"/>
      <c r="K165" s="122"/>
      <c r="L165" s="122"/>
      <c r="M165" s="122"/>
      <c r="N165" s="122"/>
      <c r="O165" s="122"/>
      <c r="P165" s="122"/>
      <c r="Q165" s="122"/>
      <c r="R165" s="12"/>
    </row>
    <row r="166" spans="1:19" ht="45.75" x14ac:dyDescent="0.65">
      <c r="B166" s="7"/>
      <c r="C166" s="7"/>
      <c r="D166" s="7"/>
      <c r="E166" s="423" t="s">
        <v>797</v>
      </c>
      <c r="F166" s="423"/>
      <c r="G166" s="423"/>
      <c r="H166" s="423"/>
      <c r="I166" s="423"/>
      <c r="J166" s="423"/>
      <c r="K166" s="423"/>
      <c r="L166" s="423"/>
      <c r="M166" s="423"/>
      <c r="N166" s="423"/>
      <c r="O166" s="423"/>
      <c r="P166" s="423"/>
      <c r="Q166" s="423"/>
      <c r="R166" s="13"/>
    </row>
    <row r="167" spans="1:19" ht="45.75" x14ac:dyDescent="0.2">
      <c r="F167" s="24"/>
      <c r="G167" s="3"/>
      <c r="K167" s="222"/>
      <c r="L167" s="222"/>
      <c r="P167" s="133"/>
      <c r="Q167" s="19"/>
    </row>
    <row r="168" spans="1:19" ht="45.75" x14ac:dyDescent="0.65">
      <c r="E168" s="423" t="s">
        <v>231</v>
      </c>
      <c r="F168" s="423"/>
      <c r="G168" s="423"/>
      <c r="H168" s="423"/>
      <c r="I168" s="423"/>
      <c r="J168" s="423"/>
      <c r="K168" s="423"/>
      <c r="L168" s="423"/>
      <c r="M168" s="423"/>
      <c r="N168" s="423"/>
      <c r="O168" s="423"/>
      <c r="P168" s="423"/>
      <c r="Q168" s="423"/>
      <c r="R168" s="14"/>
    </row>
    <row r="169" spans="1:19" x14ac:dyDescent="0.2">
      <c r="F169" s="4"/>
      <c r="G169" s="3"/>
      <c r="K169" s="4"/>
      <c r="L169" s="4"/>
    </row>
    <row r="170" spans="1:19" x14ac:dyDescent="0.2">
      <c r="F170" s="4"/>
      <c r="G170" s="3"/>
      <c r="K170" s="4"/>
      <c r="L170" s="4"/>
    </row>
    <row r="171" spans="1:19" ht="99.75" customHeight="1" x14ac:dyDescent="0.2">
      <c r="F171" s="119" t="b">
        <f>G164=F162</f>
        <v>1</v>
      </c>
      <c r="G171" s="119" t="b">
        <f>G164=G162</f>
        <v>1</v>
      </c>
      <c r="H171" s="119" t="b">
        <f t="shared" ref="H171:Q171" si="92">H164=H162</f>
        <v>1</v>
      </c>
      <c r="I171" s="119" t="b">
        <f t="shared" si="92"/>
        <v>1</v>
      </c>
      <c r="J171" s="119" t="b">
        <f t="shared" si="92"/>
        <v>1</v>
      </c>
      <c r="K171" s="119" t="b">
        <f t="shared" si="92"/>
        <v>0</v>
      </c>
      <c r="L171" s="119" t="b">
        <f t="shared" si="92"/>
        <v>1</v>
      </c>
      <c r="M171" s="119" t="b">
        <f t="shared" si="92"/>
        <v>0</v>
      </c>
      <c r="N171" s="119" t="b">
        <f t="shared" si="92"/>
        <v>0</v>
      </c>
      <c r="O171" s="119" t="b">
        <f t="shared" si="92"/>
        <v>0</v>
      </c>
      <c r="P171" s="119"/>
      <c r="Q171" s="119" t="b">
        <f t="shared" si="92"/>
        <v>0</v>
      </c>
    </row>
    <row r="172" spans="1:19" ht="45.75" x14ac:dyDescent="0.55000000000000004">
      <c r="F172" s="19"/>
      <c r="G172" s="12"/>
      <c r="H172" s="3"/>
      <c r="J172" s="115"/>
      <c r="K172" s="223"/>
      <c r="L172" s="223"/>
      <c r="M172" s="115"/>
      <c r="N172" s="115"/>
      <c r="O172" s="115"/>
      <c r="P172" s="116"/>
      <c r="Q172" s="14" t="b">
        <f>F162+K162=Q162</f>
        <v>1</v>
      </c>
    </row>
    <row r="173" spans="1:19" x14ac:dyDescent="0.2">
      <c r="F173" s="6"/>
      <c r="G173" s="184"/>
      <c r="H173" s="6"/>
      <c r="I173" s="6"/>
      <c r="J173" s="6"/>
      <c r="K173" s="4"/>
      <c r="L173" s="4"/>
    </row>
    <row r="174" spans="1:19" ht="45.75" x14ac:dyDescent="0.2">
      <c r="B174"/>
      <c r="C174"/>
      <c r="D174"/>
      <c r="E174" s="10"/>
      <c r="F174" s="152" t="b">
        <f>F162=G162</f>
        <v>1</v>
      </c>
      <c r="G174" s="133">
        <f>G160/Q162*100</f>
        <v>0.14435102739190941</v>
      </c>
      <c r="H174" s="133" t="s">
        <v>497</v>
      </c>
      <c r="J174" s="10"/>
      <c r="K174" s="152"/>
      <c r="L174" s="152"/>
      <c r="M174"/>
      <c r="N174"/>
      <c r="O174"/>
      <c r="P174"/>
      <c r="Q174"/>
    </row>
    <row r="175" spans="1:19" ht="60.75" x14ac:dyDescent="0.2">
      <c r="E175" s="10"/>
      <c r="F175" s="152"/>
      <c r="H175" s="23"/>
      <c r="J175" s="10"/>
      <c r="K175" s="152"/>
      <c r="L175" s="152"/>
      <c r="Q175" s="119"/>
      <c r="R175" s="120"/>
      <c r="S175" s="119"/>
    </row>
    <row r="176" spans="1:19" ht="60.75" x14ac:dyDescent="0.2">
      <c r="B176"/>
      <c r="C176"/>
      <c r="D176"/>
      <c r="E176" s="10"/>
      <c r="F176" s="152"/>
      <c r="G176" s="133"/>
      <c r="H176" s="3"/>
      <c r="J176" s="10"/>
      <c r="K176" s="152"/>
      <c r="L176" s="152"/>
      <c r="M176"/>
      <c r="N176"/>
      <c r="O176"/>
      <c r="P176"/>
      <c r="Q176" s="119"/>
      <c r="R176" s="120"/>
      <c r="S176" s="119"/>
    </row>
    <row r="177" spans="2:17" ht="60.75" x14ac:dyDescent="0.2">
      <c r="E177" s="10"/>
      <c r="F177" s="152"/>
      <c r="G177" s="185"/>
      <c r="Q177" s="119"/>
    </row>
    <row r="178" spans="2:17" ht="60.75" x14ac:dyDescent="0.2">
      <c r="B178"/>
      <c r="C178"/>
      <c r="D178"/>
      <c r="E178" s="10"/>
      <c r="F178" s="152"/>
      <c r="G178" s="133"/>
      <c r="H178" s="3"/>
      <c r="K178" s="4"/>
      <c r="L178" s="4"/>
      <c r="M178"/>
      <c r="N178"/>
      <c r="O178"/>
      <c r="P178"/>
      <c r="Q178" s="119"/>
    </row>
    <row r="179" spans="2:17" ht="62.25" x14ac:dyDescent="0.8">
      <c r="B179"/>
      <c r="C179"/>
      <c r="D179"/>
      <c r="E179"/>
      <c r="F179" s="21"/>
      <c r="G179" s="133"/>
      <c r="K179" s="4"/>
      <c r="L179" s="4"/>
      <c r="M179"/>
      <c r="N179"/>
      <c r="O179"/>
      <c r="P179"/>
      <c r="Q179" s="159"/>
    </row>
    <row r="180" spans="2:17" ht="45.75" x14ac:dyDescent="0.2">
      <c r="F180" s="22"/>
      <c r="G180" s="185"/>
    </row>
    <row r="181" spans="2:17" ht="45.75" x14ac:dyDescent="0.2">
      <c r="B181"/>
      <c r="C181"/>
      <c r="D181"/>
      <c r="E181"/>
      <c r="F181" s="21"/>
      <c r="G181" s="133"/>
      <c r="M181"/>
      <c r="N181"/>
      <c r="O181"/>
      <c r="P181"/>
      <c r="Q181"/>
    </row>
    <row r="182" spans="2:17" ht="45.75" x14ac:dyDescent="0.2">
      <c r="F182" s="22"/>
      <c r="G182" s="185"/>
    </row>
    <row r="183" spans="2:17" ht="45.75" x14ac:dyDescent="0.2">
      <c r="F183" s="22"/>
      <c r="G183" s="185"/>
    </row>
    <row r="184" spans="2:17" ht="45.75" x14ac:dyDescent="0.2">
      <c r="F184" s="22"/>
      <c r="G184" s="185"/>
    </row>
    <row r="185" spans="2:17" ht="45.75" x14ac:dyDescent="0.2">
      <c r="B185"/>
      <c r="C185"/>
      <c r="D185"/>
      <c r="E185"/>
      <c r="F185" s="22"/>
      <c r="G185" s="185"/>
      <c r="H185"/>
      <c r="I185"/>
      <c r="J185"/>
      <c r="K185"/>
      <c r="L185"/>
      <c r="M185"/>
      <c r="N185"/>
      <c r="O185"/>
      <c r="P185"/>
      <c r="Q185"/>
    </row>
    <row r="186" spans="2:17" ht="45.75" x14ac:dyDescent="0.2">
      <c r="B186"/>
      <c r="C186"/>
      <c r="D186"/>
      <c r="E186"/>
      <c r="F186" s="22"/>
      <c r="G186" s="185"/>
      <c r="H186"/>
      <c r="I186"/>
      <c r="J186"/>
      <c r="K186"/>
      <c r="L186"/>
      <c r="M186"/>
      <c r="N186"/>
      <c r="O186"/>
      <c r="P186"/>
      <c r="Q186"/>
    </row>
    <row r="187" spans="2:17" ht="45.75" x14ac:dyDescent="0.2">
      <c r="B187"/>
      <c r="C187"/>
      <c r="D187"/>
      <c r="E187"/>
      <c r="F187" s="22"/>
      <c r="G187" s="185"/>
      <c r="H187"/>
      <c r="I187"/>
      <c r="J187"/>
      <c r="K187"/>
      <c r="L187"/>
      <c r="M187"/>
      <c r="N187"/>
      <c r="O187"/>
      <c r="P187"/>
      <c r="Q187"/>
    </row>
    <row r="188" spans="2:17" ht="45.75" x14ac:dyDescent="0.2">
      <c r="B188"/>
      <c r="C188"/>
      <c r="D188"/>
      <c r="E188"/>
      <c r="F188" s="22"/>
      <c r="G188" s="185"/>
      <c r="H188"/>
      <c r="I188"/>
      <c r="J188"/>
      <c r="K188"/>
      <c r="L188"/>
      <c r="M188"/>
      <c r="N188"/>
      <c r="O188"/>
      <c r="P188"/>
      <c r="Q188"/>
    </row>
  </sheetData>
  <mergeCells count="89">
    <mergeCell ref="P1:Q1"/>
    <mergeCell ref="P2:Q2"/>
    <mergeCell ref="P3:Q3"/>
    <mergeCell ref="B5:Q5"/>
    <mergeCell ref="B6:Q6"/>
    <mergeCell ref="K8:P8"/>
    <mergeCell ref="Q8:Q10"/>
    <mergeCell ref="F9:F10"/>
    <mergeCell ref="G9:G10"/>
    <mergeCell ref="H9:I9"/>
    <mergeCell ref="J9:J10"/>
    <mergeCell ref="K9:K10"/>
    <mergeCell ref="L9:L10"/>
    <mergeCell ref="M9:M10"/>
    <mergeCell ref="N9:O9"/>
    <mergeCell ref="F8:J8"/>
    <mergeCell ref="P9:P10"/>
    <mergeCell ref="A18:A19"/>
    <mergeCell ref="H18:H19"/>
    <mergeCell ref="I18:I19"/>
    <mergeCell ref="J18:J19"/>
    <mergeCell ref="B8:B10"/>
    <mergeCell ref="C8:C10"/>
    <mergeCell ref="D8:D10"/>
    <mergeCell ref="E8:E10"/>
    <mergeCell ref="B18:B19"/>
    <mergeCell ref="C18:C19"/>
    <mergeCell ref="D18:D19"/>
    <mergeCell ref="F18:F19"/>
    <mergeCell ref="G18:G19"/>
    <mergeCell ref="A9:A10"/>
    <mergeCell ref="A79:A80"/>
    <mergeCell ref="P18:P19"/>
    <mergeCell ref="Q18:Q19"/>
    <mergeCell ref="B79:B80"/>
    <mergeCell ref="C79:C80"/>
    <mergeCell ref="D79:D80"/>
    <mergeCell ref="F79:F80"/>
    <mergeCell ref="G79:G80"/>
    <mergeCell ref="H79:H80"/>
    <mergeCell ref="I79:I80"/>
    <mergeCell ref="J79:J80"/>
    <mergeCell ref="K18:K19"/>
    <mergeCell ref="L18:L19"/>
    <mergeCell ref="M18:M19"/>
    <mergeCell ref="N18:N19"/>
    <mergeCell ref="O18:O19"/>
    <mergeCell ref="A85:A86"/>
    <mergeCell ref="P79:P80"/>
    <mergeCell ref="Q79:Q80"/>
    <mergeCell ref="B85:B86"/>
    <mergeCell ref="C85:C86"/>
    <mergeCell ref="D85:D86"/>
    <mergeCell ref="F85:F86"/>
    <mergeCell ref="G85:G86"/>
    <mergeCell ref="H85:H86"/>
    <mergeCell ref="I85:I86"/>
    <mergeCell ref="J85:J86"/>
    <mergeCell ref="K79:K80"/>
    <mergeCell ref="L79:L80"/>
    <mergeCell ref="M79:M80"/>
    <mergeCell ref="N79:N80"/>
    <mergeCell ref="O79:O80"/>
    <mergeCell ref="A127:A128"/>
    <mergeCell ref="P85:P86"/>
    <mergeCell ref="Q85:Q86"/>
    <mergeCell ref="B127:B128"/>
    <mergeCell ref="C127:C128"/>
    <mergeCell ref="D127:D128"/>
    <mergeCell ref="F127:F128"/>
    <mergeCell ref="G127:G128"/>
    <mergeCell ref="H127:H128"/>
    <mergeCell ref="I127:I128"/>
    <mergeCell ref="J127:J128"/>
    <mergeCell ref="K85:K86"/>
    <mergeCell ref="L85:L86"/>
    <mergeCell ref="M85:M86"/>
    <mergeCell ref="N85:N86"/>
    <mergeCell ref="O85:O86"/>
    <mergeCell ref="P127:P128"/>
    <mergeCell ref="Q127:Q128"/>
    <mergeCell ref="B163:Q163"/>
    <mergeCell ref="E166:Q166"/>
    <mergeCell ref="E168:Q168"/>
    <mergeCell ref="K127:K128"/>
    <mergeCell ref="L127:L128"/>
    <mergeCell ref="M127:M128"/>
    <mergeCell ref="N127:N128"/>
    <mergeCell ref="O127:O128"/>
  </mergeCells>
  <conditionalFormatting sqref="R137:S138">
    <cfRule type="iconSet" priority="5">
      <iconSet iconSet="3Arrows">
        <cfvo type="percent" val="0"/>
        <cfvo type="percent" val="33"/>
        <cfvo type="percent" val="67"/>
      </iconSet>
    </cfRule>
  </conditionalFormatting>
  <conditionalFormatting sqref="R147:S148">
    <cfRule type="iconSet" priority="4">
      <iconSet iconSet="3Arrows">
        <cfvo type="percent" val="0"/>
        <cfvo type="percent" val="33"/>
        <cfvo type="percent" val="67"/>
      </iconSet>
    </cfRule>
  </conditionalFormatting>
  <conditionalFormatting sqref="R158:S158 R157">
    <cfRule type="iconSet" priority="3">
      <iconSet iconSet="3Arrows">
        <cfvo type="percent" val="0"/>
        <cfvo type="percent" val="33"/>
        <cfvo type="percent" val="67"/>
      </iconSet>
    </cfRule>
  </conditionalFormatting>
  <conditionalFormatting sqref="R152:S153">
    <cfRule type="iconSet" priority="2">
      <iconSet iconSet="3Arrows">
        <cfvo type="percent" val="0"/>
        <cfvo type="percent" val="33"/>
        <cfvo type="percent" val="67"/>
      </iconSet>
    </cfRule>
  </conditionalFormatting>
  <conditionalFormatting sqref="S157">
    <cfRule type="iconSet" priority="1">
      <iconSet iconSet="3Arrows">
        <cfvo type="percent" val="0"/>
        <cfvo type="percent" val="33"/>
        <cfvo type="percent" val="67"/>
      </iconSet>
    </cfRule>
  </conditionalFormatting>
  <conditionalFormatting sqref="R141:S141">
    <cfRule type="iconSet" priority="6">
      <iconSet iconSet="3Arrows">
        <cfvo type="percent" val="0"/>
        <cfvo type="percent" val="33"/>
        <cfvo type="percent" val="67"/>
      </iconSet>
    </cfRule>
  </conditionalFormatting>
  <pageMargins left="0.23622047244094491" right="0.27559055118110237" top="0.27559055118110237" bottom="0.15748031496062992" header="0.23622047244094491" footer="0.27559055118110237"/>
  <pageSetup paperSize="9" scale="15" fitToHeight="0" orientation="landscape" r:id="rId1"/>
  <headerFooter alignWithMargins="0">
    <oddFooter>&amp;C&amp;"Times New Roman Cyr,курсив"Сторінка &amp;P з &amp;N</oddFooter>
  </headerFooter>
  <rowBreaks count="1" manualBreakCount="1">
    <brk id="48" min="1" max="1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196"/>
  <sheetViews>
    <sheetView view="pageBreakPreview" zoomScale="25" zoomScaleNormal="25" zoomScaleSheetLayoutView="25" zoomScalePageLayoutView="10" workbookViewId="0">
      <pane ySplit="11" topLeftCell="A132" activePane="bottomLeft" state="frozen"/>
      <selection activeCell="K153" sqref="K153"/>
      <selection pane="bottomLeft" activeCell="G27" sqref="G27"/>
    </sheetView>
  </sheetViews>
  <sheetFormatPr defaultRowHeight="12.75" x14ac:dyDescent="0.2"/>
  <cols>
    <col min="1" max="1" width="48" style="1" customWidth="1"/>
    <col min="2" max="2" width="52.5703125" style="1" customWidth="1"/>
    <col min="3" max="3" width="65.7109375" style="1" customWidth="1"/>
    <col min="4" max="4" width="106.28515625" style="1" customWidth="1"/>
    <col min="5" max="5" width="66.42578125" style="5" customWidth="1"/>
    <col min="6" max="6" width="58.5703125" style="1" customWidth="1"/>
    <col min="7" max="7" width="55.42578125" style="1" customWidth="1"/>
    <col min="8" max="8" width="48.140625" style="1" customWidth="1"/>
    <col min="9" max="9" width="32.7109375" style="1" customWidth="1"/>
    <col min="10" max="10" width="50.5703125" style="5" customWidth="1"/>
    <col min="11" max="11" width="52.5703125" style="5" customWidth="1"/>
    <col min="12" max="12" width="56.140625" style="1" customWidth="1"/>
    <col min="13" max="13" width="54.85546875" style="1" customWidth="1"/>
    <col min="14" max="14" width="45.28515625" style="1" bestFit="1" customWidth="1"/>
    <col min="15" max="15" width="56.140625" style="1" bestFit="1" customWidth="1"/>
    <col min="16" max="16" width="86.28515625" style="5" customWidth="1"/>
    <col min="17" max="17" width="52.140625" customWidth="1"/>
    <col min="18" max="18" width="66.42578125" bestFit="1" customWidth="1"/>
    <col min="20" max="20" width="24.7109375" bestFit="1" customWidth="1"/>
  </cols>
  <sheetData>
    <row r="1" spans="1:18" ht="45.75" x14ac:dyDescent="0.2">
      <c r="D1" s="7"/>
      <c r="E1" s="8"/>
      <c r="F1" s="9"/>
      <c r="G1" s="8"/>
      <c r="H1" s="8"/>
      <c r="I1" s="8"/>
      <c r="J1" s="8"/>
      <c r="K1" s="8"/>
      <c r="L1" s="8"/>
      <c r="M1" s="8"/>
      <c r="N1" s="8"/>
      <c r="O1" s="408"/>
      <c r="P1" s="408"/>
    </row>
    <row r="2" spans="1:18" ht="45.75" x14ac:dyDescent="0.2">
      <c r="A2" s="7"/>
      <c r="B2" s="7"/>
      <c r="C2" s="7"/>
      <c r="D2" s="7"/>
      <c r="E2" s="8"/>
      <c r="F2" s="9"/>
      <c r="G2" s="8"/>
      <c r="H2" s="8"/>
      <c r="I2" s="8"/>
      <c r="J2" s="8"/>
      <c r="K2" s="8"/>
      <c r="L2" s="8"/>
      <c r="M2" s="8"/>
      <c r="N2" s="8"/>
      <c r="O2" s="408"/>
      <c r="P2" s="410"/>
    </row>
    <row r="3" spans="1:18" ht="40.700000000000003" customHeight="1" x14ac:dyDescent="0.2">
      <c r="A3" s="7"/>
      <c r="B3" s="7"/>
      <c r="C3" s="7"/>
      <c r="D3" s="7"/>
      <c r="E3" s="8"/>
      <c r="F3" s="9"/>
      <c r="G3" s="8"/>
      <c r="H3" s="8"/>
      <c r="I3" s="8"/>
      <c r="J3" s="8"/>
      <c r="K3" s="8"/>
      <c r="L3" s="8"/>
      <c r="M3" s="8"/>
      <c r="N3" s="8"/>
      <c r="O3" s="408"/>
      <c r="P3" s="410"/>
    </row>
    <row r="4" spans="1:18" ht="45.75" hidden="1" x14ac:dyDescent="0.2">
      <c r="A4" s="7"/>
      <c r="B4" s="7"/>
      <c r="C4" s="7"/>
      <c r="D4" s="7"/>
      <c r="E4" s="8"/>
      <c r="F4" s="9"/>
      <c r="G4" s="8"/>
      <c r="H4" s="8"/>
      <c r="I4" s="8"/>
      <c r="J4" s="8"/>
      <c r="K4" s="8"/>
      <c r="L4" s="8"/>
      <c r="M4" s="8"/>
      <c r="N4" s="8"/>
      <c r="O4" s="7"/>
      <c r="P4" s="9"/>
    </row>
    <row r="5" spans="1:18" ht="45" x14ac:dyDescent="0.2">
      <c r="A5" s="412" t="s">
        <v>922</v>
      </c>
      <c r="B5" s="412"/>
      <c r="C5" s="412"/>
      <c r="D5" s="412"/>
      <c r="E5" s="412"/>
      <c r="F5" s="412"/>
      <c r="G5" s="412"/>
      <c r="H5" s="412"/>
      <c r="I5" s="412"/>
      <c r="J5" s="412"/>
      <c r="K5" s="412"/>
      <c r="L5" s="412"/>
      <c r="M5" s="412"/>
      <c r="N5" s="412"/>
      <c r="O5" s="412"/>
      <c r="P5" s="412"/>
    </row>
    <row r="6" spans="1:18" ht="45" x14ac:dyDescent="0.2">
      <c r="A6" s="412" t="s">
        <v>657</v>
      </c>
      <c r="B6" s="412"/>
      <c r="C6" s="412"/>
      <c r="D6" s="412"/>
      <c r="E6" s="412"/>
      <c r="F6" s="412"/>
      <c r="G6" s="412"/>
      <c r="H6" s="412"/>
      <c r="I6" s="412"/>
      <c r="J6" s="412"/>
      <c r="K6" s="412"/>
      <c r="L6" s="412"/>
      <c r="M6" s="412"/>
      <c r="N6" s="412"/>
      <c r="O6" s="412"/>
      <c r="P6" s="412"/>
    </row>
    <row r="7" spans="1:18" ht="53.45" customHeight="1" x14ac:dyDescent="0.2">
      <c r="A7" s="8"/>
      <c r="B7" s="8"/>
      <c r="C7" s="8"/>
      <c r="D7" s="8"/>
      <c r="E7" s="8"/>
      <c r="F7" s="9"/>
      <c r="G7" s="8"/>
      <c r="H7" s="8"/>
      <c r="I7" s="8"/>
      <c r="J7" s="8"/>
      <c r="K7" s="8"/>
      <c r="L7" s="8"/>
      <c r="M7" s="8"/>
      <c r="N7" s="8"/>
      <c r="O7" s="8"/>
      <c r="P7" s="10" t="s">
        <v>658</v>
      </c>
    </row>
    <row r="8" spans="1:18" ht="62.45" customHeight="1" x14ac:dyDescent="0.2">
      <c r="A8" s="429" t="s">
        <v>29</v>
      </c>
      <c r="B8" s="429" t="s">
        <v>661</v>
      </c>
      <c r="C8" s="429" t="s">
        <v>668</v>
      </c>
      <c r="D8" s="429" t="s">
        <v>662</v>
      </c>
      <c r="E8" s="411" t="s">
        <v>25</v>
      </c>
      <c r="F8" s="411"/>
      <c r="G8" s="411"/>
      <c r="H8" s="411"/>
      <c r="I8" s="411"/>
      <c r="J8" s="433" t="s">
        <v>84</v>
      </c>
      <c r="K8" s="434"/>
      <c r="L8" s="434"/>
      <c r="M8" s="434"/>
      <c r="N8" s="434"/>
      <c r="O8" s="435"/>
      <c r="P8" s="411" t="s">
        <v>24</v>
      </c>
    </row>
    <row r="9" spans="1:18" ht="255" customHeight="1" x14ac:dyDescent="0.2">
      <c r="A9" s="430"/>
      <c r="B9" s="432"/>
      <c r="C9" s="432"/>
      <c r="D9" s="430"/>
      <c r="E9" s="413" t="s">
        <v>654</v>
      </c>
      <c r="F9" s="413" t="s">
        <v>85</v>
      </c>
      <c r="G9" s="413" t="s">
        <v>26</v>
      </c>
      <c r="H9" s="413"/>
      <c r="I9" s="413" t="s">
        <v>87</v>
      </c>
      <c r="J9" s="413" t="s">
        <v>654</v>
      </c>
      <c r="K9" s="413" t="s">
        <v>655</v>
      </c>
      <c r="L9" s="413" t="s">
        <v>85</v>
      </c>
      <c r="M9" s="413" t="s">
        <v>26</v>
      </c>
      <c r="N9" s="413"/>
      <c r="O9" s="413" t="s">
        <v>87</v>
      </c>
      <c r="P9" s="411"/>
    </row>
    <row r="10" spans="1:18" ht="135" x14ac:dyDescent="0.2">
      <c r="A10" s="431"/>
      <c r="B10" s="431"/>
      <c r="C10" s="431"/>
      <c r="D10" s="431"/>
      <c r="E10" s="413"/>
      <c r="F10" s="413"/>
      <c r="G10" s="195" t="s">
        <v>86</v>
      </c>
      <c r="H10" s="195" t="s">
        <v>28</v>
      </c>
      <c r="I10" s="413"/>
      <c r="J10" s="413"/>
      <c r="K10" s="413"/>
      <c r="L10" s="413"/>
      <c r="M10" s="195" t="s">
        <v>86</v>
      </c>
      <c r="N10" s="195" t="s">
        <v>28</v>
      </c>
      <c r="O10" s="413"/>
      <c r="P10" s="411"/>
    </row>
    <row r="11" spans="1:18" s="2" customFormat="1" ht="111" customHeight="1" x14ac:dyDescent="0.2">
      <c r="A11" s="11" t="s">
        <v>4</v>
      </c>
      <c r="B11" s="11" t="s">
        <v>5</v>
      </c>
      <c r="C11" s="11" t="s">
        <v>27</v>
      </c>
      <c r="D11" s="11" t="s">
        <v>7</v>
      </c>
      <c r="E11" s="11" t="s">
        <v>671</v>
      </c>
      <c r="F11" s="11" t="s">
        <v>672</v>
      </c>
      <c r="G11" s="11" t="s">
        <v>673</v>
      </c>
      <c r="H11" s="11" t="s">
        <v>674</v>
      </c>
      <c r="I11" s="11" t="s">
        <v>675</v>
      </c>
      <c r="J11" s="11" t="s">
        <v>676</v>
      </c>
      <c r="K11" s="11" t="s">
        <v>677</v>
      </c>
      <c r="L11" s="11" t="s">
        <v>678</v>
      </c>
      <c r="M11" s="11" t="s">
        <v>679</v>
      </c>
      <c r="N11" s="11" t="s">
        <v>680</v>
      </c>
      <c r="O11" s="11" t="s">
        <v>681</v>
      </c>
      <c r="P11" s="11" t="s">
        <v>682</v>
      </c>
    </row>
    <row r="12" spans="1:18" s="2" customFormat="1" ht="135" x14ac:dyDescent="0.2">
      <c r="A12" s="296" t="s">
        <v>234</v>
      </c>
      <c r="B12" s="296"/>
      <c r="C12" s="296"/>
      <c r="D12" s="297" t="s">
        <v>236</v>
      </c>
      <c r="E12" s="298">
        <f>E13</f>
        <v>4754758</v>
      </c>
      <c r="F12" s="298">
        <f t="shared" ref="F12:N12" si="0">F13</f>
        <v>4754758</v>
      </c>
      <c r="G12" s="298">
        <f t="shared" si="0"/>
        <v>0</v>
      </c>
      <c r="H12" s="298">
        <f t="shared" si="0"/>
        <v>70900</v>
      </c>
      <c r="I12" s="298">
        <f t="shared" si="0"/>
        <v>0</v>
      </c>
      <c r="J12" s="298">
        <f t="shared" si="0"/>
        <v>6830618.04</v>
      </c>
      <c r="K12" s="298">
        <f t="shared" si="0"/>
        <v>6186952</v>
      </c>
      <c r="L12" s="298">
        <f t="shared" si="0"/>
        <v>643666.04</v>
      </c>
      <c r="M12" s="298">
        <f t="shared" si="0"/>
        <v>0</v>
      </c>
      <c r="N12" s="298">
        <f t="shared" si="0"/>
        <v>0</v>
      </c>
      <c r="O12" s="298">
        <f>O13</f>
        <v>6186952</v>
      </c>
      <c r="P12" s="298">
        <f t="shared" ref="P12" si="1">P13</f>
        <v>11585376.039999999</v>
      </c>
    </row>
    <row r="13" spans="1:18" s="2" customFormat="1" ht="135" x14ac:dyDescent="0.2">
      <c r="A13" s="299" t="s">
        <v>235</v>
      </c>
      <c r="B13" s="299"/>
      <c r="C13" s="299"/>
      <c r="D13" s="300" t="s">
        <v>237</v>
      </c>
      <c r="E13" s="301">
        <f>SUM(E14:E23)</f>
        <v>4754758</v>
      </c>
      <c r="F13" s="301">
        <f t="shared" ref="F13:I13" si="2">SUM(F14:F23)</f>
        <v>4754758</v>
      </c>
      <c r="G13" s="301">
        <f t="shared" si="2"/>
        <v>0</v>
      </c>
      <c r="H13" s="301">
        <f t="shared" si="2"/>
        <v>70900</v>
      </c>
      <c r="I13" s="301">
        <f t="shared" si="2"/>
        <v>0</v>
      </c>
      <c r="J13" s="301">
        <f>L13+O13</f>
        <v>6830618.04</v>
      </c>
      <c r="K13" s="301">
        <f t="shared" ref="K13:O13" si="3">SUM(K14:K23)</f>
        <v>6186952</v>
      </c>
      <c r="L13" s="301">
        <f>SUM(L14:L23)</f>
        <v>643666.04</v>
      </c>
      <c r="M13" s="301">
        <f t="shared" si="3"/>
        <v>0</v>
      </c>
      <c r="N13" s="301">
        <f t="shared" si="3"/>
        <v>0</v>
      </c>
      <c r="O13" s="301">
        <f t="shared" si="3"/>
        <v>6186952</v>
      </c>
      <c r="P13" s="301">
        <f>E13+J13</f>
        <v>11585376.039999999</v>
      </c>
      <c r="Q13" s="141"/>
      <c r="R13" s="141"/>
    </row>
    <row r="14" spans="1:18" ht="320.25" x14ac:dyDescent="0.2">
      <c r="A14" s="270" t="s">
        <v>337</v>
      </c>
      <c r="B14" s="270" t="s">
        <v>338</v>
      </c>
      <c r="C14" s="270" t="s">
        <v>339</v>
      </c>
      <c r="D14" s="270" t="s">
        <v>336</v>
      </c>
      <c r="E14" s="225">
        <f>'dod3'!E15-'dod3 - базовий бюджет'!F14</f>
        <v>1454650</v>
      </c>
      <c r="F14" s="225">
        <f>'dod3'!F15-'dod3 - базовий бюджет'!G14</f>
        <v>1454650</v>
      </c>
      <c r="G14" s="225">
        <f>'dod3'!G15-'dod3 - базовий бюджет'!H14</f>
        <v>0</v>
      </c>
      <c r="H14" s="225">
        <f>'dod3'!H15-'dod3 - базовий бюджет'!I14</f>
        <v>70900</v>
      </c>
      <c r="I14" s="225">
        <f>'dod3'!I15-'dod3 - базовий бюджет'!J14</f>
        <v>0</v>
      </c>
      <c r="J14" s="225">
        <f>'dod3'!J15-'dod3 - базовий бюджет'!K14</f>
        <v>568500</v>
      </c>
      <c r="K14" s="225">
        <f>'dod3'!K15-'dod3 - базовий бюджет'!L14</f>
        <v>568500</v>
      </c>
      <c r="L14" s="225">
        <f>'dod3'!L15-'dod3 - базовий бюджет'!M14</f>
        <v>0</v>
      </c>
      <c r="M14" s="225">
        <f>'dod3'!M15-'dod3 - базовий бюджет'!N14</f>
        <v>0</v>
      </c>
      <c r="N14" s="225">
        <f>'dod3'!N15-'dod3 - базовий бюджет'!O14</f>
        <v>0</v>
      </c>
      <c r="O14" s="225">
        <f>'dod3'!O15-'dod3 - базовий бюджет'!P14</f>
        <v>568500</v>
      </c>
      <c r="P14" s="225">
        <f>'dod3'!P15-'dod3 - базовий бюджет'!Q14</f>
        <v>2023150</v>
      </c>
      <c r="R14" s="141"/>
    </row>
    <row r="15" spans="1:18" ht="91.5" x14ac:dyDescent="0.2">
      <c r="A15" s="270" t="s">
        <v>353</v>
      </c>
      <c r="B15" s="270" t="s">
        <v>71</v>
      </c>
      <c r="C15" s="270" t="s">
        <v>70</v>
      </c>
      <c r="D15" s="270" t="s">
        <v>354</v>
      </c>
      <c r="E15" s="225">
        <f>'dod3'!E16-'dod3 - базовий бюджет'!F15</f>
        <v>1000000</v>
      </c>
      <c r="F15" s="225">
        <f>'dod3'!F16-'dod3 - базовий бюджет'!G15</f>
        <v>1000000</v>
      </c>
      <c r="G15" s="225">
        <f>'dod3'!G16-'dod3 - базовий бюджет'!H15</f>
        <v>0</v>
      </c>
      <c r="H15" s="225">
        <f>'dod3'!H16-'dod3 - базовий бюджет'!I15</f>
        <v>0</v>
      </c>
      <c r="I15" s="225">
        <f>'dod3'!I16-'dod3 - базовий бюджет'!J15</f>
        <v>0</v>
      </c>
      <c r="J15" s="225">
        <f>'dod3'!J16-'dod3 - базовий бюджет'!K15</f>
        <v>0</v>
      </c>
      <c r="K15" s="225">
        <f>'dod3'!K16-'dod3 - базовий бюджет'!L15</f>
        <v>0</v>
      </c>
      <c r="L15" s="225">
        <f>'dod3'!L16-'dod3 - базовий бюджет'!M15</f>
        <v>0</v>
      </c>
      <c r="M15" s="225">
        <f>'dod3'!M16-'dod3 - базовий бюджет'!N15</f>
        <v>0</v>
      </c>
      <c r="N15" s="225">
        <f>'dod3'!N16-'dod3 - базовий бюджет'!O15</f>
        <v>0</v>
      </c>
      <c r="O15" s="225">
        <f>'dod3'!O16-'dod3 - базовий бюджет'!P15</f>
        <v>0</v>
      </c>
      <c r="P15" s="225">
        <f>'dod3'!P16-'dod3 - базовий бюджет'!Q15</f>
        <v>1000000</v>
      </c>
      <c r="R15" s="141"/>
    </row>
    <row r="16" spans="1:18" ht="91.5" x14ac:dyDescent="0.2">
      <c r="A16" s="270" t="s">
        <v>343</v>
      </c>
      <c r="B16" s="270" t="s">
        <v>344</v>
      </c>
      <c r="C16" s="270" t="s">
        <v>345</v>
      </c>
      <c r="D16" s="270" t="s">
        <v>342</v>
      </c>
      <c r="E16" s="225">
        <f>'dod3'!E17-'dod3 - базовий бюджет'!F16</f>
        <v>0</v>
      </c>
      <c r="F16" s="225">
        <f>'dod3'!F17-'dod3 - базовий бюджет'!G16</f>
        <v>0</v>
      </c>
      <c r="G16" s="225">
        <f>'dod3'!G17-'dod3 - базовий бюджет'!H16</f>
        <v>0</v>
      </c>
      <c r="H16" s="225">
        <f>'dod3'!H17-'dod3 - базовий бюджет'!I16</f>
        <v>0</v>
      </c>
      <c r="I16" s="225">
        <f>'dod3'!I17-'dod3 - базовий бюджет'!J16</f>
        <v>0</v>
      </c>
      <c r="J16" s="225">
        <f>'dod3'!J17-'dod3 - базовий бюджет'!K16</f>
        <v>2000000</v>
      </c>
      <c r="K16" s="225">
        <f>'dod3'!K17-'dod3 - базовий бюджет'!L16</f>
        <v>2000000</v>
      </c>
      <c r="L16" s="225">
        <f>'dod3'!L17-'dod3 - базовий бюджет'!M16</f>
        <v>0</v>
      </c>
      <c r="M16" s="225">
        <f>'dod3'!M17-'dod3 - базовий бюджет'!N16</f>
        <v>0</v>
      </c>
      <c r="N16" s="225">
        <f>'dod3'!N17-'dod3 - базовий бюджет'!O16</f>
        <v>0</v>
      </c>
      <c r="O16" s="225">
        <f>'dod3'!O17-'dod3 - базовий бюджет'!P16</f>
        <v>2000000</v>
      </c>
      <c r="P16" s="225">
        <f>'dod3'!P17-'dod3 - базовий бюджет'!Q16</f>
        <v>2000000</v>
      </c>
      <c r="R16" s="141"/>
    </row>
    <row r="17" spans="1:20" ht="137.25" x14ac:dyDescent="0.2">
      <c r="A17" s="270" t="s">
        <v>445</v>
      </c>
      <c r="B17" s="270" t="s">
        <v>446</v>
      </c>
      <c r="C17" s="270" t="s">
        <v>256</v>
      </c>
      <c r="D17" s="268" t="s">
        <v>444</v>
      </c>
      <c r="E17" s="225">
        <f>'dod3'!E18-'dod3 - базовий бюджет'!F17</f>
        <v>0</v>
      </c>
      <c r="F17" s="225">
        <f>'dod3'!F18-'dod3 - базовий бюджет'!G17</f>
        <v>0</v>
      </c>
      <c r="G17" s="225">
        <f>'dod3'!G18-'dod3 - базовий бюджет'!H17</f>
        <v>0</v>
      </c>
      <c r="H17" s="225">
        <f>'dod3'!H18-'dod3 - базовий бюджет'!I17</f>
        <v>0</v>
      </c>
      <c r="I17" s="225">
        <f>'dod3'!I18-'dod3 - базовий бюджет'!J17</f>
        <v>0</v>
      </c>
      <c r="J17" s="225">
        <f>'dod3'!J18-'dod3 - базовий бюджет'!K17</f>
        <v>0</v>
      </c>
      <c r="K17" s="225">
        <f>'dod3'!K18-'dod3 - базовий бюджет'!L17</f>
        <v>0</v>
      </c>
      <c r="L17" s="225">
        <f>'dod3'!L18-'dod3 - базовий бюджет'!M17</f>
        <v>0</v>
      </c>
      <c r="M17" s="225">
        <f>'dod3'!M18-'dod3 - базовий бюджет'!N17</f>
        <v>0</v>
      </c>
      <c r="N17" s="225">
        <f>'dod3'!N18-'dod3 - базовий бюджет'!O17</f>
        <v>0</v>
      </c>
      <c r="O17" s="225">
        <f>'dod3'!O18-'dod3 - базовий бюджет'!P17</f>
        <v>0</v>
      </c>
      <c r="P17" s="225">
        <f>'dod3'!P18-'dod3 - базовий бюджет'!Q17</f>
        <v>0</v>
      </c>
      <c r="R17" s="141"/>
    </row>
    <row r="18" spans="1:20" s="123" customFormat="1" ht="409.5" x14ac:dyDescent="0.2">
      <c r="A18" s="422" t="s">
        <v>539</v>
      </c>
      <c r="B18" s="422" t="s">
        <v>538</v>
      </c>
      <c r="C18" s="422" t="s">
        <v>256</v>
      </c>
      <c r="D18" s="231" t="s">
        <v>549</v>
      </c>
      <c r="E18" s="416">
        <f>'dod3'!E19-'dod3 - базовий бюджет'!F18</f>
        <v>0</v>
      </c>
      <c r="F18" s="416">
        <f>'dod3'!F19-'dod3 - базовий бюджет'!G18</f>
        <v>0</v>
      </c>
      <c r="G18" s="416">
        <f>'dod3'!G19-'dod3 - базовий бюджет'!H18</f>
        <v>0</v>
      </c>
      <c r="H18" s="416">
        <f>'dod3'!H19-'dod3 - базовий бюджет'!I18</f>
        <v>0</v>
      </c>
      <c r="I18" s="416">
        <f>'dod3'!I19-'dod3 - базовий бюджет'!J18</f>
        <v>0</v>
      </c>
      <c r="J18" s="416">
        <f>'dod3'!J19-'dod3 - базовий бюджет'!K18</f>
        <v>643666.04</v>
      </c>
      <c r="K18" s="416">
        <f>'dod3'!K19-'dod3 - базовий бюджет'!L18</f>
        <v>0</v>
      </c>
      <c r="L18" s="416">
        <f>'dod3'!L19-'dod3 - базовий бюджет'!M18</f>
        <v>643666.04</v>
      </c>
      <c r="M18" s="416">
        <f>'dod3'!M19-'dod3 - базовий бюджет'!N18</f>
        <v>0</v>
      </c>
      <c r="N18" s="416">
        <f>'dod3'!N19-'dod3 - базовий бюджет'!O18</f>
        <v>0</v>
      </c>
      <c r="O18" s="416">
        <f>'dod3'!O19-'dod3 - базовий бюджет'!P18</f>
        <v>0</v>
      </c>
      <c r="P18" s="416">
        <f>'dod3'!P19-'dod3 - базовий бюджет'!Q18</f>
        <v>643666.04</v>
      </c>
      <c r="Q18" s="254"/>
    </row>
    <row r="19" spans="1:20" s="123" customFormat="1" ht="137.25" x14ac:dyDescent="0.2">
      <c r="A19" s="403"/>
      <c r="B19" s="403"/>
      <c r="C19" s="403"/>
      <c r="D19" s="235" t="s">
        <v>550</v>
      </c>
      <c r="E19" s="403"/>
      <c r="F19" s="403"/>
      <c r="G19" s="403"/>
      <c r="H19" s="403"/>
      <c r="I19" s="403"/>
      <c r="J19" s="403"/>
      <c r="K19" s="403"/>
      <c r="L19" s="403"/>
      <c r="M19" s="403"/>
      <c r="N19" s="403"/>
      <c r="O19" s="403"/>
      <c r="P19" s="403"/>
    </row>
    <row r="20" spans="1:20" ht="91.5" x14ac:dyDescent="0.2">
      <c r="A20" s="270" t="s">
        <v>346</v>
      </c>
      <c r="B20" s="270" t="s">
        <v>347</v>
      </c>
      <c r="C20" s="270" t="s">
        <v>348</v>
      </c>
      <c r="D20" s="268" t="s">
        <v>349</v>
      </c>
      <c r="E20" s="225">
        <f>'dod3'!E21-'dod3 - базовий бюджет'!F20</f>
        <v>130000</v>
      </c>
      <c r="F20" s="225">
        <f>'dod3'!F21-'dod3 - базовий бюджет'!G20</f>
        <v>130000</v>
      </c>
      <c r="G20" s="225">
        <f>'dod3'!G21-'dod3 - базовий бюджет'!H20</f>
        <v>0</v>
      </c>
      <c r="H20" s="225">
        <f>'dod3'!H21-'dod3 - базовий бюджет'!I20</f>
        <v>0</v>
      </c>
      <c r="I20" s="225">
        <f>'dod3'!I21-'dod3 - базовий бюджет'!J20</f>
        <v>0</v>
      </c>
      <c r="J20" s="225">
        <f>'dod3'!J21-'dod3 - базовий бюджет'!K20</f>
        <v>0</v>
      </c>
      <c r="K20" s="225">
        <f>'dod3'!K21-'dod3 - базовий бюджет'!L20</f>
        <v>0</v>
      </c>
      <c r="L20" s="225">
        <f>'dod3'!L21-'dod3 - базовий бюджет'!M20</f>
        <v>0</v>
      </c>
      <c r="M20" s="225">
        <f>'dod3'!M21-'dod3 - базовий бюджет'!N20</f>
        <v>0</v>
      </c>
      <c r="N20" s="225">
        <f>'dod3'!N21-'dod3 - базовий бюджет'!O20</f>
        <v>0</v>
      </c>
      <c r="O20" s="225">
        <f>'dod3'!O21-'dod3 - базовий бюджет'!P20</f>
        <v>0</v>
      </c>
      <c r="P20" s="225">
        <f>'dod3'!P21-'dod3 - базовий бюджет'!Q20</f>
        <v>130000</v>
      </c>
    </row>
    <row r="21" spans="1:20" ht="274.5" x14ac:dyDescent="0.2">
      <c r="A21" s="270" t="s">
        <v>350</v>
      </c>
      <c r="B21" s="270" t="s">
        <v>351</v>
      </c>
      <c r="C21" s="270" t="s">
        <v>71</v>
      </c>
      <c r="D21" s="270" t="s">
        <v>352</v>
      </c>
      <c r="E21" s="225">
        <f>'dod3'!E22-'dod3 - базовий бюджет'!F21</f>
        <v>0</v>
      </c>
      <c r="F21" s="225">
        <f>'dod3'!F22-'dod3 - базовий бюджет'!G21</f>
        <v>0</v>
      </c>
      <c r="G21" s="225">
        <f>'dod3'!G22-'dod3 - базовий бюджет'!H21</f>
        <v>0</v>
      </c>
      <c r="H21" s="225">
        <f>'dod3'!H22-'dod3 - базовий бюджет'!I21</f>
        <v>0</v>
      </c>
      <c r="I21" s="225">
        <f>'dod3'!I22-'dod3 - базовий бюджет'!J21</f>
        <v>0</v>
      </c>
      <c r="J21" s="225">
        <f>'dod3'!J22-'dod3 - базовий бюджет'!K21</f>
        <v>0</v>
      </c>
      <c r="K21" s="225">
        <f>'dod3'!K22-'dod3 - базовий бюджет'!L21</f>
        <v>0</v>
      </c>
      <c r="L21" s="225">
        <f>'dod3'!L22-'dod3 - базовий бюджет'!M21</f>
        <v>0</v>
      </c>
      <c r="M21" s="225">
        <f>'dod3'!M22-'dod3 - базовий бюджет'!N21</f>
        <v>0</v>
      </c>
      <c r="N21" s="225">
        <f>'dod3'!N22-'dod3 - базовий бюджет'!O21</f>
        <v>0</v>
      </c>
      <c r="O21" s="225">
        <f>'dod3'!O22-'dod3 - базовий бюджет'!P21</f>
        <v>0</v>
      </c>
      <c r="P21" s="225">
        <f>'dod3'!P22-'dod3 - базовий бюджет'!Q21</f>
        <v>0</v>
      </c>
    </row>
    <row r="22" spans="1:20" ht="91.5" x14ac:dyDescent="0.2">
      <c r="A22" s="270" t="s">
        <v>880</v>
      </c>
      <c r="B22" s="270" t="s">
        <v>601</v>
      </c>
      <c r="C22" s="270" t="s">
        <v>71</v>
      </c>
      <c r="D22" s="270" t="s">
        <v>602</v>
      </c>
      <c r="E22" s="225">
        <f>'dod3'!E23-0</f>
        <v>0</v>
      </c>
      <c r="F22" s="225">
        <f>'dod3'!F23-0</f>
        <v>0</v>
      </c>
      <c r="G22" s="225">
        <f>'dod3'!G23-0</f>
        <v>0</v>
      </c>
      <c r="H22" s="225">
        <f>'dod3'!H23-0</f>
        <v>0</v>
      </c>
      <c r="I22" s="225">
        <f>'dod3'!I23-0</f>
        <v>0</v>
      </c>
      <c r="J22" s="225">
        <f>'dod3'!J23-0</f>
        <v>100000</v>
      </c>
      <c r="K22" s="225">
        <f>'dod3'!K23-0</f>
        <v>100000</v>
      </c>
      <c r="L22" s="225">
        <f>'dod3'!L23-0</f>
        <v>0</v>
      </c>
      <c r="M22" s="225">
        <f>'dod3'!M23-0</f>
        <v>0</v>
      </c>
      <c r="N22" s="225">
        <f>'dod3'!N23-0</f>
        <v>0</v>
      </c>
      <c r="O22" s="225">
        <f>'dod3'!O23-0</f>
        <v>100000</v>
      </c>
      <c r="P22" s="225">
        <f>'dod3'!P23-0</f>
        <v>100000</v>
      </c>
      <c r="R22" s="141"/>
    </row>
    <row r="23" spans="1:20" ht="183" x14ac:dyDescent="0.2">
      <c r="A23" s="270" t="s">
        <v>882</v>
      </c>
      <c r="B23" s="270" t="s">
        <v>883</v>
      </c>
      <c r="C23" s="270" t="s">
        <v>71</v>
      </c>
      <c r="D23" s="270" t="s">
        <v>881</v>
      </c>
      <c r="E23" s="225">
        <f>'dod3'!E24-0</f>
        <v>2170108</v>
      </c>
      <c r="F23" s="225">
        <f>'dod3'!F24-0</f>
        <v>2170108</v>
      </c>
      <c r="G23" s="225">
        <f>'dod3'!G24-0</f>
        <v>0</v>
      </c>
      <c r="H23" s="225">
        <f>'dod3'!H24-0</f>
        <v>0</v>
      </c>
      <c r="I23" s="225">
        <f>'dod3'!I24-0</f>
        <v>0</v>
      </c>
      <c r="J23" s="225">
        <f>'dod3'!J24-0</f>
        <v>3518452</v>
      </c>
      <c r="K23" s="225">
        <f>'dod3'!K24-0</f>
        <v>3518452</v>
      </c>
      <c r="L23" s="225">
        <f>'dod3'!L24-0</f>
        <v>0</v>
      </c>
      <c r="M23" s="225">
        <f>'dod3'!M24-0</f>
        <v>0</v>
      </c>
      <c r="N23" s="225">
        <f>'dod3'!N24-0</f>
        <v>0</v>
      </c>
      <c r="O23" s="225">
        <f>'dod3'!O24-0</f>
        <v>3518452</v>
      </c>
      <c r="P23" s="225">
        <f>'dod3'!P24-0</f>
        <v>5688560</v>
      </c>
      <c r="R23" s="141"/>
    </row>
    <row r="24" spans="1:20" ht="135" x14ac:dyDescent="0.2">
      <c r="A24" s="296" t="s">
        <v>238</v>
      </c>
      <c r="B24" s="296"/>
      <c r="C24" s="296"/>
      <c r="D24" s="297" t="s">
        <v>0</v>
      </c>
      <c r="E24" s="298">
        <f>E25</f>
        <v>24919450.399999976</v>
      </c>
      <c r="F24" s="298">
        <f t="shared" ref="F24:G24" si="4">F25</f>
        <v>24919450.399999976</v>
      </c>
      <c r="G24" s="298">
        <f t="shared" si="4"/>
        <v>6762388.3999999762</v>
      </c>
      <c r="H24" s="298">
        <f>H25</f>
        <v>1108378</v>
      </c>
      <c r="I24" s="298">
        <f t="shared" ref="I24" si="5">I25</f>
        <v>0</v>
      </c>
      <c r="J24" s="298">
        <f>J25</f>
        <v>19528593.039999999</v>
      </c>
      <c r="K24" s="298">
        <f>K25</f>
        <v>19528593.039999999</v>
      </c>
      <c r="L24" s="298">
        <f>L25</f>
        <v>-39983</v>
      </c>
      <c r="M24" s="298">
        <f t="shared" ref="M24" si="6">M25</f>
        <v>0</v>
      </c>
      <c r="N24" s="298">
        <f>N25</f>
        <v>174249</v>
      </c>
      <c r="O24" s="298">
        <f>O25</f>
        <v>19568576.039999999</v>
      </c>
      <c r="P24" s="302">
        <f t="shared" ref="P24" si="7">P25</f>
        <v>44448043.439999975</v>
      </c>
    </row>
    <row r="25" spans="1:20" ht="135" x14ac:dyDescent="0.2">
      <c r="A25" s="299" t="s">
        <v>239</v>
      </c>
      <c r="B25" s="299"/>
      <c r="C25" s="299"/>
      <c r="D25" s="300" t="s">
        <v>1</v>
      </c>
      <c r="E25" s="301">
        <f>SUM(E26:E36)</f>
        <v>24919450.399999976</v>
      </c>
      <c r="F25" s="301">
        <f>SUM(F26:F36)</f>
        <v>24919450.399999976</v>
      </c>
      <c r="G25" s="301">
        <f>SUM(G26:G36)</f>
        <v>6762388.3999999762</v>
      </c>
      <c r="H25" s="301">
        <f>SUM(H26:H36)</f>
        <v>1108378</v>
      </c>
      <c r="I25" s="301">
        <f>SUM(I26:I36)</f>
        <v>0</v>
      </c>
      <c r="J25" s="301">
        <f>L25+O25</f>
        <v>19528593.039999999</v>
      </c>
      <c r="K25" s="301">
        <f>SUM(K26:K36)</f>
        <v>19528593.039999999</v>
      </c>
      <c r="L25" s="301">
        <f>SUM(L26:L36)</f>
        <v>-39983</v>
      </c>
      <c r="M25" s="301">
        <f>SUM(M26:M36)</f>
        <v>0</v>
      </c>
      <c r="N25" s="301">
        <f>SUM(N26:N36)</f>
        <v>174249</v>
      </c>
      <c r="O25" s="301">
        <f>SUM(O26:O36)</f>
        <v>19568576.039999999</v>
      </c>
      <c r="P25" s="301">
        <f>E25+J25</f>
        <v>44448043.439999975</v>
      </c>
      <c r="Q25" s="141"/>
      <c r="R25" s="141"/>
    </row>
    <row r="26" spans="1:20" ht="46.5" x14ac:dyDescent="0.6">
      <c r="A26" s="270" t="s">
        <v>294</v>
      </c>
      <c r="B26" s="270" t="s">
        <v>295</v>
      </c>
      <c r="C26" s="270" t="s">
        <v>297</v>
      </c>
      <c r="D26" s="270" t="s">
        <v>298</v>
      </c>
      <c r="E26" s="225">
        <f>'dod3'!E27-'dod3 - базовий бюджет'!F24</f>
        <v>5458735</v>
      </c>
      <c r="F26" s="225">
        <f>'dod3'!F27-'dod3 - базовий бюджет'!G24</f>
        <v>5458735</v>
      </c>
      <c r="G26" s="225">
        <f>'dod3'!G27-'dod3 - базовий бюджет'!H24</f>
        <v>2714960</v>
      </c>
      <c r="H26" s="225">
        <f>'dod3'!H27-'dod3 - базовий бюджет'!I24</f>
        <v>258740</v>
      </c>
      <c r="I26" s="225">
        <f>'dod3'!I27-'dod3 - базовий бюджет'!J24</f>
        <v>0</v>
      </c>
      <c r="J26" s="225">
        <f>'dod3'!J27-'dod3 - базовий бюджет'!K24</f>
        <v>3607462</v>
      </c>
      <c r="K26" s="225">
        <f>'dod3'!K27-'dod3 - базовий бюджет'!L24</f>
        <v>3607462</v>
      </c>
      <c r="L26" s="225">
        <f>'dod3'!L27-'dod3 - базовий бюджет'!M24</f>
        <v>0</v>
      </c>
      <c r="M26" s="225">
        <f>'dod3'!M27-'dod3 - базовий бюджет'!N24</f>
        <v>0</v>
      </c>
      <c r="N26" s="225">
        <f>'dod3'!N27-'dod3 - базовий бюджет'!O24</f>
        <v>16426</v>
      </c>
      <c r="O26" s="225">
        <f>'dod3'!O27-'dod3 - базовий бюджет'!P24</f>
        <v>3607462</v>
      </c>
      <c r="P26" s="225">
        <f>'dod3'!P27-'dod3 - базовий бюджет'!Q24</f>
        <v>9066197</v>
      </c>
      <c r="Q26" s="14"/>
      <c r="R26" s="321"/>
    </row>
    <row r="27" spans="1:20" ht="366" x14ac:dyDescent="0.55000000000000004">
      <c r="A27" s="270" t="s">
        <v>300</v>
      </c>
      <c r="B27" s="270" t="s">
        <v>296</v>
      </c>
      <c r="C27" s="270" t="s">
        <v>301</v>
      </c>
      <c r="D27" s="270" t="s">
        <v>628</v>
      </c>
      <c r="E27" s="225">
        <f>'dod3'!E28-'dod3 - базовий бюджет'!F25</f>
        <v>13686931.399999976</v>
      </c>
      <c r="F27" s="225">
        <f>'dod3'!F28-'dod3 - базовий бюджет'!G25</f>
        <v>13686931.399999976</v>
      </c>
      <c r="G27" s="225">
        <f>'dod3'!G28-'dod3 - базовий бюджет'!H25</f>
        <v>4047428.3999999762</v>
      </c>
      <c r="H27" s="225">
        <f>'dod3'!H28-'dod3 - базовий бюджет'!I25</f>
        <v>367700</v>
      </c>
      <c r="I27" s="225">
        <f>'dod3'!I28-'dod3 - базовий бюджет'!J25</f>
        <v>0</v>
      </c>
      <c r="J27" s="225">
        <f>'dod3'!J28-'dod3 - базовий бюджет'!K25</f>
        <v>15114574.039999999</v>
      </c>
      <c r="K27" s="225">
        <f>'dod3'!K28-'dod3 - базовий бюджет'!L25</f>
        <v>15114574.039999999</v>
      </c>
      <c r="L27" s="225">
        <f>'dod3'!L28-'dod3 - базовий бюджет'!M25</f>
        <v>-24983</v>
      </c>
      <c r="M27" s="225">
        <f>'dod3'!M28-'dod3 - базовий бюджет'!N25</f>
        <v>0</v>
      </c>
      <c r="N27" s="225">
        <f>'dod3'!N28-'dod3 - базовий бюджет'!O25</f>
        <v>23988</v>
      </c>
      <c r="O27" s="225">
        <f>'dod3'!O28-'dod3 - базовий бюджет'!P25</f>
        <v>15139557.039999999</v>
      </c>
      <c r="P27" s="225">
        <f>'dod3'!P28-'dod3 - базовий бюджет'!Q25</f>
        <v>28801505.439999938</v>
      </c>
      <c r="Q27" s="14"/>
      <c r="R27" s="141"/>
      <c r="T27" s="112"/>
    </row>
    <row r="28" spans="1:20" ht="366" x14ac:dyDescent="0.2">
      <c r="A28" s="270" t="s">
        <v>304</v>
      </c>
      <c r="B28" s="270" t="s">
        <v>303</v>
      </c>
      <c r="C28" s="270" t="s">
        <v>305</v>
      </c>
      <c r="D28" s="270" t="s">
        <v>32</v>
      </c>
      <c r="E28" s="225">
        <f>'dod3'!E29-'dod3 - базовий бюджет'!F26</f>
        <v>22440</v>
      </c>
      <c r="F28" s="225">
        <f>'dod3'!F29-'dod3 - базовий бюджет'!G26</f>
        <v>22440</v>
      </c>
      <c r="G28" s="225">
        <f>'dod3'!G29-'dod3 - базовий бюджет'!H26</f>
        <v>0</v>
      </c>
      <c r="H28" s="225">
        <f>'dod3'!H29-'dod3 - базовий бюджет'!I26</f>
        <v>4834</v>
      </c>
      <c r="I28" s="225">
        <f>'dod3'!I29-'dod3 - базовий бюджет'!J26</f>
        <v>0</v>
      </c>
      <c r="J28" s="225">
        <f>'dod3'!J29-'dod3 - базовий бюджет'!K26</f>
        <v>30000</v>
      </c>
      <c r="K28" s="225">
        <f>'dod3'!K29-'dod3 - базовий бюджет'!L26</f>
        <v>30000</v>
      </c>
      <c r="L28" s="225">
        <f>'dod3'!L29-'dod3 - базовий бюджет'!M26</f>
        <v>0</v>
      </c>
      <c r="M28" s="225">
        <f>'dod3'!M29-'dod3 - базовий бюджет'!N26</f>
        <v>0</v>
      </c>
      <c r="N28" s="225">
        <f>'dod3'!N29-'dod3 - базовий бюджет'!O26</f>
        <v>228</v>
      </c>
      <c r="O28" s="225">
        <f>'dod3'!O29-'dod3 - базовий бюджет'!P26</f>
        <v>30000</v>
      </c>
      <c r="P28" s="225">
        <f>'dod3'!P29-'dod3 - базовий бюджет'!Q26</f>
        <v>52440</v>
      </c>
      <c r="R28" s="141"/>
    </row>
    <row r="29" spans="1:20" ht="183" x14ac:dyDescent="0.2">
      <c r="A29" s="270" t="s">
        <v>306</v>
      </c>
      <c r="B29" s="270" t="s">
        <v>287</v>
      </c>
      <c r="C29" s="270" t="s">
        <v>275</v>
      </c>
      <c r="D29" s="270" t="s">
        <v>33</v>
      </c>
      <c r="E29" s="225">
        <f>'dod3'!E30-'dod3 - базовий бюджет'!F27</f>
        <v>400078</v>
      </c>
      <c r="F29" s="225">
        <f>'dod3'!F30-'dod3 - базовий бюджет'!G27</f>
        <v>400078</v>
      </c>
      <c r="G29" s="225">
        <f>'dod3'!G30-'dod3 - базовий бюджет'!H27</f>
        <v>0</v>
      </c>
      <c r="H29" s="225">
        <f>'dod3'!H30-'dod3 - базовий бюджет'!I27</f>
        <v>31957</v>
      </c>
      <c r="I29" s="225">
        <f>'dod3'!I30-'dod3 - базовий бюджет'!J27</f>
        <v>0</v>
      </c>
      <c r="J29" s="225">
        <f>'dod3'!J30-'dod3 - базовий бюджет'!K27</f>
        <v>360000</v>
      </c>
      <c r="K29" s="225">
        <f>'dod3'!K30-'dod3 - базовий бюджет'!L27</f>
        <v>360000</v>
      </c>
      <c r="L29" s="225">
        <f>'dod3'!L30-'dod3 - базовий бюджет'!M27</f>
        <v>0</v>
      </c>
      <c r="M29" s="225">
        <f>'dod3'!M30-'dod3 - базовий бюджет'!N27</f>
        <v>0</v>
      </c>
      <c r="N29" s="225">
        <f>'dod3'!N30-'dod3 - базовий бюджет'!O27</f>
        <v>15617</v>
      </c>
      <c r="O29" s="225">
        <f>'dod3'!O30-'dod3 - базовий бюджет'!P27</f>
        <v>360000</v>
      </c>
      <c r="P29" s="225">
        <f>'dod3'!P30-'dod3 - базовий бюджет'!Q27</f>
        <v>760078</v>
      </c>
      <c r="R29" s="141"/>
    </row>
    <row r="30" spans="1:20" ht="137.25" x14ac:dyDescent="0.2">
      <c r="A30" s="270" t="s">
        <v>307</v>
      </c>
      <c r="B30" s="270" t="s">
        <v>308</v>
      </c>
      <c r="C30" s="270" t="s">
        <v>309</v>
      </c>
      <c r="D30" s="270" t="s">
        <v>310</v>
      </c>
      <c r="E30" s="225">
        <f>'dod3'!E31-'dod3 - базовий бюджет'!F28</f>
        <v>427000</v>
      </c>
      <c r="F30" s="225">
        <f>'dod3'!F31-'dod3 - базовий бюджет'!G28</f>
        <v>427000</v>
      </c>
      <c r="G30" s="225">
        <f>'dod3'!G31-'dod3 - базовий бюджет'!H28</f>
        <v>0</v>
      </c>
      <c r="H30" s="225">
        <f>'dod3'!H31-'dod3 - базовий бюджет'!I28</f>
        <v>436200</v>
      </c>
      <c r="I30" s="225">
        <f>'dod3'!I31-'dod3 - базовий бюджет'!J28</f>
        <v>0</v>
      </c>
      <c r="J30" s="225">
        <f>'dod3'!J31-'dod3 - базовий бюджет'!K28</f>
        <v>216557</v>
      </c>
      <c r="K30" s="225">
        <f>'dod3'!K31-'dod3 - базовий бюджет'!L28</f>
        <v>216557</v>
      </c>
      <c r="L30" s="225">
        <f>'dod3'!L31-'dod3 - базовий бюджет'!M28</f>
        <v>-15000</v>
      </c>
      <c r="M30" s="225">
        <f>'dod3'!M31-'dod3 - базовий бюджет'!N28</f>
        <v>0</v>
      </c>
      <c r="N30" s="225">
        <f>'dod3'!N31-'dod3 - базовий бюджет'!O28</f>
        <v>117900</v>
      </c>
      <c r="O30" s="225">
        <f>'dod3'!O31-'dod3 - базовий бюджет'!P28</f>
        <v>231557</v>
      </c>
      <c r="P30" s="225">
        <f>'dod3'!P31-'dod3 - базовий бюджет'!Q28</f>
        <v>643557</v>
      </c>
      <c r="R30" s="141"/>
    </row>
    <row r="31" spans="1:20" ht="91.5" x14ac:dyDescent="0.2">
      <c r="A31" s="270" t="s">
        <v>312</v>
      </c>
      <c r="B31" s="270" t="s">
        <v>313</v>
      </c>
      <c r="C31" s="270" t="s">
        <v>314</v>
      </c>
      <c r="D31" s="270" t="s">
        <v>311</v>
      </c>
      <c r="E31" s="225">
        <f>'dod3'!E32-'dod3 - базовий бюджет'!F29</f>
        <v>168622</v>
      </c>
      <c r="F31" s="225">
        <f>'dod3'!F32-'dod3 - базовий бюджет'!G29</f>
        <v>168622</v>
      </c>
      <c r="G31" s="225">
        <f>'dod3'!G32-'dod3 - базовий бюджет'!H29</f>
        <v>0</v>
      </c>
      <c r="H31" s="225">
        <f>'dod3'!H32-'dod3 - базовий бюджет'!I29</f>
        <v>3221</v>
      </c>
      <c r="I31" s="225">
        <f>'dod3'!I32-'dod3 - базовий бюджет'!J29</f>
        <v>0</v>
      </c>
      <c r="J31" s="225">
        <f>'dod3'!J32-'dod3 - базовий бюджет'!K29</f>
        <v>0</v>
      </c>
      <c r="K31" s="225">
        <f>'dod3'!K32-'dod3 - базовий бюджет'!L29</f>
        <v>0</v>
      </c>
      <c r="L31" s="225">
        <f>'dod3'!L32-'dod3 - базовий бюджет'!M29</f>
        <v>0</v>
      </c>
      <c r="M31" s="225">
        <f>'dod3'!M32-'dod3 - базовий бюджет'!N29</f>
        <v>0</v>
      </c>
      <c r="N31" s="225">
        <f>'dod3'!N32-'dod3 - базовий бюджет'!O29</f>
        <v>0</v>
      </c>
      <c r="O31" s="225">
        <f>'dod3'!O32-'dod3 - базовий бюджет'!P29</f>
        <v>0</v>
      </c>
      <c r="P31" s="225">
        <f>'dod3'!P32-'dod3 - базовий бюджет'!Q29</f>
        <v>168622</v>
      </c>
      <c r="R31" s="141"/>
    </row>
    <row r="32" spans="1:20" s="123" customFormat="1" ht="91.5" x14ac:dyDescent="0.2">
      <c r="A32" s="268" t="s">
        <v>503</v>
      </c>
      <c r="B32" s="268" t="s">
        <v>504</v>
      </c>
      <c r="C32" s="268" t="s">
        <v>314</v>
      </c>
      <c r="D32" s="268" t="s">
        <v>502</v>
      </c>
      <c r="E32" s="225">
        <f>'dod3'!E33-'dod3 - базовий бюджет'!F30</f>
        <v>-1905368</v>
      </c>
      <c r="F32" s="225">
        <f>'dod3'!F33-'dod3 - базовий бюджет'!G30</f>
        <v>-1905368</v>
      </c>
      <c r="G32" s="225">
        <f>'dod3'!G33-'dod3 - базовий бюджет'!H30</f>
        <v>-1421200</v>
      </c>
      <c r="H32" s="225">
        <f>'dod3'!H33-'dod3 - базовий бюджет'!I30</f>
        <v>-25174</v>
      </c>
      <c r="I32" s="225">
        <f>'dod3'!I33-'dod3 - базовий бюджет'!J30</f>
        <v>0</v>
      </c>
      <c r="J32" s="225">
        <f>'dod3'!J33-'dod3 - базовий бюджет'!K30</f>
        <v>0</v>
      </c>
      <c r="K32" s="225">
        <f>'dod3'!K33-'dod3 - базовий бюджет'!L30</f>
        <v>0</v>
      </c>
      <c r="L32" s="225">
        <f>'dod3'!L33-'dod3 - базовий бюджет'!M30</f>
        <v>0</v>
      </c>
      <c r="M32" s="225">
        <f>'dod3'!M33-'dod3 - базовий бюджет'!N30</f>
        <v>0</v>
      </c>
      <c r="N32" s="225">
        <f>'dod3'!N33-'dod3 - базовий бюджет'!O30</f>
        <v>90</v>
      </c>
      <c r="O32" s="225">
        <f>'dod3'!O33-'dod3 - базовий бюджет'!P30</f>
        <v>0</v>
      </c>
      <c r="P32" s="225">
        <f>'dod3'!P33-'dod3 - базовий бюджет'!Q30</f>
        <v>-1905368</v>
      </c>
      <c r="R32" s="141"/>
    </row>
    <row r="33" spans="1:18" s="123" customFormat="1" ht="91.5" x14ac:dyDescent="0.2">
      <c r="A33" s="268" t="s">
        <v>536</v>
      </c>
      <c r="B33" s="268" t="s">
        <v>537</v>
      </c>
      <c r="C33" s="268" t="s">
        <v>314</v>
      </c>
      <c r="D33" s="270" t="s">
        <v>535</v>
      </c>
      <c r="E33" s="225">
        <f>'dod3'!E34-'dod3 - базовий бюджет'!F31</f>
        <v>0</v>
      </c>
      <c r="F33" s="225">
        <f>'dod3'!F34-'dod3 - базовий бюджет'!G31</f>
        <v>0</v>
      </c>
      <c r="G33" s="225">
        <f>'dod3'!G34-'dod3 - базовий бюджет'!H31</f>
        <v>0</v>
      </c>
      <c r="H33" s="225">
        <f>'dod3'!H34-'dod3 - базовий бюджет'!I31</f>
        <v>0</v>
      </c>
      <c r="I33" s="225">
        <f>'dod3'!I34-'dod3 - базовий бюджет'!J31</f>
        <v>0</v>
      </c>
      <c r="J33" s="225">
        <f>'dod3'!J34-'dod3 - базовий бюджет'!K31</f>
        <v>0</v>
      </c>
      <c r="K33" s="225">
        <f>'dod3'!K34-'dod3 - базовий бюджет'!L31</f>
        <v>0</v>
      </c>
      <c r="L33" s="225">
        <f>'dod3'!L34-'dod3 - базовий бюджет'!M31</f>
        <v>0</v>
      </c>
      <c r="M33" s="225">
        <f>'dod3'!M34-'dod3 - базовий бюджет'!N31</f>
        <v>0</v>
      </c>
      <c r="N33" s="225">
        <f>'dod3'!N34-'dod3 - базовий бюджет'!O31</f>
        <v>0</v>
      </c>
      <c r="O33" s="225">
        <f>'dod3'!O34-'dod3 - базовий бюджет'!P31</f>
        <v>0</v>
      </c>
      <c r="P33" s="225">
        <f>'dod3'!P34-'dod3 - базовий бюджет'!Q31</f>
        <v>0</v>
      </c>
      <c r="R33" s="141"/>
    </row>
    <row r="34" spans="1:18" s="123" customFormat="1" ht="91.5" x14ac:dyDescent="0.2">
      <c r="A34" s="268" t="s">
        <v>833</v>
      </c>
      <c r="B34" s="268" t="s">
        <v>834</v>
      </c>
      <c r="C34" s="268" t="s">
        <v>314</v>
      </c>
      <c r="D34" s="270" t="s">
        <v>835</v>
      </c>
      <c r="E34" s="272">
        <f>'dod3'!E35-0</f>
        <v>2036012</v>
      </c>
      <c r="F34" s="272">
        <f>'dod3'!F35-0</f>
        <v>2036012</v>
      </c>
      <c r="G34" s="272">
        <f>'dod3'!G35-0</f>
        <v>1421200</v>
      </c>
      <c r="H34" s="272">
        <f>'dod3'!H35-0</f>
        <v>30900</v>
      </c>
      <c r="I34" s="272">
        <f>'dod3'!I35-0</f>
        <v>0</v>
      </c>
      <c r="J34" s="272">
        <f>'dod3'!J35-0</f>
        <v>200000</v>
      </c>
      <c r="K34" s="272">
        <f>'dod3'!K35-0</f>
        <v>200000</v>
      </c>
      <c r="L34" s="272">
        <f>'dod3'!L35-0</f>
        <v>0</v>
      </c>
      <c r="M34" s="272">
        <f>'dod3'!M35-0</f>
        <v>0</v>
      </c>
      <c r="N34" s="272">
        <f>'dod3'!N35-0</f>
        <v>0</v>
      </c>
      <c r="O34" s="272">
        <f>'dod3'!O35-0</f>
        <v>200000</v>
      </c>
      <c r="P34" s="272">
        <f>'dod3'!P35-0</f>
        <v>2236012</v>
      </c>
      <c r="R34" s="141"/>
    </row>
    <row r="35" spans="1:18" s="123" customFormat="1" ht="366" x14ac:dyDescent="0.2">
      <c r="A35" s="270" t="s">
        <v>837</v>
      </c>
      <c r="B35" s="270" t="s">
        <v>838</v>
      </c>
      <c r="C35" s="270" t="s">
        <v>279</v>
      </c>
      <c r="D35" s="270" t="s">
        <v>836</v>
      </c>
      <c r="E35" s="272">
        <f>'dod3'!E36-0</f>
        <v>1925000</v>
      </c>
      <c r="F35" s="272">
        <f>'dod3'!F36-0</f>
        <v>1925000</v>
      </c>
      <c r="G35" s="272">
        <f>'dod3'!G36-0</f>
        <v>0</v>
      </c>
      <c r="H35" s="272">
        <f>'dod3'!H36-0</f>
        <v>0</v>
      </c>
      <c r="I35" s="272">
        <f>'dod3'!I36-0</f>
        <v>0</v>
      </c>
      <c r="J35" s="272">
        <f>'dod3'!J36-0</f>
        <v>0</v>
      </c>
      <c r="K35" s="272">
        <f>'dod3'!K36-0</f>
        <v>0</v>
      </c>
      <c r="L35" s="272">
        <f>'dod3'!L36-0</f>
        <v>0</v>
      </c>
      <c r="M35" s="272">
        <f>'dod3'!M36-0</f>
        <v>0</v>
      </c>
      <c r="N35" s="272">
        <f>'dod3'!N36-0</f>
        <v>0</v>
      </c>
      <c r="O35" s="272">
        <f>'dod3'!O36-0</f>
        <v>0</v>
      </c>
      <c r="P35" s="272">
        <f>'dod3'!P36-0</f>
        <v>1925000</v>
      </c>
      <c r="R35" s="141"/>
    </row>
    <row r="36" spans="1:18" s="123" customFormat="1" ht="46.5" x14ac:dyDescent="0.2">
      <c r="A36" s="270" t="s">
        <v>316</v>
      </c>
      <c r="B36" s="270" t="s">
        <v>317</v>
      </c>
      <c r="C36" s="270" t="s">
        <v>318</v>
      </c>
      <c r="D36" s="270" t="s">
        <v>67</v>
      </c>
      <c r="E36" s="272">
        <f>'dod3'!E37-'dod3 - базовий бюджет'!F32</f>
        <v>2700000</v>
      </c>
      <c r="F36" s="272">
        <f>'dod3'!F37-'dod3 - базовий бюджет'!G32</f>
        <v>2700000</v>
      </c>
      <c r="G36" s="272">
        <f>'dod3'!G37-'dod3 - базовий бюджет'!H32</f>
        <v>0</v>
      </c>
      <c r="H36" s="272">
        <f>'dod3'!H37-'dod3 - базовий бюджет'!I32</f>
        <v>0</v>
      </c>
      <c r="I36" s="272">
        <f>'dod3'!I37-'dod3 - базовий бюджет'!J32</f>
        <v>0</v>
      </c>
      <c r="J36" s="272">
        <f>'dod3'!J37-'dod3 - базовий бюджет'!K32</f>
        <v>0</v>
      </c>
      <c r="K36" s="272">
        <f>'dod3'!K37-'dod3 - базовий бюджет'!L32</f>
        <v>0</v>
      </c>
      <c r="L36" s="272">
        <f>'dod3'!L37-'dod3 - базовий бюджет'!M32</f>
        <v>0</v>
      </c>
      <c r="M36" s="272">
        <f>'dod3'!M37-'dod3 - базовий бюджет'!N32</f>
        <v>0</v>
      </c>
      <c r="N36" s="272">
        <f>'dod3'!N37-'dod3 - базовий бюджет'!O32</f>
        <v>0</v>
      </c>
      <c r="O36" s="272">
        <f>'dod3'!O37-'dod3 - базовий бюджет'!P32</f>
        <v>0</v>
      </c>
      <c r="P36" s="272">
        <f>'dod3'!P37-'dod3 - базовий бюджет'!Q32</f>
        <v>2700000</v>
      </c>
      <c r="R36" s="141"/>
    </row>
    <row r="37" spans="1:18" ht="135" x14ac:dyDescent="0.2">
      <c r="A37" s="303" t="s">
        <v>240</v>
      </c>
      <c r="B37" s="304"/>
      <c r="C37" s="304"/>
      <c r="D37" s="297" t="s">
        <v>36</v>
      </c>
      <c r="E37" s="298">
        <f>E38</f>
        <v>18442778.379999999</v>
      </c>
      <c r="F37" s="298">
        <f t="shared" ref="F37:G37" si="8">F38</f>
        <v>18442778.379999999</v>
      </c>
      <c r="G37" s="298">
        <f t="shared" si="8"/>
        <v>0</v>
      </c>
      <c r="H37" s="298">
        <f>H38</f>
        <v>2830</v>
      </c>
      <c r="I37" s="298">
        <f t="shared" ref="I37" si="9">I38</f>
        <v>0</v>
      </c>
      <c r="J37" s="298">
        <f>J38</f>
        <v>5829187</v>
      </c>
      <c r="K37" s="298">
        <f>K38</f>
        <v>15906867</v>
      </c>
      <c r="L37" s="298">
        <f>L38</f>
        <v>-10077680</v>
      </c>
      <c r="M37" s="298">
        <f t="shared" ref="M37" si="10">M38</f>
        <v>0</v>
      </c>
      <c r="N37" s="298">
        <f>N38</f>
        <v>0</v>
      </c>
      <c r="O37" s="298">
        <f>O38</f>
        <v>15906867</v>
      </c>
      <c r="P37" s="305">
        <f>P38</f>
        <v>24271965.379999999</v>
      </c>
    </row>
    <row r="38" spans="1:18" ht="135" x14ac:dyDescent="0.2">
      <c r="A38" s="299" t="s">
        <v>241</v>
      </c>
      <c r="B38" s="299"/>
      <c r="C38" s="299"/>
      <c r="D38" s="300" t="s">
        <v>59</v>
      </c>
      <c r="E38" s="301">
        <f>SUM(E39:E50)</f>
        <v>18442778.379999999</v>
      </c>
      <c r="F38" s="301">
        <f t="shared" ref="F38:H38" si="11">SUM(F39:F50)</f>
        <v>18442778.379999999</v>
      </c>
      <c r="G38" s="301">
        <f t="shared" si="11"/>
        <v>0</v>
      </c>
      <c r="H38" s="301">
        <f t="shared" si="11"/>
        <v>2830</v>
      </c>
      <c r="I38" s="301">
        <f>SUM(I39:I50)</f>
        <v>0</v>
      </c>
      <c r="J38" s="301">
        <f>L38+O38</f>
        <v>5829187</v>
      </c>
      <c r="K38" s="301">
        <f>SUM(K39:K50)</f>
        <v>15906867</v>
      </c>
      <c r="L38" s="301">
        <f t="shared" ref="L38:N38" si="12">SUM(L39:L50)</f>
        <v>-10077680</v>
      </c>
      <c r="M38" s="301">
        <f t="shared" si="12"/>
        <v>0</v>
      </c>
      <c r="N38" s="301">
        <f t="shared" si="12"/>
        <v>0</v>
      </c>
      <c r="O38" s="301">
        <f>SUM(O39:O50)</f>
        <v>15906867</v>
      </c>
      <c r="P38" s="301">
        <f>E38+J38</f>
        <v>24271965.379999999</v>
      </c>
      <c r="Q38" s="141"/>
      <c r="R38" s="141"/>
    </row>
    <row r="39" spans="1:18" ht="228.75" x14ac:dyDescent="0.2">
      <c r="A39" s="270" t="s">
        <v>727</v>
      </c>
      <c r="B39" s="270" t="s">
        <v>341</v>
      </c>
      <c r="C39" s="270" t="s">
        <v>339</v>
      </c>
      <c r="D39" s="270" t="s">
        <v>340</v>
      </c>
      <c r="E39" s="225">
        <f>'dod3'!E40-'dod3 - базовий бюджет'!F35</f>
        <v>0</v>
      </c>
      <c r="F39" s="225">
        <f>'dod3'!F40-'dod3 - базовий бюджет'!G35</f>
        <v>0</v>
      </c>
      <c r="G39" s="225">
        <f>'dod3'!G40-'dod3 - базовий бюджет'!H35</f>
        <v>0</v>
      </c>
      <c r="H39" s="225">
        <f>'dod3'!H40-'dod3 - базовий бюджет'!I35</f>
        <v>0</v>
      </c>
      <c r="I39" s="225">
        <f>'dod3'!I40-'dod3 - базовий бюджет'!J35</f>
        <v>0</v>
      </c>
      <c r="J39" s="225">
        <f>'dod3'!J40-'dod3 - базовий бюджет'!K35</f>
        <v>0</v>
      </c>
      <c r="K39" s="225">
        <f>'dod3'!K40-'dod3 - базовий бюджет'!L35</f>
        <v>0</v>
      </c>
      <c r="L39" s="225">
        <f>'dod3'!L40-'dod3 - базовий бюджет'!M35</f>
        <v>0</v>
      </c>
      <c r="M39" s="225">
        <f>'dod3'!M40-'dod3 - базовий бюджет'!N35</f>
        <v>0</v>
      </c>
      <c r="N39" s="225">
        <f>'dod3'!N40-'dod3 - базовий бюджет'!O35</f>
        <v>0</v>
      </c>
      <c r="O39" s="225">
        <f>'dod3'!O40-'dod3 - базовий бюджет'!P35</f>
        <v>0</v>
      </c>
      <c r="P39" s="225">
        <f>'dod3'!P40-'dod3 - базовий бюджет'!Q35</f>
        <v>0</v>
      </c>
      <c r="Q39" s="141"/>
      <c r="R39" s="141"/>
    </row>
    <row r="40" spans="1:18" ht="91.5" x14ac:dyDescent="0.2">
      <c r="A40" s="270" t="s">
        <v>319</v>
      </c>
      <c r="B40" s="270" t="s">
        <v>315</v>
      </c>
      <c r="C40" s="270" t="s">
        <v>320</v>
      </c>
      <c r="D40" s="270" t="s">
        <v>37</v>
      </c>
      <c r="E40" s="225">
        <f>'dod3'!E41-'dod3 - базовий бюджет'!F36</f>
        <v>9399730</v>
      </c>
      <c r="F40" s="225">
        <f>'dod3'!F41-'dod3 - базовий бюджет'!G36</f>
        <v>9399730</v>
      </c>
      <c r="G40" s="225">
        <f>'dod3'!G41-'dod3 - базовий бюджет'!H36</f>
        <v>0</v>
      </c>
      <c r="H40" s="225">
        <f>'dod3'!H41-'dod3 - базовий бюджет'!I36</f>
        <v>0</v>
      </c>
      <c r="I40" s="225">
        <f>'dod3'!I41-'dod3 - базовий бюджет'!J36</f>
        <v>0</v>
      </c>
      <c r="J40" s="225">
        <f>'dod3'!J41-'dod3 - базовий бюджет'!K36</f>
        <v>4046514</v>
      </c>
      <c r="K40" s="225">
        <f>'dod3'!K41-'dod3 - базовий бюджет'!L36</f>
        <v>6101814</v>
      </c>
      <c r="L40" s="225">
        <f>'dod3'!L41-'dod3 - базовий бюджет'!M36</f>
        <v>-2055300</v>
      </c>
      <c r="M40" s="225">
        <f>'dod3'!M41-'dod3 - базовий бюджет'!N36</f>
        <v>0</v>
      </c>
      <c r="N40" s="225">
        <f>'dod3'!N41-'dod3 - базовий бюджет'!O36</f>
        <v>0</v>
      </c>
      <c r="O40" s="225">
        <f>'dod3'!O41-'dod3 - базовий бюджет'!P36</f>
        <v>6101814</v>
      </c>
      <c r="P40" s="225">
        <f>'dod3'!P41-'dod3 - базовий бюджет'!Q36</f>
        <v>13446244</v>
      </c>
      <c r="R40" s="141"/>
    </row>
    <row r="41" spans="1:18" ht="137.25" x14ac:dyDescent="0.2">
      <c r="A41" s="270" t="s">
        <v>321</v>
      </c>
      <c r="B41" s="270" t="s">
        <v>322</v>
      </c>
      <c r="C41" s="270" t="s">
        <v>323</v>
      </c>
      <c r="D41" s="270" t="s">
        <v>324</v>
      </c>
      <c r="E41" s="225">
        <f>'dod3'!E42-'dod3 - базовий бюджет'!F37</f>
        <v>0</v>
      </c>
      <c r="F41" s="225">
        <f>'dod3'!F42-'dod3 - базовий бюджет'!G37</f>
        <v>0</v>
      </c>
      <c r="G41" s="225">
        <f>'dod3'!G42-'dod3 - базовий бюджет'!H37</f>
        <v>0</v>
      </c>
      <c r="H41" s="225">
        <f>'dod3'!H42-'dod3 - базовий бюджет'!I37</f>
        <v>0</v>
      </c>
      <c r="I41" s="225">
        <f>'dod3'!I42-'dod3 - базовий бюджет'!J37</f>
        <v>0</v>
      </c>
      <c r="J41" s="225">
        <f>'dod3'!J42-'dod3 - базовий бюджет'!K37</f>
        <v>-692180</v>
      </c>
      <c r="K41" s="225">
        <f>'dod3'!K42-'dod3 - базовий бюджет'!L37</f>
        <v>0</v>
      </c>
      <c r="L41" s="225">
        <f>'dod3'!L42-'dod3 - базовий бюджет'!M37</f>
        <v>-692180</v>
      </c>
      <c r="M41" s="225">
        <f>'dod3'!M42-'dod3 - базовий бюджет'!N37</f>
        <v>0</v>
      </c>
      <c r="N41" s="225">
        <f>'dod3'!N42-'dod3 - базовий бюджет'!O37</f>
        <v>0</v>
      </c>
      <c r="O41" s="225">
        <f>'dod3'!O42-'dod3 - базовий бюджет'!P37</f>
        <v>0</v>
      </c>
      <c r="P41" s="225">
        <f>'dod3'!P42-'dod3 - базовий бюджет'!Q37</f>
        <v>-692180</v>
      </c>
      <c r="R41" s="141"/>
    </row>
    <row r="42" spans="1:18" ht="137.25" x14ac:dyDescent="0.2">
      <c r="A42" s="270" t="s">
        <v>325</v>
      </c>
      <c r="B42" s="270" t="s">
        <v>326</v>
      </c>
      <c r="C42" s="270" t="s">
        <v>327</v>
      </c>
      <c r="D42" s="270" t="s">
        <v>551</v>
      </c>
      <c r="E42" s="225">
        <f>'dod3'!E43-'dod3 - базовий бюджет'!F38</f>
        <v>3751900</v>
      </c>
      <c r="F42" s="225">
        <f>'dod3'!F43-'dod3 - базовий бюджет'!G38</f>
        <v>3751900</v>
      </c>
      <c r="G42" s="225">
        <f>'dod3'!G43-'dod3 - базовий бюджет'!H38</f>
        <v>0</v>
      </c>
      <c r="H42" s="225">
        <f>'dod3'!H43-'dod3 - базовий бюджет'!I38</f>
        <v>0</v>
      </c>
      <c r="I42" s="225">
        <f>'dod3'!I43-'dod3 - базовий бюджет'!J38</f>
        <v>0</v>
      </c>
      <c r="J42" s="225">
        <f>'dod3'!J43-'dod3 - базовий бюджет'!K38</f>
        <v>-3731600</v>
      </c>
      <c r="K42" s="225">
        <f>'dod3'!K43-'dod3 - базовий бюджет'!L38</f>
        <v>0</v>
      </c>
      <c r="L42" s="225">
        <f>'dod3'!L43-'dod3 - базовий бюджет'!M38</f>
        <v>-3731600</v>
      </c>
      <c r="M42" s="225">
        <f>'dod3'!M43-'dod3 - базовий бюджет'!N38</f>
        <v>0</v>
      </c>
      <c r="N42" s="225">
        <f>'dod3'!N43-'dod3 - базовий бюджет'!O38</f>
        <v>0</v>
      </c>
      <c r="O42" s="225">
        <f>'dod3'!O43-'dod3 - базовий бюджет'!P38</f>
        <v>0</v>
      </c>
      <c r="P42" s="225">
        <f>'dod3'!P43-'dod3 - базовий бюджет'!Q38</f>
        <v>20300</v>
      </c>
      <c r="R42" s="141"/>
    </row>
    <row r="43" spans="1:18" ht="91.5" x14ac:dyDescent="0.2">
      <c r="A43" s="270" t="s">
        <v>328</v>
      </c>
      <c r="B43" s="270" t="s">
        <v>329</v>
      </c>
      <c r="C43" s="270" t="s">
        <v>330</v>
      </c>
      <c r="D43" s="270" t="s">
        <v>331</v>
      </c>
      <c r="E43" s="225">
        <f>'dod3'!E44-'dod3 - базовий бюджет'!F39</f>
        <v>0</v>
      </c>
      <c r="F43" s="225">
        <f>'dod3'!F44-'dod3 - базовий бюджет'!G39</f>
        <v>0</v>
      </c>
      <c r="G43" s="225">
        <f>'dod3'!G44-'dod3 - базовий бюджет'!H39</f>
        <v>0</v>
      </c>
      <c r="H43" s="225">
        <f>'dod3'!H44-'dod3 - базовий бюджет'!I39</f>
        <v>0</v>
      </c>
      <c r="I43" s="225">
        <f>'dod3'!I44-'dod3 - базовий бюджет'!J39</f>
        <v>0</v>
      </c>
      <c r="J43" s="225">
        <f>'dod3'!J44-'dod3 - базовий бюджет'!K39</f>
        <v>-1998600</v>
      </c>
      <c r="K43" s="225">
        <f>'dod3'!K44-'dod3 - базовий бюджет'!L39</f>
        <v>1600000</v>
      </c>
      <c r="L43" s="225">
        <f>'dod3'!L44-'dod3 - базовий бюджет'!M39</f>
        <v>-3598600</v>
      </c>
      <c r="M43" s="225">
        <f>'dod3'!M44-'dod3 - базовий бюджет'!N39</f>
        <v>0</v>
      </c>
      <c r="N43" s="225">
        <f>'dod3'!N44-'dod3 - базовий бюджет'!O39</f>
        <v>0</v>
      </c>
      <c r="O43" s="225">
        <f>'dod3'!O44-'dod3 - базовий бюджет'!P39</f>
        <v>1600000</v>
      </c>
      <c r="P43" s="225">
        <f>'dod3'!P44-'dod3 - базовий бюджет'!Q39</f>
        <v>-1998600</v>
      </c>
      <c r="R43" s="141"/>
    </row>
    <row r="44" spans="1:18" ht="183" x14ac:dyDescent="0.2">
      <c r="A44" s="270" t="s">
        <v>332</v>
      </c>
      <c r="B44" s="268" t="s">
        <v>333</v>
      </c>
      <c r="C44" s="268" t="s">
        <v>552</v>
      </c>
      <c r="D44" s="270" t="s">
        <v>334</v>
      </c>
      <c r="E44" s="225">
        <f>'dod3'!E45-'dod3 - базовий бюджет'!F40</f>
        <v>60902</v>
      </c>
      <c r="F44" s="225">
        <f>'dod3'!F45-'dod3 - базовий бюджет'!G40</f>
        <v>60902</v>
      </c>
      <c r="G44" s="225">
        <f>'dod3'!G45-'dod3 - базовий бюджет'!H40</f>
        <v>0</v>
      </c>
      <c r="H44" s="225">
        <f>'dod3'!H45-'dod3 - базовий бюджет'!I40</f>
        <v>0</v>
      </c>
      <c r="I44" s="225">
        <f>'dod3'!I45-'dod3 - базовий бюджет'!J40</f>
        <v>0</v>
      </c>
      <c r="J44" s="225">
        <f>'dod3'!J45-'dod3 - базовий бюджет'!K40</f>
        <v>0</v>
      </c>
      <c r="K44" s="225">
        <f>'dod3'!K45-'dod3 - базовий бюджет'!L40</f>
        <v>0</v>
      </c>
      <c r="L44" s="225">
        <f>'dod3'!L45-'dod3 - базовий бюджет'!M40</f>
        <v>0</v>
      </c>
      <c r="M44" s="225">
        <f>'dod3'!M45-'dod3 - базовий бюджет'!N40</f>
        <v>0</v>
      </c>
      <c r="N44" s="225">
        <f>'dod3'!N45-'dod3 - базовий бюджет'!O40</f>
        <v>0</v>
      </c>
      <c r="O44" s="225">
        <f>'dod3'!O45-'dod3 - базовий бюджет'!P40</f>
        <v>0</v>
      </c>
      <c r="P44" s="225">
        <f>'dod3'!P45-'dod3 - базовий бюджет'!Q40</f>
        <v>60902</v>
      </c>
      <c r="R44" s="141"/>
    </row>
    <row r="45" spans="1:18" ht="183" x14ac:dyDescent="0.2">
      <c r="A45" s="270" t="s">
        <v>591</v>
      </c>
      <c r="B45" s="270" t="s">
        <v>592</v>
      </c>
      <c r="C45" s="268" t="s">
        <v>335</v>
      </c>
      <c r="D45" s="215" t="s">
        <v>593</v>
      </c>
      <c r="E45" s="225">
        <f>'dod3'!E46-'dod3 - базовий бюджет'!F41</f>
        <v>4428046.379999999</v>
      </c>
      <c r="F45" s="225">
        <f>'dod3'!F46-'dod3 - базовий бюджет'!G41</f>
        <v>4428046.379999999</v>
      </c>
      <c r="G45" s="225">
        <f>'dod3'!G46-'dod3 - базовий бюджет'!H41</f>
        <v>0</v>
      </c>
      <c r="H45" s="225">
        <f>'dod3'!H46-'dod3 - базовий бюджет'!I41</f>
        <v>0</v>
      </c>
      <c r="I45" s="225">
        <f>'dod3'!I46-'dod3 - базовий бюджет'!J41</f>
        <v>0</v>
      </c>
      <c r="J45" s="225">
        <f>'dod3'!J46-'dod3 - базовий бюджет'!K41</f>
        <v>0</v>
      </c>
      <c r="K45" s="225">
        <f>'dod3'!K46-'dod3 - базовий бюджет'!L41</f>
        <v>0</v>
      </c>
      <c r="L45" s="225">
        <f>'dod3'!L46-'dod3 - базовий бюджет'!M41</f>
        <v>0</v>
      </c>
      <c r="M45" s="225">
        <f>'dod3'!M46-'dod3 - базовий бюджет'!N41</f>
        <v>0</v>
      </c>
      <c r="N45" s="225">
        <f>'dod3'!N46-'dod3 - базовий бюджет'!O41</f>
        <v>0</v>
      </c>
      <c r="O45" s="225">
        <f>'dod3'!O46-'dod3 - базовий бюджет'!P41</f>
        <v>0</v>
      </c>
      <c r="P45" s="225">
        <f>'dod3'!P46-'dod3 - базовий бюджет'!Q41</f>
        <v>4428046.379999999</v>
      </c>
      <c r="R45" s="141"/>
    </row>
    <row r="46" spans="1:18" ht="183" x14ac:dyDescent="0.2">
      <c r="A46" s="270" t="s">
        <v>596</v>
      </c>
      <c r="B46" s="270" t="s">
        <v>595</v>
      </c>
      <c r="C46" s="268" t="s">
        <v>335</v>
      </c>
      <c r="D46" s="215" t="s">
        <v>594</v>
      </c>
      <c r="E46" s="225">
        <f>'dod3'!E47-'dod3 - базовий бюджет'!F42</f>
        <v>0</v>
      </c>
      <c r="F46" s="225">
        <f>'dod3'!F47-'dod3 - базовий бюджет'!G42</f>
        <v>0</v>
      </c>
      <c r="G46" s="225">
        <f>'dod3'!G47-'dod3 - базовий бюджет'!H42</f>
        <v>0</v>
      </c>
      <c r="H46" s="225">
        <f>'dod3'!H47-'dod3 - базовий бюджет'!I42</f>
        <v>0</v>
      </c>
      <c r="I46" s="225">
        <f>'dod3'!I47-'dod3 - базовий бюджет'!J42</f>
        <v>0</v>
      </c>
      <c r="J46" s="225">
        <f>'dod3'!J47-'dod3 - базовий бюджет'!K42</f>
        <v>0</v>
      </c>
      <c r="K46" s="225">
        <f>'dod3'!K47-'dod3 - базовий бюджет'!L42</f>
        <v>0</v>
      </c>
      <c r="L46" s="225">
        <f>'dod3'!L47-'dod3 - базовий бюджет'!M42</f>
        <v>0</v>
      </c>
      <c r="M46" s="225">
        <f>'dod3'!M47-'dod3 - базовий бюджет'!N42</f>
        <v>0</v>
      </c>
      <c r="N46" s="225">
        <f>'dod3'!N47-'dod3 - базовий бюджет'!O42</f>
        <v>0</v>
      </c>
      <c r="O46" s="225">
        <f>'dod3'!O47-'dod3 - базовий бюджет'!P42</f>
        <v>0</v>
      </c>
      <c r="P46" s="225">
        <f>'dod3'!P47-'dod3 - базовий бюджет'!Q42</f>
        <v>0</v>
      </c>
      <c r="R46" s="141"/>
    </row>
    <row r="47" spans="1:18" s="123" customFormat="1" ht="137.25" x14ac:dyDescent="0.2">
      <c r="A47" s="270" t="s">
        <v>507</v>
      </c>
      <c r="B47" s="270" t="s">
        <v>509</v>
      </c>
      <c r="C47" s="268" t="s">
        <v>335</v>
      </c>
      <c r="D47" s="215" t="s">
        <v>505</v>
      </c>
      <c r="E47" s="225">
        <f>'dod3'!E48-'dod3 - базовий бюджет'!F43</f>
        <v>0</v>
      </c>
      <c r="F47" s="225">
        <f>'dod3'!F48-'dod3 - базовий бюджет'!G43</f>
        <v>0</v>
      </c>
      <c r="G47" s="225">
        <f>'dod3'!G48-'dod3 - базовий бюджет'!H43</f>
        <v>0</v>
      </c>
      <c r="H47" s="225">
        <f>'dod3'!H48-'dod3 - базовий бюджет'!I43</f>
        <v>2830</v>
      </c>
      <c r="I47" s="225">
        <f>'dod3'!I48-'dod3 - базовий бюджет'!J43</f>
        <v>0</v>
      </c>
      <c r="J47" s="225">
        <f>'dod3'!J48-'dod3 - базовий бюджет'!K43</f>
        <v>107704</v>
      </c>
      <c r="K47" s="225">
        <f>'dod3'!K48-'dod3 - базовий бюджет'!L43</f>
        <v>107704</v>
      </c>
      <c r="L47" s="225">
        <f>'dod3'!L48-'dod3 - базовий бюджет'!M43</f>
        <v>0</v>
      </c>
      <c r="M47" s="225">
        <f>'dod3'!M48-'dod3 - базовий бюджет'!N43</f>
        <v>0</v>
      </c>
      <c r="N47" s="225">
        <f>'dod3'!N48-'dod3 - базовий бюджет'!O43</f>
        <v>0</v>
      </c>
      <c r="O47" s="225">
        <f>'dod3'!O48-'dod3 - базовий бюджет'!P43</f>
        <v>107704</v>
      </c>
      <c r="P47" s="225">
        <f>'dod3'!P48-'dod3 - базовий бюджет'!Q43</f>
        <v>107704</v>
      </c>
      <c r="R47" s="141"/>
    </row>
    <row r="48" spans="1:18" s="123" customFormat="1" ht="91.5" x14ac:dyDescent="0.2">
      <c r="A48" s="270" t="s">
        <v>508</v>
      </c>
      <c r="B48" s="270" t="s">
        <v>510</v>
      </c>
      <c r="C48" s="268" t="s">
        <v>335</v>
      </c>
      <c r="D48" s="215" t="s">
        <v>506</v>
      </c>
      <c r="E48" s="225">
        <f>'dod3'!E49-'dod3 - базовий бюджет'!F44</f>
        <v>702200</v>
      </c>
      <c r="F48" s="225">
        <f>'dod3'!F49-'dod3 - базовий бюджет'!G44</f>
        <v>702200</v>
      </c>
      <c r="G48" s="225">
        <f>'dod3'!G49-'dod3 - базовий бюджет'!H44</f>
        <v>0</v>
      </c>
      <c r="H48" s="225">
        <f>'dod3'!H49-'dod3 - базовий бюджет'!I44</f>
        <v>0</v>
      </c>
      <c r="I48" s="225">
        <f>'dod3'!I49-'dod3 - базовий бюджет'!J44</f>
        <v>0</v>
      </c>
      <c r="J48" s="225">
        <f>'dod3'!J49-'dod3 - базовий бюджет'!K44</f>
        <v>0</v>
      </c>
      <c r="K48" s="225">
        <f>'dod3'!K49-'dod3 - базовий бюджет'!L44</f>
        <v>0</v>
      </c>
      <c r="L48" s="225">
        <f>'dod3'!L49-'dod3 - базовий бюджет'!M44</f>
        <v>0</v>
      </c>
      <c r="M48" s="225">
        <f>'dod3'!M49-'dod3 - базовий бюджет'!N44</f>
        <v>0</v>
      </c>
      <c r="N48" s="225">
        <f>'dod3'!N49-'dod3 - базовий бюджет'!O44</f>
        <v>0</v>
      </c>
      <c r="O48" s="225">
        <f>'dod3'!O49-'dod3 - базовий бюджет'!P44</f>
        <v>0</v>
      </c>
      <c r="P48" s="225">
        <f>'dod3'!P49-'dod3 - базовий бюджет'!Q44</f>
        <v>702200</v>
      </c>
      <c r="R48" s="141"/>
    </row>
    <row r="49" spans="1:20" s="123" customFormat="1" ht="91.5" x14ac:dyDescent="0.2">
      <c r="A49" s="270" t="s">
        <v>904</v>
      </c>
      <c r="B49" s="270" t="s">
        <v>293</v>
      </c>
      <c r="C49" s="270" t="s">
        <v>256</v>
      </c>
      <c r="D49" s="270" t="s">
        <v>57</v>
      </c>
      <c r="E49" s="225">
        <f>'dod3'!E50-0</f>
        <v>0</v>
      </c>
      <c r="F49" s="225">
        <f>'dod3'!F50-0</f>
        <v>0</v>
      </c>
      <c r="G49" s="225">
        <f>'dod3'!G50-0</f>
        <v>0</v>
      </c>
      <c r="H49" s="225">
        <f>'dod3'!H50-0</f>
        <v>0</v>
      </c>
      <c r="I49" s="225">
        <f>'dod3'!I50-0</f>
        <v>0</v>
      </c>
      <c r="J49" s="225">
        <f>'dod3'!J50-0</f>
        <v>6942592</v>
      </c>
      <c r="K49" s="225">
        <f>'dod3'!K50-0</f>
        <v>6942592</v>
      </c>
      <c r="L49" s="225">
        <f>'dod3'!L50-0</f>
        <v>0</v>
      </c>
      <c r="M49" s="225">
        <f>'dod3'!M50-0</f>
        <v>0</v>
      </c>
      <c r="N49" s="225">
        <f>'dod3'!N50-0</f>
        <v>0</v>
      </c>
      <c r="O49" s="225">
        <f>'dod3'!O50-0</f>
        <v>6942592</v>
      </c>
      <c r="P49" s="225">
        <f>'dod3'!P50-0</f>
        <v>6942592</v>
      </c>
      <c r="R49" s="141"/>
    </row>
    <row r="50" spans="1:20" s="123" customFormat="1" ht="91.5" x14ac:dyDescent="0.2">
      <c r="A50" s="270" t="s">
        <v>906</v>
      </c>
      <c r="B50" s="270" t="s">
        <v>601</v>
      </c>
      <c r="C50" s="270" t="s">
        <v>71</v>
      </c>
      <c r="D50" s="270" t="s">
        <v>602</v>
      </c>
      <c r="E50" s="225">
        <f>'dod3'!E51-0</f>
        <v>100000</v>
      </c>
      <c r="F50" s="225">
        <f>'dod3'!F51-0</f>
        <v>100000</v>
      </c>
      <c r="G50" s="225">
        <f>'dod3'!G51-0</f>
        <v>0</v>
      </c>
      <c r="H50" s="225">
        <f>'dod3'!H51-0</f>
        <v>0</v>
      </c>
      <c r="I50" s="225">
        <f>'dod3'!I51-0</f>
        <v>0</v>
      </c>
      <c r="J50" s="225">
        <f>'dod3'!J51-0</f>
        <v>1154757</v>
      </c>
      <c r="K50" s="225">
        <f>'dod3'!K51-0</f>
        <v>1154757</v>
      </c>
      <c r="L50" s="225">
        <f>'dod3'!L51-0</f>
        <v>0</v>
      </c>
      <c r="M50" s="225">
        <f>'dod3'!M51-0</f>
        <v>0</v>
      </c>
      <c r="N50" s="225">
        <f>'dod3'!N51-0</f>
        <v>0</v>
      </c>
      <c r="O50" s="225">
        <f>'dod3'!O51-0</f>
        <v>1154757</v>
      </c>
      <c r="P50" s="225">
        <f>'dod3'!P51-0</f>
        <v>1254757</v>
      </c>
      <c r="R50" s="141"/>
    </row>
    <row r="51" spans="1:20" ht="225" x14ac:dyDescent="0.2">
      <c r="A51" s="296" t="s">
        <v>242</v>
      </c>
      <c r="B51" s="296"/>
      <c r="C51" s="296"/>
      <c r="D51" s="297" t="s">
        <v>60</v>
      </c>
      <c r="E51" s="298">
        <f>E52</f>
        <v>2172608</v>
      </c>
      <c r="F51" s="298">
        <f t="shared" ref="F51:G51" si="13">F52</f>
        <v>2172608</v>
      </c>
      <c r="G51" s="298">
        <f t="shared" si="13"/>
        <v>424248</v>
      </c>
      <c r="H51" s="298">
        <f>H52</f>
        <v>20748</v>
      </c>
      <c r="I51" s="298">
        <f t="shared" ref="I51" si="14">I52</f>
        <v>0</v>
      </c>
      <c r="J51" s="298">
        <f>J52</f>
        <v>2377580</v>
      </c>
      <c r="K51" s="298">
        <f>K52</f>
        <v>2377580</v>
      </c>
      <c r="L51" s="298">
        <f>L52</f>
        <v>0</v>
      </c>
      <c r="M51" s="298">
        <f t="shared" ref="M51" si="15">M52</f>
        <v>0</v>
      </c>
      <c r="N51" s="298">
        <f>N52</f>
        <v>0</v>
      </c>
      <c r="O51" s="298">
        <f>O52</f>
        <v>2377580</v>
      </c>
      <c r="P51" s="302">
        <f>P52</f>
        <v>4550188</v>
      </c>
    </row>
    <row r="52" spans="1:20" ht="225" x14ac:dyDescent="0.2">
      <c r="A52" s="299" t="s">
        <v>243</v>
      </c>
      <c r="B52" s="299"/>
      <c r="C52" s="299"/>
      <c r="D52" s="300" t="s">
        <v>61</v>
      </c>
      <c r="E52" s="301">
        <f>SUM(E53:E96)</f>
        <v>2172608</v>
      </c>
      <c r="F52" s="301">
        <f>SUM(F53:F96)</f>
        <v>2172608</v>
      </c>
      <c r="G52" s="301">
        <f>SUM(G53:G96)</f>
        <v>424248</v>
      </c>
      <c r="H52" s="301">
        <f>SUM(H53:H96)</f>
        <v>20748</v>
      </c>
      <c r="I52" s="301">
        <f>SUM(I53:I96)</f>
        <v>0</v>
      </c>
      <c r="J52" s="301">
        <f>L52+O52</f>
        <v>2377580</v>
      </c>
      <c r="K52" s="301">
        <f>SUM(K53:K96)</f>
        <v>2377580</v>
      </c>
      <c r="L52" s="301">
        <f>SUM(L53:L96)</f>
        <v>0</v>
      </c>
      <c r="M52" s="301">
        <f>SUM(M53:M96)</f>
        <v>0</v>
      </c>
      <c r="N52" s="301">
        <f>SUM(N53:N96)</f>
        <v>0</v>
      </c>
      <c r="O52" s="301">
        <f>SUM(O53:O96)</f>
        <v>2377580</v>
      </c>
      <c r="P52" s="301">
        <f>E52+J52</f>
        <v>4550188</v>
      </c>
      <c r="Q52" s="153"/>
      <c r="R52" s="155"/>
      <c r="T52" s="153"/>
    </row>
    <row r="53" spans="1:20" ht="228.75" x14ac:dyDescent="0.2">
      <c r="A53" s="270" t="s">
        <v>726</v>
      </c>
      <c r="B53" s="270" t="s">
        <v>341</v>
      </c>
      <c r="C53" s="270" t="s">
        <v>339</v>
      </c>
      <c r="D53" s="270" t="s">
        <v>340</v>
      </c>
      <c r="E53" s="272">
        <f>'dod3'!E54-'dod3 - базовий бюджет'!F47</f>
        <v>265000</v>
      </c>
      <c r="F53" s="272">
        <f>'dod3'!F54-'dod3 - базовий бюджет'!G47</f>
        <v>265000</v>
      </c>
      <c r="G53" s="272">
        <f>'dod3'!G54-'dod3 - базовий бюджет'!H47</f>
        <v>0</v>
      </c>
      <c r="H53" s="272">
        <f>'dod3'!H54-'dod3 - базовий бюджет'!I47</f>
        <v>15600</v>
      </c>
      <c r="I53" s="272">
        <f>'dod3'!I54-'dod3 - базовий бюджет'!J47</f>
        <v>0</v>
      </c>
      <c r="J53" s="272">
        <f>'dod3'!J54-'dod3 - базовий бюджет'!K47</f>
        <v>0</v>
      </c>
      <c r="K53" s="272">
        <f>'dod3'!K54-'dod3 - базовий бюджет'!L47</f>
        <v>0</v>
      </c>
      <c r="L53" s="272">
        <f>'dod3'!L54-'dod3 - базовий бюджет'!M47</f>
        <v>0</v>
      </c>
      <c r="M53" s="272">
        <f>'dod3'!M54-'dod3 - базовий бюджет'!N47</f>
        <v>0</v>
      </c>
      <c r="N53" s="272">
        <f>'dod3'!N54-'dod3 - базовий бюджет'!O47</f>
        <v>0</v>
      </c>
      <c r="O53" s="272">
        <f>'dod3'!O54-'dod3 - базовий бюджет'!P47</f>
        <v>0</v>
      </c>
      <c r="P53" s="272">
        <f>'dod3'!P54-'dod3 - базовий бюджет'!Q47</f>
        <v>265000</v>
      </c>
      <c r="Q53" s="153"/>
      <c r="R53" s="155"/>
      <c r="T53" s="153"/>
    </row>
    <row r="54" spans="1:20" ht="183" x14ac:dyDescent="0.2">
      <c r="A54" s="268" t="s">
        <v>356</v>
      </c>
      <c r="B54" s="268" t="s">
        <v>357</v>
      </c>
      <c r="C54" s="268" t="s">
        <v>302</v>
      </c>
      <c r="D54" s="217" t="s">
        <v>355</v>
      </c>
      <c r="E54" s="272">
        <f>'dod3'!E55-'dod3 - базовий бюджет'!F48</f>
        <v>19640000</v>
      </c>
      <c r="F54" s="272">
        <f>'dod3'!F55-'dod3 - базовий бюджет'!G48</f>
        <v>19640000</v>
      </c>
      <c r="G54" s="272">
        <f>'dod3'!G55-'dod3 - базовий бюджет'!H48</f>
        <v>0</v>
      </c>
      <c r="H54" s="272">
        <f>'dod3'!H55-'dod3 - базовий бюджет'!I48</f>
        <v>0</v>
      </c>
      <c r="I54" s="272">
        <f>'dod3'!I55-'dod3 - базовий бюджет'!J48</f>
        <v>0</v>
      </c>
      <c r="J54" s="272">
        <f>'dod3'!J55-'dod3 - базовий бюджет'!K48</f>
        <v>0</v>
      </c>
      <c r="K54" s="272">
        <f>'dod3'!K55-'dod3 - базовий бюджет'!L48</f>
        <v>0</v>
      </c>
      <c r="L54" s="272">
        <f>'dod3'!L55-'dod3 - базовий бюджет'!M48</f>
        <v>0</v>
      </c>
      <c r="M54" s="272">
        <f>'dod3'!M55-'dod3 - базовий бюджет'!N48</f>
        <v>0</v>
      </c>
      <c r="N54" s="272">
        <f>'dod3'!N55-'dod3 - базовий бюджет'!O48</f>
        <v>0</v>
      </c>
      <c r="O54" s="272">
        <f>'dod3'!O55-'dod3 - базовий бюджет'!P48</f>
        <v>0</v>
      </c>
      <c r="P54" s="272">
        <f>'dod3'!P55-'dod3 - базовий бюджет'!Q48</f>
        <v>19640000</v>
      </c>
      <c r="R54" s="155"/>
    </row>
    <row r="55" spans="1:20" ht="183" x14ac:dyDescent="0.2">
      <c r="A55" s="218" t="s">
        <v>375</v>
      </c>
      <c r="B55" s="268" t="s">
        <v>376</v>
      </c>
      <c r="C55" s="268" t="s">
        <v>79</v>
      </c>
      <c r="D55" s="270" t="s">
        <v>8</v>
      </c>
      <c r="E55" s="272">
        <f>'dod3'!E56-'dod3 - базовий бюджет'!F49</f>
        <v>-19640000</v>
      </c>
      <c r="F55" s="272">
        <f>'dod3'!F56-'dod3 - базовий бюджет'!G49</f>
        <v>-19640000</v>
      </c>
      <c r="G55" s="272">
        <f>'dod3'!G56-'dod3 - базовий бюджет'!H49</f>
        <v>0</v>
      </c>
      <c r="H55" s="272">
        <f>'dod3'!H56-'dod3 - базовий бюджет'!I49</f>
        <v>0</v>
      </c>
      <c r="I55" s="272">
        <f>'dod3'!I56-'dod3 - базовий бюджет'!J49</f>
        <v>0</v>
      </c>
      <c r="J55" s="272">
        <f>'dod3'!J56-'dod3 - базовий бюджет'!K49</f>
        <v>0</v>
      </c>
      <c r="K55" s="272">
        <f>'dod3'!K56-'dod3 - базовий бюджет'!L49</f>
        <v>0</v>
      </c>
      <c r="L55" s="272">
        <f>'dod3'!L56-'dod3 - базовий бюджет'!M49</f>
        <v>0</v>
      </c>
      <c r="M55" s="272">
        <f>'dod3'!M56-'dod3 - базовий бюджет'!N49</f>
        <v>0</v>
      </c>
      <c r="N55" s="272">
        <f>'dod3'!N56-'dod3 - базовий бюджет'!O49</f>
        <v>0</v>
      </c>
      <c r="O55" s="272">
        <f>'dod3'!O56-'dod3 - базовий бюджет'!P49</f>
        <v>0</v>
      </c>
      <c r="P55" s="272">
        <f>'dod3'!P56-'dod3 - базовий бюджет'!Q49</f>
        <v>-19640000</v>
      </c>
      <c r="R55" s="155"/>
    </row>
    <row r="56" spans="1:20" ht="274.5" x14ac:dyDescent="0.2">
      <c r="A56" s="270" t="s">
        <v>378</v>
      </c>
      <c r="B56" s="270" t="s">
        <v>379</v>
      </c>
      <c r="C56" s="270" t="s">
        <v>302</v>
      </c>
      <c r="D56" s="219" t="s">
        <v>377</v>
      </c>
      <c r="E56" s="272">
        <f>'dod3'!E57-'dod3 - базовий бюджет'!F50</f>
        <v>0</v>
      </c>
      <c r="F56" s="272">
        <f>'dod3'!F57-'dod3 - базовий бюджет'!G50</f>
        <v>0</v>
      </c>
      <c r="G56" s="272">
        <f>'dod3'!G57-'dod3 - базовий бюджет'!H50</f>
        <v>0</v>
      </c>
      <c r="H56" s="272">
        <f>'dod3'!H57-'dod3 - базовий бюджет'!I50</f>
        <v>0</v>
      </c>
      <c r="I56" s="272">
        <f>'dod3'!I57-'dod3 - базовий бюджет'!J50</f>
        <v>0</v>
      </c>
      <c r="J56" s="272">
        <f>'dod3'!J57-'dod3 - базовий бюджет'!K50</f>
        <v>0</v>
      </c>
      <c r="K56" s="272">
        <f>'dod3'!K57-'dod3 - базовий бюджет'!L50</f>
        <v>0</v>
      </c>
      <c r="L56" s="272">
        <f>'dod3'!L57-'dod3 - базовий бюджет'!M50</f>
        <v>0</v>
      </c>
      <c r="M56" s="272">
        <f>'dod3'!M57-'dod3 - базовий бюджет'!N50</f>
        <v>0</v>
      </c>
      <c r="N56" s="272">
        <f>'dod3'!N57-'dod3 - базовий бюджет'!O50</f>
        <v>0</v>
      </c>
      <c r="O56" s="272">
        <f>'dod3'!O57-'dod3 - базовий бюджет'!P50</f>
        <v>0</v>
      </c>
      <c r="P56" s="272">
        <f>'dod3'!P57-'dod3 - базовий бюджет'!Q50</f>
        <v>0</v>
      </c>
      <c r="R56" s="155"/>
    </row>
    <row r="57" spans="1:20" ht="228.75" x14ac:dyDescent="0.2">
      <c r="A57" s="270" t="s">
        <v>380</v>
      </c>
      <c r="B57" s="270" t="s">
        <v>381</v>
      </c>
      <c r="C57" s="219">
        <v>1060</v>
      </c>
      <c r="D57" s="220" t="s">
        <v>19</v>
      </c>
      <c r="E57" s="272">
        <f>'dod3'!E58-'dod3 - базовий бюджет'!F51</f>
        <v>0</v>
      </c>
      <c r="F57" s="272">
        <f>'dod3'!F58-'dod3 - базовий бюджет'!G51</f>
        <v>0</v>
      </c>
      <c r="G57" s="272">
        <f>'dod3'!G58-'dod3 - базовий бюджет'!H51</f>
        <v>0</v>
      </c>
      <c r="H57" s="272">
        <f>'dod3'!H58-'dod3 - базовий бюджет'!I51</f>
        <v>0</v>
      </c>
      <c r="I57" s="272">
        <f>'dod3'!I58-'dod3 - базовий бюджет'!J51</f>
        <v>0</v>
      </c>
      <c r="J57" s="272">
        <f>'dod3'!J58-'dod3 - базовий бюджет'!K51</f>
        <v>0</v>
      </c>
      <c r="K57" s="272">
        <f>'dod3'!K58-'dod3 - базовий бюджет'!L51</f>
        <v>0</v>
      </c>
      <c r="L57" s="272">
        <f>'dod3'!L58-'dod3 - базовий бюджет'!M51</f>
        <v>0</v>
      </c>
      <c r="M57" s="272">
        <f>'dod3'!M58-'dod3 - базовий бюджет'!N51</f>
        <v>0</v>
      </c>
      <c r="N57" s="272">
        <f>'dod3'!N58-'dod3 - базовий бюджет'!O51</f>
        <v>0</v>
      </c>
      <c r="O57" s="272">
        <f>'dod3'!O58-'dod3 - базовий бюджет'!P51</f>
        <v>0</v>
      </c>
      <c r="P57" s="272">
        <f>'dod3'!P58-'dod3 - базовий бюджет'!Q51</f>
        <v>0</v>
      </c>
      <c r="R57" s="155"/>
    </row>
    <row r="58" spans="1:20" s="123" customFormat="1" ht="137.25" x14ac:dyDescent="0.2">
      <c r="A58" s="268" t="s">
        <v>406</v>
      </c>
      <c r="B58" s="268" t="s">
        <v>407</v>
      </c>
      <c r="C58" s="268" t="s">
        <v>302</v>
      </c>
      <c r="D58" s="217" t="s">
        <v>408</v>
      </c>
      <c r="E58" s="272">
        <f>'dod3'!E59-'dod3 - базовий бюджет'!F52</f>
        <v>190000</v>
      </c>
      <c r="F58" s="272">
        <f>'dod3'!F59-'dod3 - базовий бюджет'!G52</f>
        <v>190000</v>
      </c>
      <c r="G58" s="272">
        <f>'dod3'!G59-'dod3 - базовий бюджет'!H52</f>
        <v>0</v>
      </c>
      <c r="H58" s="272">
        <f>'dod3'!H59-'dod3 - базовий бюджет'!I52</f>
        <v>0</v>
      </c>
      <c r="I58" s="272">
        <f>'dod3'!I59-'dod3 - базовий бюджет'!J52</f>
        <v>0</v>
      </c>
      <c r="J58" s="272">
        <f>'dod3'!J59-'dod3 - базовий бюджет'!K52</f>
        <v>0</v>
      </c>
      <c r="K58" s="272">
        <f>'dod3'!K59-'dod3 - базовий бюджет'!L52</f>
        <v>0</v>
      </c>
      <c r="L58" s="272">
        <f>'dod3'!L59-'dod3 - базовий бюджет'!M52</f>
        <v>0</v>
      </c>
      <c r="M58" s="272">
        <f>'dod3'!M59-'dod3 - базовий бюджет'!N52</f>
        <v>0</v>
      </c>
      <c r="N58" s="272">
        <f>'dod3'!N59-'dod3 - базовий бюджет'!O52</f>
        <v>0</v>
      </c>
      <c r="O58" s="272">
        <f>'dod3'!O59-'dod3 - базовий бюджет'!P52</f>
        <v>0</v>
      </c>
      <c r="P58" s="272">
        <f>'dod3'!P59-'dod3 - базовий бюджет'!Q52</f>
        <v>190000</v>
      </c>
      <c r="R58" s="155"/>
    </row>
    <row r="59" spans="1:20" s="123" customFormat="1" ht="137.25" x14ac:dyDescent="0.2">
      <c r="A59" s="270" t="s">
        <v>409</v>
      </c>
      <c r="B59" s="270" t="s">
        <v>410</v>
      </c>
      <c r="C59" s="270" t="s">
        <v>303</v>
      </c>
      <c r="D59" s="270" t="s">
        <v>16</v>
      </c>
      <c r="E59" s="272">
        <f>'dod3'!E60-'dod3 - базовий бюджет'!F53</f>
        <v>0</v>
      </c>
      <c r="F59" s="272">
        <f>'dod3'!F60-'dod3 - базовий бюджет'!G53</f>
        <v>0</v>
      </c>
      <c r="G59" s="272">
        <f>'dod3'!G60-'dod3 - базовий бюджет'!H53</f>
        <v>0</v>
      </c>
      <c r="H59" s="272">
        <f>'dod3'!H60-'dod3 - базовий бюджет'!I53</f>
        <v>0</v>
      </c>
      <c r="I59" s="272">
        <f>'dod3'!I60-'dod3 - базовий бюджет'!J53</f>
        <v>0</v>
      </c>
      <c r="J59" s="272">
        <f>'dod3'!J60-'dod3 - базовий бюджет'!K53</f>
        <v>0</v>
      </c>
      <c r="K59" s="272">
        <f>'dod3'!K60-'dod3 - базовий бюджет'!L53</f>
        <v>0</v>
      </c>
      <c r="L59" s="272">
        <f>'dod3'!L60-'dod3 - базовий бюджет'!M53</f>
        <v>0</v>
      </c>
      <c r="M59" s="272">
        <f>'dod3'!M60-'dod3 - базовий бюджет'!N53</f>
        <v>0</v>
      </c>
      <c r="N59" s="272">
        <f>'dod3'!N60-'dod3 - базовий бюджет'!O53</f>
        <v>0</v>
      </c>
      <c r="O59" s="272">
        <f>'dod3'!O60-'dod3 - базовий бюджет'!P53</f>
        <v>0</v>
      </c>
      <c r="P59" s="272">
        <f>'dod3'!P60-'dod3 - базовий бюджет'!Q53</f>
        <v>0</v>
      </c>
      <c r="R59" s="155"/>
    </row>
    <row r="60" spans="1:20" s="123" customFormat="1" ht="183" x14ac:dyDescent="0.2">
      <c r="A60" s="270" t="s">
        <v>412</v>
      </c>
      <c r="B60" s="270" t="s">
        <v>413</v>
      </c>
      <c r="C60" s="270" t="s">
        <v>303</v>
      </c>
      <c r="D60" s="268" t="s">
        <v>17</v>
      </c>
      <c r="E60" s="272">
        <f>'dod3'!E61-'dod3 - базовий бюджет'!F54</f>
        <v>0</v>
      </c>
      <c r="F60" s="272">
        <f>'dod3'!F61-'dod3 - базовий бюджет'!G54</f>
        <v>0</v>
      </c>
      <c r="G60" s="272">
        <f>'dod3'!G61-'dod3 - базовий бюджет'!H54</f>
        <v>0</v>
      </c>
      <c r="H60" s="272">
        <f>'dod3'!H61-'dod3 - базовий бюджет'!I54</f>
        <v>0</v>
      </c>
      <c r="I60" s="272">
        <f>'dod3'!I61-'dod3 - базовий бюджет'!J54</f>
        <v>0</v>
      </c>
      <c r="J60" s="272">
        <f>'dod3'!J61-'dod3 - базовий бюджет'!K54</f>
        <v>0</v>
      </c>
      <c r="K60" s="272">
        <f>'dod3'!K61-'dod3 - базовий бюджет'!L54</f>
        <v>0</v>
      </c>
      <c r="L60" s="272">
        <f>'dod3'!L61-'dod3 - базовий бюджет'!M54</f>
        <v>0</v>
      </c>
      <c r="M60" s="272">
        <f>'dod3'!M61-'dod3 - базовий бюджет'!N54</f>
        <v>0</v>
      </c>
      <c r="N60" s="272">
        <f>'dod3'!N61-'dod3 - базовий бюджет'!O54</f>
        <v>0</v>
      </c>
      <c r="O60" s="272">
        <f>'dod3'!O61-'dod3 - базовий бюджет'!P54</f>
        <v>0</v>
      </c>
      <c r="P60" s="272">
        <f>'dod3'!P61-'dod3 - базовий бюджет'!Q54</f>
        <v>0</v>
      </c>
      <c r="R60" s="155"/>
    </row>
    <row r="61" spans="1:20" s="123" customFormat="1" ht="183" x14ac:dyDescent="0.2">
      <c r="A61" s="268" t="s">
        <v>414</v>
      </c>
      <c r="B61" s="268" t="s">
        <v>411</v>
      </c>
      <c r="C61" s="268" t="s">
        <v>303</v>
      </c>
      <c r="D61" s="268" t="s">
        <v>18</v>
      </c>
      <c r="E61" s="272">
        <f>'dod3'!E62-'dod3 - базовий бюджет'!F55</f>
        <v>0</v>
      </c>
      <c r="F61" s="272">
        <f>'dod3'!F62-'dod3 - базовий бюджет'!G55</f>
        <v>0</v>
      </c>
      <c r="G61" s="272">
        <f>'dod3'!G62-'dod3 - базовий бюджет'!H55</f>
        <v>0</v>
      </c>
      <c r="H61" s="272">
        <f>'dod3'!H62-'dod3 - базовий бюджет'!I55</f>
        <v>0</v>
      </c>
      <c r="I61" s="272">
        <f>'dod3'!I62-'dod3 - базовий бюджет'!J55</f>
        <v>0</v>
      </c>
      <c r="J61" s="272">
        <f>'dod3'!J62-'dod3 - базовий бюджет'!K55</f>
        <v>0</v>
      </c>
      <c r="K61" s="272">
        <f>'dod3'!K62-'dod3 - базовий бюджет'!L55</f>
        <v>0</v>
      </c>
      <c r="L61" s="272">
        <f>'dod3'!L62-'dod3 - базовий бюджет'!M55</f>
        <v>0</v>
      </c>
      <c r="M61" s="272">
        <f>'dod3'!M62-'dod3 - базовий бюджет'!N55</f>
        <v>0</v>
      </c>
      <c r="N61" s="272">
        <f>'dod3'!N62-'dod3 - базовий бюджет'!O55</f>
        <v>0</v>
      </c>
      <c r="O61" s="272">
        <f>'dod3'!O62-'dod3 - базовий бюджет'!P55</f>
        <v>0</v>
      </c>
      <c r="P61" s="272">
        <f>'dod3'!P62-'dod3 - базовий бюджет'!Q55</f>
        <v>0</v>
      </c>
      <c r="R61" s="155"/>
    </row>
    <row r="62" spans="1:20" s="123" customFormat="1" ht="183" x14ac:dyDescent="0.2">
      <c r="A62" s="268" t="s">
        <v>415</v>
      </c>
      <c r="B62" s="268" t="s">
        <v>416</v>
      </c>
      <c r="C62" s="268" t="s">
        <v>303</v>
      </c>
      <c r="D62" s="268" t="s">
        <v>21</v>
      </c>
      <c r="E62" s="272">
        <f>'dod3'!E63-'dod3 - базовий бюджет'!F56</f>
        <v>0</v>
      </c>
      <c r="F62" s="272">
        <f>'dod3'!F63-'dod3 - базовий бюджет'!G56</f>
        <v>0</v>
      </c>
      <c r="G62" s="272">
        <f>'dod3'!G63-'dod3 - базовий бюджет'!H56</f>
        <v>0</v>
      </c>
      <c r="H62" s="272">
        <f>'dod3'!H63-'dod3 - базовий бюджет'!I56</f>
        <v>0</v>
      </c>
      <c r="I62" s="272">
        <f>'dod3'!I63-'dod3 - базовий бюджет'!J56</f>
        <v>0</v>
      </c>
      <c r="J62" s="272">
        <f>'dod3'!J63-'dod3 - базовий бюджет'!K56</f>
        <v>0</v>
      </c>
      <c r="K62" s="272">
        <f>'dod3'!K63-'dod3 - базовий бюджет'!L56</f>
        <v>0</v>
      </c>
      <c r="L62" s="272">
        <f>'dod3'!L63-'dod3 - базовий бюджет'!M56</f>
        <v>0</v>
      </c>
      <c r="M62" s="272">
        <f>'dod3'!M63-'dod3 - базовий бюджет'!N56</f>
        <v>0</v>
      </c>
      <c r="N62" s="272">
        <f>'dod3'!N63-'dod3 - базовий бюджет'!O56</f>
        <v>0</v>
      </c>
      <c r="O62" s="272">
        <f>'dod3'!O63-'dod3 - базовий бюджет'!P56</f>
        <v>0</v>
      </c>
      <c r="P62" s="272">
        <f>'dod3'!P63-'dod3 - базовий бюджет'!Q56</f>
        <v>0</v>
      </c>
      <c r="R62" s="155"/>
    </row>
    <row r="63" spans="1:20" s="123" customFormat="1" ht="91.5" x14ac:dyDescent="0.2">
      <c r="A63" s="270" t="s">
        <v>366</v>
      </c>
      <c r="B63" s="270" t="s">
        <v>358</v>
      </c>
      <c r="C63" s="270" t="s">
        <v>279</v>
      </c>
      <c r="D63" s="270" t="s">
        <v>10</v>
      </c>
      <c r="E63" s="272">
        <f>'dod3'!E64-'dod3 - базовий бюджет'!F57</f>
        <v>0</v>
      </c>
      <c r="F63" s="272">
        <f>'dod3'!F64-'dod3 - базовий бюджет'!G57</f>
        <v>0</v>
      </c>
      <c r="G63" s="272">
        <f>'dod3'!G64-'dod3 - базовий бюджет'!H57</f>
        <v>0</v>
      </c>
      <c r="H63" s="272">
        <f>'dod3'!H64-'dod3 - базовий бюджет'!I57</f>
        <v>0</v>
      </c>
      <c r="I63" s="272">
        <f>'dod3'!I64-'dod3 - базовий бюджет'!J57</f>
        <v>0</v>
      </c>
      <c r="J63" s="272">
        <f>'dod3'!J64-'dod3 - базовий бюджет'!K57</f>
        <v>0</v>
      </c>
      <c r="K63" s="272">
        <f>'dod3'!K64-'dod3 - базовий бюджет'!L57</f>
        <v>0</v>
      </c>
      <c r="L63" s="272">
        <f>'dod3'!L64-'dod3 - базовий бюджет'!M57</f>
        <v>0</v>
      </c>
      <c r="M63" s="272">
        <f>'dod3'!M64-'dod3 - базовий бюджет'!N57</f>
        <v>0</v>
      </c>
      <c r="N63" s="272">
        <f>'dod3'!N64-'dod3 - базовий бюджет'!O57</f>
        <v>0</v>
      </c>
      <c r="O63" s="272">
        <f>'dod3'!O64-'dod3 - базовий бюджет'!P57</f>
        <v>0</v>
      </c>
      <c r="P63" s="272">
        <f>'dod3'!P64-'dod3 - базовий бюджет'!Q57</f>
        <v>0</v>
      </c>
      <c r="R63" s="155"/>
    </row>
    <row r="64" spans="1:20" s="123" customFormat="1" ht="91.5" x14ac:dyDescent="0.2">
      <c r="A64" s="270" t="s">
        <v>367</v>
      </c>
      <c r="B64" s="270" t="s">
        <v>359</v>
      </c>
      <c r="C64" s="270" t="s">
        <v>279</v>
      </c>
      <c r="D64" s="270" t="s">
        <v>365</v>
      </c>
      <c r="E64" s="272">
        <f>'dod3'!E65-'dod3 - базовий бюджет'!F58</f>
        <v>200000</v>
      </c>
      <c r="F64" s="272">
        <f>'dod3'!F65-'dod3 - базовий бюджет'!G58</f>
        <v>200000</v>
      </c>
      <c r="G64" s="272">
        <f>'dod3'!G65-'dod3 - базовий бюджет'!H58</f>
        <v>0</v>
      </c>
      <c r="H64" s="272">
        <f>'dod3'!H65-'dod3 - базовий бюджет'!I58</f>
        <v>0</v>
      </c>
      <c r="I64" s="272">
        <f>'dod3'!I65-'dod3 - базовий бюджет'!J58</f>
        <v>0</v>
      </c>
      <c r="J64" s="272">
        <f>'dod3'!J65-'dod3 - базовий бюджет'!K58</f>
        <v>0</v>
      </c>
      <c r="K64" s="272">
        <f>'dod3'!K65-'dod3 - базовий бюджет'!L58</f>
        <v>0</v>
      </c>
      <c r="L64" s="272">
        <f>'dod3'!L65-'dod3 - базовий бюджет'!M58</f>
        <v>0</v>
      </c>
      <c r="M64" s="272">
        <f>'dod3'!M65-'dod3 - базовий бюджет'!N58</f>
        <v>0</v>
      </c>
      <c r="N64" s="272">
        <f>'dod3'!N65-'dod3 - базовий бюджет'!O58</f>
        <v>0</v>
      </c>
      <c r="O64" s="272">
        <f>'dod3'!O65-'dod3 - базовий бюджет'!P58</f>
        <v>0</v>
      </c>
      <c r="P64" s="272">
        <f>'dod3'!P65-'dod3 - базовий бюджет'!Q58</f>
        <v>200000</v>
      </c>
      <c r="R64" s="155"/>
    </row>
    <row r="65" spans="1:20" s="123" customFormat="1" ht="91.5" x14ac:dyDescent="0.2">
      <c r="A65" s="270" t="s">
        <v>368</v>
      </c>
      <c r="B65" s="270" t="s">
        <v>360</v>
      </c>
      <c r="C65" s="270" t="s">
        <v>279</v>
      </c>
      <c r="D65" s="270" t="s">
        <v>11</v>
      </c>
      <c r="E65" s="272">
        <f>'dod3'!E66-'dod3 - базовий бюджет'!F59</f>
        <v>-225000</v>
      </c>
      <c r="F65" s="272">
        <f>'dod3'!F66-'dod3 - базовий бюджет'!G59</f>
        <v>-225000</v>
      </c>
      <c r="G65" s="272">
        <f>'dod3'!G66-'dod3 - базовий бюджет'!H59</f>
        <v>0</v>
      </c>
      <c r="H65" s="272">
        <f>'dod3'!H66-'dod3 - базовий бюджет'!I59</f>
        <v>0</v>
      </c>
      <c r="I65" s="272">
        <f>'dod3'!I66-'dod3 - базовий бюджет'!J59</f>
        <v>0</v>
      </c>
      <c r="J65" s="272">
        <f>'dod3'!J66-'dod3 - базовий бюджет'!K59</f>
        <v>0</v>
      </c>
      <c r="K65" s="272">
        <f>'dod3'!K66-'dod3 - базовий бюджет'!L59</f>
        <v>0</v>
      </c>
      <c r="L65" s="272">
        <f>'dod3'!L66-'dod3 - базовий бюджет'!M59</f>
        <v>0</v>
      </c>
      <c r="M65" s="272">
        <f>'dod3'!M66-'dod3 - базовий бюджет'!N59</f>
        <v>0</v>
      </c>
      <c r="N65" s="272">
        <f>'dod3'!N66-'dod3 - базовий бюджет'!O59</f>
        <v>0</v>
      </c>
      <c r="O65" s="272">
        <f>'dod3'!O66-'dod3 - базовий бюджет'!P59</f>
        <v>0</v>
      </c>
      <c r="P65" s="272">
        <f>'dod3'!P66-'dod3 - базовий бюджет'!Q59</f>
        <v>-225000</v>
      </c>
      <c r="R65" s="155"/>
    </row>
    <row r="66" spans="1:20" s="123" customFormat="1" ht="137.25" x14ac:dyDescent="0.2">
      <c r="A66" s="270" t="s">
        <v>369</v>
      </c>
      <c r="B66" s="270" t="s">
        <v>361</v>
      </c>
      <c r="C66" s="270" t="s">
        <v>279</v>
      </c>
      <c r="D66" s="270" t="s">
        <v>12</v>
      </c>
      <c r="E66" s="272">
        <f>'dod3'!E67-'dod3 - базовий бюджет'!F60</f>
        <v>0</v>
      </c>
      <c r="F66" s="272">
        <f>'dod3'!F67-'dod3 - базовий бюджет'!G60</f>
        <v>0</v>
      </c>
      <c r="G66" s="272">
        <f>'dod3'!G67-'dod3 - базовий бюджет'!H60</f>
        <v>0</v>
      </c>
      <c r="H66" s="272">
        <f>'dod3'!H67-'dod3 - базовий бюджет'!I60</f>
        <v>0</v>
      </c>
      <c r="I66" s="272">
        <f>'dod3'!I67-'dod3 - базовий бюджет'!J60</f>
        <v>0</v>
      </c>
      <c r="J66" s="272">
        <f>'dod3'!J67-'dod3 - базовий бюджет'!K60</f>
        <v>0</v>
      </c>
      <c r="K66" s="272">
        <f>'dod3'!K67-'dod3 - базовий бюджет'!L60</f>
        <v>0</v>
      </c>
      <c r="L66" s="272">
        <f>'dod3'!L67-'dod3 - базовий бюджет'!M60</f>
        <v>0</v>
      </c>
      <c r="M66" s="272">
        <f>'dod3'!M67-'dod3 - базовий бюджет'!N60</f>
        <v>0</v>
      </c>
      <c r="N66" s="272">
        <f>'dod3'!N67-'dod3 - базовий бюджет'!O60</f>
        <v>0</v>
      </c>
      <c r="O66" s="272">
        <f>'dod3'!O67-'dod3 - базовий бюджет'!P60</f>
        <v>0</v>
      </c>
      <c r="P66" s="272">
        <f>'dod3'!P67-'dod3 - базовий бюджет'!Q60</f>
        <v>0</v>
      </c>
      <c r="R66" s="155"/>
    </row>
    <row r="67" spans="1:20" s="123" customFormat="1" ht="91.5" x14ac:dyDescent="0.2">
      <c r="A67" s="270" t="s">
        <v>370</v>
      </c>
      <c r="B67" s="270" t="s">
        <v>362</v>
      </c>
      <c r="C67" s="270" t="s">
        <v>279</v>
      </c>
      <c r="D67" s="270" t="s">
        <v>13</v>
      </c>
      <c r="E67" s="272">
        <f>'dod3'!E68-'dod3 - базовий бюджет'!F61</f>
        <v>0</v>
      </c>
      <c r="F67" s="272">
        <f>'dod3'!F68-'dod3 - базовий бюджет'!G61</f>
        <v>0</v>
      </c>
      <c r="G67" s="272">
        <f>'dod3'!G68-'dod3 - базовий бюджет'!H61</f>
        <v>0</v>
      </c>
      <c r="H67" s="272">
        <f>'dod3'!H68-'dod3 - базовий бюджет'!I61</f>
        <v>0</v>
      </c>
      <c r="I67" s="272">
        <f>'dod3'!I68-'dod3 - базовий бюджет'!J61</f>
        <v>0</v>
      </c>
      <c r="J67" s="272">
        <f>'dod3'!J68-'dod3 - базовий бюджет'!K61</f>
        <v>0</v>
      </c>
      <c r="K67" s="272">
        <f>'dod3'!K68-'dod3 - базовий бюджет'!L61</f>
        <v>0</v>
      </c>
      <c r="L67" s="272">
        <f>'dod3'!L68-'dod3 - базовий бюджет'!M61</f>
        <v>0</v>
      </c>
      <c r="M67" s="272">
        <f>'dod3'!M68-'dod3 - базовий бюджет'!N61</f>
        <v>0</v>
      </c>
      <c r="N67" s="272">
        <f>'dod3'!N68-'dod3 - базовий бюджет'!O61</f>
        <v>0</v>
      </c>
      <c r="O67" s="272">
        <f>'dod3'!O68-'dod3 - базовий бюджет'!P61</f>
        <v>0</v>
      </c>
      <c r="P67" s="272">
        <f>'dod3'!P68-'dod3 - базовий бюджет'!Q61</f>
        <v>0</v>
      </c>
      <c r="R67" s="155"/>
    </row>
    <row r="68" spans="1:20" s="123" customFormat="1" ht="91.5" x14ac:dyDescent="0.2">
      <c r="A68" s="270" t="s">
        <v>371</v>
      </c>
      <c r="B68" s="270" t="s">
        <v>363</v>
      </c>
      <c r="C68" s="270" t="s">
        <v>279</v>
      </c>
      <c r="D68" s="270" t="s">
        <v>14</v>
      </c>
      <c r="E68" s="272">
        <f>'dod3'!E69-'dod3 - базовий бюджет'!F62</f>
        <v>0</v>
      </c>
      <c r="F68" s="272">
        <f>'dod3'!F69-'dod3 - базовий бюджет'!G62</f>
        <v>0</v>
      </c>
      <c r="G68" s="272">
        <f>'dod3'!G69-'dod3 - базовий бюджет'!H62</f>
        <v>0</v>
      </c>
      <c r="H68" s="272">
        <f>'dod3'!H69-'dod3 - базовий бюджет'!I62</f>
        <v>0</v>
      </c>
      <c r="I68" s="272">
        <f>'dod3'!I69-'dod3 - базовий бюджет'!J62</f>
        <v>0</v>
      </c>
      <c r="J68" s="272">
        <f>'dod3'!J69-'dod3 - базовий бюджет'!K62</f>
        <v>0</v>
      </c>
      <c r="K68" s="272">
        <f>'dod3'!K69-'dod3 - базовий бюджет'!L62</f>
        <v>0</v>
      </c>
      <c r="L68" s="272">
        <f>'dod3'!L69-'dod3 - базовий бюджет'!M62</f>
        <v>0</v>
      </c>
      <c r="M68" s="272">
        <f>'dod3'!M69-'dod3 - базовий бюджет'!N62</f>
        <v>0</v>
      </c>
      <c r="N68" s="272">
        <f>'dod3'!N69-'dod3 - базовий бюджет'!O62</f>
        <v>0</v>
      </c>
      <c r="O68" s="272">
        <f>'dod3'!O69-'dod3 - базовий бюджет'!P62</f>
        <v>0</v>
      </c>
      <c r="P68" s="272">
        <f>'dod3'!P69-'dod3 - базовий бюджет'!Q62</f>
        <v>0</v>
      </c>
      <c r="R68" s="155"/>
    </row>
    <row r="69" spans="1:20" s="123" customFormat="1" ht="137.25" x14ac:dyDescent="0.2">
      <c r="A69" s="270" t="s">
        <v>372</v>
      </c>
      <c r="B69" s="270" t="s">
        <v>364</v>
      </c>
      <c r="C69" s="270" t="s">
        <v>279</v>
      </c>
      <c r="D69" s="270" t="s">
        <v>15</v>
      </c>
      <c r="E69" s="272">
        <f>'dod3'!E70-'dod3 - базовий бюджет'!F63</f>
        <v>0</v>
      </c>
      <c r="F69" s="272">
        <f>'dod3'!F70-'dod3 - базовий бюджет'!G63</f>
        <v>0</v>
      </c>
      <c r="G69" s="272">
        <f>'dod3'!G70-'dod3 - базовий бюджет'!H63</f>
        <v>0</v>
      </c>
      <c r="H69" s="272">
        <f>'dod3'!H70-'dod3 - базовий бюджет'!I63</f>
        <v>0</v>
      </c>
      <c r="I69" s="272">
        <f>'dod3'!I70-'dod3 - базовий бюджет'!J63</f>
        <v>0</v>
      </c>
      <c r="J69" s="272">
        <f>'dod3'!J70-'dod3 - базовий бюджет'!K63</f>
        <v>0</v>
      </c>
      <c r="K69" s="272">
        <f>'dod3'!K70-'dod3 - базовий бюджет'!L63</f>
        <v>0</v>
      </c>
      <c r="L69" s="272">
        <f>'dod3'!L70-'dod3 - базовий бюджет'!M63</f>
        <v>0</v>
      </c>
      <c r="M69" s="272">
        <f>'dod3'!M70-'dod3 - базовий бюджет'!N63</f>
        <v>0</v>
      </c>
      <c r="N69" s="272">
        <f>'dod3'!N70-'dod3 - базовий бюджет'!O63</f>
        <v>0</v>
      </c>
      <c r="O69" s="272">
        <f>'dod3'!O70-'dod3 - базовий бюджет'!P63</f>
        <v>0</v>
      </c>
      <c r="P69" s="272">
        <f>'dod3'!P70-'dod3 - базовий бюджет'!Q63</f>
        <v>0</v>
      </c>
      <c r="R69" s="155"/>
    </row>
    <row r="70" spans="1:20" s="123" customFormat="1" ht="137.25" x14ac:dyDescent="0.2">
      <c r="A70" s="270" t="s">
        <v>929</v>
      </c>
      <c r="B70" s="270" t="s">
        <v>931</v>
      </c>
      <c r="C70" s="270" t="s">
        <v>279</v>
      </c>
      <c r="D70" s="270" t="s">
        <v>930</v>
      </c>
      <c r="E70" s="272">
        <f>'dod3'!E71-0</f>
        <v>150000</v>
      </c>
      <c r="F70" s="272">
        <f>'dod3'!F71-0</f>
        <v>150000</v>
      </c>
      <c r="G70" s="272">
        <f>'dod3'!G71-0</f>
        <v>0</v>
      </c>
      <c r="H70" s="272">
        <f>'dod3'!H71-0</f>
        <v>0</v>
      </c>
      <c r="I70" s="272">
        <f>'dod3'!I71-0</f>
        <v>0</v>
      </c>
      <c r="J70" s="272">
        <f>'dod3'!J71-0</f>
        <v>0</v>
      </c>
      <c r="K70" s="272">
        <f>'dod3'!K71-0</f>
        <v>0</v>
      </c>
      <c r="L70" s="272">
        <f>'dod3'!L71-0</f>
        <v>0</v>
      </c>
      <c r="M70" s="272">
        <f>'dod3'!M71-0</f>
        <v>0</v>
      </c>
      <c r="N70" s="272">
        <f>'dod3'!N71-0</f>
        <v>0</v>
      </c>
      <c r="O70" s="272">
        <f>'dod3'!O71-0</f>
        <v>0</v>
      </c>
      <c r="P70" s="272">
        <f>'dod3'!P71-0</f>
        <v>150000</v>
      </c>
      <c r="R70" s="155"/>
    </row>
    <row r="71" spans="1:20" ht="183" x14ac:dyDescent="0.2">
      <c r="A71" s="270" t="s">
        <v>382</v>
      </c>
      <c r="B71" s="270" t="s">
        <v>373</v>
      </c>
      <c r="C71" s="270" t="s">
        <v>303</v>
      </c>
      <c r="D71" s="270" t="s">
        <v>9</v>
      </c>
      <c r="E71" s="272">
        <f>'dod3'!E72-'dod3 - базовий бюджет'!F64</f>
        <v>0</v>
      </c>
      <c r="F71" s="272">
        <f>'dod3'!F72-'dod3 - базовий бюджет'!G64</f>
        <v>0</v>
      </c>
      <c r="G71" s="272">
        <f>'dod3'!G72-'dod3 - базовий бюджет'!H64</f>
        <v>0</v>
      </c>
      <c r="H71" s="272">
        <f>'dod3'!H72-'dod3 - базовий бюджет'!I64</f>
        <v>0</v>
      </c>
      <c r="I71" s="272">
        <f>'dod3'!I72-'dod3 - базовий бюджет'!J64</f>
        <v>0</v>
      </c>
      <c r="J71" s="272">
        <f>'dod3'!J72-'dod3 - базовий бюджет'!K64</f>
        <v>0</v>
      </c>
      <c r="K71" s="272">
        <f>'dod3'!K72-'dod3 - базовий бюджет'!L64</f>
        <v>0</v>
      </c>
      <c r="L71" s="272">
        <f>'dod3'!L72-'dod3 - базовий бюджет'!M64</f>
        <v>0</v>
      </c>
      <c r="M71" s="272">
        <f>'dod3'!M72-'dod3 - базовий бюджет'!N64</f>
        <v>0</v>
      </c>
      <c r="N71" s="272">
        <f>'dod3'!N72-'dod3 - базовий бюджет'!O64</f>
        <v>0</v>
      </c>
      <c r="O71" s="272">
        <f>'dod3'!O72-'dod3 - базовий бюджет'!P64</f>
        <v>0</v>
      </c>
      <c r="P71" s="272">
        <f>'dod3'!P72-'dod3 - базовий бюджет'!Q64</f>
        <v>0</v>
      </c>
      <c r="R71" s="155"/>
    </row>
    <row r="72" spans="1:20" s="123" customFormat="1" ht="183" x14ac:dyDescent="0.2">
      <c r="A72" s="270" t="s">
        <v>556</v>
      </c>
      <c r="B72" s="270" t="s">
        <v>557</v>
      </c>
      <c r="C72" s="270" t="s">
        <v>295</v>
      </c>
      <c r="D72" s="270" t="s">
        <v>555</v>
      </c>
      <c r="E72" s="272">
        <f>'dod3'!E73-'dod3 - базовий бюджет'!F65</f>
        <v>0</v>
      </c>
      <c r="F72" s="272">
        <f>'dod3'!F73-'dod3 - базовий бюджет'!G65</f>
        <v>0</v>
      </c>
      <c r="G72" s="272">
        <f>'dod3'!G73-'dod3 - базовий бюджет'!H65</f>
        <v>0</v>
      </c>
      <c r="H72" s="272">
        <f>'dod3'!H73-'dod3 - базовий бюджет'!I65</f>
        <v>0</v>
      </c>
      <c r="I72" s="272">
        <f>'dod3'!I73-'dod3 - базовий бюджет'!J65</f>
        <v>0</v>
      </c>
      <c r="J72" s="272">
        <f>'dod3'!J73-'dod3 - базовий бюджет'!K65</f>
        <v>0</v>
      </c>
      <c r="K72" s="272">
        <f>'dod3'!K73-'dod3 - базовий бюджет'!L65</f>
        <v>0</v>
      </c>
      <c r="L72" s="272">
        <f>'dod3'!L73-'dod3 - базовий бюджет'!M65</f>
        <v>0</v>
      </c>
      <c r="M72" s="272">
        <f>'dod3'!M73-'dod3 - базовий бюджет'!N65</f>
        <v>0</v>
      </c>
      <c r="N72" s="272">
        <f>'dod3'!N73-'dod3 - базовий бюджет'!O65</f>
        <v>0</v>
      </c>
      <c r="O72" s="272">
        <f>'dod3'!O73-'dod3 - базовий бюджет'!P65</f>
        <v>0</v>
      </c>
      <c r="P72" s="272">
        <f>'dod3'!P73-'dod3 - базовий бюджет'!Q65</f>
        <v>0</v>
      </c>
      <c r="R72" s="155"/>
    </row>
    <row r="73" spans="1:20" s="123" customFormat="1" ht="228.75" x14ac:dyDescent="0.2">
      <c r="A73" s="270" t="s">
        <v>615</v>
      </c>
      <c r="B73" s="270" t="s">
        <v>616</v>
      </c>
      <c r="C73" s="270" t="s">
        <v>295</v>
      </c>
      <c r="D73" s="270" t="s">
        <v>617</v>
      </c>
      <c r="E73" s="272">
        <f>'dod3'!E74-'dod3 - базовий бюджет'!F66</f>
        <v>0</v>
      </c>
      <c r="F73" s="272">
        <f>'dod3'!F74-'dod3 - базовий бюджет'!G66</f>
        <v>0</v>
      </c>
      <c r="G73" s="272">
        <f>'dod3'!G74-'dod3 - базовий бюджет'!H66</f>
        <v>0</v>
      </c>
      <c r="H73" s="272">
        <f>'dod3'!H74-'dod3 - базовий бюджет'!I66</f>
        <v>0</v>
      </c>
      <c r="I73" s="272">
        <f>'dod3'!I74-'dod3 - базовий бюджет'!J66</f>
        <v>0</v>
      </c>
      <c r="J73" s="272">
        <f>'dod3'!J74-'dod3 - базовий бюджет'!K66</f>
        <v>0</v>
      </c>
      <c r="K73" s="272">
        <f>'dod3'!K74-'dod3 - базовий бюджет'!L66</f>
        <v>0</v>
      </c>
      <c r="L73" s="272">
        <f>'dod3'!L74-'dod3 - базовий бюджет'!M66</f>
        <v>0</v>
      </c>
      <c r="M73" s="272">
        <f>'dod3'!M74-'dod3 - базовий бюджет'!N66</f>
        <v>0</v>
      </c>
      <c r="N73" s="272">
        <f>'dod3'!N74-'dod3 - базовий бюджет'!O66</f>
        <v>0</v>
      </c>
      <c r="O73" s="272">
        <f>'dod3'!O74-'dod3 - базовий бюджет'!P66</f>
        <v>0</v>
      </c>
      <c r="P73" s="272">
        <f>'dod3'!P74-'dod3 - базовий бюджет'!Q66</f>
        <v>0</v>
      </c>
      <c r="R73" s="155"/>
    </row>
    <row r="74" spans="1:20" s="123" customFormat="1" ht="183" x14ac:dyDescent="0.2">
      <c r="A74" s="270" t="s">
        <v>553</v>
      </c>
      <c r="B74" s="270" t="s">
        <v>554</v>
      </c>
      <c r="C74" s="270" t="s">
        <v>295</v>
      </c>
      <c r="D74" s="270" t="s">
        <v>511</v>
      </c>
      <c r="E74" s="272">
        <f>'dod3'!E75-'dod3 - базовий бюджет'!F67</f>
        <v>-192000</v>
      </c>
      <c r="F74" s="272">
        <f>'dod3'!F75-'dod3 - базовий бюджет'!G67</f>
        <v>-192000</v>
      </c>
      <c r="G74" s="272">
        <f>'dod3'!G75-'dod3 - базовий бюджет'!H67</f>
        <v>0</v>
      </c>
      <c r="H74" s="272">
        <f>'dod3'!H75-'dod3 - базовий бюджет'!I67</f>
        <v>0</v>
      </c>
      <c r="I74" s="272">
        <f>'dod3'!I75-'dod3 - базовий бюджет'!J67</f>
        <v>0</v>
      </c>
      <c r="J74" s="272">
        <f>'dod3'!J75-'dod3 - базовий бюджет'!K67</f>
        <v>0</v>
      </c>
      <c r="K74" s="272">
        <f>'dod3'!K75-'dod3 - базовий бюджет'!L67</f>
        <v>0</v>
      </c>
      <c r="L74" s="272">
        <f>'dod3'!L75-'dod3 - базовий бюджет'!M67</f>
        <v>0</v>
      </c>
      <c r="M74" s="272">
        <f>'dod3'!M75-'dod3 - базовий бюджет'!N67</f>
        <v>0</v>
      </c>
      <c r="N74" s="272">
        <f>'dod3'!N75-'dod3 - базовий бюджет'!O67</f>
        <v>0</v>
      </c>
      <c r="O74" s="272">
        <f>'dod3'!O75-'dod3 - базовий бюджет'!P67</f>
        <v>0</v>
      </c>
      <c r="P74" s="272">
        <f>'dod3'!P75-'dod3 - базовий бюджет'!Q67</f>
        <v>-192000</v>
      </c>
      <c r="R74" s="155"/>
    </row>
    <row r="75" spans="1:20" s="123" customFormat="1" ht="274.5" x14ac:dyDescent="0.2">
      <c r="A75" s="270" t="s">
        <v>560</v>
      </c>
      <c r="B75" s="270" t="s">
        <v>561</v>
      </c>
      <c r="C75" s="270" t="s">
        <v>279</v>
      </c>
      <c r="D75" s="270" t="s">
        <v>562</v>
      </c>
      <c r="E75" s="272">
        <f>'dod3'!E76-'dod3 - базовий бюджет'!F68</f>
        <v>0</v>
      </c>
      <c r="F75" s="272">
        <f>'dod3'!F76-'dod3 - базовий бюджет'!G68</f>
        <v>0</v>
      </c>
      <c r="G75" s="272">
        <f>'dod3'!G76-'dod3 - базовий бюджет'!H68</f>
        <v>0</v>
      </c>
      <c r="H75" s="272">
        <f>'dod3'!H76-'dod3 - базовий бюджет'!I68</f>
        <v>0</v>
      </c>
      <c r="I75" s="272">
        <f>'dod3'!I76-'dod3 - базовий бюджет'!J68</f>
        <v>0</v>
      </c>
      <c r="J75" s="272">
        <f>'dod3'!J76-'dod3 - базовий бюджет'!K68</f>
        <v>0</v>
      </c>
      <c r="K75" s="272">
        <f>'dod3'!K76-'dod3 - базовий бюджет'!L68</f>
        <v>0</v>
      </c>
      <c r="L75" s="272">
        <f>'dod3'!L76-'dod3 - базовий бюджет'!M68</f>
        <v>0</v>
      </c>
      <c r="M75" s="272">
        <f>'dod3'!M76-'dod3 - базовий бюджет'!N68</f>
        <v>0</v>
      </c>
      <c r="N75" s="272">
        <f>'dod3'!N76-'dod3 - базовий бюджет'!O68</f>
        <v>0</v>
      </c>
      <c r="O75" s="272">
        <f>'dod3'!O76-'dod3 - базовий бюджет'!P68</f>
        <v>0</v>
      </c>
      <c r="P75" s="272">
        <f>'dod3'!P76-'dod3 - базовий бюджет'!Q68</f>
        <v>0</v>
      </c>
      <c r="R75" s="155"/>
    </row>
    <row r="76" spans="1:20" s="123" customFormat="1" ht="320.25" x14ac:dyDescent="0.2">
      <c r="A76" s="270" t="s">
        <v>558</v>
      </c>
      <c r="B76" s="270" t="s">
        <v>559</v>
      </c>
      <c r="C76" s="270" t="s">
        <v>295</v>
      </c>
      <c r="D76" s="270" t="s">
        <v>563</v>
      </c>
      <c r="E76" s="272">
        <f>'dod3'!E77-'dod3 - базовий бюджет'!F69</f>
        <v>0</v>
      </c>
      <c r="F76" s="272">
        <f>'dod3'!F77-'dod3 - базовий бюджет'!G69</f>
        <v>0</v>
      </c>
      <c r="G76" s="272">
        <f>'dod3'!G77-'dod3 - базовий бюджет'!H69</f>
        <v>0</v>
      </c>
      <c r="H76" s="272">
        <f>'dod3'!H77-'dod3 - базовий бюджет'!I69</f>
        <v>0</v>
      </c>
      <c r="I76" s="272">
        <f>'dod3'!I77-'dod3 - базовий бюджет'!J69</f>
        <v>0</v>
      </c>
      <c r="J76" s="272">
        <f>'dod3'!J77-'dod3 - базовий бюджет'!K69</f>
        <v>0</v>
      </c>
      <c r="K76" s="272">
        <f>'dod3'!K77-'dod3 - базовий бюджет'!L69</f>
        <v>0</v>
      </c>
      <c r="L76" s="272">
        <f>'dod3'!L77-'dod3 - базовий бюджет'!M69</f>
        <v>0</v>
      </c>
      <c r="M76" s="272">
        <f>'dod3'!M77-'dod3 - базовий бюджет'!N69</f>
        <v>0</v>
      </c>
      <c r="N76" s="272">
        <f>'dod3'!N77-'dod3 - базовий бюджет'!O69</f>
        <v>0</v>
      </c>
      <c r="O76" s="272">
        <f>'dod3'!O77-'dod3 - базовий бюджет'!P69</f>
        <v>0</v>
      </c>
      <c r="P76" s="272">
        <f>'dod3'!P77-'dod3 - базовий бюджет'!Q69</f>
        <v>0</v>
      </c>
      <c r="R76" s="155"/>
    </row>
    <row r="77" spans="1:20" s="123" customFormat="1" ht="364.7" customHeight="1" x14ac:dyDescent="0.65">
      <c r="A77" s="422" t="s">
        <v>911</v>
      </c>
      <c r="B77" s="422" t="s">
        <v>912</v>
      </c>
      <c r="C77" s="422" t="s">
        <v>279</v>
      </c>
      <c r="D77" s="382" t="s">
        <v>913</v>
      </c>
      <c r="E77" s="416">
        <f>'dod3'!E78-0</f>
        <v>67000</v>
      </c>
      <c r="F77" s="416">
        <f>'dod3'!F78-0</f>
        <v>67000</v>
      </c>
      <c r="G77" s="416">
        <f>'dod3'!G78-0</f>
        <v>0</v>
      </c>
      <c r="H77" s="416">
        <f>'dod3'!H78-0</f>
        <v>0</v>
      </c>
      <c r="I77" s="416">
        <f>'dod3'!I78-0</f>
        <v>0</v>
      </c>
      <c r="J77" s="416">
        <f>'dod3'!J78-0</f>
        <v>0</v>
      </c>
      <c r="K77" s="416">
        <f>'dod3'!K78-0</f>
        <v>0</v>
      </c>
      <c r="L77" s="416">
        <f>'dod3'!L78-0</f>
        <v>0</v>
      </c>
      <c r="M77" s="416">
        <f>'dod3'!M78-0</f>
        <v>0</v>
      </c>
      <c r="N77" s="416">
        <f>'dod3'!N78-0</f>
        <v>0</v>
      </c>
      <c r="O77" s="416">
        <f>'dod3'!O78-0</f>
        <v>0</v>
      </c>
      <c r="P77" s="416">
        <f>'dod3'!P78-0</f>
        <v>67000</v>
      </c>
      <c r="Q77" s="383"/>
      <c r="R77" s="383"/>
      <c r="T77" s="383">
        <f>K77</f>
        <v>0</v>
      </c>
    </row>
    <row r="78" spans="1:20" s="123" customFormat="1" ht="334.5" customHeight="1" x14ac:dyDescent="0.2">
      <c r="A78" s="403"/>
      <c r="B78" s="403"/>
      <c r="C78" s="403"/>
      <c r="D78" s="216" t="s">
        <v>914</v>
      </c>
      <c r="E78" s="403"/>
      <c r="F78" s="403"/>
      <c r="G78" s="403"/>
      <c r="H78" s="403"/>
      <c r="I78" s="403"/>
      <c r="J78" s="403"/>
      <c r="K78" s="403"/>
      <c r="L78" s="403"/>
      <c r="M78" s="403"/>
      <c r="N78" s="403"/>
      <c r="O78" s="403"/>
      <c r="P78" s="403"/>
      <c r="R78" s="155"/>
    </row>
    <row r="79" spans="1:20" ht="163.5" customHeight="1" x14ac:dyDescent="0.2">
      <c r="A79" s="270" t="s">
        <v>383</v>
      </c>
      <c r="B79" s="270" t="s">
        <v>374</v>
      </c>
      <c r="C79" s="270" t="s">
        <v>302</v>
      </c>
      <c r="D79" s="270" t="s">
        <v>512</v>
      </c>
      <c r="E79" s="272">
        <f>'dod3'!E80-'dod3 - базовий бюджет'!F70</f>
        <v>0</v>
      </c>
      <c r="F79" s="272">
        <f>'dod3'!F80-'dod3 - базовий бюджет'!G70</f>
        <v>0</v>
      </c>
      <c r="G79" s="272">
        <f>'dod3'!G80-'dod3 - базовий бюджет'!H70</f>
        <v>0</v>
      </c>
      <c r="H79" s="272">
        <f>'dod3'!H80-'dod3 - базовий бюджет'!I70</f>
        <v>0</v>
      </c>
      <c r="I79" s="272">
        <f>'dod3'!I80-'dod3 - базовий бюджет'!J70</f>
        <v>0</v>
      </c>
      <c r="J79" s="272">
        <f>'dod3'!J80-'dod3 - базовий бюджет'!K70</f>
        <v>0</v>
      </c>
      <c r="K79" s="272">
        <f>'dod3'!K80-'dod3 - базовий бюджет'!L70</f>
        <v>0</v>
      </c>
      <c r="L79" s="272">
        <f>'dod3'!L80-'dod3 - базовий бюджет'!M70</f>
        <v>0</v>
      </c>
      <c r="M79" s="272">
        <f>'dod3'!M80-'dod3 - базовий бюджет'!N70</f>
        <v>0</v>
      </c>
      <c r="N79" s="272">
        <f>'dod3'!N80-'dod3 - базовий бюджет'!O70</f>
        <v>0</v>
      </c>
      <c r="O79" s="272">
        <f>'dod3'!O80-'dod3 - базовий бюджет'!P70</f>
        <v>0</v>
      </c>
      <c r="P79" s="272">
        <f>'dod3'!P80-'dod3 - базовий бюджет'!Q70</f>
        <v>0</v>
      </c>
      <c r="R79" s="155"/>
    </row>
    <row r="80" spans="1:20" ht="301.7" customHeight="1" x14ac:dyDescent="0.2">
      <c r="A80" s="270" t="s">
        <v>404</v>
      </c>
      <c r="B80" s="270" t="s">
        <v>402</v>
      </c>
      <c r="C80" s="270" t="s">
        <v>296</v>
      </c>
      <c r="D80" s="270" t="s">
        <v>35</v>
      </c>
      <c r="E80" s="272">
        <f>'dod3'!E81-'dod3 - базовий бюджет'!F71</f>
        <v>652700</v>
      </c>
      <c r="F80" s="272">
        <f>'dod3'!F81-'dod3 - базовий бюджет'!G71</f>
        <v>652700</v>
      </c>
      <c r="G80" s="272">
        <f>'dod3'!G81-'dod3 - базовий бюджет'!H71</f>
        <v>389900</v>
      </c>
      <c r="H80" s="272">
        <f>'dod3'!H81-'dod3 - базовий бюджет'!I71</f>
        <v>4404</v>
      </c>
      <c r="I80" s="272">
        <f>'dod3'!I81-'dod3 - базовий бюджет'!J71</f>
        <v>0</v>
      </c>
      <c r="J80" s="272">
        <f>'dod3'!J81-'dod3 - базовий бюджет'!K71</f>
        <v>30000</v>
      </c>
      <c r="K80" s="272">
        <f>'dod3'!K81-'dod3 - базовий бюджет'!L71</f>
        <v>30000</v>
      </c>
      <c r="L80" s="272">
        <f>'dod3'!L81-'dod3 - базовий бюджет'!M71</f>
        <v>0</v>
      </c>
      <c r="M80" s="272">
        <f>'dod3'!M81-'dod3 - базовий бюджет'!N71</f>
        <v>0</v>
      </c>
      <c r="N80" s="272">
        <f>'dod3'!N81-'dod3 - базовий бюджет'!O71</f>
        <v>0</v>
      </c>
      <c r="O80" s="272">
        <f>'dod3'!O81-'dod3 - базовий бюджет'!P71</f>
        <v>30000</v>
      </c>
      <c r="P80" s="272">
        <f>'dod3'!P81-'dod3 - базовий бюджет'!Q71</f>
        <v>682700</v>
      </c>
      <c r="R80" s="155"/>
    </row>
    <row r="81" spans="1:18" ht="137.25" x14ac:dyDescent="0.2">
      <c r="A81" s="270" t="s">
        <v>405</v>
      </c>
      <c r="B81" s="270" t="s">
        <v>403</v>
      </c>
      <c r="C81" s="270" t="s">
        <v>295</v>
      </c>
      <c r="D81" s="270" t="s">
        <v>513</v>
      </c>
      <c r="E81" s="272">
        <f>'dod3'!E82-'dod3 - базовий бюджет'!F72</f>
        <v>194900</v>
      </c>
      <c r="F81" s="272">
        <f>'dod3'!F82-'dod3 - базовий бюджет'!G72</f>
        <v>194900</v>
      </c>
      <c r="G81" s="272">
        <f>'dod3'!G82-'dod3 - базовий бюджет'!H72</f>
        <v>20400</v>
      </c>
      <c r="H81" s="272">
        <f>'dod3'!H82-'dod3 - базовий бюджет'!I72</f>
        <v>144</v>
      </c>
      <c r="I81" s="272">
        <f>'dod3'!I82-'dod3 - базовий бюджет'!J72</f>
        <v>0</v>
      </c>
      <c r="J81" s="272">
        <f>'dod3'!J82-'dod3 - базовий бюджет'!K72</f>
        <v>274250</v>
      </c>
      <c r="K81" s="272">
        <f>'dod3'!K82-'dod3 - базовий бюджет'!L72</f>
        <v>274250</v>
      </c>
      <c r="L81" s="272">
        <f>'dod3'!L82-'dod3 - базовий бюджет'!M72</f>
        <v>0</v>
      </c>
      <c r="M81" s="272">
        <f>'dod3'!M82-'dod3 - базовий бюджет'!N72</f>
        <v>0</v>
      </c>
      <c r="N81" s="272">
        <f>'dod3'!N82-'dod3 - базовий бюджет'!O72</f>
        <v>0</v>
      </c>
      <c r="O81" s="272">
        <f>'dod3'!O82-'dod3 - базовий бюджет'!P72</f>
        <v>274250</v>
      </c>
      <c r="P81" s="272">
        <f>'dod3'!P82-'dod3 - базовий бюджет'!Q72</f>
        <v>469150</v>
      </c>
      <c r="R81" s="155"/>
    </row>
    <row r="82" spans="1:18" ht="409.5" x14ac:dyDescent="0.2">
      <c r="A82" s="270" t="s">
        <v>400</v>
      </c>
      <c r="B82" s="270" t="s">
        <v>401</v>
      </c>
      <c r="C82" s="270" t="s">
        <v>295</v>
      </c>
      <c r="D82" s="270" t="s">
        <v>514</v>
      </c>
      <c r="E82" s="272">
        <f>'dod3'!E83-'dod3 - базовий бюджет'!F73</f>
        <v>0</v>
      </c>
      <c r="F82" s="272">
        <f>'dod3'!F83-'dod3 - базовий бюджет'!G73</f>
        <v>0</v>
      </c>
      <c r="G82" s="272">
        <f>'dod3'!G83-'dod3 - базовий бюджет'!H73</f>
        <v>0</v>
      </c>
      <c r="H82" s="272">
        <f>'dod3'!H83-'dod3 - базовий бюджет'!I73</f>
        <v>0</v>
      </c>
      <c r="I82" s="272">
        <f>'dod3'!I83-'dod3 - базовий бюджет'!J73</f>
        <v>0</v>
      </c>
      <c r="J82" s="272">
        <f>'dod3'!J83-'dod3 - базовий бюджет'!K73</f>
        <v>0</v>
      </c>
      <c r="K82" s="272">
        <f>'dod3'!K83-'dod3 - базовий бюджет'!L73</f>
        <v>0</v>
      </c>
      <c r="L82" s="272">
        <f>'dod3'!L83-'dod3 - базовий бюджет'!M73</f>
        <v>0</v>
      </c>
      <c r="M82" s="272">
        <f>'dod3'!M83-'dod3 - базовий бюджет'!N73</f>
        <v>0</v>
      </c>
      <c r="N82" s="272">
        <f>'dod3'!N83-'dod3 - базовий бюджет'!O73</f>
        <v>0</v>
      </c>
      <c r="O82" s="272">
        <f>'dod3'!O83-'dod3 - базовий бюджет'!P73</f>
        <v>0</v>
      </c>
      <c r="P82" s="272">
        <f>'dod3'!P83-'dod3 - базовий бюджет'!Q73</f>
        <v>0</v>
      </c>
      <c r="R82" s="155"/>
    </row>
    <row r="83" spans="1:18" ht="274.5" x14ac:dyDescent="0.2">
      <c r="A83" s="270" t="s">
        <v>515</v>
      </c>
      <c r="B83" s="270" t="s">
        <v>516</v>
      </c>
      <c r="C83" s="270" t="s">
        <v>295</v>
      </c>
      <c r="D83" s="270" t="s">
        <v>564</v>
      </c>
      <c r="E83" s="272">
        <f>'dod3'!E84-'dod3 - базовий бюджет'!F74</f>
        <v>0</v>
      </c>
      <c r="F83" s="272">
        <f>'dod3'!F84-'dod3 - базовий бюджет'!G74</f>
        <v>0</v>
      </c>
      <c r="G83" s="272">
        <f>'dod3'!G84-'dod3 - базовий бюджет'!H74</f>
        <v>0</v>
      </c>
      <c r="H83" s="272">
        <f>'dod3'!H84-'dod3 - базовий бюджет'!I74</f>
        <v>0</v>
      </c>
      <c r="I83" s="272">
        <f>'dod3'!I84-'dod3 - базовий бюджет'!J74</f>
        <v>0</v>
      </c>
      <c r="J83" s="272">
        <f>'dod3'!J84-'dod3 - базовий бюджет'!K74</f>
        <v>0</v>
      </c>
      <c r="K83" s="272">
        <f>'dod3'!K84-'dod3 - базовий бюджет'!L74</f>
        <v>0</v>
      </c>
      <c r="L83" s="272">
        <f>'dod3'!L84-'dod3 - базовий бюджет'!M74</f>
        <v>0</v>
      </c>
      <c r="M83" s="272">
        <f>'dod3'!M84-'dod3 - базовий бюджет'!N74</f>
        <v>0</v>
      </c>
      <c r="N83" s="272">
        <f>'dod3'!N84-'dod3 - базовий бюджет'!O74</f>
        <v>0</v>
      </c>
      <c r="O83" s="272">
        <f>'dod3'!O84-'dod3 - базовий бюджет'!P74</f>
        <v>0</v>
      </c>
      <c r="P83" s="272">
        <f>'dod3'!P84-'dod3 - базовий бюджет'!Q74</f>
        <v>0</v>
      </c>
      <c r="R83" s="155"/>
    </row>
    <row r="84" spans="1:18" ht="112.7" customHeight="1" x14ac:dyDescent="0.2">
      <c r="A84" s="270" t="s">
        <v>517</v>
      </c>
      <c r="B84" s="270" t="s">
        <v>518</v>
      </c>
      <c r="C84" s="270" t="s">
        <v>295</v>
      </c>
      <c r="D84" s="270" t="s">
        <v>565</v>
      </c>
      <c r="E84" s="272">
        <f>'dod3'!E85-'dod3 - базовий бюджет'!F75</f>
        <v>0</v>
      </c>
      <c r="F84" s="272">
        <f>'dod3'!F85-'dod3 - базовий бюджет'!G75</f>
        <v>0</v>
      </c>
      <c r="G84" s="272">
        <f>'dod3'!G85-'dod3 - базовий бюджет'!H75</f>
        <v>0</v>
      </c>
      <c r="H84" s="272">
        <f>'dod3'!H85-'dod3 - базовий бюджет'!I75</f>
        <v>0</v>
      </c>
      <c r="I84" s="272">
        <f>'dod3'!I85-'dod3 - базовий бюджет'!J75</f>
        <v>0</v>
      </c>
      <c r="J84" s="272">
        <f>'dod3'!J85-'dod3 - базовий бюджет'!K75</f>
        <v>0</v>
      </c>
      <c r="K84" s="272">
        <f>'dod3'!K85-'dod3 - базовий бюджет'!L75</f>
        <v>0</v>
      </c>
      <c r="L84" s="272">
        <f>'dod3'!L85-'dod3 - базовий бюджет'!M75</f>
        <v>0</v>
      </c>
      <c r="M84" s="272">
        <f>'dod3'!M85-'dod3 - базовий бюджет'!N75</f>
        <v>0</v>
      </c>
      <c r="N84" s="272">
        <f>'dod3'!N85-'dod3 - базовий бюджет'!O75</f>
        <v>0</v>
      </c>
      <c r="O84" s="272">
        <f>'dod3'!O85-'dod3 - базовий бюджет'!P75</f>
        <v>0</v>
      </c>
      <c r="P84" s="272">
        <f>'dod3'!P85-'dod3 - базовий бюджет'!Q75</f>
        <v>0</v>
      </c>
      <c r="R84" s="155"/>
    </row>
    <row r="85" spans="1:18" ht="366" x14ac:dyDescent="0.2">
      <c r="A85" s="270" t="s">
        <v>568</v>
      </c>
      <c r="B85" s="270" t="s">
        <v>567</v>
      </c>
      <c r="C85" s="270" t="s">
        <v>79</v>
      </c>
      <c r="D85" s="270" t="s">
        <v>566</v>
      </c>
      <c r="E85" s="272">
        <f>'dod3'!E86-'dod3 - базовий бюджет'!F76</f>
        <v>0</v>
      </c>
      <c r="F85" s="272">
        <f>'dod3'!F86-'dod3 - базовий бюджет'!G76</f>
        <v>0</v>
      </c>
      <c r="G85" s="272">
        <f>'dod3'!G86-'dod3 - базовий бюджет'!H76</f>
        <v>0</v>
      </c>
      <c r="H85" s="272">
        <f>'dod3'!H86-'dod3 - базовий бюджет'!I76</f>
        <v>0</v>
      </c>
      <c r="I85" s="272">
        <f>'dod3'!I86-'dod3 - базовий бюджет'!J76</f>
        <v>0</v>
      </c>
      <c r="J85" s="272">
        <f>'dod3'!J86-'dod3 - базовий бюджет'!K76</f>
        <v>0</v>
      </c>
      <c r="K85" s="272">
        <f>'dod3'!K86-'dod3 - базовий бюджет'!L76</f>
        <v>0</v>
      </c>
      <c r="L85" s="272">
        <f>'dod3'!L86-'dod3 - базовий бюджет'!M76</f>
        <v>0</v>
      </c>
      <c r="M85" s="272">
        <f>'dod3'!M86-'dod3 - базовий бюджет'!N76</f>
        <v>0</v>
      </c>
      <c r="N85" s="272">
        <f>'dod3'!N86-'dod3 - базовий бюджет'!O76</f>
        <v>0</v>
      </c>
      <c r="O85" s="272">
        <f>'dod3'!O86-'dod3 - базовий бюджет'!P76</f>
        <v>0</v>
      </c>
      <c r="P85" s="272">
        <f>'dod3'!P86-'dod3 - базовий бюджет'!Q76</f>
        <v>0</v>
      </c>
      <c r="R85" s="155"/>
    </row>
    <row r="86" spans="1:18" ht="228.75" x14ac:dyDescent="0.2">
      <c r="A86" s="270" t="s">
        <v>519</v>
      </c>
      <c r="B86" s="270" t="s">
        <v>520</v>
      </c>
      <c r="C86" s="270" t="s">
        <v>302</v>
      </c>
      <c r="D86" s="270" t="s">
        <v>569</v>
      </c>
      <c r="E86" s="272">
        <f>'dod3'!E87-'dod3 - базовий бюджет'!F77</f>
        <v>0</v>
      </c>
      <c r="F86" s="272">
        <f>'dod3'!F87-'dod3 - базовий бюджет'!G77</f>
        <v>0</v>
      </c>
      <c r="G86" s="272">
        <f>'dod3'!G87-'dod3 - базовий бюджет'!H77</f>
        <v>0</v>
      </c>
      <c r="H86" s="272">
        <f>'dod3'!H87-'dod3 - базовий бюджет'!I77</f>
        <v>0</v>
      </c>
      <c r="I86" s="272">
        <f>'dod3'!I87-'dod3 - базовий бюджет'!J77</f>
        <v>0</v>
      </c>
      <c r="J86" s="272">
        <f>'dod3'!J87-'dod3 - базовий бюджет'!K77</f>
        <v>0</v>
      </c>
      <c r="K86" s="272">
        <f>'dod3'!K87-'dod3 - базовий бюджет'!L77</f>
        <v>0</v>
      </c>
      <c r="L86" s="272">
        <f>'dod3'!L87-'dod3 - базовий бюджет'!M77</f>
        <v>0</v>
      </c>
      <c r="M86" s="272">
        <f>'dod3'!M87-'dod3 - базовий бюджет'!N77</f>
        <v>0</v>
      </c>
      <c r="N86" s="272">
        <f>'dod3'!N87-'dod3 - базовий бюджет'!O77</f>
        <v>0</v>
      </c>
      <c r="O86" s="272">
        <f>'dod3'!O87-'dod3 - базовий бюджет'!P77</f>
        <v>0</v>
      </c>
      <c r="P86" s="272">
        <f>'dod3'!P87-'dod3 - базовий бюджет'!Q77</f>
        <v>0</v>
      </c>
      <c r="R86" s="155"/>
    </row>
    <row r="87" spans="1:18" ht="91.5" x14ac:dyDescent="0.2">
      <c r="A87" s="270" t="s">
        <v>796</v>
      </c>
      <c r="B87" s="270" t="s">
        <v>632</v>
      </c>
      <c r="C87" s="270" t="s">
        <v>633</v>
      </c>
      <c r="D87" s="270" t="s">
        <v>631</v>
      </c>
      <c r="E87" s="272">
        <f>'dod3'!E88-'dod3 - базовий бюджет'!F78</f>
        <v>0</v>
      </c>
      <c r="F87" s="272">
        <f>'dod3'!F88-'dod3 - базовий бюджет'!G78</f>
        <v>0</v>
      </c>
      <c r="G87" s="272">
        <f>'dod3'!G88-'dod3 - базовий бюджет'!H78</f>
        <v>0</v>
      </c>
      <c r="H87" s="272">
        <f>'dod3'!H88-'dod3 - базовий бюджет'!I78</f>
        <v>0</v>
      </c>
      <c r="I87" s="272">
        <f>'dod3'!I88-'dod3 - базовий бюджет'!J78</f>
        <v>0</v>
      </c>
      <c r="J87" s="272">
        <f>'dod3'!J88-'dod3 - базовий бюджет'!K78</f>
        <v>0</v>
      </c>
      <c r="K87" s="272">
        <f>'dod3'!K88-'dod3 - базовий бюджет'!L78</f>
        <v>0</v>
      </c>
      <c r="L87" s="272">
        <f>'dod3'!L88-'dod3 - базовий бюджет'!M78</f>
        <v>0</v>
      </c>
      <c r="M87" s="272">
        <f>'dod3'!M88-'dod3 - базовий бюджет'!N78</f>
        <v>0</v>
      </c>
      <c r="N87" s="272">
        <f>'dod3'!N88-'dod3 - базовий бюджет'!O78</f>
        <v>0</v>
      </c>
      <c r="O87" s="272">
        <f>'dod3'!O88-'dod3 - базовий бюджет'!P78</f>
        <v>0</v>
      </c>
      <c r="P87" s="272">
        <f>'dod3'!P88-'dod3 - базовий бюджет'!Q78</f>
        <v>0</v>
      </c>
      <c r="R87" s="155"/>
    </row>
    <row r="88" spans="1:18" ht="409.5" x14ac:dyDescent="0.2">
      <c r="A88" s="422" t="s">
        <v>399</v>
      </c>
      <c r="B88" s="422" t="s">
        <v>286</v>
      </c>
      <c r="C88" s="422" t="s">
        <v>279</v>
      </c>
      <c r="D88" s="214" t="s">
        <v>521</v>
      </c>
      <c r="E88" s="416">
        <f>'dod3'!E89-'dod3 - базовий бюджет'!F79</f>
        <v>0</v>
      </c>
      <c r="F88" s="416">
        <f>'dod3'!F89-'dod3 - базовий бюджет'!G79</f>
        <v>0</v>
      </c>
      <c r="G88" s="416">
        <f>'dod3'!G89-'dod3 - базовий бюджет'!H79</f>
        <v>0</v>
      </c>
      <c r="H88" s="416">
        <f>'dod3'!H89-'dod3 - базовий бюджет'!I79</f>
        <v>0</v>
      </c>
      <c r="I88" s="416">
        <f>'dod3'!I89-'dod3 - базовий бюджет'!J79</f>
        <v>0</v>
      </c>
      <c r="J88" s="416">
        <f>'dod3'!J89-'dod3 - базовий бюджет'!K79</f>
        <v>0</v>
      </c>
      <c r="K88" s="416">
        <f>'dod3'!K89-'dod3 - базовий бюджет'!L79</f>
        <v>0</v>
      </c>
      <c r="L88" s="416">
        <f>'dod3'!L89-'dod3 - базовий бюджет'!M79</f>
        <v>0</v>
      </c>
      <c r="M88" s="416">
        <f>'dod3'!M89-'dod3 - базовий бюджет'!N79</f>
        <v>0</v>
      </c>
      <c r="N88" s="416">
        <f>'dod3'!N89-'dod3 - базовий бюджет'!O79</f>
        <v>0</v>
      </c>
      <c r="O88" s="416">
        <f>'dod3'!O89-'dod3 - базовий бюджет'!P79</f>
        <v>0</v>
      </c>
      <c r="P88" s="416">
        <f>'dod3'!P89-'dod3 - базовий бюджет'!Q79</f>
        <v>0</v>
      </c>
      <c r="R88" s="155"/>
    </row>
    <row r="89" spans="1:18" ht="327.75" customHeight="1" x14ac:dyDescent="0.2">
      <c r="A89" s="417"/>
      <c r="B89" s="417"/>
      <c r="C89" s="417"/>
      <c r="D89" s="216" t="s">
        <v>811</v>
      </c>
      <c r="E89" s="417"/>
      <c r="F89" s="417"/>
      <c r="G89" s="417"/>
      <c r="H89" s="417"/>
      <c r="I89" s="417"/>
      <c r="J89" s="417"/>
      <c r="K89" s="417"/>
      <c r="L89" s="417"/>
      <c r="M89" s="417"/>
      <c r="N89" s="417"/>
      <c r="O89" s="417"/>
      <c r="P89" s="417"/>
      <c r="R89" s="155"/>
    </row>
    <row r="90" spans="1:18" ht="91.5" x14ac:dyDescent="0.2">
      <c r="A90" s="403"/>
      <c r="B90" s="403"/>
      <c r="C90" s="403"/>
      <c r="D90" s="216" t="s">
        <v>812</v>
      </c>
      <c r="E90" s="403"/>
      <c r="F90" s="403"/>
      <c r="G90" s="403"/>
      <c r="H90" s="403"/>
      <c r="I90" s="403"/>
      <c r="J90" s="403"/>
      <c r="K90" s="403"/>
      <c r="L90" s="403"/>
      <c r="M90" s="403"/>
      <c r="N90" s="403"/>
      <c r="O90" s="403"/>
      <c r="P90" s="403"/>
      <c r="R90" s="155"/>
    </row>
    <row r="91" spans="1:18" ht="183" x14ac:dyDescent="0.2">
      <c r="A91" s="270" t="s">
        <v>523</v>
      </c>
      <c r="B91" s="270" t="s">
        <v>525</v>
      </c>
      <c r="C91" s="270" t="s">
        <v>287</v>
      </c>
      <c r="D91" s="215" t="s">
        <v>527</v>
      </c>
      <c r="E91" s="225">
        <f>'dod3'!E92-'dod3 - базовий бюджет'!F81</f>
        <v>671008</v>
      </c>
      <c r="F91" s="225">
        <f>'dod3'!F92-'dod3 - базовий бюджет'!G81</f>
        <v>671008</v>
      </c>
      <c r="G91" s="225">
        <f>'dod3'!G92-'dod3 - базовий бюджет'!H81</f>
        <v>13948</v>
      </c>
      <c r="H91" s="225">
        <f>'dod3'!H92-'dod3 - базовий бюджет'!I81</f>
        <v>600</v>
      </c>
      <c r="I91" s="225">
        <f>'dod3'!I92-'dod3 - базовий бюджет'!J81</f>
        <v>0</v>
      </c>
      <c r="J91" s="225">
        <f>'dod3'!J92-'dod3 - базовий бюджет'!K81</f>
        <v>874330</v>
      </c>
      <c r="K91" s="225">
        <f>'dod3'!K92-'dod3 - базовий бюджет'!L81</f>
        <v>874330</v>
      </c>
      <c r="L91" s="225">
        <f>'dod3'!L92-'dod3 - базовий бюджет'!M81</f>
        <v>0</v>
      </c>
      <c r="M91" s="225">
        <f>'dod3'!M92-'dod3 - базовий бюджет'!N81</f>
        <v>0</v>
      </c>
      <c r="N91" s="225">
        <f>'dod3'!N92-'dod3 - базовий бюджет'!O81</f>
        <v>0</v>
      </c>
      <c r="O91" s="225">
        <f>'dod3'!O92-'dod3 - базовий бюджет'!P81</f>
        <v>874330</v>
      </c>
      <c r="P91" s="225">
        <f>'dod3'!P92-'dod3 - базовий бюджет'!Q81</f>
        <v>1545338</v>
      </c>
      <c r="R91" s="155"/>
    </row>
    <row r="92" spans="1:18" ht="137.25" x14ac:dyDescent="0.2">
      <c r="A92" s="270" t="s">
        <v>524</v>
      </c>
      <c r="B92" s="270" t="s">
        <v>526</v>
      </c>
      <c r="C92" s="270" t="s">
        <v>287</v>
      </c>
      <c r="D92" s="215" t="s">
        <v>528</v>
      </c>
      <c r="E92" s="225">
        <f>'dod3'!E93-'dod3 - базовий бюджет'!F82</f>
        <v>199000</v>
      </c>
      <c r="F92" s="225">
        <f>'dod3'!F93-'dod3 - базовий бюджет'!G82</f>
        <v>199000</v>
      </c>
      <c r="G92" s="225">
        <f>'dod3'!G93-'dod3 - базовий бюджет'!H82</f>
        <v>0</v>
      </c>
      <c r="H92" s="225">
        <f>'dod3'!H93-'dod3 - базовий бюджет'!I82</f>
        <v>0</v>
      </c>
      <c r="I92" s="225">
        <f>'dod3'!I93-'dod3 - базовий бюджет'!J82</f>
        <v>0</v>
      </c>
      <c r="J92" s="225">
        <f>'dod3'!J93-'dod3 - базовий бюджет'!K82</f>
        <v>199000</v>
      </c>
      <c r="K92" s="225">
        <f>'dod3'!K93-'dod3 - базовий бюджет'!L82</f>
        <v>199000</v>
      </c>
      <c r="L92" s="225">
        <f>'dod3'!L93-'dod3 - базовий бюджет'!M82</f>
        <v>0</v>
      </c>
      <c r="M92" s="225">
        <f>'dod3'!M93-'dod3 - базовий бюджет'!N82</f>
        <v>0</v>
      </c>
      <c r="N92" s="225">
        <f>'dod3'!N93-'dod3 - базовий бюджет'!O82</f>
        <v>0</v>
      </c>
      <c r="O92" s="225">
        <f>'dod3'!O93-'dod3 - базовий бюджет'!P82</f>
        <v>199000</v>
      </c>
      <c r="P92" s="225">
        <f>'dod3'!P93-'dod3 - базовий бюджет'!Q82</f>
        <v>398000</v>
      </c>
      <c r="R92" s="155"/>
    </row>
    <row r="93" spans="1:18" ht="137.25" x14ac:dyDescent="0.2">
      <c r="A93" s="270" t="s">
        <v>608</v>
      </c>
      <c r="B93" s="270" t="s">
        <v>606</v>
      </c>
      <c r="C93" s="270" t="s">
        <v>542</v>
      </c>
      <c r="D93" s="215" t="s">
        <v>607</v>
      </c>
      <c r="E93" s="225">
        <f>'dod3'!E94-'dod3 - базовий бюджет'!F83</f>
        <v>0</v>
      </c>
      <c r="F93" s="225">
        <f>'dod3'!F94-'dod3 - базовий бюджет'!G83</f>
        <v>0</v>
      </c>
      <c r="G93" s="225">
        <f>'dod3'!G94-'dod3 - базовий бюджет'!H83</f>
        <v>0</v>
      </c>
      <c r="H93" s="225">
        <f>'dod3'!H94-'dod3 - базовий бюджет'!I83</f>
        <v>0</v>
      </c>
      <c r="I93" s="225">
        <f>'dod3'!I94-'dod3 - базовий бюджет'!J83</f>
        <v>0</v>
      </c>
      <c r="J93" s="225">
        <f>'dod3'!J94-'dod3 - базовий бюджет'!K83</f>
        <v>0</v>
      </c>
      <c r="K93" s="225">
        <f>'dod3'!K94-'dod3 - базовий бюджет'!L83</f>
        <v>0</v>
      </c>
      <c r="L93" s="225">
        <f>'dod3'!L94-'dod3 - базовий бюджет'!M83</f>
        <v>0</v>
      </c>
      <c r="M93" s="225">
        <f>'dod3'!M94-'dod3 - базовий бюджет'!N83</f>
        <v>0</v>
      </c>
      <c r="N93" s="225">
        <f>'dod3'!N94-'dod3 - базовий бюджет'!O83</f>
        <v>0</v>
      </c>
      <c r="O93" s="225">
        <f>'dod3'!O94-'dod3 - базовий бюджет'!P83</f>
        <v>0</v>
      </c>
      <c r="P93" s="225">
        <f>'dod3'!P94-'dod3 - базовий бюджет'!Q83</f>
        <v>0</v>
      </c>
      <c r="R93" s="155"/>
    </row>
    <row r="94" spans="1:18" ht="91.5" x14ac:dyDescent="0.2">
      <c r="A94" s="270" t="s">
        <v>708</v>
      </c>
      <c r="B94" s="270" t="s">
        <v>709</v>
      </c>
      <c r="C94" s="270" t="s">
        <v>450</v>
      </c>
      <c r="D94" s="215" t="s">
        <v>710</v>
      </c>
      <c r="E94" s="225">
        <f>'dod3'!E95-'dod3 - базовий бюджет'!F84</f>
        <v>0</v>
      </c>
      <c r="F94" s="225">
        <f>'dod3'!F95-'dod3 - базовий бюджет'!G84</f>
        <v>0</v>
      </c>
      <c r="G94" s="225">
        <f>'dod3'!G95-'dod3 - базовий бюджет'!H84</f>
        <v>0</v>
      </c>
      <c r="H94" s="225">
        <f>'dod3'!H95-'dod3 - базовий бюджет'!I84</f>
        <v>0</v>
      </c>
      <c r="I94" s="225">
        <f>'dod3'!I95-'dod3 - базовий бюджет'!J84</f>
        <v>0</v>
      </c>
      <c r="J94" s="225">
        <f>'dod3'!J95-'dod3 - базовий бюджет'!K84</f>
        <v>1000000</v>
      </c>
      <c r="K94" s="225">
        <f>'dod3'!K95-'dod3 - базовий бюджет'!L84</f>
        <v>1000000</v>
      </c>
      <c r="L94" s="225">
        <f>'dod3'!L95-'dod3 - базовий бюджет'!M84</f>
        <v>0</v>
      </c>
      <c r="M94" s="225">
        <f>'dod3'!M95-'dod3 - базовий бюджет'!N84</f>
        <v>0</v>
      </c>
      <c r="N94" s="225">
        <f>'dod3'!N95-'dod3 - базовий бюджет'!O84</f>
        <v>0</v>
      </c>
      <c r="O94" s="225">
        <f>'dod3'!O95-'dod3 - базовий бюджет'!P84</f>
        <v>1000000</v>
      </c>
      <c r="P94" s="225">
        <f>'dod3'!P95-'dod3 - базовий бюджет'!Q84</f>
        <v>1000000</v>
      </c>
      <c r="R94" s="155"/>
    </row>
    <row r="95" spans="1:18" ht="409.5" x14ac:dyDescent="0.2">
      <c r="A95" s="422" t="s">
        <v>749</v>
      </c>
      <c r="B95" s="422" t="s">
        <v>538</v>
      </c>
      <c r="C95" s="422" t="s">
        <v>256</v>
      </c>
      <c r="D95" s="231" t="s">
        <v>549</v>
      </c>
      <c r="E95" s="416">
        <f>'dod3'!E96-'dod3 - базовий бюджет'!F85</f>
        <v>0</v>
      </c>
      <c r="F95" s="416">
        <f>'dod3'!F96-'dod3 - базовий бюджет'!G85</f>
        <v>0</v>
      </c>
      <c r="G95" s="416">
        <f>'dod3'!G96-'dod3 - базовий бюджет'!H85</f>
        <v>0</v>
      </c>
      <c r="H95" s="416">
        <f>'dod3'!H96-'dod3 - базовий бюджет'!I85</f>
        <v>0</v>
      </c>
      <c r="I95" s="416">
        <f>'dod3'!I96-'dod3 - базовий бюджет'!J85</f>
        <v>0</v>
      </c>
      <c r="J95" s="416">
        <f>'dod3'!J96-'dod3 - базовий бюджет'!K85</f>
        <v>0</v>
      </c>
      <c r="K95" s="416">
        <f>'dod3'!K96-'dod3 - базовий бюджет'!L85</f>
        <v>0</v>
      </c>
      <c r="L95" s="416">
        <f>'dod3'!L96-'dod3 - базовий бюджет'!M85</f>
        <v>0</v>
      </c>
      <c r="M95" s="416">
        <f>'dod3'!M96-'dod3 - базовий бюджет'!N85</f>
        <v>0</v>
      </c>
      <c r="N95" s="416">
        <f>'dod3'!N96-'dod3 - базовий бюджет'!O85</f>
        <v>0</v>
      </c>
      <c r="O95" s="416">
        <f>'dod3'!O96-'dod3 - базовий бюджет'!P85</f>
        <v>0</v>
      </c>
      <c r="P95" s="416">
        <f>'dod3'!P96-'dod3 - базовий бюджет'!Q85</f>
        <v>0</v>
      </c>
      <c r="Q95" s="120"/>
      <c r="R95" s="155"/>
    </row>
    <row r="96" spans="1:18" ht="137.25" x14ac:dyDescent="0.2">
      <c r="A96" s="403"/>
      <c r="B96" s="403"/>
      <c r="C96" s="403"/>
      <c r="D96" s="235" t="s">
        <v>550</v>
      </c>
      <c r="E96" s="403"/>
      <c r="F96" s="403"/>
      <c r="G96" s="403"/>
      <c r="H96" s="403"/>
      <c r="I96" s="403"/>
      <c r="J96" s="403"/>
      <c r="K96" s="403"/>
      <c r="L96" s="403"/>
      <c r="M96" s="403"/>
      <c r="N96" s="403"/>
      <c r="O96" s="403"/>
      <c r="P96" s="403"/>
      <c r="R96" s="155"/>
    </row>
    <row r="97" spans="1:18" ht="180" x14ac:dyDescent="0.2">
      <c r="A97" s="306">
        <v>1000000</v>
      </c>
      <c r="B97" s="306"/>
      <c r="C97" s="306"/>
      <c r="D97" s="296" t="s">
        <v>43</v>
      </c>
      <c r="E97" s="298">
        <f>E98</f>
        <v>583835</v>
      </c>
      <c r="F97" s="298">
        <f t="shared" ref="F97:G97" si="16">F98</f>
        <v>583835</v>
      </c>
      <c r="G97" s="298">
        <f t="shared" si="16"/>
        <v>0</v>
      </c>
      <c r="H97" s="298">
        <f>H98</f>
        <v>105145</v>
      </c>
      <c r="I97" s="298">
        <f t="shared" ref="I97" si="17">I98</f>
        <v>0</v>
      </c>
      <c r="J97" s="298">
        <f>J98</f>
        <v>4393512</v>
      </c>
      <c r="K97" s="298">
        <f>K98</f>
        <v>4393512</v>
      </c>
      <c r="L97" s="298">
        <f>L98</f>
        <v>0</v>
      </c>
      <c r="M97" s="298">
        <f t="shared" ref="M97" si="18">M98</f>
        <v>0</v>
      </c>
      <c r="N97" s="298">
        <f>N98</f>
        <v>0</v>
      </c>
      <c r="O97" s="298">
        <f>O98</f>
        <v>4393512</v>
      </c>
      <c r="P97" s="302">
        <f t="shared" ref="P97" si="19">P98</f>
        <v>4977347</v>
      </c>
    </row>
    <row r="98" spans="1:18" ht="180" x14ac:dyDescent="0.2">
      <c r="A98" s="307">
        <v>1010000</v>
      </c>
      <c r="B98" s="307"/>
      <c r="C98" s="307"/>
      <c r="D98" s="299" t="s">
        <v>62</v>
      </c>
      <c r="E98" s="301">
        <f>F98</f>
        <v>583835</v>
      </c>
      <c r="F98" s="301">
        <f>SUM(F99:F106)</f>
        <v>583835</v>
      </c>
      <c r="G98" s="301">
        <f t="shared" ref="G98:I98" si="20">SUM(G99:G106)</f>
        <v>0</v>
      </c>
      <c r="H98" s="301">
        <f t="shared" si="20"/>
        <v>105145</v>
      </c>
      <c r="I98" s="301">
        <f t="shared" si="20"/>
        <v>0</v>
      </c>
      <c r="J98" s="301">
        <f>L98+O98</f>
        <v>4393512</v>
      </c>
      <c r="K98" s="301">
        <f t="shared" ref="K98:O98" si="21">SUM(K99:K106)</f>
        <v>4393512</v>
      </c>
      <c r="L98" s="301">
        <f t="shared" si="21"/>
        <v>0</v>
      </c>
      <c r="M98" s="301">
        <f t="shared" si="21"/>
        <v>0</v>
      </c>
      <c r="N98" s="301">
        <f t="shared" si="21"/>
        <v>0</v>
      </c>
      <c r="O98" s="301">
        <f t="shared" si="21"/>
        <v>4393512</v>
      </c>
      <c r="P98" s="301">
        <f>E98+J98</f>
        <v>4977347</v>
      </c>
      <c r="Q98" s="153"/>
      <c r="R98" s="155"/>
    </row>
    <row r="99" spans="1:18" ht="274.5" x14ac:dyDescent="0.2">
      <c r="A99" s="270" t="s">
        <v>34</v>
      </c>
      <c r="B99" s="270" t="s">
        <v>274</v>
      </c>
      <c r="C99" s="270" t="s">
        <v>275</v>
      </c>
      <c r="D99" s="270" t="s">
        <v>273</v>
      </c>
      <c r="E99" s="225">
        <f>'dod3'!E100-'dod3 - базовий бюджет'!F89</f>
        <v>69535</v>
      </c>
      <c r="F99" s="225">
        <f>'dod3'!F100-'dod3 - базовий бюджет'!G89</f>
        <v>69535</v>
      </c>
      <c r="G99" s="225">
        <f>'dod3'!G100-'dod3 - базовий бюджет'!H89</f>
        <v>0</v>
      </c>
      <c r="H99" s="225">
        <f>'dod3'!H100-'dod3 - базовий бюджет'!I89</f>
        <v>86765</v>
      </c>
      <c r="I99" s="225">
        <f>'dod3'!I100-'dod3 - базовий бюджет'!J89</f>
        <v>0</v>
      </c>
      <c r="J99" s="225">
        <f>'dod3'!J100-'dod3 - базовий бюджет'!K89</f>
        <v>1046562</v>
      </c>
      <c r="K99" s="225">
        <f>'dod3'!K100-'dod3 - базовий бюджет'!L89</f>
        <v>1046562</v>
      </c>
      <c r="L99" s="225">
        <f>'dod3'!L100-'dod3 - базовий бюджет'!M89</f>
        <v>0</v>
      </c>
      <c r="M99" s="225">
        <f>'dod3'!M100-'dod3 - базовий бюджет'!N89</f>
        <v>0</v>
      </c>
      <c r="N99" s="225">
        <f>'dod3'!N100-'dod3 - базовий бюджет'!O89</f>
        <v>0</v>
      </c>
      <c r="O99" s="225">
        <f>'dod3'!O100-'dod3 - базовий бюджет'!P89</f>
        <v>1046562</v>
      </c>
      <c r="P99" s="225">
        <f>'dod3'!P100-'dod3 - базовий бюджет'!Q89</f>
        <v>1116097</v>
      </c>
      <c r="R99" s="155"/>
    </row>
    <row r="100" spans="1:18" ht="46.5" x14ac:dyDescent="0.2">
      <c r="A100" s="270" t="s">
        <v>257</v>
      </c>
      <c r="B100" s="270" t="s">
        <v>258</v>
      </c>
      <c r="C100" s="270" t="s">
        <v>261</v>
      </c>
      <c r="D100" s="270" t="s">
        <v>262</v>
      </c>
      <c r="E100" s="225">
        <f>'dod3'!E101-'dod3 - базовий бюджет'!F90</f>
        <v>0</v>
      </c>
      <c r="F100" s="225">
        <f>'dod3'!F101-'dod3 - базовий бюджет'!G90</f>
        <v>0</v>
      </c>
      <c r="G100" s="225">
        <f>'dod3'!G101-'dod3 - базовий бюджет'!H90</f>
        <v>0</v>
      </c>
      <c r="H100" s="225">
        <f>'dod3'!H101-'dod3 - базовий бюджет'!I90</f>
        <v>0</v>
      </c>
      <c r="I100" s="225">
        <f>'dod3'!I101-'dod3 - базовий бюджет'!J90</f>
        <v>0</v>
      </c>
      <c r="J100" s="225">
        <f>'dod3'!J101-'dod3 - базовий бюджет'!K90</f>
        <v>0</v>
      </c>
      <c r="K100" s="225">
        <f>'dod3'!K101-'dod3 - базовий бюджет'!L90</f>
        <v>0</v>
      </c>
      <c r="L100" s="225">
        <f>'dod3'!L101-'dod3 - базовий бюджет'!M90</f>
        <v>0</v>
      </c>
      <c r="M100" s="225">
        <f>'dod3'!M101-'dod3 - базовий бюджет'!N90</f>
        <v>0</v>
      </c>
      <c r="N100" s="225">
        <f>'dod3'!N101-'dod3 - базовий бюджет'!O90</f>
        <v>0</v>
      </c>
      <c r="O100" s="225">
        <f>'dod3'!O101-'dod3 - базовий бюджет'!P90</f>
        <v>0</v>
      </c>
      <c r="P100" s="225">
        <f>'dod3'!P101-'dod3 - базовий бюджет'!Q90</f>
        <v>0</v>
      </c>
      <c r="R100" s="155"/>
    </row>
    <row r="101" spans="1:18" ht="91.5" x14ac:dyDescent="0.2">
      <c r="A101" s="270" t="s">
        <v>263</v>
      </c>
      <c r="B101" s="270" t="s">
        <v>264</v>
      </c>
      <c r="C101" s="270" t="s">
        <v>265</v>
      </c>
      <c r="D101" s="270" t="s">
        <v>266</v>
      </c>
      <c r="E101" s="225">
        <f>'dod3'!E102-'dod3 - базовий бюджет'!F91</f>
        <v>80300</v>
      </c>
      <c r="F101" s="225">
        <f>'dod3'!F102-'dod3 - базовий бюджет'!G91</f>
        <v>80300</v>
      </c>
      <c r="G101" s="225">
        <f>'dod3'!G102-'dod3 - базовий бюджет'!H91</f>
        <v>0</v>
      </c>
      <c r="H101" s="225">
        <f>'dod3'!H102-'dod3 - базовий бюджет'!I91</f>
        <v>10680</v>
      </c>
      <c r="I101" s="225">
        <f>'dod3'!I102-'dod3 - базовий бюджет'!J91</f>
        <v>0</v>
      </c>
      <c r="J101" s="225">
        <f>'dod3'!J102-'dod3 - базовий бюджет'!K91</f>
        <v>631950</v>
      </c>
      <c r="K101" s="225">
        <f>'dod3'!K102-'dod3 - базовий бюджет'!L91</f>
        <v>631950</v>
      </c>
      <c r="L101" s="225">
        <f>'dod3'!L102-'dod3 - базовий бюджет'!M91</f>
        <v>0</v>
      </c>
      <c r="M101" s="225">
        <f>'dod3'!M102-'dod3 - базовий бюджет'!N91</f>
        <v>0</v>
      </c>
      <c r="N101" s="225">
        <f>'dod3'!N102-'dod3 - базовий бюджет'!O91</f>
        <v>0</v>
      </c>
      <c r="O101" s="225">
        <f>'dod3'!O102-'dod3 - базовий бюджет'!P91</f>
        <v>631950</v>
      </c>
      <c r="P101" s="225">
        <f>'dod3'!P102-'dod3 - базовий бюджет'!Q91</f>
        <v>712250</v>
      </c>
      <c r="R101" s="155"/>
    </row>
    <row r="102" spans="1:18" ht="91.5" x14ac:dyDescent="0.2">
      <c r="A102" s="270" t="s">
        <v>267</v>
      </c>
      <c r="B102" s="270" t="s">
        <v>268</v>
      </c>
      <c r="C102" s="270" t="s">
        <v>265</v>
      </c>
      <c r="D102" s="270" t="s">
        <v>269</v>
      </c>
      <c r="E102" s="225">
        <f>'dod3'!E103-'dod3 - базовий бюджет'!F92</f>
        <v>0</v>
      </c>
      <c r="F102" s="225">
        <f>'dod3'!F103-'dod3 - базовий бюджет'!G92</f>
        <v>0</v>
      </c>
      <c r="G102" s="225">
        <f>'dod3'!G103-'dod3 - базовий бюджет'!H92</f>
        <v>0</v>
      </c>
      <c r="H102" s="225">
        <f>'dod3'!H103-'dod3 - базовий бюджет'!I92</f>
        <v>2000</v>
      </c>
      <c r="I102" s="225">
        <f>'dod3'!I103-'dod3 - базовий бюджет'!J92</f>
        <v>0</v>
      </c>
      <c r="J102" s="225">
        <f>'dod3'!J103-'dod3 - базовий бюджет'!K92</f>
        <v>2000000</v>
      </c>
      <c r="K102" s="225">
        <f>'dod3'!K103-'dod3 - базовий бюджет'!L92</f>
        <v>2000000</v>
      </c>
      <c r="L102" s="225">
        <f>'dod3'!L103-'dod3 - базовий бюджет'!M92</f>
        <v>0</v>
      </c>
      <c r="M102" s="225">
        <f>'dod3'!M103-'dod3 - базовий бюджет'!N92</f>
        <v>0</v>
      </c>
      <c r="N102" s="225">
        <f>'dod3'!N103-'dod3 - базовий бюджет'!O92</f>
        <v>0</v>
      </c>
      <c r="O102" s="225">
        <f>'dod3'!O103-'dod3 - базовий бюджет'!P92</f>
        <v>2000000</v>
      </c>
      <c r="P102" s="225">
        <f>'dod3'!P103-'dod3 - базовий бюджет'!Q92</f>
        <v>2000000</v>
      </c>
      <c r="R102" s="155"/>
    </row>
    <row r="103" spans="1:18" ht="183" x14ac:dyDescent="0.2">
      <c r="A103" s="270" t="s">
        <v>270</v>
      </c>
      <c r="B103" s="270" t="s">
        <v>259</v>
      </c>
      <c r="C103" s="270" t="s">
        <v>271</v>
      </c>
      <c r="D103" s="270" t="s">
        <v>272</v>
      </c>
      <c r="E103" s="225">
        <f>'dod3'!E104-'dod3 - базовий бюджет'!F93</f>
        <v>116500</v>
      </c>
      <c r="F103" s="225">
        <f>'dod3'!F104-'dod3 - базовий бюджет'!G93</f>
        <v>116500</v>
      </c>
      <c r="G103" s="225">
        <f>'dod3'!G104-'dod3 - базовий бюджет'!H93</f>
        <v>0</v>
      </c>
      <c r="H103" s="225">
        <f>'dod3'!H104-'dod3 - базовий бюджет'!I93</f>
        <v>5100</v>
      </c>
      <c r="I103" s="225">
        <f>'dod3'!I104-'dod3 - базовий бюджет'!J93</f>
        <v>0</v>
      </c>
      <c r="J103" s="225">
        <f>'dod3'!J104-'dod3 - базовий бюджет'!K93</f>
        <v>690000</v>
      </c>
      <c r="K103" s="225">
        <f>'dod3'!K104-'dod3 - базовий бюджет'!L93</f>
        <v>690000</v>
      </c>
      <c r="L103" s="225">
        <f>'dod3'!L104-'dod3 - базовий бюджет'!M93</f>
        <v>0</v>
      </c>
      <c r="M103" s="225">
        <f>'dod3'!M104-'dod3 - базовий бюджет'!N93</f>
        <v>0</v>
      </c>
      <c r="N103" s="225">
        <f>'dod3'!N104-'dod3 - базовий бюджет'!O93</f>
        <v>0</v>
      </c>
      <c r="O103" s="225">
        <f>'dod3'!O104-'dod3 - базовий бюджет'!P93</f>
        <v>690000</v>
      </c>
      <c r="P103" s="225">
        <f>'dod3'!P104-'dod3 - базовий бюджет'!Q93</f>
        <v>806500</v>
      </c>
      <c r="R103" s="155"/>
    </row>
    <row r="104" spans="1:18" ht="137.25" x14ac:dyDescent="0.2">
      <c r="A104" s="270" t="s">
        <v>530</v>
      </c>
      <c r="B104" s="270" t="s">
        <v>531</v>
      </c>
      <c r="C104" s="270" t="s">
        <v>276</v>
      </c>
      <c r="D104" s="270" t="s">
        <v>529</v>
      </c>
      <c r="E104" s="225">
        <f>'dod3'!E105-'dod3 - базовий бюджет'!F94</f>
        <v>17500</v>
      </c>
      <c r="F104" s="225">
        <f>'dod3'!F105-'dod3 - базовий бюджет'!G94</f>
        <v>17500</v>
      </c>
      <c r="G104" s="225">
        <f>'dod3'!G105-'dod3 - базовий бюджет'!H94</f>
        <v>0</v>
      </c>
      <c r="H104" s="225">
        <f>'dod3'!H105-'dod3 - базовий бюджет'!I94</f>
        <v>600</v>
      </c>
      <c r="I104" s="225">
        <f>'dod3'!I105-'dod3 - базовий бюджет'!J94</f>
        <v>0</v>
      </c>
      <c r="J104" s="225">
        <f>'dod3'!J105-'dod3 - базовий бюджет'!K94</f>
        <v>0</v>
      </c>
      <c r="K104" s="225">
        <f>'dod3'!K105-'dod3 - базовий бюджет'!L94</f>
        <v>0</v>
      </c>
      <c r="L104" s="225">
        <f>'dod3'!L105-'dod3 - базовий бюджет'!M94</f>
        <v>0</v>
      </c>
      <c r="M104" s="225">
        <f>'dod3'!M105-'dod3 - базовий бюджет'!N94</f>
        <v>0</v>
      </c>
      <c r="N104" s="225">
        <f>'dod3'!N105-'dod3 - базовий бюджет'!O94</f>
        <v>0</v>
      </c>
      <c r="O104" s="225">
        <f>'dod3'!O105-'dod3 - базовий бюджет'!P94</f>
        <v>0</v>
      </c>
      <c r="P104" s="225">
        <f>'dod3'!P105-'dod3 - базовий бюджет'!Q94</f>
        <v>17500</v>
      </c>
      <c r="R104" s="155"/>
    </row>
    <row r="105" spans="1:18" ht="91.5" x14ac:dyDescent="0.2">
      <c r="A105" s="270" t="s">
        <v>532</v>
      </c>
      <c r="B105" s="270" t="s">
        <v>533</v>
      </c>
      <c r="C105" s="270" t="s">
        <v>276</v>
      </c>
      <c r="D105" s="270" t="s">
        <v>534</v>
      </c>
      <c r="E105" s="225">
        <f>'dod3'!E106-'dod3 - базовий бюджет'!F95</f>
        <v>300000</v>
      </c>
      <c r="F105" s="225">
        <f>'dod3'!F106-'dod3 - базовий бюджет'!G95</f>
        <v>300000</v>
      </c>
      <c r="G105" s="225">
        <f>'dod3'!G106-'dod3 - базовий бюджет'!H95</f>
        <v>0</v>
      </c>
      <c r="H105" s="225">
        <f>'dod3'!H106-'dod3 - базовий бюджет'!I95</f>
        <v>0</v>
      </c>
      <c r="I105" s="225">
        <f>'dod3'!I106-'dod3 - базовий бюджет'!J95</f>
        <v>0</v>
      </c>
      <c r="J105" s="225">
        <f>'dod3'!J106-'dod3 - базовий бюджет'!K95</f>
        <v>0</v>
      </c>
      <c r="K105" s="225">
        <f>'dod3'!K106-'dod3 - базовий бюджет'!L95</f>
        <v>0</v>
      </c>
      <c r="L105" s="225">
        <f>'dod3'!L106-'dod3 - базовий бюджет'!M95</f>
        <v>0</v>
      </c>
      <c r="M105" s="225">
        <f>'dod3'!M106-'dod3 - базовий бюджет'!N95</f>
        <v>0</v>
      </c>
      <c r="N105" s="225">
        <f>'dod3'!N106-'dod3 - базовий бюджет'!O95</f>
        <v>0</v>
      </c>
      <c r="O105" s="225">
        <f>'dod3'!O106-'dod3 - базовий бюджет'!P95</f>
        <v>0</v>
      </c>
      <c r="P105" s="225">
        <f>'dod3'!P106-'dod3 - базовий бюджет'!Q95</f>
        <v>300000</v>
      </c>
      <c r="R105" s="155"/>
    </row>
    <row r="106" spans="1:18" ht="91.5" x14ac:dyDescent="0.2">
      <c r="A106" s="270" t="s">
        <v>868</v>
      </c>
      <c r="B106" s="270" t="s">
        <v>293</v>
      </c>
      <c r="C106" s="270" t="s">
        <v>256</v>
      </c>
      <c r="D106" s="270" t="s">
        <v>57</v>
      </c>
      <c r="E106" s="111">
        <f>'dod3'!E107-0</f>
        <v>0</v>
      </c>
      <c r="F106" s="111">
        <f>'dod3'!F107-0</f>
        <v>0</v>
      </c>
      <c r="G106" s="111">
        <f>'dod3'!G107-0</f>
        <v>0</v>
      </c>
      <c r="H106" s="111">
        <f>'dod3'!H107-0</f>
        <v>0</v>
      </c>
      <c r="I106" s="111">
        <f>'dod3'!I107-0</f>
        <v>0</v>
      </c>
      <c r="J106" s="111">
        <f>'dod3'!J107-0</f>
        <v>25000</v>
      </c>
      <c r="K106" s="111">
        <f>'dod3'!K107-0</f>
        <v>25000</v>
      </c>
      <c r="L106" s="111">
        <f>'dod3'!L107-0</f>
        <v>0</v>
      </c>
      <c r="M106" s="111">
        <f>'dod3'!M107-0</f>
        <v>0</v>
      </c>
      <c r="N106" s="111">
        <f>'dod3'!N107-0</f>
        <v>0</v>
      </c>
      <c r="O106" s="111">
        <f>'dod3'!O107-0</f>
        <v>25000</v>
      </c>
      <c r="P106" s="111">
        <f>'dod3'!P107-0</f>
        <v>25000</v>
      </c>
      <c r="R106" s="155"/>
    </row>
    <row r="107" spans="1:18" ht="135" x14ac:dyDescent="0.2">
      <c r="A107" s="296" t="s">
        <v>40</v>
      </c>
      <c r="B107" s="296"/>
      <c r="C107" s="296"/>
      <c r="D107" s="296" t="s">
        <v>41</v>
      </c>
      <c r="E107" s="298">
        <f>E108</f>
        <v>1855160</v>
      </c>
      <c r="F107" s="298">
        <f t="shared" ref="F107:G107" si="22">F108</f>
        <v>1855160</v>
      </c>
      <c r="G107" s="298">
        <f t="shared" si="22"/>
        <v>242000</v>
      </c>
      <c r="H107" s="298">
        <f>H108</f>
        <v>7568</v>
      </c>
      <c r="I107" s="298">
        <f t="shared" ref="I107" si="23">I108</f>
        <v>0</v>
      </c>
      <c r="J107" s="298">
        <f>J108</f>
        <v>1774888</v>
      </c>
      <c r="K107" s="298">
        <f>K108</f>
        <v>1774888</v>
      </c>
      <c r="L107" s="298">
        <f>L108</f>
        <v>0</v>
      </c>
      <c r="M107" s="298">
        <f t="shared" ref="M107" si="24">M108</f>
        <v>-34100</v>
      </c>
      <c r="N107" s="298">
        <f>N108</f>
        <v>7000</v>
      </c>
      <c r="O107" s="298">
        <f>O108</f>
        <v>1774888</v>
      </c>
      <c r="P107" s="302">
        <f t="shared" ref="P107" si="25">P108</f>
        <v>3630048</v>
      </c>
    </row>
    <row r="108" spans="1:18" ht="135" x14ac:dyDescent="0.2">
      <c r="A108" s="299" t="s">
        <v>39</v>
      </c>
      <c r="B108" s="299"/>
      <c r="C108" s="299"/>
      <c r="D108" s="299" t="s">
        <v>58</v>
      </c>
      <c r="E108" s="301">
        <f>SUM(E109:E122)</f>
        <v>1855160</v>
      </c>
      <c r="F108" s="301">
        <f t="shared" ref="F108:I108" si="26">SUM(F109:F122)</f>
        <v>1855160</v>
      </c>
      <c r="G108" s="301">
        <f t="shared" si="26"/>
        <v>242000</v>
      </c>
      <c r="H108" s="301">
        <f t="shared" si="26"/>
        <v>7568</v>
      </c>
      <c r="I108" s="301">
        <f t="shared" si="26"/>
        <v>0</v>
      </c>
      <c r="J108" s="301">
        <f>L108+O108</f>
        <v>1774888</v>
      </c>
      <c r="K108" s="301">
        <f t="shared" ref="K108:N108" si="27">SUM(K109:K122)</f>
        <v>1774888</v>
      </c>
      <c r="L108" s="301">
        <f t="shared" si="27"/>
        <v>0</v>
      </c>
      <c r="M108" s="301">
        <f t="shared" si="27"/>
        <v>-34100</v>
      </c>
      <c r="N108" s="301">
        <f t="shared" si="27"/>
        <v>7000</v>
      </c>
      <c r="O108" s="301">
        <f>SUM(O109:O122)</f>
        <v>1774888</v>
      </c>
      <c r="P108" s="301">
        <f>E108+J108</f>
        <v>3630048</v>
      </c>
      <c r="Q108" s="153"/>
      <c r="R108" s="155"/>
    </row>
    <row r="109" spans="1:18" ht="137.25" x14ac:dyDescent="0.2">
      <c r="A109" s="270" t="s">
        <v>277</v>
      </c>
      <c r="B109" s="270" t="s">
        <v>278</v>
      </c>
      <c r="C109" s="270" t="s">
        <v>279</v>
      </c>
      <c r="D109" s="270" t="s">
        <v>280</v>
      </c>
      <c r="E109" s="111">
        <f>'dod3'!E110-'dod3 - базовий бюджет'!F98</f>
        <v>114920</v>
      </c>
      <c r="F109" s="111">
        <f>'dod3'!F110-'dod3 - базовий бюджет'!G98</f>
        <v>114920</v>
      </c>
      <c r="G109" s="111">
        <f>'dod3'!G110-'dod3 - базовий бюджет'!H98</f>
        <v>82000</v>
      </c>
      <c r="H109" s="111">
        <f>'dod3'!H110-'dod3 - базовий бюджет'!I98</f>
        <v>1500</v>
      </c>
      <c r="I109" s="111">
        <f>'dod3'!I110-'dod3 - базовий бюджет'!J98</f>
        <v>0</v>
      </c>
      <c r="J109" s="111">
        <f>'dod3'!J110-'dod3 - базовий бюджет'!K98</f>
        <v>53278</v>
      </c>
      <c r="K109" s="111">
        <f>'dod3'!K110-'dod3 - базовий бюджет'!L98</f>
        <v>53278</v>
      </c>
      <c r="L109" s="111">
        <f>'dod3'!L110-'dod3 - базовий бюджет'!M98</f>
        <v>0</v>
      </c>
      <c r="M109" s="111">
        <f>'dod3'!M110-'dod3 - базовий бюджет'!N98</f>
        <v>0</v>
      </c>
      <c r="N109" s="111">
        <f>'dod3'!N110-'dod3 - базовий бюджет'!O98</f>
        <v>0</v>
      </c>
      <c r="O109" s="111">
        <f>'dod3'!O110-'dod3 - базовий бюджет'!P98</f>
        <v>53278</v>
      </c>
      <c r="P109" s="111">
        <f>'dod3'!P110-'dod3 - базовий бюджет'!Q98</f>
        <v>168198</v>
      </c>
      <c r="Q109" s="155"/>
      <c r="R109" s="155"/>
    </row>
    <row r="110" spans="1:18" ht="228.75" x14ac:dyDescent="0.2">
      <c r="A110" s="270" t="s">
        <v>72</v>
      </c>
      <c r="B110" s="270" t="s">
        <v>260</v>
      </c>
      <c r="C110" s="270" t="s">
        <v>279</v>
      </c>
      <c r="D110" s="270" t="s">
        <v>22</v>
      </c>
      <c r="E110" s="111">
        <f>'dod3'!E111-'dod3 - базовий бюджет'!F99</f>
        <v>350000</v>
      </c>
      <c r="F110" s="111">
        <f>'dod3'!F111-'dod3 - базовий бюджет'!G99</f>
        <v>350000</v>
      </c>
      <c r="G110" s="111">
        <f>'dod3'!G111-'dod3 - базовий бюджет'!H99</f>
        <v>0</v>
      </c>
      <c r="H110" s="111">
        <f>'dod3'!H111-'dod3 - базовий бюджет'!I99</f>
        <v>0</v>
      </c>
      <c r="I110" s="111">
        <f>'dod3'!I111-'dod3 - базовий бюджет'!J99</f>
        <v>0</v>
      </c>
      <c r="J110" s="111">
        <f>'dod3'!J111-'dod3 - базовий бюджет'!K99</f>
        <v>0</v>
      </c>
      <c r="K110" s="111">
        <f>'dod3'!K111-'dod3 - базовий бюджет'!L99</f>
        <v>0</v>
      </c>
      <c r="L110" s="111">
        <f>'dod3'!L111-'dod3 - базовий бюджет'!M99</f>
        <v>0</v>
      </c>
      <c r="M110" s="111">
        <f>'dod3'!M111-'dod3 - базовий бюджет'!N99</f>
        <v>0</v>
      </c>
      <c r="N110" s="111">
        <f>'dod3'!N111-'dod3 - базовий бюджет'!O99</f>
        <v>0</v>
      </c>
      <c r="O110" s="111">
        <f>'dod3'!O111-'dod3 - базовий бюджет'!P99</f>
        <v>0</v>
      </c>
      <c r="P110" s="111">
        <f>'dod3'!P111-'dod3 - базовий бюджет'!Q99</f>
        <v>350000</v>
      </c>
      <c r="R110" s="155"/>
    </row>
    <row r="111" spans="1:18" ht="91.5" x14ac:dyDescent="0.2">
      <c r="A111" s="270" t="s">
        <v>284</v>
      </c>
      <c r="B111" s="270" t="s">
        <v>285</v>
      </c>
      <c r="C111" s="270" t="s">
        <v>279</v>
      </c>
      <c r="D111" s="270" t="s">
        <v>23</v>
      </c>
      <c r="E111" s="111">
        <f>'dod3'!E112-'dod3 - базовий бюджет'!F100</f>
        <v>225250</v>
      </c>
      <c r="F111" s="111">
        <f>'dod3'!F112-'dod3 - базовий бюджет'!G100</f>
        <v>225250</v>
      </c>
      <c r="G111" s="111">
        <f>'dod3'!G112-'dod3 - базовий бюджет'!H100</f>
        <v>160000</v>
      </c>
      <c r="H111" s="111">
        <f>'dod3'!H112-'dod3 - базовий бюджет'!I100</f>
        <v>1800</v>
      </c>
      <c r="I111" s="111">
        <f>'dod3'!I112-'dod3 - базовий бюджет'!J100</f>
        <v>0</v>
      </c>
      <c r="J111" s="111">
        <f>'dod3'!J112-'dod3 - базовий бюджет'!K100</f>
        <v>551506</v>
      </c>
      <c r="K111" s="111">
        <f>'dod3'!K112-'dod3 - базовий бюджет'!L100</f>
        <v>551506</v>
      </c>
      <c r="L111" s="111">
        <f>'dod3'!L112-'dod3 - базовий бюджет'!M100</f>
        <v>0</v>
      </c>
      <c r="M111" s="111">
        <f>'dod3'!M112-'dod3 - базовий бюджет'!N100</f>
        <v>-34100</v>
      </c>
      <c r="N111" s="111">
        <f>'dod3'!N112-'dod3 - базовий бюджет'!O100</f>
        <v>0</v>
      </c>
      <c r="O111" s="111">
        <f>'dod3'!O112-'dod3 - базовий бюджет'!P100</f>
        <v>551506</v>
      </c>
      <c r="P111" s="111">
        <f>'dod3'!P112-'dod3 - базовий бюджет'!Q100</f>
        <v>776756</v>
      </c>
      <c r="R111" s="155"/>
    </row>
    <row r="112" spans="1:18" ht="91.5" x14ac:dyDescent="0.2">
      <c r="A112" s="270" t="s">
        <v>574</v>
      </c>
      <c r="B112" s="270" t="s">
        <v>575</v>
      </c>
      <c r="C112" s="270" t="s">
        <v>279</v>
      </c>
      <c r="D112" s="270" t="s">
        <v>576</v>
      </c>
      <c r="E112" s="111">
        <f>'dod3'!E113-'dod3 - базовий бюджет'!F101</f>
        <v>363517</v>
      </c>
      <c r="F112" s="111">
        <f>'dod3'!F113-'dod3 - базовий бюджет'!G101</f>
        <v>363517</v>
      </c>
      <c r="G112" s="111">
        <f>'dod3'!G113-'dod3 - базовий бюджет'!H101</f>
        <v>0</v>
      </c>
      <c r="H112" s="111">
        <f>'dod3'!H113-'dod3 - базовий бюджет'!I101</f>
        <v>0</v>
      </c>
      <c r="I112" s="111">
        <f>'dod3'!I113-'dod3 - базовий бюджет'!J101</f>
        <v>0</v>
      </c>
      <c r="J112" s="111">
        <f>'dod3'!J113-'dod3 - базовий бюджет'!K101</f>
        <v>550600</v>
      </c>
      <c r="K112" s="111">
        <f>'dod3'!K113-'dod3 - базовий бюджет'!L101</f>
        <v>550600</v>
      </c>
      <c r="L112" s="111">
        <f>'dod3'!L113-'dod3 - базовий бюджет'!M101</f>
        <v>0</v>
      </c>
      <c r="M112" s="111">
        <f>'dod3'!M113-'dod3 - базовий бюджет'!N101</f>
        <v>0</v>
      </c>
      <c r="N112" s="111">
        <f>'dod3'!N113-'dod3 - базовий бюджет'!O101</f>
        <v>0</v>
      </c>
      <c r="O112" s="111">
        <f>'dod3'!O113-'dod3 - базовий бюджет'!P101</f>
        <v>550600</v>
      </c>
      <c r="P112" s="111">
        <f>'dod3'!P113-'dod3 - базовий бюджет'!Q101</f>
        <v>914117</v>
      </c>
      <c r="R112" s="155"/>
    </row>
    <row r="113" spans="1:18" ht="137.25" x14ac:dyDescent="0.2">
      <c r="A113" s="270" t="s">
        <v>73</v>
      </c>
      <c r="B113" s="270" t="s">
        <v>281</v>
      </c>
      <c r="C113" s="270" t="s">
        <v>291</v>
      </c>
      <c r="D113" s="270" t="s">
        <v>74</v>
      </c>
      <c r="E113" s="111">
        <f>'dod3'!E114-'dod3 - базовий бюджет'!F102</f>
        <v>44000</v>
      </c>
      <c r="F113" s="111">
        <f>'dod3'!F114-'dod3 - базовий бюджет'!G102</f>
        <v>44000</v>
      </c>
      <c r="G113" s="111">
        <f>'dod3'!G114-'dod3 - базовий бюджет'!H102</f>
        <v>0</v>
      </c>
      <c r="H113" s="111">
        <f>'dod3'!H114-'dod3 - базовий бюджет'!I102</f>
        <v>0</v>
      </c>
      <c r="I113" s="111">
        <f>'dod3'!I114-'dod3 - базовий бюджет'!J102</f>
        <v>0</v>
      </c>
      <c r="J113" s="111">
        <f>'dod3'!J114-'dod3 - базовий бюджет'!K102</f>
        <v>0</v>
      </c>
      <c r="K113" s="111">
        <f>'dod3'!K114-'dod3 - базовий бюджет'!L102</f>
        <v>0</v>
      </c>
      <c r="L113" s="111">
        <f>'dod3'!L114-'dod3 - базовий бюджет'!M102</f>
        <v>0</v>
      </c>
      <c r="M113" s="111">
        <f>'dod3'!M114-'dod3 - базовий бюджет'!N102</f>
        <v>0</v>
      </c>
      <c r="N113" s="111">
        <f>'dod3'!N114-'dod3 - базовий бюджет'!O102</f>
        <v>0</v>
      </c>
      <c r="O113" s="111">
        <f>'dod3'!O114-'dod3 - базовий бюджет'!P102</f>
        <v>0</v>
      </c>
      <c r="P113" s="111">
        <f>'dod3'!P114-'dod3 - базовий бюджет'!Q102</f>
        <v>44000</v>
      </c>
      <c r="R113" s="155"/>
    </row>
    <row r="114" spans="1:18" ht="137.25" x14ac:dyDescent="0.2">
      <c r="A114" s="270" t="s">
        <v>75</v>
      </c>
      <c r="B114" s="270" t="s">
        <v>282</v>
      </c>
      <c r="C114" s="270" t="s">
        <v>291</v>
      </c>
      <c r="D114" s="270" t="s">
        <v>6</v>
      </c>
      <c r="E114" s="111">
        <f>'dod3'!E115-'dod3 - базовий бюджет'!F103</f>
        <v>30000</v>
      </c>
      <c r="F114" s="111">
        <f>'dod3'!F115-'dod3 - базовий бюджет'!G103</f>
        <v>30000</v>
      </c>
      <c r="G114" s="111">
        <f>'dod3'!G115-'dod3 - базовий бюджет'!H103</f>
        <v>0</v>
      </c>
      <c r="H114" s="111">
        <f>'dod3'!H115-'dod3 - базовий бюджет'!I103</f>
        <v>0</v>
      </c>
      <c r="I114" s="111">
        <f>'dod3'!I115-'dod3 - базовий бюджет'!J103</f>
        <v>0</v>
      </c>
      <c r="J114" s="111">
        <f>'dod3'!J115-'dod3 - базовий бюджет'!K103</f>
        <v>0</v>
      </c>
      <c r="K114" s="111">
        <f>'dod3'!K115-'dod3 - базовий бюджет'!L103</f>
        <v>0</v>
      </c>
      <c r="L114" s="111">
        <f>'dod3'!L115-'dod3 - базовий бюджет'!M103</f>
        <v>0</v>
      </c>
      <c r="M114" s="111">
        <f>'dod3'!M115-'dod3 - базовий бюджет'!N103</f>
        <v>0</v>
      </c>
      <c r="N114" s="111">
        <f>'dod3'!N115-'dod3 - базовий бюджет'!O103</f>
        <v>0</v>
      </c>
      <c r="O114" s="111">
        <f>'dod3'!O115-'dod3 - базовий бюджет'!P103</f>
        <v>0</v>
      </c>
      <c r="P114" s="111">
        <f>'dod3'!P115-'dod3 - базовий бюджет'!Q103</f>
        <v>30000</v>
      </c>
      <c r="R114" s="155"/>
    </row>
    <row r="115" spans="1:18" ht="183" x14ac:dyDescent="0.2">
      <c r="A115" s="270" t="s">
        <v>76</v>
      </c>
      <c r="B115" s="270" t="s">
        <v>283</v>
      </c>
      <c r="C115" s="270" t="s">
        <v>291</v>
      </c>
      <c r="D115" s="270" t="s">
        <v>570</v>
      </c>
      <c r="E115" s="111">
        <f>'dod3'!E116-'dod3 - базовий бюджет'!F104</f>
        <v>0</v>
      </c>
      <c r="F115" s="111">
        <f>'dod3'!F116-'dod3 - базовий бюджет'!G104</f>
        <v>0</v>
      </c>
      <c r="G115" s="111">
        <f>'dod3'!G116-'dod3 - базовий бюджет'!H104</f>
        <v>0</v>
      </c>
      <c r="H115" s="111">
        <f>'dod3'!H116-'dod3 - базовий бюджет'!I104</f>
        <v>0</v>
      </c>
      <c r="I115" s="111">
        <f>'dod3'!I116-'dod3 - базовий бюджет'!J104</f>
        <v>0</v>
      </c>
      <c r="J115" s="111">
        <f>'dod3'!J116-'dod3 - базовий бюджет'!K104</f>
        <v>0</v>
      </c>
      <c r="K115" s="111">
        <f>'dod3'!K116-'dod3 - базовий бюджет'!L104</f>
        <v>0</v>
      </c>
      <c r="L115" s="111">
        <f>'dod3'!L116-'dod3 - базовий бюджет'!M104</f>
        <v>0</v>
      </c>
      <c r="M115" s="111">
        <f>'dod3'!M116-'dod3 - базовий бюджет'!N104</f>
        <v>0</v>
      </c>
      <c r="N115" s="111">
        <f>'dod3'!N116-'dod3 - базовий бюджет'!O104</f>
        <v>0</v>
      </c>
      <c r="O115" s="111">
        <f>'dod3'!O116-'dod3 - базовий бюджет'!P104</f>
        <v>0</v>
      </c>
      <c r="P115" s="111">
        <f>'dod3'!P116-'dod3 - базовий бюджет'!Q104</f>
        <v>0</v>
      </c>
      <c r="R115" s="155"/>
    </row>
    <row r="116" spans="1:18" ht="183" x14ac:dyDescent="0.2">
      <c r="A116" s="270" t="s">
        <v>49</v>
      </c>
      <c r="B116" s="270" t="s">
        <v>288</v>
      </c>
      <c r="C116" s="270" t="s">
        <v>291</v>
      </c>
      <c r="D116" s="270" t="s">
        <v>77</v>
      </c>
      <c r="E116" s="111">
        <f>'dod3'!E117-'dod3 - базовий бюджет'!F105</f>
        <v>615012</v>
      </c>
      <c r="F116" s="111">
        <f>'dod3'!F117-'dod3 - базовий бюджет'!G105</f>
        <v>615012</v>
      </c>
      <c r="G116" s="111">
        <f>'dod3'!G117-'dod3 - базовий бюджет'!H105</f>
        <v>0</v>
      </c>
      <c r="H116" s="111">
        <f>'dod3'!H117-'dod3 - базовий бюджет'!I105</f>
        <v>4268</v>
      </c>
      <c r="I116" s="111">
        <f>'dod3'!I117-'dod3 - базовий бюджет'!J105</f>
        <v>0</v>
      </c>
      <c r="J116" s="111">
        <f>'dod3'!J117-'dod3 - базовий бюджет'!K105</f>
        <v>519800</v>
      </c>
      <c r="K116" s="111">
        <f>'dod3'!K117-'dod3 - базовий бюджет'!L105</f>
        <v>519800</v>
      </c>
      <c r="L116" s="111">
        <f>'dod3'!L117-'dod3 - базовий бюджет'!M105</f>
        <v>0</v>
      </c>
      <c r="M116" s="111">
        <f>'dod3'!M117-'dod3 - базовий бюджет'!N105</f>
        <v>0</v>
      </c>
      <c r="N116" s="111">
        <f>'dod3'!N117-'dod3 - базовий бюджет'!O105</f>
        <v>7000</v>
      </c>
      <c r="O116" s="111">
        <f>'dod3'!O117-'dod3 - базовий бюджет'!P105</f>
        <v>519800</v>
      </c>
      <c r="P116" s="111">
        <f>'dod3'!P117-'dod3 - базовий бюджет'!Q105</f>
        <v>1134812</v>
      </c>
      <c r="R116" s="155"/>
    </row>
    <row r="117" spans="1:18" ht="183" x14ac:dyDescent="0.2">
      <c r="A117" s="270" t="s">
        <v>50</v>
      </c>
      <c r="B117" s="270" t="s">
        <v>289</v>
      </c>
      <c r="C117" s="270" t="s">
        <v>291</v>
      </c>
      <c r="D117" s="270" t="s">
        <v>78</v>
      </c>
      <c r="E117" s="111">
        <f>'dod3'!E118-'dod3 - базовий бюджет'!F106</f>
        <v>0</v>
      </c>
      <c r="F117" s="111">
        <f>'dod3'!F118-'dod3 - базовий бюджет'!G106</f>
        <v>0</v>
      </c>
      <c r="G117" s="111">
        <f>'dod3'!G118-'dod3 - базовий бюджет'!H106</f>
        <v>0</v>
      </c>
      <c r="H117" s="111">
        <f>'dod3'!H118-'dod3 - базовий бюджет'!I106</f>
        <v>0</v>
      </c>
      <c r="I117" s="111">
        <f>'dod3'!I118-'dod3 - базовий бюджет'!J106</f>
        <v>0</v>
      </c>
      <c r="J117" s="111">
        <f>'dod3'!J118-'dod3 - базовий бюджет'!K106</f>
        <v>0</v>
      </c>
      <c r="K117" s="111">
        <f>'dod3'!K118-'dod3 - базовий бюджет'!L106</f>
        <v>0</v>
      </c>
      <c r="L117" s="111">
        <f>'dod3'!L118-'dod3 - базовий бюджет'!M106</f>
        <v>0</v>
      </c>
      <c r="M117" s="111">
        <f>'dod3'!M118-'dod3 - базовий бюджет'!N106</f>
        <v>0</v>
      </c>
      <c r="N117" s="111">
        <f>'dod3'!N118-'dod3 - базовий бюджет'!O106</f>
        <v>0</v>
      </c>
      <c r="O117" s="111">
        <f>'dod3'!O118-'dod3 - базовий бюджет'!P106</f>
        <v>0</v>
      </c>
      <c r="P117" s="111">
        <f>'dod3'!P118-'dod3 - базовий бюджет'!Q106</f>
        <v>0</v>
      </c>
      <c r="R117" s="155"/>
    </row>
    <row r="118" spans="1:18" ht="320.25" x14ac:dyDescent="0.2">
      <c r="A118" s="270" t="s">
        <v>917</v>
      </c>
      <c r="B118" s="270" t="s">
        <v>918</v>
      </c>
      <c r="C118" s="270" t="s">
        <v>291</v>
      </c>
      <c r="D118" s="270" t="s">
        <v>919</v>
      </c>
      <c r="E118" s="111">
        <f>'dod3'!E119-0</f>
        <v>68296</v>
      </c>
      <c r="F118" s="111">
        <f>'dod3'!F119-0</f>
        <v>68296</v>
      </c>
      <c r="G118" s="111">
        <f>'dod3'!G119-0</f>
        <v>0</v>
      </c>
      <c r="H118" s="111">
        <f>'dod3'!H119-0</f>
        <v>0</v>
      </c>
      <c r="I118" s="111">
        <f>'dod3'!I119-0</f>
        <v>0</v>
      </c>
      <c r="J118" s="111">
        <f>'dod3'!J119-0</f>
        <v>0</v>
      </c>
      <c r="K118" s="111">
        <f>'dod3'!K119-0</f>
        <v>0</v>
      </c>
      <c r="L118" s="111">
        <f>'dod3'!L119-0</f>
        <v>0</v>
      </c>
      <c r="M118" s="111">
        <f>'dod3'!M119-0</f>
        <v>0</v>
      </c>
      <c r="N118" s="111">
        <f>'dod3'!N119-0</f>
        <v>0</v>
      </c>
      <c r="O118" s="111">
        <f>'dod3'!O119-0</f>
        <v>0</v>
      </c>
      <c r="P118" s="111">
        <f>'dod3'!P119-0</f>
        <v>68296</v>
      </c>
      <c r="R118" s="155"/>
    </row>
    <row r="119" spans="1:18" ht="274.5" x14ac:dyDescent="0.2">
      <c r="A119" s="204" t="s">
        <v>51</v>
      </c>
      <c r="B119" s="204" t="s">
        <v>290</v>
      </c>
      <c r="C119" s="204" t="s">
        <v>291</v>
      </c>
      <c r="D119" s="270" t="s">
        <v>52</v>
      </c>
      <c r="E119" s="111">
        <f>'dod3'!E120-'dod3 - базовий бюджет'!F107</f>
        <v>-44000</v>
      </c>
      <c r="F119" s="111">
        <f>'dod3'!F120-'dod3 - базовий бюджет'!G107</f>
        <v>-44000</v>
      </c>
      <c r="G119" s="111">
        <f>'dod3'!G120-'dod3 - базовий бюджет'!H107</f>
        <v>0</v>
      </c>
      <c r="H119" s="111">
        <f>'dod3'!H120-'dod3 - базовий бюджет'!I107</f>
        <v>0</v>
      </c>
      <c r="I119" s="111">
        <f>'dod3'!I120-'dod3 - базовий бюджет'!J107</f>
        <v>0</v>
      </c>
      <c r="J119" s="111">
        <f>'dod3'!J120-'dod3 - базовий бюджет'!K107</f>
        <v>0</v>
      </c>
      <c r="K119" s="111">
        <f>'dod3'!K120-'dod3 - базовий бюджет'!L107</f>
        <v>0</v>
      </c>
      <c r="L119" s="111">
        <f>'dod3'!L120-'dod3 - базовий бюджет'!M107</f>
        <v>0</v>
      </c>
      <c r="M119" s="111">
        <f>'dod3'!M120-'dod3 - базовий бюджет'!N107</f>
        <v>0</v>
      </c>
      <c r="N119" s="111">
        <f>'dod3'!N120-'dod3 - базовий бюджет'!O107</f>
        <v>0</v>
      </c>
      <c r="O119" s="111">
        <f>'dod3'!O120-'dod3 - базовий бюджет'!P107</f>
        <v>0</v>
      </c>
      <c r="P119" s="111">
        <f>'dod3'!P120-'dod3 - базовий бюджет'!Q107</f>
        <v>-44000</v>
      </c>
      <c r="R119" s="155"/>
    </row>
    <row r="120" spans="1:18" ht="91.5" x14ac:dyDescent="0.2">
      <c r="A120" s="204" t="s">
        <v>53</v>
      </c>
      <c r="B120" s="204" t="s">
        <v>292</v>
      </c>
      <c r="C120" s="204" t="s">
        <v>291</v>
      </c>
      <c r="D120" s="270" t="s">
        <v>54</v>
      </c>
      <c r="E120" s="111">
        <f>'dod3'!E121-'dod3 - базовий бюджет'!F108</f>
        <v>88165</v>
      </c>
      <c r="F120" s="111">
        <f>'dod3'!F121-'dod3 - базовий бюджет'!G108</f>
        <v>88165</v>
      </c>
      <c r="G120" s="111">
        <f>'dod3'!G121-'dod3 - базовий бюджет'!H108</f>
        <v>0</v>
      </c>
      <c r="H120" s="111">
        <f>'dod3'!H121-'dod3 - базовий бюджет'!I108</f>
        <v>0</v>
      </c>
      <c r="I120" s="111">
        <f>'dod3'!I121-'dod3 - базовий бюджет'!J108</f>
        <v>0</v>
      </c>
      <c r="J120" s="111">
        <f>'dod3'!J121-'dod3 - базовий бюджет'!K108</f>
        <v>0</v>
      </c>
      <c r="K120" s="111">
        <f>'dod3'!K121-'dod3 - базовий бюджет'!L108</f>
        <v>0</v>
      </c>
      <c r="L120" s="111">
        <f>'dod3'!L121-'dod3 - базовий бюджет'!M108</f>
        <v>0</v>
      </c>
      <c r="M120" s="111">
        <f>'dod3'!M121-'dod3 - базовий бюджет'!N108</f>
        <v>0</v>
      </c>
      <c r="N120" s="111">
        <f>'dod3'!N121-'dod3 - базовий бюджет'!O108</f>
        <v>0</v>
      </c>
      <c r="O120" s="111">
        <f>'dod3'!O121-'dod3 - базовий бюджет'!P108</f>
        <v>0</v>
      </c>
      <c r="P120" s="111">
        <f>'dod3'!P121-'dod3 - базовий бюджет'!Q108</f>
        <v>88165</v>
      </c>
      <c r="R120" s="155"/>
    </row>
    <row r="121" spans="1:18" ht="274.5" x14ac:dyDescent="0.2">
      <c r="A121" s="204" t="s">
        <v>544</v>
      </c>
      <c r="B121" s="204" t="s">
        <v>543</v>
      </c>
      <c r="C121" s="204" t="s">
        <v>542</v>
      </c>
      <c r="D121" s="270" t="s">
        <v>541</v>
      </c>
      <c r="E121" s="111">
        <f>'dod3'!E122-'dod3 - базовий бюджет'!F109</f>
        <v>0</v>
      </c>
      <c r="F121" s="111">
        <f>'dod3'!F122-'dod3 - базовий бюджет'!G109</f>
        <v>0</v>
      </c>
      <c r="G121" s="111">
        <f>'dod3'!G122-'dod3 - базовий бюджет'!H109</f>
        <v>0</v>
      </c>
      <c r="H121" s="111">
        <f>'dod3'!H122-'dod3 - базовий бюджет'!I109</f>
        <v>0</v>
      </c>
      <c r="I121" s="111">
        <f>'dod3'!I122-'dod3 - базовий бюджет'!J109</f>
        <v>0</v>
      </c>
      <c r="J121" s="111">
        <f>'dod3'!J122-'dod3 - базовий бюджет'!K109</f>
        <v>0</v>
      </c>
      <c r="K121" s="111">
        <f>'dod3'!K122-'dod3 - базовий бюджет'!L109</f>
        <v>0</v>
      </c>
      <c r="L121" s="111">
        <f>'dod3'!L122-'dod3 - базовий бюджет'!M109</f>
        <v>0</v>
      </c>
      <c r="M121" s="111">
        <f>'dod3'!M122-'dod3 - базовий бюджет'!N109</f>
        <v>0</v>
      </c>
      <c r="N121" s="111">
        <f>'dod3'!N122-'dod3 - базовий бюджет'!O109</f>
        <v>0</v>
      </c>
      <c r="O121" s="111">
        <f>'dod3'!O122-'dod3 - базовий бюджет'!P109</f>
        <v>0</v>
      </c>
      <c r="P121" s="111">
        <f>'dod3'!P122-'dod3 - базовий бюджет'!Q109</f>
        <v>0</v>
      </c>
      <c r="R121" s="155"/>
    </row>
    <row r="122" spans="1:18" ht="91.5" x14ac:dyDescent="0.2">
      <c r="A122" s="270" t="s">
        <v>920</v>
      </c>
      <c r="B122" s="270" t="s">
        <v>293</v>
      </c>
      <c r="C122" s="270" t="s">
        <v>256</v>
      </c>
      <c r="D122" s="270" t="s">
        <v>57</v>
      </c>
      <c r="E122" s="111">
        <f>'dod3'!E123-0</f>
        <v>0</v>
      </c>
      <c r="F122" s="111">
        <f>'dod3'!F123-0</f>
        <v>0</v>
      </c>
      <c r="G122" s="111">
        <f>'dod3'!G123-0</f>
        <v>0</v>
      </c>
      <c r="H122" s="111">
        <f>'dod3'!H123-0</f>
        <v>0</v>
      </c>
      <c r="I122" s="111">
        <f>'dod3'!I123-0</f>
        <v>0</v>
      </c>
      <c r="J122" s="111">
        <f>'dod3'!J123-0</f>
        <v>99704</v>
      </c>
      <c r="K122" s="111">
        <f>'dod3'!K123-0</f>
        <v>99704</v>
      </c>
      <c r="L122" s="111">
        <f>'dod3'!L123-0</f>
        <v>0</v>
      </c>
      <c r="M122" s="111">
        <f>'dod3'!M123-0</f>
        <v>0</v>
      </c>
      <c r="N122" s="111">
        <f>'dod3'!N123-0</f>
        <v>0</v>
      </c>
      <c r="O122" s="111">
        <f>'dod3'!O123-0</f>
        <v>99704</v>
      </c>
      <c r="P122" s="111">
        <f>'dod3'!P123-0</f>
        <v>99704</v>
      </c>
      <c r="R122" s="155"/>
    </row>
    <row r="123" spans="1:18" ht="180" x14ac:dyDescent="0.2">
      <c r="A123" s="296" t="s">
        <v>244</v>
      </c>
      <c r="B123" s="296"/>
      <c r="C123" s="296"/>
      <c r="D123" s="296" t="s">
        <v>42</v>
      </c>
      <c r="E123" s="298">
        <f>E124</f>
        <v>42434002</v>
      </c>
      <c r="F123" s="298">
        <f t="shared" ref="F123:G123" si="28">F124</f>
        <v>42434002</v>
      </c>
      <c r="G123" s="298">
        <f t="shared" si="28"/>
        <v>143550</v>
      </c>
      <c r="H123" s="298">
        <f>H124</f>
        <v>10100</v>
      </c>
      <c r="I123" s="298">
        <f t="shared" ref="I123" si="29">I124</f>
        <v>0</v>
      </c>
      <c r="J123" s="298">
        <f>J124</f>
        <v>66199333.789999999</v>
      </c>
      <c r="K123" s="298">
        <f>K124</f>
        <v>66114953.309999995</v>
      </c>
      <c r="L123" s="298">
        <f>L124</f>
        <v>0</v>
      </c>
      <c r="M123" s="298">
        <f t="shared" ref="M123" si="30">M124</f>
        <v>0</v>
      </c>
      <c r="N123" s="298">
        <f>N124</f>
        <v>0</v>
      </c>
      <c r="O123" s="298">
        <f>O124</f>
        <v>66199333.789999999</v>
      </c>
      <c r="P123" s="302">
        <f t="shared" ref="P123" si="31">P124</f>
        <v>108633335.78999999</v>
      </c>
    </row>
    <row r="124" spans="1:18" ht="180" x14ac:dyDescent="0.2">
      <c r="A124" s="299" t="s">
        <v>245</v>
      </c>
      <c r="B124" s="299"/>
      <c r="C124" s="299"/>
      <c r="D124" s="299" t="s">
        <v>63</v>
      </c>
      <c r="E124" s="301">
        <f>SUM(E125:E143)</f>
        <v>42434002</v>
      </c>
      <c r="F124" s="301">
        <f>SUM(F125:F143)</f>
        <v>42434002</v>
      </c>
      <c r="G124" s="301">
        <f>SUM(G125:G143)</f>
        <v>143550</v>
      </c>
      <c r="H124" s="301">
        <f>SUM(H125:H143)</f>
        <v>10100</v>
      </c>
      <c r="I124" s="301">
        <f>SUM(I125:I143)</f>
        <v>0</v>
      </c>
      <c r="J124" s="301">
        <f>L124+O124</f>
        <v>66199333.789999999</v>
      </c>
      <c r="K124" s="301">
        <f>SUM(K125:K143)</f>
        <v>66114953.309999995</v>
      </c>
      <c r="L124" s="301">
        <f>SUM(L125:L143)</f>
        <v>0</v>
      </c>
      <c r="M124" s="301">
        <f>SUM(M125:M143)</f>
        <v>0</v>
      </c>
      <c r="N124" s="301">
        <f>SUM(N125:N143)</f>
        <v>0</v>
      </c>
      <c r="O124" s="301">
        <f>SUM(O125:O143)</f>
        <v>66199333.789999999</v>
      </c>
      <c r="P124" s="301">
        <f>E124+J124</f>
        <v>108633335.78999999</v>
      </c>
      <c r="Q124" s="153"/>
      <c r="R124" s="155"/>
    </row>
    <row r="125" spans="1:18" ht="228.75" x14ac:dyDescent="0.2">
      <c r="A125" s="270" t="s">
        <v>743</v>
      </c>
      <c r="B125" s="270" t="s">
        <v>341</v>
      </c>
      <c r="C125" s="270" t="s">
        <v>339</v>
      </c>
      <c r="D125" s="270" t="s">
        <v>340</v>
      </c>
      <c r="E125" s="111">
        <f>'dod3'!E126-'dod3 - базовий бюджет'!F113</f>
        <v>110700</v>
      </c>
      <c r="F125" s="111">
        <f>'dod3'!F126-'dod3 - базовий бюджет'!G113</f>
        <v>110700</v>
      </c>
      <c r="G125" s="111">
        <f>'dod3'!G126-'dod3 - базовий бюджет'!H113</f>
        <v>0</v>
      </c>
      <c r="H125" s="111">
        <f>'dod3'!H126-'dod3 - базовий бюджет'!I113</f>
        <v>4000</v>
      </c>
      <c r="I125" s="111">
        <f>'dod3'!I126-'dod3 - базовий бюджет'!J113</f>
        <v>0</v>
      </c>
      <c r="J125" s="111">
        <f>'dod3'!J126-'dod3 - базовий бюджет'!K113</f>
        <v>0</v>
      </c>
      <c r="K125" s="111">
        <f>'dod3'!K126-'dod3 - базовий бюджет'!L113</f>
        <v>0</v>
      </c>
      <c r="L125" s="111">
        <f>'dod3'!L126-'dod3 - базовий бюджет'!M113</f>
        <v>0</v>
      </c>
      <c r="M125" s="111">
        <f>'dod3'!M126-'dod3 - базовий бюджет'!N113</f>
        <v>0</v>
      </c>
      <c r="N125" s="111">
        <f>'dod3'!N126-'dod3 - базовий бюджет'!O113</f>
        <v>0</v>
      </c>
      <c r="O125" s="111">
        <f>'dod3'!O126-'dod3 - базовий бюджет'!P113</f>
        <v>0</v>
      </c>
      <c r="P125" s="111">
        <f>'dod3'!P126-'dod3 - базовий бюджет'!Q113</f>
        <v>110700</v>
      </c>
      <c r="Q125" s="153"/>
      <c r="R125" s="155"/>
    </row>
    <row r="126" spans="1:18" ht="91.5" x14ac:dyDescent="0.2">
      <c r="A126" s="270" t="s">
        <v>843</v>
      </c>
      <c r="B126" s="270" t="s">
        <v>71</v>
      </c>
      <c r="C126" s="270" t="s">
        <v>70</v>
      </c>
      <c r="D126" s="270" t="s">
        <v>354</v>
      </c>
      <c r="E126" s="111">
        <f>'dod3'!E127-0</f>
        <v>49300</v>
      </c>
      <c r="F126" s="111">
        <f>'dod3'!F127-0</f>
        <v>49300</v>
      </c>
      <c r="G126" s="111">
        <f>'dod3'!G127-0</f>
        <v>0</v>
      </c>
      <c r="H126" s="111">
        <f>'dod3'!H127-0</f>
        <v>0</v>
      </c>
      <c r="I126" s="111">
        <f>'dod3'!I127-0</f>
        <v>0</v>
      </c>
      <c r="J126" s="111">
        <f>'dod3'!J127-0</f>
        <v>0</v>
      </c>
      <c r="K126" s="111">
        <f>'dod3'!K127-0</f>
        <v>0</v>
      </c>
      <c r="L126" s="111">
        <f>'dod3'!L127-0</f>
        <v>0</v>
      </c>
      <c r="M126" s="111">
        <f>'dod3'!M127-0</f>
        <v>0</v>
      </c>
      <c r="N126" s="111">
        <f>'dod3'!N127-0</f>
        <v>0</v>
      </c>
      <c r="O126" s="111">
        <f>'dod3'!O127-0</f>
        <v>0</v>
      </c>
      <c r="P126" s="111">
        <f>'dod3'!P127-0</f>
        <v>49300</v>
      </c>
      <c r="Q126" s="153"/>
      <c r="R126" s="155"/>
    </row>
    <row r="127" spans="1:18" ht="137.25" x14ac:dyDescent="0.2">
      <c r="A127" s="270" t="s">
        <v>417</v>
      </c>
      <c r="B127" s="270" t="s">
        <v>418</v>
      </c>
      <c r="C127" s="270" t="s">
        <v>542</v>
      </c>
      <c r="D127" s="270" t="s">
        <v>419</v>
      </c>
      <c r="E127" s="111">
        <f>'dod3'!E128-'dod3 - базовий бюджет'!F114</f>
        <v>0</v>
      </c>
      <c r="F127" s="111">
        <f>'dod3'!F128-'dod3 - базовий бюджет'!G114</f>
        <v>0</v>
      </c>
      <c r="G127" s="111">
        <f>'dod3'!G128-'dod3 - базовий бюджет'!H114</f>
        <v>0</v>
      </c>
      <c r="H127" s="111">
        <f>'dod3'!H128-'dod3 - базовий бюджет'!I114</f>
        <v>0</v>
      </c>
      <c r="I127" s="111">
        <f>'dod3'!I128-'dod3 - базовий бюджет'!J114</f>
        <v>0</v>
      </c>
      <c r="J127" s="111">
        <f>'dod3'!J128-'dod3 - базовий бюджет'!K114</f>
        <v>0</v>
      </c>
      <c r="K127" s="111">
        <f>'dod3'!K128-'dod3 - базовий бюджет'!L114</f>
        <v>0</v>
      </c>
      <c r="L127" s="111">
        <f>'dod3'!L128-'dod3 - базовий бюджет'!M114</f>
        <v>0</v>
      </c>
      <c r="M127" s="111">
        <f>'dod3'!M128-'dod3 - базовий бюджет'!N114</f>
        <v>0</v>
      </c>
      <c r="N127" s="111">
        <f>'dod3'!N128-'dod3 - базовий бюджет'!O114</f>
        <v>0</v>
      </c>
      <c r="O127" s="111">
        <f>'dod3'!O128-'dod3 - базовий бюджет'!P114</f>
        <v>0</v>
      </c>
      <c r="P127" s="111">
        <f>'dod3'!P128-'dod3 - базовий бюджет'!Q114</f>
        <v>0</v>
      </c>
    </row>
    <row r="128" spans="1:18" ht="137.25" x14ac:dyDescent="0.2">
      <c r="A128" s="270" t="s">
        <v>641</v>
      </c>
      <c r="B128" s="270" t="s">
        <v>642</v>
      </c>
      <c r="C128" s="270" t="s">
        <v>420</v>
      </c>
      <c r="D128" s="270" t="s">
        <v>643</v>
      </c>
      <c r="E128" s="111">
        <f>'dod3'!E129-'dod3 - базовий бюджет'!F115</f>
        <v>0</v>
      </c>
      <c r="F128" s="111">
        <f>'dod3'!F129-'dod3 - базовий бюджет'!G115</f>
        <v>0</v>
      </c>
      <c r="G128" s="111">
        <f>'dod3'!G129-'dod3 - базовий бюджет'!H115</f>
        <v>0</v>
      </c>
      <c r="H128" s="111">
        <f>'dod3'!H129-'dod3 - базовий бюджет'!I115</f>
        <v>0</v>
      </c>
      <c r="I128" s="111">
        <f>'dod3'!I129-'dod3 - базовий бюджет'!J115</f>
        <v>0</v>
      </c>
      <c r="J128" s="111">
        <f>'dod3'!J129-'dod3 - базовий бюджет'!K115</f>
        <v>0</v>
      </c>
      <c r="K128" s="111">
        <f>'dod3'!K129-'dod3 - базовий бюджет'!L115</f>
        <v>0</v>
      </c>
      <c r="L128" s="111">
        <f>'dod3'!L129-'dod3 - базовий бюджет'!M115</f>
        <v>0</v>
      </c>
      <c r="M128" s="111">
        <f>'dod3'!M129-'dod3 - базовий бюджет'!N115</f>
        <v>0</v>
      </c>
      <c r="N128" s="111">
        <f>'dod3'!N129-'dod3 - базовий бюджет'!O115</f>
        <v>0</v>
      </c>
      <c r="O128" s="111">
        <f>'dod3'!O129-'dod3 - базовий бюджет'!P115</f>
        <v>0</v>
      </c>
      <c r="P128" s="111">
        <f>'dod3'!P129-'dod3 - базовий бюджет'!Q115</f>
        <v>0</v>
      </c>
    </row>
    <row r="129" spans="1:17" ht="137.25" x14ac:dyDescent="0.2">
      <c r="A129" s="270" t="s">
        <v>424</v>
      </c>
      <c r="B129" s="270" t="s">
        <v>425</v>
      </c>
      <c r="C129" s="270" t="s">
        <v>420</v>
      </c>
      <c r="D129" s="270" t="s">
        <v>426</v>
      </c>
      <c r="E129" s="111">
        <f>'dod3'!E130-'dod3 - базовий бюджет'!F116</f>
        <v>10000000</v>
      </c>
      <c r="F129" s="111">
        <f>'dod3'!F130-'dod3 - базовий бюджет'!G116</f>
        <v>10000000</v>
      </c>
      <c r="G129" s="111">
        <f>'dod3'!G130-'dod3 - базовий бюджет'!H116</f>
        <v>0</v>
      </c>
      <c r="H129" s="111">
        <f>'dod3'!H130-'dod3 - базовий бюджет'!I116</f>
        <v>0</v>
      </c>
      <c r="I129" s="111">
        <f>'dod3'!I130-'dod3 - базовий бюджет'!J116</f>
        <v>0</v>
      </c>
      <c r="J129" s="111">
        <f>'dod3'!J130-'dod3 - базовий бюджет'!K116</f>
        <v>0</v>
      </c>
      <c r="K129" s="111">
        <f>'dod3'!K130-'dod3 - базовий бюджет'!L116</f>
        <v>0</v>
      </c>
      <c r="L129" s="111">
        <f>'dod3'!L130-'dod3 - базовий бюджет'!M116</f>
        <v>0</v>
      </c>
      <c r="M129" s="111">
        <f>'dod3'!M130-'dod3 - базовий бюджет'!N116</f>
        <v>0</v>
      </c>
      <c r="N129" s="111">
        <f>'dod3'!N130-'dod3 - базовий бюджет'!O116</f>
        <v>0</v>
      </c>
      <c r="O129" s="111">
        <f>'dod3'!O130-'dod3 - базовий бюджет'!P116</f>
        <v>0</v>
      </c>
      <c r="P129" s="111">
        <f>'dod3'!P130-'dod3 - базовий бюджет'!Q116</f>
        <v>10000000</v>
      </c>
    </row>
    <row r="130" spans="1:17" ht="137.25" x14ac:dyDescent="0.2">
      <c r="A130" s="270" t="s">
        <v>447</v>
      </c>
      <c r="B130" s="270" t="s">
        <v>448</v>
      </c>
      <c r="C130" s="270" t="s">
        <v>420</v>
      </c>
      <c r="D130" s="270" t="s">
        <v>449</v>
      </c>
      <c r="E130" s="111">
        <f>'dod3'!E131-'dod3 - базовий бюджет'!F117</f>
        <v>0</v>
      </c>
      <c r="F130" s="111">
        <f>'dod3'!F131-'dod3 - базовий бюджет'!G117</f>
        <v>0</v>
      </c>
      <c r="G130" s="111">
        <f>'dod3'!G131-'dod3 - базовий бюджет'!H117</f>
        <v>0</v>
      </c>
      <c r="H130" s="111">
        <f>'dod3'!H131-'dod3 - базовий бюджет'!I117</f>
        <v>0</v>
      </c>
      <c r="I130" s="111">
        <f>'dod3'!I131-'dod3 - базовий бюджет'!J117</f>
        <v>0</v>
      </c>
      <c r="J130" s="111">
        <f>'dod3'!J131-'dod3 - базовий бюджет'!K117</f>
        <v>0</v>
      </c>
      <c r="K130" s="111">
        <f>'dod3'!K131-'dod3 - базовий бюджет'!L117</f>
        <v>0</v>
      </c>
      <c r="L130" s="111">
        <f>'dod3'!L131-'dod3 - базовий бюджет'!M117</f>
        <v>0</v>
      </c>
      <c r="M130" s="111">
        <f>'dod3'!M131-'dod3 - базовий бюджет'!N117</f>
        <v>0</v>
      </c>
      <c r="N130" s="111">
        <f>'dod3'!N131-'dod3 - базовий бюджет'!O117</f>
        <v>0</v>
      </c>
      <c r="O130" s="111">
        <f>'dod3'!O131-'dod3 - базовий бюджет'!P117</f>
        <v>0</v>
      </c>
      <c r="P130" s="111">
        <f>'dod3'!P131-'dod3 - базовий бюджет'!Q117</f>
        <v>0</v>
      </c>
    </row>
    <row r="131" spans="1:17" ht="183" x14ac:dyDescent="0.2">
      <c r="A131" s="270" t="s">
        <v>421</v>
      </c>
      <c r="B131" s="270" t="s">
        <v>422</v>
      </c>
      <c r="C131" s="270" t="s">
        <v>420</v>
      </c>
      <c r="D131" s="270" t="s">
        <v>423</v>
      </c>
      <c r="E131" s="111">
        <f>'dod3'!E132-'dod3 - базовий бюджет'!F118</f>
        <v>0</v>
      </c>
      <c r="F131" s="111">
        <f>'dod3'!F132-'dod3 - базовий бюджет'!G118</f>
        <v>0</v>
      </c>
      <c r="G131" s="111">
        <f>'dod3'!G132-'dod3 - базовий бюджет'!H118</f>
        <v>0</v>
      </c>
      <c r="H131" s="111">
        <f>'dod3'!H132-'dod3 - базовий бюджет'!I118</f>
        <v>0</v>
      </c>
      <c r="I131" s="111">
        <f>'dod3'!I132-'dod3 - базовий бюджет'!J118</f>
        <v>0</v>
      </c>
      <c r="J131" s="111">
        <f>'dod3'!J132-'dod3 - базовий бюджет'!K118</f>
        <v>1271028</v>
      </c>
      <c r="K131" s="111">
        <f>'dod3'!K132-'dod3 - базовий бюджет'!L118</f>
        <v>1271028</v>
      </c>
      <c r="L131" s="111">
        <f>'dod3'!L132-'dod3 - базовий бюджет'!M118</f>
        <v>0</v>
      </c>
      <c r="M131" s="111">
        <f>'dod3'!M132-'dod3 - базовий бюджет'!N118</f>
        <v>0</v>
      </c>
      <c r="N131" s="111">
        <f>'dod3'!N132-'dod3 - базовий бюджет'!O118</f>
        <v>0</v>
      </c>
      <c r="O131" s="111">
        <f>'dod3'!O132-'dod3 - базовий бюджет'!P118</f>
        <v>1271028</v>
      </c>
      <c r="P131" s="111">
        <f>'dod3'!P132-'dod3 - базовий бюджет'!Q118</f>
        <v>1271028</v>
      </c>
    </row>
    <row r="132" spans="1:17" ht="228.75" x14ac:dyDescent="0.2">
      <c r="A132" s="270" t="s">
        <v>441</v>
      </c>
      <c r="B132" s="270" t="s">
        <v>442</v>
      </c>
      <c r="C132" s="270" t="s">
        <v>420</v>
      </c>
      <c r="D132" s="270" t="s">
        <v>443</v>
      </c>
      <c r="E132" s="111">
        <f>'dod3'!E133-'dod3 - базовий бюджет'!F119</f>
        <v>100000</v>
      </c>
      <c r="F132" s="111">
        <f>'dod3'!F133-'dod3 - базовий бюджет'!G119</f>
        <v>100000</v>
      </c>
      <c r="G132" s="111">
        <f>'dod3'!G133-'dod3 - базовий бюджет'!H119</f>
        <v>0</v>
      </c>
      <c r="H132" s="111">
        <f>'dod3'!H133-'dod3 - базовий бюджет'!I119</f>
        <v>0</v>
      </c>
      <c r="I132" s="111">
        <f>'dod3'!I133-'dod3 - базовий бюджет'!J119</f>
        <v>0</v>
      </c>
      <c r="J132" s="111">
        <f>'dod3'!J133-'dod3 - базовий бюджет'!K119</f>
        <v>0</v>
      </c>
      <c r="K132" s="111">
        <f>'dod3'!K133-'dod3 - базовий бюджет'!L119</f>
        <v>0</v>
      </c>
      <c r="L132" s="111">
        <f>'dod3'!L133-'dod3 - базовий бюджет'!M119</f>
        <v>0</v>
      </c>
      <c r="M132" s="111">
        <f>'dod3'!M133-'dod3 - базовий бюджет'!N119</f>
        <v>0</v>
      </c>
      <c r="N132" s="111">
        <f>'dod3'!N133-'dod3 - базовий бюджет'!O119</f>
        <v>0</v>
      </c>
      <c r="O132" s="111">
        <f>'dod3'!O133-'dod3 - базовий бюджет'!P119</f>
        <v>0</v>
      </c>
      <c r="P132" s="111">
        <f>'dod3'!P133-'dod3 - базовий бюджет'!Q119</f>
        <v>100000</v>
      </c>
    </row>
    <row r="133" spans="1:17" ht="91.5" x14ac:dyDescent="0.2">
      <c r="A133" s="270" t="s">
        <v>427</v>
      </c>
      <c r="B133" s="270" t="s">
        <v>428</v>
      </c>
      <c r="C133" s="270" t="s">
        <v>420</v>
      </c>
      <c r="D133" s="270" t="s">
        <v>429</v>
      </c>
      <c r="E133" s="111">
        <f>'dod3'!E134-'dod3 - базовий бюджет'!F120</f>
        <v>7516152</v>
      </c>
      <c r="F133" s="111">
        <f>'dod3'!F134-'dod3 - базовий бюджет'!G120</f>
        <v>7516152</v>
      </c>
      <c r="G133" s="111">
        <f>'dod3'!G134-'dod3 - базовий бюджет'!H120</f>
        <v>0</v>
      </c>
      <c r="H133" s="111">
        <f>'dod3'!H134-'dod3 - базовий бюджет'!I120</f>
        <v>5000</v>
      </c>
      <c r="I133" s="111">
        <f>'dod3'!I134-'dod3 - базовий бюджет'!J120</f>
        <v>0</v>
      </c>
      <c r="J133" s="111">
        <f>'dod3'!J134-'dod3 - базовий бюджет'!K120</f>
        <v>3210000</v>
      </c>
      <c r="K133" s="111">
        <f>'dod3'!K134-'dod3 - базовий бюджет'!L120</f>
        <v>3210000</v>
      </c>
      <c r="L133" s="111">
        <f>'dod3'!L134-'dod3 - базовий бюджет'!M120</f>
        <v>0</v>
      </c>
      <c r="M133" s="111">
        <f>'dod3'!M134-'dod3 - базовий бюджет'!N120</f>
        <v>0</v>
      </c>
      <c r="N133" s="111">
        <f>'dod3'!N134-'dod3 - базовий бюджет'!O120</f>
        <v>0</v>
      </c>
      <c r="O133" s="111">
        <f>'dod3'!O134-'dod3 - базовий бюджет'!P120</f>
        <v>3210000</v>
      </c>
      <c r="P133" s="111">
        <f>'dod3'!P134-'dod3 - базовий бюджет'!Q120</f>
        <v>10726152</v>
      </c>
    </row>
    <row r="134" spans="1:17" ht="92.25" x14ac:dyDescent="0.2">
      <c r="A134" s="270" t="s">
        <v>451</v>
      </c>
      <c r="B134" s="270" t="s">
        <v>452</v>
      </c>
      <c r="C134" s="270" t="s">
        <v>450</v>
      </c>
      <c r="D134" s="270" t="s">
        <v>453</v>
      </c>
      <c r="E134" s="111">
        <f>'dod3'!E135-'dod3 - базовий бюджет'!F121</f>
        <v>0</v>
      </c>
      <c r="F134" s="111">
        <f>'dod3'!F135-'dod3 - базовий бюджет'!G121</f>
        <v>0</v>
      </c>
      <c r="G134" s="111">
        <f>'dod3'!G135-'dod3 - базовий бюджет'!H121</f>
        <v>0</v>
      </c>
      <c r="H134" s="111">
        <f>'dod3'!H135-'dod3 - базовий бюджет'!I121</f>
        <v>0</v>
      </c>
      <c r="I134" s="111">
        <f>'dod3'!I135-'dod3 - базовий бюджет'!J121</f>
        <v>0</v>
      </c>
      <c r="J134" s="111">
        <f>'dod3'!J135-'dod3 - базовий бюджет'!K121</f>
        <v>-1271400</v>
      </c>
      <c r="K134" s="111">
        <f>'dod3'!K135-'dod3 - базовий бюджет'!L121</f>
        <v>-1271400</v>
      </c>
      <c r="L134" s="111">
        <f>'dod3'!L135-'dod3 - базовий бюджет'!M121</f>
        <v>0</v>
      </c>
      <c r="M134" s="111">
        <f>'dod3'!M135-'dod3 - базовий бюджет'!N121</f>
        <v>0</v>
      </c>
      <c r="N134" s="111">
        <f>'dod3'!N135-'dod3 - базовий бюджет'!O121</f>
        <v>0</v>
      </c>
      <c r="O134" s="111">
        <f>'dod3'!O135-'dod3 - базовий бюджет'!P121</f>
        <v>-1271400</v>
      </c>
      <c r="P134" s="111">
        <f>'dod3'!P135-'dod3 - базовий бюджет'!Q121</f>
        <v>-1271400</v>
      </c>
    </row>
    <row r="135" spans="1:17" ht="137.25" x14ac:dyDescent="0.2">
      <c r="A135" s="270" t="s">
        <v>870</v>
      </c>
      <c r="B135" s="270" t="s">
        <v>572</v>
      </c>
      <c r="C135" s="270" t="s">
        <v>256</v>
      </c>
      <c r="D135" s="270" t="s">
        <v>398</v>
      </c>
      <c r="E135" s="111">
        <f>'dod3'!E136-0</f>
        <v>0</v>
      </c>
      <c r="F135" s="111">
        <f>'dod3'!F136-0</f>
        <v>0</v>
      </c>
      <c r="G135" s="111">
        <f>'dod3'!G136-0</f>
        <v>0</v>
      </c>
      <c r="H135" s="111">
        <f>'dod3'!H136-0</f>
        <v>0</v>
      </c>
      <c r="I135" s="111">
        <f>'dod3'!I136-0</f>
        <v>0</v>
      </c>
      <c r="J135" s="111">
        <f>'dod3'!J136-0</f>
        <v>30278000</v>
      </c>
      <c r="K135" s="111">
        <f>'dod3'!K136-0</f>
        <v>30278000</v>
      </c>
      <c r="L135" s="111">
        <f>'dod3'!L136-0</f>
        <v>0</v>
      </c>
      <c r="M135" s="111">
        <f>'dod3'!M136-0</f>
        <v>0</v>
      </c>
      <c r="N135" s="111">
        <f>'dod3'!N136-0</f>
        <v>0</v>
      </c>
      <c r="O135" s="111">
        <f>'dod3'!O136-0</f>
        <v>30278000</v>
      </c>
      <c r="P135" s="111">
        <f>'dod3'!P136-0</f>
        <v>30278000</v>
      </c>
    </row>
    <row r="136" spans="1:17" ht="91.5" x14ac:dyDescent="0.2">
      <c r="A136" s="270" t="s">
        <v>722</v>
      </c>
      <c r="B136" s="270" t="s">
        <v>723</v>
      </c>
      <c r="C136" s="270" t="s">
        <v>724</v>
      </c>
      <c r="D136" s="270" t="s">
        <v>725</v>
      </c>
      <c r="E136" s="111">
        <f>'dod3'!E137-'dod3 - базовий бюджет'!F122</f>
        <v>5767000</v>
      </c>
      <c r="F136" s="111">
        <f>'dod3'!F137-'dod3 - базовий бюджет'!G122</f>
        <v>5767000</v>
      </c>
      <c r="G136" s="111">
        <f>'dod3'!G137-'dod3 - базовий бюджет'!H122</f>
        <v>0</v>
      </c>
      <c r="H136" s="111">
        <f>'dod3'!H137-'dod3 - базовий бюджет'!I122</f>
        <v>0</v>
      </c>
      <c r="I136" s="111">
        <f>'dod3'!I137-'dod3 - базовий бюджет'!J122</f>
        <v>0</v>
      </c>
      <c r="J136" s="111">
        <f>'dod3'!J137-'dod3 - базовий бюджет'!K122</f>
        <v>0</v>
      </c>
      <c r="K136" s="111">
        <f>'dod3'!K137-'dod3 - базовий бюджет'!L122</f>
        <v>0</v>
      </c>
      <c r="L136" s="111">
        <f>'dod3'!L137-'dod3 - базовий бюджет'!M122</f>
        <v>0</v>
      </c>
      <c r="M136" s="111">
        <f>'dod3'!M137-'dod3 - базовий бюджет'!N122</f>
        <v>0</v>
      </c>
      <c r="N136" s="111">
        <f>'dod3'!N137-'dod3 - базовий бюджет'!O122</f>
        <v>0</v>
      </c>
      <c r="O136" s="111">
        <f>'dod3'!O137-'dod3 - базовий бюджет'!P122</f>
        <v>0</v>
      </c>
      <c r="P136" s="111">
        <f>'dod3'!P137-'dod3 - базовий бюджет'!Q122</f>
        <v>5767000</v>
      </c>
    </row>
    <row r="137" spans="1:17" ht="91.5" x14ac:dyDescent="0.2">
      <c r="A137" s="270" t="s">
        <v>430</v>
      </c>
      <c r="B137" s="270" t="s">
        <v>431</v>
      </c>
      <c r="C137" s="270" t="s">
        <v>433</v>
      </c>
      <c r="D137" s="270" t="s">
        <v>432</v>
      </c>
      <c r="E137" s="111">
        <f>'dod3'!E138-'dod3 - базовий бюджет'!F123</f>
        <v>9633000</v>
      </c>
      <c r="F137" s="111">
        <f>'dod3'!F138-'dod3 - базовий бюджет'!G123</f>
        <v>9633000</v>
      </c>
      <c r="G137" s="111">
        <f>'dod3'!G138-'dod3 - базовий бюджет'!H123</f>
        <v>0</v>
      </c>
      <c r="H137" s="111">
        <f>'dod3'!H138-'dod3 - базовий бюджет'!I123</f>
        <v>0</v>
      </c>
      <c r="I137" s="111">
        <f>'dod3'!I138-'dod3 - базовий бюджет'!J123</f>
        <v>0</v>
      </c>
      <c r="J137" s="111">
        <f>'dod3'!J138-'dod3 - базовий бюджет'!K123</f>
        <v>0</v>
      </c>
      <c r="K137" s="111">
        <f>'dod3'!K138-'dod3 - базовий бюджет'!L123</f>
        <v>0</v>
      </c>
      <c r="L137" s="111">
        <f>'dod3'!L138-'dod3 - базовий бюджет'!M123</f>
        <v>0</v>
      </c>
      <c r="M137" s="111">
        <f>'dod3'!M138-'dod3 - базовий бюджет'!N123</f>
        <v>0</v>
      </c>
      <c r="N137" s="111">
        <f>'dod3'!N138-'dod3 - базовий бюджет'!O123</f>
        <v>0</v>
      </c>
      <c r="O137" s="111">
        <f>'dod3'!O138-'dod3 - базовий бюджет'!P123</f>
        <v>0</v>
      </c>
      <c r="P137" s="111">
        <f>'dod3'!P138-'dod3 - базовий бюджет'!Q123</f>
        <v>9633000</v>
      </c>
    </row>
    <row r="138" spans="1:17" ht="228.75" x14ac:dyDescent="0.2">
      <c r="A138" s="270" t="s">
        <v>434</v>
      </c>
      <c r="B138" s="270" t="s">
        <v>435</v>
      </c>
      <c r="C138" s="270" t="s">
        <v>437</v>
      </c>
      <c r="D138" s="270" t="s">
        <v>436</v>
      </c>
      <c r="E138" s="111">
        <f>'dod3'!E139-'dod3 - базовий бюджет'!F124</f>
        <v>9257850</v>
      </c>
      <c r="F138" s="111">
        <f>'dod3'!F139-'dod3 - базовий бюджет'!G124</f>
        <v>9257850</v>
      </c>
      <c r="G138" s="111">
        <f>'dod3'!G139-'dod3 - базовий бюджет'!H124</f>
        <v>0</v>
      </c>
      <c r="H138" s="111">
        <f>'dod3'!H139-'dod3 - базовий бюджет'!I124</f>
        <v>0</v>
      </c>
      <c r="I138" s="111">
        <f>'dod3'!I139-'dod3 - базовий бюджет'!J124</f>
        <v>0</v>
      </c>
      <c r="J138" s="111">
        <f>'dod3'!J139-'dod3 - базовий бюджет'!K124</f>
        <v>1255061.1099999994</v>
      </c>
      <c r="K138" s="111">
        <f>'dod3'!K139-'dod3 - базовий бюджет'!L124</f>
        <v>1223817.6299999952</v>
      </c>
      <c r="L138" s="111">
        <f>'dod3'!L139-'dod3 - базовий бюджет'!M124</f>
        <v>0</v>
      </c>
      <c r="M138" s="111">
        <f>'dod3'!M139-'dod3 - базовий бюджет'!N124</f>
        <v>0</v>
      </c>
      <c r="N138" s="111">
        <f>'dod3'!N139-'dod3 - базовий бюджет'!O124</f>
        <v>0</v>
      </c>
      <c r="O138" s="111">
        <f>'dod3'!O139-'dod3 - базовий бюджет'!P124</f>
        <v>1255061.1099999994</v>
      </c>
      <c r="P138" s="111">
        <f>'dod3'!P139-'dod3 - базовий бюджет'!Q124</f>
        <v>10512911.110000014</v>
      </c>
    </row>
    <row r="139" spans="1:17" ht="46.5" x14ac:dyDescent="0.2">
      <c r="A139" s="270" t="s">
        <v>438</v>
      </c>
      <c r="B139" s="270" t="s">
        <v>317</v>
      </c>
      <c r="C139" s="270" t="s">
        <v>318</v>
      </c>
      <c r="D139" s="270" t="s">
        <v>67</v>
      </c>
      <c r="E139" s="111">
        <f>'dod3'!E140-'dod3 - базовий бюджет'!F125</f>
        <v>0</v>
      </c>
      <c r="F139" s="111">
        <f>'dod3'!F140-'dod3 - базовий бюджет'!G125</f>
        <v>0</v>
      </c>
      <c r="G139" s="111">
        <f>'dod3'!G140-'dod3 - базовий бюджет'!H125</f>
        <v>0</v>
      </c>
      <c r="H139" s="111">
        <f>'dod3'!H140-'dod3 - базовий бюджет'!I125</f>
        <v>0</v>
      </c>
      <c r="I139" s="111">
        <f>'dod3'!I140-'dod3 - базовий бюджет'!J125</f>
        <v>0</v>
      </c>
      <c r="J139" s="111">
        <f>'dod3'!J140-'dod3 - базовий бюджет'!K125</f>
        <v>0</v>
      </c>
      <c r="K139" s="111">
        <f>'dod3'!K140-'dod3 - базовий бюджет'!L125</f>
        <v>0</v>
      </c>
      <c r="L139" s="111">
        <f>'dod3'!L140-'dod3 - базовий бюджет'!M125</f>
        <v>0</v>
      </c>
      <c r="M139" s="111">
        <f>'dod3'!M140-'dod3 - базовий бюджет'!N125</f>
        <v>0</v>
      </c>
      <c r="N139" s="111">
        <f>'dod3'!N140-'dod3 - базовий бюджет'!O125</f>
        <v>0</v>
      </c>
      <c r="O139" s="111">
        <f>'dod3'!O140-'dod3 - базовий бюджет'!P125</f>
        <v>0</v>
      </c>
      <c r="P139" s="111">
        <f>'dod3'!P140-'dod3 - базовий бюджет'!Q125</f>
        <v>0</v>
      </c>
    </row>
    <row r="140" spans="1:17" ht="91.5" x14ac:dyDescent="0.65">
      <c r="A140" s="270" t="s">
        <v>455</v>
      </c>
      <c r="B140" s="270" t="s">
        <v>293</v>
      </c>
      <c r="C140" s="270" t="s">
        <v>256</v>
      </c>
      <c r="D140" s="270" t="s">
        <v>57</v>
      </c>
      <c r="E140" s="111">
        <f>'dod3'!E141-'dod3 - базовий бюджет'!F126</f>
        <v>0</v>
      </c>
      <c r="F140" s="111">
        <f>'dod3'!F141-'dod3 - базовий бюджет'!G126</f>
        <v>0</v>
      </c>
      <c r="G140" s="111">
        <f>'dod3'!G141-'dod3 - базовий бюджет'!H126</f>
        <v>0</v>
      </c>
      <c r="H140" s="111">
        <f>'dod3'!H141-'dod3 - базовий бюджет'!I126</f>
        <v>0</v>
      </c>
      <c r="I140" s="111">
        <f>'dod3'!I141-'dod3 - базовий бюджет'!J126</f>
        <v>0</v>
      </c>
      <c r="J140" s="111">
        <f>'dod3'!J141-'dod3 - базовий бюджет'!K126</f>
        <v>31403507.68</v>
      </c>
      <c r="K140" s="111">
        <f>'dod3'!K141-'dod3 - базовий бюджет'!L126</f>
        <v>31403507.68</v>
      </c>
      <c r="L140" s="111">
        <f>'dod3'!L141-'dod3 - базовий бюджет'!M126</f>
        <v>0</v>
      </c>
      <c r="M140" s="111">
        <f>'dod3'!M141-'dod3 - базовий бюджет'!N126</f>
        <v>0</v>
      </c>
      <c r="N140" s="111">
        <f>'dod3'!N141-'dod3 - базовий бюджет'!O126</f>
        <v>0</v>
      </c>
      <c r="O140" s="111">
        <f>'dod3'!O141-'dod3 - базовий бюджет'!P126</f>
        <v>31403507.68</v>
      </c>
      <c r="P140" s="111">
        <f>'dod3'!P141-'dod3 - базовий бюджет'!Q126</f>
        <v>31403507.68</v>
      </c>
      <c r="Q140" s="165"/>
    </row>
    <row r="141" spans="1:17" ht="409.5" x14ac:dyDescent="0.2">
      <c r="A141" s="422" t="s">
        <v>750</v>
      </c>
      <c r="B141" s="422" t="s">
        <v>538</v>
      </c>
      <c r="C141" s="422" t="s">
        <v>256</v>
      </c>
      <c r="D141" s="231" t="s">
        <v>549</v>
      </c>
      <c r="E141" s="483">
        <f>'dod3'!E142-'dod3 - базовий бюджет'!F127</f>
        <v>0</v>
      </c>
      <c r="F141" s="483">
        <f>'dod3'!F142-'dod3 - базовий бюджет'!G127</f>
        <v>0</v>
      </c>
      <c r="G141" s="483">
        <f>'dod3'!G142-'dod3 - базовий бюджет'!H127</f>
        <v>0</v>
      </c>
      <c r="H141" s="483">
        <f>'dod3'!H142-'dod3 - базовий бюджет'!I127</f>
        <v>0</v>
      </c>
      <c r="I141" s="483">
        <f>'dod3'!I142-'dod3 - базовий бюджет'!J127</f>
        <v>0</v>
      </c>
      <c r="J141" s="483">
        <f>'dod3'!J142-'dod3 - базовий бюджет'!K127</f>
        <v>53137</v>
      </c>
      <c r="K141" s="483">
        <f>'dod3'!K142-'dod3 - базовий бюджет'!L127</f>
        <v>0</v>
      </c>
      <c r="L141" s="483">
        <f>'dod3'!L142-'dod3 - базовий бюджет'!M127</f>
        <v>0</v>
      </c>
      <c r="M141" s="483">
        <f>'dod3'!M142-'dod3 - базовий бюджет'!N127</f>
        <v>0</v>
      </c>
      <c r="N141" s="483">
        <f>'dod3'!N142-'dod3 - базовий бюджет'!O127</f>
        <v>0</v>
      </c>
      <c r="O141" s="483">
        <f>'dod3'!O142-'dod3 - базовий бюджет'!P127</f>
        <v>53137</v>
      </c>
      <c r="P141" s="483">
        <f>'dod3'!P142-'dod3 - базовий бюджет'!Q127</f>
        <v>53137</v>
      </c>
      <c r="Q141" s="255"/>
    </row>
    <row r="142" spans="1:17" ht="137.25" x14ac:dyDescent="0.65">
      <c r="A142" s="428"/>
      <c r="B142" s="428"/>
      <c r="C142" s="428"/>
      <c r="D142" s="235" t="s">
        <v>550</v>
      </c>
      <c r="E142" s="403"/>
      <c r="F142" s="403"/>
      <c r="G142" s="403"/>
      <c r="H142" s="403"/>
      <c r="I142" s="403"/>
      <c r="J142" s="403"/>
      <c r="K142" s="403"/>
      <c r="L142" s="403"/>
      <c r="M142" s="403"/>
      <c r="N142" s="403"/>
      <c r="O142" s="403"/>
      <c r="P142" s="403"/>
      <c r="Q142" s="165"/>
    </row>
    <row r="143" spans="1:17" ht="91.5" x14ac:dyDescent="0.2">
      <c r="A143" s="270" t="s">
        <v>385</v>
      </c>
      <c r="B143" s="270" t="s">
        <v>386</v>
      </c>
      <c r="C143" s="270" t="s">
        <v>387</v>
      </c>
      <c r="D143" s="270" t="s">
        <v>384</v>
      </c>
      <c r="E143" s="111">
        <f>'dod3'!E144-'dod3 - базовий бюджет'!F129</f>
        <v>0</v>
      </c>
      <c r="F143" s="111">
        <f>'dod3'!F144-'dod3 - базовий бюджет'!G129</f>
        <v>0</v>
      </c>
      <c r="G143" s="111">
        <f>'dod3'!G144-'dod3 - базовий бюджет'!H129</f>
        <v>143550</v>
      </c>
      <c r="H143" s="111">
        <f>'dod3'!H144-'dod3 - базовий бюджет'!I129</f>
        <v>1100</v>
      </c>
      <c r="I143" s="111">
        <f>'dod3'!I144-'dod3 - базовий бюджет'!J129</f>
        <v>0</v>
      </c>
      <c r="J143" s="111">
        <f>'dod3'!J144-'dod3 - базовий бюджет'!K129</f>
        <v>0</v>
      </c>
      <c r="K143" s="111">
        <f>'dod3'!K144-'dod3 - базовий бюджет'!L129</f>
        <v>0</v>
      </c>
      <c r="L143" s="111">
        <f>'dod3'!L144-'dod3 - базовий бюджет'!M129</f>
        <v>0</v>
      </c>
      <c r="M143" s="111">
        <f>'dod3'!M144-'dod3 - базовий бюджет'!N129</f>
        <v>0</v>
      </c>
      <c r="N143" s="111">
        <f>'dod3'!N144-'dod3 - базовий бюджет'!O129</f>
        <v>0</v>
      </c>
      <c r="O143" s="111">
        <f>'dod3'!O144-'dod3 - базовий бюджет'!P129</f>
        <v>0</v>
      </c>
      <c r="P143" s="111">
        <f>'dod3'!P144-'dod3 - базовий бюджет'!Q129</f>
        <v>0</v>
      </c>
    </row>
    <row r="144" spans="1:17" ht="315" x14ac:dyDescent="0.2">
      <c r="A144" s="296" t="s">
        <v>44</v>
      </c>
      <c r="B144" s="296"/>
      <c r="C144" s="296"/>
      <c r="D144" s="296" t="s">
        <v>635</v>
      </c>
      <c r="E144" s="298">
        <f>E145</f>
        <v>321000</v>
      </c>
      <c r="F144" s="298">
        <f t="shared" ref="F144:G144" si="32">F145</f>
        <v>321000</v>
      </c>
      <c r="G144" s="298">
        <f t="shared" si="32"/>
        <v>0</v>
      </c>
      <c r="H144" s="298">
        <f>H145</f>
        <v>0</v>
      </c>
      <c r="I144" s="298">
        <f t="shared" ref="I144" si="33">I145</f>
        <v>0</v>
      </c>
      <c r="J144" s="298">
        <f>J145</f>
        <v>19776600</v>
      </c>
      <c r="K144" s="298">
        <f>K145</f>
        <v>19776600</v>
      </c>
      <c r="L144" s="298">
        <f>L145</f>
        <v>0</v>
      </c>
      <c r="M144" s="298">
        <f t="shared" ref="M144" si="34">M145</f>
        <v>0</v>
      </c>
      <c r="N144" s="298">
        <f>N145</f>
        <v>0</v>
      </c>
      <c r="O144" s="298">
        <f>O145</f>
        <v>19776600</v>
      </c>
      <c r="P144" s="302">
        <f t="shared" ref="P144" si="35">P145</f>
        <v>20097600</v>
      </c>
    </row>
    <row r="145" spans="1:18" ht="270" x14ac:dyDescent="0.2">
      <c r="A145" s="299" t="s">
        <v>45</v>
      </c>
      <c r="B145" s="299"/>
      <c r="C145" s="299"/>
      <c r="D145" s="299" t="s">
        <v>634</v>
      </c>
      <c r="E145" s="301">
        <f>SUM(E146:E152)</f>
        <v>321000</v>
      </c>
      <c r="F145" s="301">
        <f t="shared" ref="F145:O145" si="36">SUM(F146:F152)</f>
        <v>321000</v>
      </c>
      <c r="G145" s="301">
        <f t="shared" si="36"/>
        <v>0</v>
      </c>
      <c r="H145" s="301">
        <f t="shared" si="36"/>
        <v>0</v>
      </c>
      <c r="I145" s="301">
        <f t="shared" si="36"/>
        <v>0</v>
      </c>
      <c r="J145" s="301">
        <f>L145+O145</f>
        <v>19776600</v>
      </c>
      <c r="K145" s="301">
        <f t="shared" si="36"/>
        <v>19776600</v>
      </c>
      <c r="L145" s="301">
        <f t="shared" si="36"/>
        <v>0</v>
      </c>
      <c r="M145" s="301">
        <f t="shared" si="36"/>
        <v>0</v>
      </c>
      <c r="N145" s="301">
        <f t="shared" si="36"/>
        <v>0</v>
      </c>
      <c r="O145" s="301">
        <f t="shared" si="36"/>
        <v>19776600</v>
      </c>
      <c r="P145" s="301">
        <f>E145+J145</f>
        <v>20097600</v>
      </c>
      <c r="Q145" s="153"/>
      <c r="R145" s="155"/>
    </row>
    <row r="146" spans="1:18" ht="228.75" x14ac:dyDescent="0.2">
      <c r="A146" s="270" t="s">
        <v>739</v>
      </c>
      <c r="B146" s="270" t="s">
        <v>341</v>
      </c>
      <c r="C146" s="270" t="s">
        <v>339</v>
      </c>
      <c r="D146" s="270" t="s">
        <v>340</v>
      </c>
      <c r="E146" s="225">
        <f>'dod3'!E147-'dod3 - базовий бюджет'!F132</f>
        <v>-234700</v>
      </c>
      <c r="F146" s="225">
        <f>'dod3'!F147-'dod3 - базовий бюджет'!G132</f>
        <v>-234700</v>
      </c>
      <c r="G146" s="225">
        <f>'dod3'!G147-'dod3 - базовий бюджет'!H132</f>
        <v>0</v>
      </c>
      <c r="H146" s="225">
        <f>'dod3'!H147-'dod3 - базовий бюджет'!I132</f>
        <v>0</v>
      </c>
      <c r="I146" s="225">
        <f>'dod3'!I147-'dod3 - базовий бюджет'!J132</f>
        <v>0</v>
      </c>
      <c r="J146" s="225">
        <f>'dod3'!J147-'dod3 - базовий бюджет'!K132</f>
        <v>10400</v>
      </c>
      <c r="K146" s="225">
        <f>'dod3'!K147-'dod3 - базовий бюджет'!L132</f>
        <v>10400</v>
      </c>
      <c r="L146" s="225">
        <f>'dod3'!L147-'dod3 - базовий бюджет'!M132</f>
        <v>0</v>
      </c>
      <c r="M146" s="225">
        <f>'dod3'!M147-'dod3 - базовий бюджет'!N132</f>
        <v>0</v>
      </c>
      <c r="N146" s="225">
        <f>'dod3'!N147-'dod3 - базовий бюджет'!O132</f>
        <v>0</v>
      </c>
      <c r="O146" s="225">
        <f>'dod3'!O147-'dod3 - базовий бюджет'!P132</f>
        <v>10400</v>
      </c>
      <c r="P146" s="225">
        <f>'dod3'!P147-'dod3 - базовий бюджет'!Q132</f>
        <v>-224300</v>
      </c>
      <c r="Q146" s="153"/>
      <c r="R146" s="155"/>
    </row>
    <row r="147" spans="1:18" ht="91.5" x14ac:dyDescent="0.2">
      <c r="A147" s="270" t="s">
        <v>840</v>
      </c>
      <c r="B147" s="270" t="s">
        <v>71</v>
      </c>
      <c r="C147" s="270" t="s">
        <v>70</v>
      </c>
      <c r="D147" s="270" t="s">
        <v>354</v>
      </c>
      <c r="E147" s="225">
        <f>'dod3'!E148-0</f>
        <v>555700</v>
      </c>
      <c r="F147" s="225">
        <f>'dod3'!F148-0</f>
        <v>555700</v>
      </c>
      <c r="G147" s="225">
        <f>'dod3'!G148-0</f>
        <v>0</v>
      </c>
      <c r="H147" s="225">
        <f>'dod3'!H148-0</f>
        <v>0</v>
      </c>
      <c r="I147" s="225">
        <f>'dod3'!I148-0</f>
        <v>0</v>
      </c>
      <c r="J147" s="225">
        <f>'dod3'!J148-0</f>
        <v>0</v>
      </c>
      <c r="K147" s="225">
        <f>'dod3'!K148-0</f>
        <v>0</v>
      </c>
      <c r="L147" s="225">
        <f>'dod3'!L148-0</f>
        <v>0</v>
      </c>
      <c r="M147" s="225">
        <f>'dod3'!M148-0</f>
        <v>0</v>
      </c>
      <c r="N147" s="225">
        <f>'dod3'!N148-0</f>
        <v>0</v>
      </c>
      <c r="O147" s="225">
        <f>'dod3'!O148-0</f>
        <v>0</v>
      </c>
      <c r="P147" s="225">
        <f>'dod3'!P148-0</f>
        <v>555700</v>
      </c>
      <c r="Q147" s="153"/>
      <c r="R147" s="155"/>
    </row>
    <row r="148" spans="1:18" ht="320.25" x14ac:dyDescent="0.2">
      <c r="A148" s="270" t="s">
        <v>846</v>
      </c>
      <c r="B148" s="270" t="s">
        <v>848</v>
      </c>
      <c r="C148" s="270" t="s">
        <v>291</v>
      </c>
      <c r="D148" s="270" t="s">
        <v>847</v>
      </c>
      <c r="E148" s="225">
        <f>'dod3'!E149-0</f>
        <v>0</v>
      </c>
      <c r="F148" s="225">
        <f>'dod3'!F149-0</f>
        <v>0</v>
      </c>
      <c r="G148" s="225">
        <f>'dod3'!G149-0</f>
        <v>0</v>
      </c>
      <c r="H148" s="225">
        <f>'dod3'!H149-0</f>
        <v>0</v>
      </c>
      <c r="I148" s="225">
        <f>'dod3'!I149-0</f>
        <v>0</v>
      </c>
      <c r="J148" s="225">
        <f>'dod3'!J149-0</f>
        <v>8500000</v>
      </c>
      <c r="K148" s="225">
        <f>'dod3'!K149-0</f>
        <v>8500000</v>
      </c>
      <c r="L148" s="225">
        <f>'dod3'!L149-0</f>
        <v>0</v>
      </c>
      <c r="M148" s="225">
        <f>'dod3'!M149-0</f>
        <v>0</v>
      </c>
      <c r="N148" s="225">
        <f>'dod3'!N149-0</f>
        <v>0</v>
      </c>
      <c r="O148" s="225">
        <f>'dod3'!O149-0</f>
        <v>8500000</v>
      </c>
      <c r="P148" s="225">
        <f>'dod3'!P149-0</f>
        <v>8500000</v>
      </c>
      <c r="Q148" s="153"/>
      <c r="R148" s="155"/>
    </row>
    <row r="149" spans="1:18" ht="91.5" x14ac:dyDescent="0.2">
      <c r="A149" s="270" t="s">
        <v>469</v>
      </c>
      <c r="B149" s="270" t="s">
        <v>470</v>
      </c>
      <c r="C149" s="270" t="s">
        <v>450</v>
      </c>
      <c r="D149" s="270" t="s">
        <v>468</v>
      </c>
      <c r="E149" s="225">
        <f>'dod3'!E150-'dod3 - базовий бюджет'!F133</f>
        <v>0</v>
      </c>
      <c r="F149" s="225">
        <f>'dod3'!F150-'dod3 - базовий бюджет'!G133</f>
        <v>0</v>
      </c>
      <c r="G149" s="225">
        <f>'dod3'!G150-'dod3 - базовий бюджет'!H133</f>
        <v>0</v>
      </c>
      <c r="H149" s="225">
        <f>'dod3'!H150-'dod3 - базовий бюджет'!I133</f>
        <v>0</v>
      </c>
      <c r="I149" s="225">
        <f>'dod3'!I150-'dod3 - базовий бюджет'!J133</f>
        <v>0</v>
      </c>
      <c r="J149" s="225">
        <f>'dod3'!J150-'dod3 - базовий бюджет'!K133</f>
        <v>-13300000</v>
      </c>
      <c r="K149" s="225">
        <f>'dod3'!K150-'dod3 - базовий бюджет'!L133</f>
        <v>-13300000</v>
      </c>
      <c r="L149" s="225">
        <f>'dod3'!L150-'dod3 - базовий бюджет'!M133</f>
        <v>0</v>
      </c>
      <c r="M149" s="225">
        <f>'dod3'!M150-'dod3 - базовий бюджет'!N133</f>
        <v>0</v>
      </c>
      <c r="N149" s="225">
        <f>'dod3'!N150-'dod3 - базовий бюджет'!O133</f>
        <v>0</v>
      </c>
      <c r="O149" s="225">
        <f>'dod3'!O150-'dod3 - базовий бюджет'!P133</f>
        <v>-13300000</v>
      </c>
      <c r="P149" s="225">
        <f>'dod3'!P150-'dod3 - базовий бюджет'!Q133</f>
        <v>-13300000</v>
      </c>
    </row>
    <row r="150" spans="1:18" ht="137.25" x14ac:dyDescent="0.2">
      <c r="A150" s="270" t="s">
        <v>471</v>
      </c>
      <c r="B150" s="270" t="s">
        <v>472</v>
      </c>
      <c r="C150" s="270" t="s">
        <v>450</v>
      </c>
      <c r="D150" s="270" t="s">
        <v>473</v>
      </c>
      <c r="E150" s="225">
        <f>'dod3'!E151-'dod3 - базовий бюджет'!F134</f>
        <v>0</v>
      </c>
      <c r="F150" s="225">
        <f>'dod3'!F151-'dod3 - базовий бюджет'!G134</f>
        <v>0</v>
      </c>
      <c r="G150" s="225">
        <f>'dod3'!G151-'dod3 - базовий бюджет'!H134</f>
        <v>0</v>
      </c>
      <c r="H150" s="225">
        <f>'dod3'!H151-'dod3 - базовий бюджет'!I134</f>
        <v>0</v>
      </c>
      <c r="I150" s="225">
        <f>'dod3'!I151-'dod3 - базовий бюджет'!J134</f>
        <v>0</v>
      </c>
      <c r="J150" s="225">
        <f>'dod3'!J151-'dod3 - базовий бюджет'!K134</f>
        <v>-3100000</v>
      </c>
      <c r="K150" s="225">
        <f>'dod3'!K151-'dod3 - базовий бюджет'!L134</f>
        <v>-3100000</v>
      </c>
      <c r="L150" s="225">
        <f>'dod3'!L151-'dod3 - базовий бюджет'!M134</f>
        <v>0</v>
      </c>
      <c r="M150" s="225">
        <f>'dod3'!M151-'dod3 - базовий бюджет'!N134</f>
        <v>0</v>
      </c>
      <c r="N150" s="225">
        <f>'dod3'!N151-'dod3 - базовий бюджет'!O134</f>
        <v>0</v>
      </c>
      <c r="O150" s="225">
        <f>'dod3'!O151-'dod3 - базовий бюджет'!P134</f>
        <v>-3100000</v>
      </c>
      <c r="P150" s="225">
        <f>'dod3'!P151-'dod3 - базовий бюджет'!Q134</f>
        <v>-3100000</v>
      </c>
    </row>
    <row r="151" spans="1:18" ht="91.5" x14ac:dyDescent="0.2">
      <c r="A151" s="270" t="s">
        <v>475</v>
      </c>
      <c r="B151" s="270" t="s">
        <v>476</v>
      </c>
      <c r="C151" s="270" t="s">
        <v>450</v>
      </c>
      <c r="D151" s="270" t="s">
        <v>853</v>
      </c>
      <c r="E151" s="225">
        <f>'dod3'!E152-'dod3 - базовий бюджет'!F135</f>
        <v>0</v>
      </c>
      <c r="F151" s="225">
        <f>'dod3'!F152-'dod3 - базовий бюджет'!G135</f>
        <v>0</v>
      </c>
      <c r="G151" s="225">
        <f>'dod3'!G152-'dod3 - базовий бюджет'!H135</f>
        <v>0</v>
      </c>
      <c r="H151" s="225">
        <f>'dod3'!H152-'dod3 - базовий бюджет'!I135</f>
        <v>0</v>
      </c>
      <c r="I151" s="225">
        <f>'dod3'!I152-'dod3 - базовий бюджет'!J135</f>
        <v>0</v>
      </c>
      <c r="J151" s="225">
        <f>'dod3'!J152-'dod3 - базовий бюджет'!K135</f>
        <v>1666200</v>
      </c>
      <c r="K151" s="225">
        <f>'dod3'!K152-'dod3 - базовий бюджет'!L135</f>
        <v>1666200</v>
      </c>
      <c r="L151" s="225">
        <f>'dod3'!L152-'dod3 - базовий бюджет'!M135</f>
        <v>0</v>
      </c>
      <c r="M151" s="225">
        <f>'dod3'!M152-'dod3 - базовий бюджет'!N135</f>
        <v>0</v>
      </c>
      <c r="N151" s="225">
        <f>'dod3'!N152-'dod3 - базовий бюджет'!O135</f>
        <v>0</v>
      </c>
      <c r="O151" s="225">
        <f>'dod3'!O152-'dod3 - базовий бюджет'!P135</f>
        <v>1666200</v>
      </c>
      <c r="P151" s="225">
        <f>'dod3'!P152-'dod3 - базовий бюджет'!Q135</f>
        <v>1666200</v>
      </c>
    </row>
    <row r="152" spans="1:18" ht="137.25" x14ac:dyDescent="0.2">
      <c r="A152" s="270" t="s">
        <v>845</v>
      </c>
      <c r="B152" s="270" t="s">
        <v>572</v>
      </c>
      <c r="C152" s="270" t="s">
        <v>256</v>
      </c>
      <c r="D152" s="270" t="s">
        <v>398</v>
      </c>
      <c r="E152" s="225">
        <f>'dod3'!E153-0</f>
        <v>0</v>
      </c>
      <c r="F152" s="225">
        <f>'dod3'!F153-0</f>
        <v>0</v>
      </c>
      <c r="G152" s="225">
        <f>'dod3'!G153-0</f>
        <v>0</v>
      </c>
      <c r="H152" s="225">
        <f>'dod3'!H153-0</f>
        <v>0</v>
      </c>
      <c r="I152" s="225">
        <f>'dod3'!I153-0</f>
        <v>0</v>
      </c>
      <c r="J152" s="225">
        <f>'dod3'!J153-0</f>
        <v>26000000</v>
      </c>
      <c r="K152" s="225">
        <f>'dod3'!K153-0</f>
        <v>26000000</v>
      </c>
      <c r="L152" s="225">
        <f>'dod3'!L153-0</f>
        <v>0</v>
      </c>
      <c r="M152" s="225">
        <f>'dod3'!M153-0</f>
        <v>0</v>
      </c>
      <c r="N152" s="225">
        <f>'dod3'!N153-0</f>
        <v>0</v>
      </c>
      <c r="O152" s="225">
        <f>'dod3'!O153-0</f>
        <v>26000000</v>
      </c>
      <c r="P152" s="225">
        <f>'dod3'!P153-0</f>
        <v>26000000</v>
      </c>
    </row>
    <row r="153" spans="1:18" ht="270" x14ac:dyDescent="0.2">
      <c r="A153" s="296" t="s">
        <v>246</v>
      </c>
      <c r="B153" s="296"/>
      <c r="C153" s="296"/>
      <c r="D153" s="296" t="s">
        <v>46</v>
      </c>
      <c r="E153" s="298">
        <f>E154</f>
        <v>55000</v>
      </c>
      <c r="F153" s="298">
        <f t="shared" ref="F153:G153" si="37">F154</f>
        <v>55000</v>
      </c>
      <c r="G153" s="298">
        <f t="shared" si="37"/>
        <v>0</v>
      </c>
      <c r="H153" s="298">
        <f>H154</f>
        <v>0</v>
      </c>
      <c r="I153" s="298">
        <f t="shared" ref="I153" si="38">I154</f>
        <v>0</v>
      </c>
      <c r="J153" s="298">
        <f>J154</f>
        <v>-1500000</v>
      </c>
      <c r="K153" s="298">
        <f>K154</f>
        <v>-1500000</v>
      </c>
      <c r="L153" s="298">
        <f>L154</f>
        <v>0</v>
      </c>
      <c r="M153" s="298">
        <f t="shared" ref="M153" si="39">M154</f>
        <v>0</v>
      </c>
      <c r="N153" s="298">
        <f>N154</f>
        <v>0</v>
      </c>
      <c r="O153" s="298">
        <f>O154</f>
        <v>-1500000</v>
      </c>
      <c r="P153" s="302">
        <f t="shared" ref="P153" si="40">P154</f>
        <v>-1445000</v>
      </c>
    </row>
    <row r="154" spans="1:18" ht="270" x14ac:dyDescent="0.2">
      <c r="A154" s="299" t="s">
        <v>247</v>
      </c>
      <c r="B154" s="299"/>
      <c r="C154" s="299"/>
      <c r="D154" s="299" t="s">
        <v>64</v>
      </c>
      <c r="E154" s="301">
        <f>SUM(E155:E156)</f>
        <v>55000</v>
      </c>
      <c r="F154" s="301">
        <f t="shared" ref="F154:O154" si="41">SUM(F155:F156)</f>
        <v>55000</v>
      </c>
      <c r="G154" s="301">
        <f t="shared" si="41"/>
        <v>0</v>
      </c>
      <c r="H154" s="301">
        <f t="shared" si="41"/>
        <v>0</v>
      </c>
      <c r="I154" s="301">
        <f t="shared" si="41"/>
        <v>0</v>
      </c>
      <c r="J154" s="301">
        <f>L154+O154</f>
        <v>-1500000</v>
      </c>
      <c r="K154" s="301">
        <f t="shared" si="41"/>
        <v>-1500000</v>
      </c>
      <c r="L154" s="301">
        <f t="shared" si="41"/>
        <v>0</v>
      </c>
      <c r="M154" s="301">
        <f t="shared" si="41"/>
        <v>0</v>
      </c>
      <c r="N154" s="301">
        <f t="shared" si="41"/>
        <v>0</v>
      </c>
      <c r="O154" s="301">
        <f t="shared" si="41"/>
        <v>-1500000</v>
      </c>
      <c r="P154" s="301">
        <f>E154+J154</f>
        <v>-1445000</v>
      </c>
      <c r="Q154" s="153"/>
      <c r="R154" s="155"/>
    </row>
    <row r="155" spans="1:18" ht="228.75" x14ac:dyDescent="0.2">
      <c r="A155" s="270" t="s">
        <v>741</v>
      </c>
      <c r="B155" s="270" t="s">
        <v>341</v>
      </c>
      <c r="C155" s="270" t="s">
        <v>339</v>
      </c>
      <c r="D155" s="270" t="s">
        <v>340</v>
      </c>
      <c r="E155" s="225">
        <f>'dod3'!E156-'dod3 - базовий бюджет'!F138</f>
        <v>55000</v>
      </c>
      <c r="F155" s="225">
        <f>'dod3'!F156-'dod3 - базовий бюджет'!G138</f>
        <v>55000</v>
      </c>
      <c r="G155" s="225">
        <f>'dod3'!G156-'dod3 - базовий бюджет'!H138</f>
        <v>0</v>
      </c>
      <c r="H155" s="225">
        <f>'dod3'!H156-'dod3 - базовий бюджет'!I138</f>
        <v>0</v>
      </c>
      <c r="I155" s="225">
        <f>'dod3'!I156-'dod3 - базовий бюджет'!J138</f>
        <v>0</v>
      </c>
      <c r="J155" s="225">
        <f>'dod3'!J156-'dod3 - базовий бюджет'!K138</f>
        <v>0</v>
      </c>
      <c r="K155" s="225">
        <f>'dod3'!K156-'dod3 - базовий бюджет'!L138</f>
        <v>0</v>
      </c>
      <c r="L155" s="225">
        <f>'dod3'!L156-'dod3 - базовий бюджет'!M138</f>
        <v>0</v>
      </c>
      <c r="M155" s="225">
        <f>'dod3'!M156-'dod3 - базовий бюджет'!N138</f>
        <v>0</v>
      </c>
      <c r="N155" s="225">
        <f>'dod3'!N156-'dod3 - базовий бюджет'!O138</f>
        <v>0</v>
      </c>
      <c r="O155" s="225">
        <f>'dod3'!O156-'dod3 - базовий бюджет'!P138</f>
        <v>0</v>
      </c>
      <c r="P155" s="225">
        <f>'dod3'!P156-'dod3 - базовий бюджет'!Q138</f>
        <v>55000</v>
      </c>
      <c r="Q155" s="153"/>
      <c r="R155" s="155"/>
    </row>
    <row r="156" spans="1:18" ht="137.25" x14ac:dyDescent="0.2">
      <c r="A156" s="270" t="s">
        <v>460</v>
      </c>
      <c r="B156" s="270" t="s">
        <v>461</v>
      </c>
      <c r="C156" s="270" t="s">
        <v>450</v>
      </c>
      <c r="D156" s="270" t="s">
        <v>462</v>
      </c>
      <c r="E156" s="225">
        <f>'dod3'!E157-'dod3 - базовий бюджет'!F139</f>
        <v>0</v>
      </c>
      <c r="F156" s="225">
        <f>'dod3'!F157-'dod3 - базовий бюджет'!G139</f>
        <v>0</v>
      </c>
      <c r="G156" s="225">
        <f>'dod3'!G157-'dod3 - базовий бюджет'!H139</f>
        <v>0</v>
      </c>
      <c r="H156" s="225">
        <f>'dod3'!H157-'dod3 - базовий бюджет'!I139</f>
        <v>0</v>
      </c>
      <c r="I156" s="225">
        <f>'dod3'!I157-'dod3 - базовий бюджет'!J139</f>
        <v>0</v>
      </c>
      <c r="J156" s="225">
        <f>'dod3'!J157-'dod3 - базовий бюджет'!K139</f>
        <v>-1500000</v>
      </c>
      <c r="K156" s="225">
        <f>'dod3'!K157-'dod3 - базовий бюджет'!L139</f>
        <v>-1500000</v>
      </c>
      <c r="L156" s="225">
        <f>'dod3'!L157-'dod3 - базовий бюджет'!M139</f>
        <v>0</v>
      </c>
      <c r="M156" s="225">
        <f>'dod3'!M157-'dod3 - базовий бюджет'!N139</f>
        <v>0</v>
      </c>
      <c r="N156" s="225">
        <f>'dod3'!N157-'dod3 - базовий бюджет'!O139</f>
        <v>0</v>
      </c>
      <c r="O156" s="225">
        <f>'dod3'!O157-'dod3 - базовий бюджет'!P139</f>
        <v>-1500000</v>
      </c>
      <c r="P156" s="225">
        <f>'dod3'!P157-'dod3 - базовий бюджет'!Q139</f>
        <v>-1500000</v>
      </c>
    </row>
    <row r="157" spans="1:18" ht="135" x14ac:dyDescent="0.2">
      <c r="A157" s="296" t="s">
        <v>252</v>
      </c>
      <c r="B157" s="296"/>
      <c r="C157" s="296"/>
      <c r="D157" s="296" t="s">
        <v>577</v>
      </c>
      <c r="E157" s="298">
        <f>E158</f>
        <v>1328350</v>
      </c>
      <c r="F157" s="298">
        <f t="shared" ref="F157:G157" si="42">F158</f>
        <v>1328350</v>
      </c>
      <c r="G157" s="298">
        <f t="shared" si="42"/>
        <v>0</v>
      </c>
      <c r="H157" s="298">
        <f>H158</f>
        <v>0</v>
      </c>
      <c r="I157" s="298">
        <f t="shared" ref="I157" si="43">I158</f>
        <v>0</v>
      </c>
      <c r="J157" s="298">
        <f>J158</f>
        <v>-300000</v>
      </c>
      <c r="K157" s="298">
        <f>K158</f>
        <v>-300000</v>
      </c>
      <c r="L157" s="298">
        <f>L158</f>
        <v>0</v>
      </c>
      <c r="M157" s="298">
        <f t="shared" ref="M157" si="44">M158</f>
        <v>0</v>
      </c>
      <c r="N157" s="298">
        <f>N158</f>
        <v>0</v>
      </c>
      <c r="O157" s="298">
        <f>O158</f>
        <v>-300000</v>
      </c>
      <c r="P157" s="302">
        <f t="shared" ref="P157" si="45">P158</f>
        <v>1028350</v>
      </c>
    </row>
    <row r="158" spans="1:18" ht="135" x14ac:dyDescent="0.2">
      <c r="A158" s="299" t="s">
        <v>253</v>
      </c>
      <c r="B158" s="299"/>
      <c r="C158" s="299"/>
      <c r="D158" s="299" t="s">
        <v>578</v>
      </c>
      <c r="E158" s="301">
        <f>SUM(E159:E163)</f>
        <v>1328350</v>
      </c>
      <c r="F158" s="301">
        <f t="shared" ref="F158:K158" si="46">SUM(F159:F163)</f>
        <v>1328350</v>
      </c>
      <c r="G158" s="301">
        <f t="shared" si="46"/>
        <v>0</v>
      </c>
      <c r="H158" s="301">
        <f t="shared" si="46"/>
        <v>0</v>
      </c>
      <c r="I158" s="301">
        <f t="shared" si="46"/>
        <v>0</v>
      </c>
      <c r="J158" s="301">
        <f>L158+O158</f>
        <v>-300000</v>
      </c>
      <c r="K158" s="301">
        <f t="shared" si="46"/>
        <v>-300000</v>
      </c>
      <c r="L158" s="301">
        <f t="shared" ref="L158" si="47">SUM(L159:L163)</f>
        <v>0</v>
      </c>
      <c r="M158" s="301">
        <f t="shared" ref="M158" si="48">SUM(M159:M163)</f>
        <v>0</v>
      </c>
      <c r="N158" s="301">
        <f t="shared" ref="N158" si="49">SUM(N159:N163)</f>
        <v>0</v>
      </c>
      <c r="O158" s="301">
        <f t="shared" ref="O158" si="50">SUM(O159:O163)</f>
        <v>-300000</v>
      </c>
      <c r="P158" s="301">
        <f>E158+J158</f>
        <v>1028350</v>
      </c>
      <c r="Q158" s="153"/>
      <c r="R158" s="155"/>
    </row>
    <row r="159" spans="1:18" ht="137.25" x14ac:dyDescent="0.2">
      <c r="A159" s="270" t="s">
        <v>571</v>
      </c>
      <c r="B159" s="270" t="s">
        <v>572</v>
      </c>
      <c r="C159" s="270" t="s">
        <v>256</v>
      </c>
      <c r="D159" s="270" t="s">
        <v>398</v>
      </c>
      <c r="E159" s="225">
        <f>'dod3'!E160-'dod3 - базовий бюджет'!F142</f>
        <v>0</v>
      </c>
      <c r="F159" s="225">
        <f>'dod3'!F160-'dod3 - базовий бюджет'!G142</f>
        <v>0</v>
      </c>
      <c r="G159" s="225">
        <f>'dod3'!G160-'dod3 - базовий бюджет'!H142</f>
        <v>0</v>
      </c>
      <c r="H159" s="225">
        <f>'dod3'!H160-'dod3 - базовий бюджет'!I142</f>
        <v>0</v>
      </c>
      <c r="I159" s="225">
        <f>'dod3'!I160-'dod3 - базовий бюджет'!J142</f>
        <v>0</v>
      </c>
      <c r="J159" s="225">
        <f>'dod3'!J160-'dod3 - базовий бюджет'!K142</f>
        <v>-2000000</v>
      </c>
      <c r="K159" s="225">
        <f>'dod3'!K160-'dod3 - базовий бюджет'!L142</f>
        <v>-2000000</v>
      </c>
      <c r="L159" s="225">
        <f>'dod3'!L160-'dod3 - базовий бюджет'!M142</f>
        <v>0</v>
      </c>
      <c r="M159" s="225">
        <f>'dod3'!M160-'dod3 - базовий бюджет'!N142</f>
        <v>0</v>
      </c>
      <c r="N159" s="225">
        <f>'dod3'!N160-'dod3 - базовий бюджет'!O142</f>
        <v>0</v>
      </c>
      <c r="O159" s="225">
        <f>'dod3'!O160-'dod3 - базовий бюджет'!P142</f>
        <v>-2000000</v>
      </c>
      <c r="P159" s="225">
        <f>'dod3'!P160-'dod3 - базовий бюджет'!Q142</f>
        <v>-2000000</v>
      </c>
      <c r="R159" s="155"/>
    </row>
    <row r="160" spans="1:18" ht="91.5" x14ac:dyDescent="0.2">
      <c r="A160" s="270" t="s">
        <v>396</v>
      </c>
      <c r="B160" s="270" t="s">
        <v>397</v>
      </c>
      <c r="C160" s="270" t="s">
        <v>395</v>
      </c>
      <c r="D160" s="270" t="s">
        <v>394</v>
      </c>
      <c r="E160" s="225">
        <f>'dod3'!E161-'dod3 - базовий бюджет'!F143</f>
        <v>628350</v>
      </c>
      <c r="F160" s="225">
        <f>'dod3'!F161-'dod3 - базовий бюджет'!G143</f>
        <v>628350</v>
      </c>
      <c r="G160" s="225">
        <f>'dod3'!G161-'dod3 - базовий бюджет'!H143</f>
        <v>0</v>
      </c>
      <c r="H160" s="225">
        <f>'dod3'!H161-'dod3 - базовий бюджет'!I143</f>
        <v>0</v>
      </c>
      <c r="I160" s="225">
        <f>'dod3'!I161-'dod3 - базовий бюджет'!J143</f>
        <v>0</v>
      </c>
      <c r="J160" s="225">
        <f>'dod3'!J161-'dod3 - базовий бюджет'!K143</f>
        <v>200000</v>
      </c>
      <c r="K160" s="225">
        <f>'dod3'!K161-'dod3 - базовий бюджет'!L143</f>
        <v>200000</v>
      </c>
      <c r="L160" s="225">
        <f>'dod3'!L161-'dod3 - базовий бюджет'!M143</f>
        <v>0</v>
      </c>
      <c r="M160" s="225">
        <f>'dod3'!M161-'dod3 - базовий бюджет'!N143</f>
        <v>0</v>
      </c>
      <c r="N160" s="225">
        <f>'dod3'!N161-'dod3 - базовий бюджет'!O143</f>
        <v>0</v>
      </c>
      <c r="O160" s="225">
        <f>'dod3'!O161-'dod3 - базовий бюджет'!P143</f>
        <v>200000</v>
      </c>
      <c r="P160" s="225">
        <f>'dod3'!P161-'dod3 - базовий бюджет'!Q143</f>
        <v>828350</v>
      </c>
      <c r="R160" s="155"/>
    </row>
    <row r="161" spans="1:18" ht="137.25" x14ac:dyDescent="0.2">
      <c r="A161" s="270" t="s">
        <v>388</v>
      </c>
      <c r="B161" s="270" t="s">
        <v>390</v>
      </c>
      <c r="C161" s="270" t="s">
        <v>318</v>
      </c>
      <c r="D161" s="270" t="s">
        <v>389</v>
      </c>
      <c r="E161" s="225">
        <f>'dod3'!E162-'dod3 - базовий бюджет'!F144</f>
        <v>0</v>
      </c>
      <c r="F161" s="225">
        <f>'dod3'!F162-'dod3 - базовий бюджет'!G144</f>
        <v>0</v>
      </c>
      <c r="G161" s="225">
        <f>'dod3'!G162-'dod3 - базовий бюджет'!H144</f>
        <v>0</v>
      </c>
      <c r="H161" s="225">
        <f>'dod3'!H162-'dod3 - базовий бюджет'!I144</f>
        <v>0</v>
      </c>
      <c r="I161" s="225">
        <f>'dod3'!I162-'dod3 - базовий бюджет'!J144</f>
        <v>0</v>
      </c>
      <c r="J161" s="225">
        <f>'dod3'!J162-'dod3 - базовий бюджет'!K144</f>
        <v>0</v>
      </c>
      <c r="K161" s="225">
        <f>'dod3'!K162-'dod3 - базовий бюджет'!L144</f>
        <v>0</v>
      </c>
      <c r="L161" s="225">
        <f>'dod3'!L162-'dod3 - базовий бюджет'!M144</f>
        <v>0</v>
      </c>
      <c r="M161" s="225">
        <f>'dod3'!M162-'dod3 - базовий бюджет'!N144</f>
        <v>0</v>
      </c>
      <c r="N161" s="225">
        <f>'dod3'!N162-'dod3 - базовий бюджет'!O144</f>
        <v>0</v>
      </c>
      <c r="O161" s="225">
        <f>'dod3'!O162-'dod3 - базовий бюджет'!P144</f>
        <v>0</v>
      </c>
      <c r="P161" s="225">
        <f>'dod3'!P162-'dod3 - базовий бюджет'!Q144</f>
        <v>0</v>
      </c>
      <c r="R161" s="155"/>
    </row>
    <row r="162" spans="1:18" ht="91.5" x14ac:dyDescent="0.2">
      <c r="A162" s="270" t="s">
        <v>392</v>
      </c>
      <c r="B162" s="270" t="s">
        <v>393</v>
      </c>
      <c r="C162" s="270" t="s">
        <v>256</v>
      </c>
      <c r="D162" s="270" t="s">
        <v>391</v>
      </c>
      <c r="E162" s="225">
        <f>'dod3'!E163-'dod3 - базовий бюджет'!F145</f>
        <v>700000</v>
      </c>
      <c r="F162" s="225">
        <f>'dod3'!F163-'dod3 - базовий бюджет'!G145</f>
        <v>700000</v>
      </c>
      <c r="G162" s="225">
        <f>'dod3'!G163-'dod3 - базовий бюджет'!H145</f>
        <v>0</v>
      </c>
      <c r="H162" s="225">
        <f>'dod3'!H163-'dod3 - базовий бюджет'!I145</f>
        <v>0</v>
      </c>
      <c r="I162" s="225">
        <f>'dod3'!I163-'dod3 - базовий бюджет'!J145</f>
        <v>0</v>
      </c>
      <c r="J162" s="225">
        <f>'dod3'!J163-'dod3 - базовий бюджет'!K145</f>
        <v>200000</v>
      </c>
      <c r="K162" s="225">
        <f>'dod3'!K163-'dod3 - базовий бюджет'!L145</f>
        <v>200000</v>
      </c>
      <c r="L162" s="225">
        <f>'dod3'!L163-'dod3 - базовий бюджет'!M145</f>
        <v>0</v>
      </c>
      <c r="M162" s="225">
        <f>'dod3'!M163-'dod3 - базовий бюджет'!N145</f>
        <v>0</v>
      </c>
      <c r="N162" s="225">
        <f>'dod3'!N163-'dod3 - базовий бюджет'!O145</f>
        <v>0</v>
      </c>
      <c r="O162" s="225">
        <f>'dod3'!O163-'dod3 - базовий бюджет'!P145</f>
        <v>200000</v>
      </c>
      <c r="P162" s="225">
        <f>'dod3'!P163-'dod3 - базовий бюджет'!Q145</f>
        <v>900000</v>
      </c>
      <c r="R162" s="155"/>
    </row>
    <row r="163" spans="1:18" ht="91.5" x14ac:dyDescent="0.2">
      <c r="A163" s="270" t="s">
        <v>932</v>
      </c>
      <c r="B163" s="270" t="s">
        <v>601</v>
      </c>
      <c r="C163" s="270" t="s">
        <v>71</v>
      </c>
      <c r="D163" s="270" t="s">
        <v>602</v>
      </c>
      <c r="E163" s="225">
        <f>'dod3'!E164-0</f>
        <v>0</v>
      </c>
      <c r="F163" s="225">
        <f>'dod3'!F164-0</f>
        <v>0</v>
      </c>
      <c r="G163" s="225">
        <f>'dod3'!G164-0</f>
        <v>0</v>
      </c>
      <c r="H163" s="225">
        <f>'dod3'!H164-0</f>
        <v>0</v>
      </c>
      <c r="I163" s="225">
        <f>'dod3'!I164-0</f>
        <v>0</v>
      </c>
      <c r="J163" s="225">
        <f>'dod3'!J164-0</f>
        <v>1300000</v>
      </c>
      <c r="K163" s="225">
        <f>'dod3'!K164-0</f>
        <v>1300000</v>
      </c>
      <c r="L163" s="225">
        <f>'dod3'!L164-0</f>
        <v>0</v>
      </c>
      <c r="M163" s="225">
        <f>'dod3'!M164-0</f>
        <v>0</v>
      </c>
      <c r="N163" s="225">
        <f>'dod3'!N164-0</f>
        <v>0</v>
      </c>
      <c r="O163" s="225">
        <f>'dod3'!O164-0</f>
        <v>1300000</v>
      </c>
      <c r="P163" s="225">
        <f>'dod3'!P164-0</f>
        <v>1300000</v>
      </c>
      <c r="R163" s="155"/>
    </row>
    <row r="164" spans="1:18" ht="180" x14ac:dyDescent="0.2">
      <c r="A164" s="296" t="s">
        <v>250</v>
      </c>
      <c r="B164" s="296"/>
      <c r="C164" s="296"/>
      <c r="D164" s="296" t="s">
        <v>47</v>
      </c>
      <c r="E164" s="298">
        <f>E165</f>
        <v>35000</v>
      </c>
      <c r="F164" s="298">
        <f t="shared" ref="F164:G164" si="51">F165</f>
        <v>35000</v>
      </c>
      <c r="G164" s="298">
        <f t="shared" si="51"/>
        <v>0</v>
      </c>
      <c r="H164" s="298">
        <f>H165</f>
        <v>2016</v>
      </c>
      <c r="I164" s="298">
        <f t="shared" ref="I164" si="52">I165</f>
        <v>0</v>
      </c>
      <c r="J164" s="298">
        <f>J165</f>
        <v>490905.96</v>
      </c>
      <c r="K164" s="298">
        <f>K165</f>
        <v>0</v>
      </c>
      <c r="L164" s="298">
        <f>L165</f>
        <v>408505.96</v>
      </c>
      <c r="M164" s="298">
        <f t="shared" ref="M164" si="53">M165</f>
        <v>0</v>
      </c>
      <c r="N164" s="298">
        <f>N165</f>
        <v>0</v>
      </c>
      <c r="O164" s="298">
        <f>O165</f>
        <v>82400</v>
      </c>
      <c r="P164" s="302">
        <f t="shared" ref="P164" si="54">P165</f>
        <v>525905.96</v>
      </c>
    </row>
    <row r="165" spans="1:18" ht="180" x14ac:dyDescent="0.2">
      <c r="A165" s="299" t="s">
        <v>251</v>
      </c>
      <c r="B165" s="299"/>
      <c r="C165" s="299"/>
      <c r="D165" s="299" t="s">
        <v>65</v>
      </c>
      <c r="E165" s="301">
        <f>SUM(E166:E169)</f>
        <v>35000</v>
      </c>
      <c r="F165" s="301">
        <f t="shared" ref="F165:N165" si="55">SUM(F166:F169)</f>
        <v>35000</v>
      </c>
      <c r="G165" s="301">
        <f t="shared" si="55"/>
        <v>0</v>
      </c>
      <c r="H165" s="301">
        <f t="shared" si="55"/>
        <v>2016</v>
      </c>
      <c r="I165" s="301">
        <f t="shared" si="55"/>
        <v>0</v>
      </c>
      <c r="J165" s="301">
        <f>L165+O165</f>
        <v>490905.96</v>
      </c>
      <c r="K165" s="301">
        <f t="shared" si="55"/>
        <v>0</v>
      </c>
      <c r="L165" s="301">
        <f t="shared" si="55"/>
        <v>408505.96</v>
      </c>
      <c r="M165" s="301">
        <f t="shared" si="55"/>
        <v>0</v>
      </c>
      <c r="N165" s="301">
        <f t="shared" si="55"/>
        <v>0</v>
      </c>
      <c r="O165" s="301">
        <f>SUM(O166:O169)</f>
        <v>82400</v>
      </c>
      <c r="P165" s="301">
        <f>E165+J165</f>
        <v>525905.96</v>
      </c>
      <c r="Q165" s="153"/>
      <c r="R165" s="155"/>
    </row>
    <row r="166" spans="1:18" ht="228.75" x14ac:dyDescent="0.2">
      <c r="A166" s="270" t="s">
        <v>744</v>
      </c>
      <c r="B166" s="270" t="s">
        <v>341</v>
      </c>
      <c r="C166" s="270" t="s">
        <v>339</v>
      </c>
      <c r="D166" s="270" t="s">
        <v>340</v>
      </c>
      <c r="E166" s="225">
        <f>'dod3'!E167-'dod3 - базовий бюджет'!F148</f>
        <v>35000</v>
      </c>
      <c r="F166" s="225">
        <f>'dod3'!F167-'dod3 - базовий бюджет'!G148</f>
        <v>35000</v>
      </c>
      <c r="G166" s="225">
        <f>'dod3'!G167-'dod3 - базовий бюджет'!H148</f>
        <v>0</v>
      </c>
      <c r="H166" s="225">
        <f>'dod3'!H167-'dod3 - базовий бюджет'!I148</f>
        <v>2016</v>
      </c>
      <c r="I166" s="225">
        <f>'dod3'!I167-'dod3 - базовий бюджет'!J148</f>
        <v>0</v>
      </c>
      <c r="J166" s="225">
        <f>'dod3'!J167-'dod3 - базовий бюджет'!K148</f>
        <v>0</v>
      </c>
      <c r="K166" s="225">
        <f>'dod3'!K167-'dod3 - базовий бюджет'!L148</f>
        <v>0</v>
      </c>
      <c r="L166" s="225">
        <f>'dod3'!L167-'dod3 - базовий бюджет'!M148</f>
        <v>0</v>
      </c>
      <c r="M166" s="225">
        <f>'dod3'!M167-'dod3 - базовий бюджет'!N148</f>
        <v>0</v>
      </c>
      <c r="N166" s="225">
        <f>'dod3'!N167-'dod3 - базовий бюджет'!O148</f>
        <v>0</v>
      </c>
      <c r="O166" s="225">
        <f>'dod3'!O167-'dod3 - базовий бюджет'!P148</f>
        <v>0</v>
      </c>
      <c r="P166" s="225">
        <f>'dod3'!P167-'dod3 - базовий бюджет'!Q148</f>
        <v>35000</v>
      </c>
      <c r="Q166" s="153"/>
      <c r="R166" s="155"/>
    </row>
    <row r="167" spans="1:18" ht="137.25" x14ac:dyDescent="0.2">
      <c r="A167" s="270" t="s">
        <v>463</v>
      </c>
      <c r="B167" s="270" t="s">
        <v>464</v>
      </c>
      <c r="C167" s="270" t="s">
        <v>81</v>
      </c>
      <c r="D167" s="270" t="s">
        <v>82</v>
      </c>
      <c r="E167" s="225">
        <f>'dod3'!E168-'dod3 - базовий бюджет'!F149</f>
        <v>0</v>
      </c>
      <c r="F167" s="225">
        <f>'dod3'!F168-'dod3 - базовий бюджет'!G149</f>
        <v>0</v>
      </c>
      <c r="G167" s="225">
        <f>'dod3'!G168-'dod3 - базовий бюджет'!H149</f>
        <v>0</v>
      </c>
      <c r="H167" s="225">
        <f>'dod3'!H168-'dod3 - базовий бюджет'!I149</f>
        <v>0</v>
      </c>
      <c r="I167" s="225">
        <f>'dod3'!I168-'dod3 - базовий бюджет'!J149</f>
        <v>0</v>
      </c>
      <c r="J167" s="225">
        <f>'dod3'!J168-'dod3 - базовий бюджет'!K149</f>
        <v>434616</v>
      </c>
      <c r="K167" s="225">
        <f>'dod3'!K168-'dod3 - базовий бюджет'!L149</f>
        <v>0</v>
      </c>
      <c r="L167" s="225">
        <f>'dod3'!L168-'dod3 - базовий бюджет'!M149</f>
        <v>252216</v>
      </c>
      <c r="M167" s="225">
        <f>'dod3'!M168-'dod3 - базовий бюджет'!N149</f>
        <v>0</v>
      </c>
      <c r="N167" s="225">
        <f>'dod3'!N168-'dod3 - базовий бюджет'!O149</f>
        <v>0</v>
      </c>
      <c r="O167" s="225">
        <f>'dod3'!O168-'dod3 - базовий бюджет'!P149</f>
        <v>182400</v>
      </c>
      <c r="P167" s="225">
        <f>'dod3'!P168-'dod3 - базовий бюджет'!Q149</f>
        <v>434616</v>
      </c>
    </row>
    <row r="168" spans="1:18" ht="91.5" x14ac:dyDescent="0.2">
      <c r="A168" s="270" t="s">
        <v>830</v>
      </c>
      <c r="B168" s="270" t="s">
        <v>831</v>
      </c>
      <c r="C168" s="270" t="s">
        <v>855</v>
      </c>
      <c r="D168" s="270" t="s">
        <v>854</v>
      </c>
      <c r="E168" s="225">
        <f>'dod3'!E169-0</f>
        <v>0</v>
      </c>
      <c r="F168" s="225">
        <f>'dod3'!F169-0</f>
        <v>0</v>
      </c>
      <c r="G168" s="225">
        <f>'dod3'!G169-0</f>
        <v>0</v>
      </c>
      <c r="H168" s="225">
        <f>'dod3'!H169-0</f>
        <v>0</v>
      </c>
      <c r="I168" s="225">
        <f>'dod3'!I169-0</f>
        <v>0</v>
      </c>
      <c r="J168" s="225">
        <f>'dod3'!J169-0</f>
        <v>56289.96</v>
      </c>
      <c r="K168" s="225">
        <f>'dod3'!K169-0</f>
        <v>0</v>
      </c>
      <c r="L168" s="225">
        <f>'dod3'!L169-0</f>
        <v>56289.96</v>
      </c>
      <c r="M168" s="225">
        <f>'dod3'!M169-0</f>
        <v>0</v>
      </c>
      <c r="N168" s="225">
        <f>'dod3'!N169-0</f>
        <v>0</v>
      </c>
      <c r="O168" s="225">
        <f>'dod3'!O169-0</f>
        <v>0</v>
      </c>
      <c r="P168" s="225">
        <f>'dod3'!P169-0</f>
        <v>56289.96</v>
      </c>
    </row>
    <row r="169" spans="1:18" ht="91.5" x14ac:dyDescent="0.2">
      <c r="A169" s="270" t="s">
        <v>465</v>
      </c>
      <c r="B169" s="270" t="s">
        <v>466</v>
      </c>
      <c r="C169" s="270" t="s">
        <v>83</v>
      </c>
      <c r="D169" s="270" t="s">
        <v>467</v>
      </c>
      <c r="E169" s="225">
        <f>'dod3'!E170-'dod3 - базовий бюджет'!F150</f>
        <v>0</v>
      </c>
      <c r="F169" s="225">
        <f>'dod3'!F170-'dod3 - базовий бюджет'!G150</f>
        <v>0</v>
      </c>
      <c r="G169" s="225">
        <f>'dod3'!G170-'dod3 - базовий бюджет'!H150</f>
        <v>0</v>
      </c>
      <c r="H169" s="225">
        <f>'dod3'!H170-'dod3 - базовий бюджет'!I150</f>
        <v>0</v>
      </c>
      <c r="I169" s="225">
        <f>'dod3'!I170-'dod3 - базовий бюджет'!J150</f>
        <v>0</v>
      </c>
      <c r="J169" s="225">
        <f>'dod3'!J170-'dod3 - базовий бюджет'!K150</f>
        <v>0</v>
      </c>
      <c r="K169" s="225">
        <f>'dod3'!K170-'dod3 - базовий бюджет'!L150</f>
        <v>0</v>
      </c>
      <c r="L169" s="225">
        <f>'dod3'!L170-'dod3 - базовий бюджет'!M150</f>
        <v>100000</v>
      </c>
      <c r="M169" s="225">
        <f>'dod3'!M170-'dod3 - базовий бюджет'!N150</f>
        <v>0</v>
      </c>
      <c r="N169" s="225">
        <f>'dod3'!N170-'dod3 - базовий бюджет'!O150</f>
        <v>0</v>
      </c>
      <c r="O169" s="225">
        <f>'dod3'!O170-'dod3 - базовий бюджет'!P150</f>
        <v>-100000</v>
      </c>
      <c r="P169" s="225">
        <f>'dod3'!P170-'dod3 - базовий бюджет'!Q150</f>
        <v>0</v>
      </c>
    </row>
    <row r="170" spans="1:18" ht="315" x14ac:dyDescent="0.2">
      <c r="A170" s="296" t="s">
        <v>248</v>
      </c>
      <c r="B170" s="296"/>
      <c r="C170" s="296"/>
      <c r="D170" s="296" t="s">
        <v>579</v>
      </c>
      <c r="E170" s="298">
        <f>E171</f>
        <v>55000</v>
      </c>
      <c r="F170" s="298">
        <f t="shared" ref="F170:G170" si="56">F171</f>
        <v>55000</v>
      </c>
      <c r="G170" s="298">
        <f t="shared" si="56"/>
        <v>0</v>
      </c>
      <c r="H170" s="298">
        <f>H171</f>
        <v>0</v>
      </c>
      <c r="I170" s="298">
        <f t="shared" ref="I170" si="57">I171</f>
        <v>0</v>
      </c>
      <c r="J170" s="298">
        <f>J171</f>
        <v>0</v>
      </c>
      <c r="K170" s="298">
        <f>K171</f>
        <v>0</v>
      </c>
      <c r="L170" s="298">
        <f>L171</f>
        <v>0</v>
      </c>
      <c r="M170" s="298">
        <f t="shared" ref="M170" si="58">M171</f>
        <v>0</v>
      </c>
      <c r="N170" s="298">
        <f>N171</f>
        <v>0</v>
      </c>
      <c r="O170" s="298">
        <f>O171</f>
        <v>0</v>
      </c>
      <c r="P170" s="302">
        <f t="shared" ref="P170" si="59">P171</f>
        <v>55000</v>
      </c>
    </row>
    <row r="171" spans="1:18" ht="315" x14ac:dyDescent="0.2">
      <c r="A171" s="299" t="s">
        <v>249</v>
      </c>
      <c r="B171" s="299"/>
      <c r="C171" s="299"/>
      <c r="D171" s="299" t="s">
        <v>580</v>
      </c>
      <c r="E171" s="301">
        <f>SUM(E172:E174)</f>
        <v>55000</v>
      </c>
      <c r="F171" s="301">
        <f t="shared" ref="F171:N171" si="60">SUM(F172:F174)</f>
        <v>55000</v>
      </c>
      <c r="G171" s="301">
        <f t="shared" si="60"/>
        <v>0</v>
      </c>
      <c r="H171" s="301">
        <f t="shared" si="60"/>
        <v>0</v>
      </c>
      <c r="I171" s="301">
        <f t="shared" si="60"/>
        <v>0</v>
      </c>
      <c r="J171" s="301">
        <f>L171+O171</f>
        <v>0</v>
      </c>
      <c r="K171" s="301">
        <f t="shared" si="60"/>
        <v>0</v>
      </c>
      <c r="L171" s="301">
        <f t="shared" si="60"/>
        <v>0</v>
      </c>
      <c r="M171" s="301">
        <f t="shared" si="60"/>
        <v>0</v>
      </c>
      <c r="N171" s="301">
        <f t="shared" si="60"/>
        <v>0</v>
      </c>
      <c r="O171" s="301">
        <f>SUM(O172:O174)</f>
        <v>0</v>
      </c>
      <c r="P171" s="301">
        <f>E171+J171</f>
        <v>55000</v>
      </c>
      <c r="Q171" s="153"/>
      <c r="R171" s="155"/>
    </row>
    <row r="172" spans="1:18" ht="228.75" x14ac:dyDescent="0.2">
      <c r="A172" s="270" t="s">
        <v>740</v>
      </c>
      <c r="B172" s="270" t="s">
        <v>341</v>
      </c>
      <c r="C172" s="270" t="s">
        <v>339</v>
      </c>
      <c r="D172" s="270" t="s">
        <v>340</v>
      </c>
      <c r="E172" s="225">
        <f>'dod3'!E173-'dod3 - базовий бюджет'!F153</f>
        <v>55000</v>
      </c>
      <c r="F172" s="225">
        <f>'dod3'!F173-'dod3 - базовий бюджет'!G153</f>
        <v>55000</v>
      </c>
      <c r="G172" s="225">
        <f>'dod3'!G173-'dod3 - базовий бюджет'!H153</f>
        <v>0</v>
      </c>
      <c r="H172" s="225">
        <f>'dod3'!H173-'dod3 - базовий бюджет'!I153</f>
        <v>0</v>
      </c>
      <c r="I172" s="225">
        <f>'dod3'!I173-'dod3 - базовий бюджет'!J153</f>
        <v>0</v>
      </c>
      <c r="J172" s="225">
        <f>'dod3'!J173-'dod3 - базовий бюджет'!K153</f>
        <v>0</v>
      </c>
      <c r="K172" s="225">
        <f>'dod3'!K173-'dod3 - базовий бюджет'!L153</f>
        <v>0</v>
      </c>
      <c r="L172" s="225">
        <f>'dod3'!L173-'dod3 - базовий бюджет'!M153</f>
        <v>0</v>
      </c>
      <c r="M172" s="225">
        <f>'dod3'!M173-'dod3 - базовий бюджет'!N153</f>
        <v>0</v>
      </c>
      <c r="N172" s="225">
        <f>'dod3'!N173-'dod3 - базовий бюджет'!O153</f>
        <v>0</v>
      </c>
      <c r="O172" s="225">
        <f>'dod3'!O173-'dod3 - базовий бюджет'!P153</f>
        <v>0</v>
      </c>
      <c r="P172" s="225">
        <f>'dod3'!P173-'dod3 - базовий бюджет'!Q153</f>
        <v>55000</v>
      </c>
      <c r="Q172" s="153"/>
      <c r="R172" s="155"/>
    </row>
    <row r="173" spans="1:18" ht="91.5" x14ac:dyDescent="0.2">
      <c r="A173" s="270" t="s">
        <v>457</v>
      </c>
      <c r="B173" s="270" t="s">
        <v>458</v>
      </c>
      <c r="C173" s="270" t="s">
        <v>459</v>
      </c>
      <c r="D173" s="270" t="s">
        <v>456</v>
      </c>
      <c r="E173" s="225">
        <f>'dod3'!E174-'dod3 - базовий бюджет'!F154</f>
        <v>0</v>
      </c>
      <c r="F173" s="225">
        <f>'dod3'!F174-'dod3 - базовий бюджет'!G154</f>
        <v>0</v>
      </c>
      <c r="G173" s="225">
        <f>'dod3'!G174-'dod3 - базовий бюджет'!H154</f>
        <v>0</v>
      </c>
      <c r="H173" s="225">
        <f>'dod3'!H174-'dod3 - базовий бюджет'!I154</f>
        <v>0</v>
      </c>
      <c r="I173" s="225">
        <f>'dod3'!I174-'dod3 - базовий бюджет'!J154</f>
        <v>0</v>
      </c>
      <c r="J173" s="225">
        <f>'dod3'!J174-'dod3 - базовий бюджет'!K154</f>
        <v>0</v>
      </c>
      <c r="K173" s="225">
        <f>'dod3'!K174-'dod3 - базовий бюджет'!L154</f>
        <v>0</v>
      </c>
      <c r="L173" s="225">
        <f>'dod3'!L174-'dod3 - базовий бюджет'!M154</f>
        <v>0</v>
      </c>
      <c r="M173" s="225">
        <f>'dod3'!M174-'dod3 - базовий бюджет'!N154</f>
        <v>0</v>
      </c>
      <c r="N173" s="225">
        <f>'dod3'!N174-'dod3 - базовий бюджет'!O154</f>
        <v>0</v>
      </c>
      <c r="O173" s="225">
        <f>'dod3'!O174-'dod3 - базовий бюджет'!P154</f>
        <v>0</v>
      </c>
      <c r="P173" s="225">
        <f>'dod3'!P174-'dod3 - базовий бюджет'!Q154</f>
        <v>0</v>
      </c>
    </row>
    <row r="174" spans="1:18" ht="137.25" x14ac:dyDescent="0.2">
      <c r="A174" s="270" t="s">
        <v>610</v>
      </c>
      <c r="B174" s="270" t="s">
        <v>611</v>
      </c>
      <c r="C174" s="270" t="s">
        <v>256</v>
      </c>
      <c r="D174" s="270" t="s">
        <v>612</v>
      </c>
      <c r="E174" s="225">
        <f>'dod3'!E175-'dod3 - базовий бюджет'!F155</f>
        <v>0</v>
      </c>
      <c r="F174" s="225">
        <f>'dod3'!F175-'dod3 - базовий бюджет'!G155</f>
        <v>0</v>
      </c>
      <c r="G174" s="225">
        <f>'dod3'!G175-'dod3 - базовий бюджет'!H155</f>
        <v>0</v>
      </c>
      <c r="H174" s="225">
        <f>'dod3'!H175-'dod3 - базовий бюджет'!I155</f>
        <v>0</v>
      </c>
      <c r="I174" s="225">
        <f>'dod3'!I175-'dod3 - базовий бюджет'!J155</f>
        <v>0</v>
      </c>
      <c r="J174" s="225">
        <f>'dod3'!J175-'dod3 - базовий бюджет'!K155</f>
        <v>0</v>
      </c>
      <c r="K174" s="225">
        <f>'dod3'!K175-'dod3 - базовий бюджет'!L155</f>
        <v>0</v>
      </c>
      <c r="L174" s="225">
        <f>'dod3'!L175-'dod3 - базовий бюджет'!M155</f>
        <v>0</v>
      </c>
      <c r="M174" s="225">
        <f>'dod3'!M175-'dod3 - базовий бюджет'!N155</f>
        <v>0</v>
      </c>
      <c r="N174" s="225">
        <f>'dod3'!N175-'dod3 - базовий бюджет'!O155</f>
        <v>0</v>
      </c>
      <c r="O174" s="225">
        <f>'dod3'!O175-'dod3 - базовий бюджет'!P155</f>
        <v>0</v>
      </c>
      <c r="P174" s="225">
        <f>'dod3'!P175-'dod3 - базовий бюджет'!Q155</f>
        <v>0</v>
      </c>
    </row>
    <row r="175" spans="1:18" ht="135" x14ac:dyDescent="0.2">
      <c r="A175" s="296" t="s">
        <v>254</v>
      </c>
      <c r="B175" s="296"/>
      <c r="C175" s="296"/>
      <c r="D175" s="296" t="s">
        <v>48</v>
      </c>
      <c r="E175" s="298">
        <f>E176</f>
        <v>-3336000</v>
      </c>
      <c r="F175" s="298">
        <f t="shared" ref="F175:G175" si="61">F176</f>
        <v>-3336000</v>
      </c>
      <c r="G175" s="298">
        <f t="shared" si="61"/>
        <v>0</v>
      </c>
      <c r="H175" s="298">
        <f>H176</f>
        <v>2362</v>
      </c>
      <c r="I175" s="298">
        <f t="shared" ref="I175" si="62">I176</f>
        <v>0</v>
      </c>
      <c r="J175" s="298">
        <f>J176</f>
        <v>0</v>
      </c>
      <c r="K175" s="298">
        <f>K176</f>
        <v>0</v>
      </c>
      <c r="L175" s="298">
        <f>L176</f>
        <v>0</v>
      </c>
      <c r="M175" s="298">
        <f t="shared" ref="M175" si="63">M176</f>
        <v>0</v>
      </c>
      <c r="N175" s="298">
        <f>N176</f>
        <v>0</v>
      </c>
      <c r="O175" s="298">
        <f>O176</f>
        <v>0</v>
      </c>
      <c r="P175" s="302">
        <f t="shared" ref="P175" si="64">P176</f>
        <v>-3336000</v>
      </c>
    </row>
    <row r="176" spans="1:18" ht="135" x14ac:dyDescent="0.2">
      <c r="A176" s="299" t="s">
        <v>255</v>
      </c>
      <c r="B176" s="299"/>
      <c r="C176" s="299"/>
      <c r="D176" s="299" t="s">
        <v>66</v>
      </c>
      <c r="E176" s="301">
        <f>SUM(E177:E180)</f>
        <v>-3336000</v>
      </c>
      <c r="F176" s="301">
        <f t="shared" ref="F176:N176" si="65">SUM(F177:F180)</f>
        <v>-3336000</v>
      </c>
      <c r="G176" s="301">
        <f t="shared" si="65"/>
        <v>0</v>
      </c>
      <c r="H176" s="301">
        <f t="shared" si="65"/>
        <v>2362</v>
      </c>
      <c r="I176" s="301">
        <f t="shared" si="65"/>
        <v>0</v>
      </c>
      <c r="J176" s="301">
        <f>L176+O176</f>
        <v>0</v>
      </c>
      <c r="K176" s="301">
        <f>SUM(K177:K180)</f>
        <v>0</v>
      </c>
      <c r="L176" s="301">
        <f t="shared" si="65"/>
        <v>0</v>
      </c>
      <c r="M176" s="301">
        <f t="shared" si="65"/>
        <v>0</v>
      </c>
      <c r="N176" s="301">
        <f t="shared" si="65"/>
        <v>0</v>
      </c>
      <c r="O176" s="301">
        <f>SUM(O177:O180)</f>
        <v>0</v>
      </c>
      <c r="P176" s="301">
        <f>E176+J176</f>
        <v>-3336000</v>
      </c>
      <c r="Q176" s="153"/>
      <c r="R176" s="155"/>
    </row>
    <row r="177" spans="1:18" ht="228.75" x14ac:dyDescent="0.2">
      <c r="A177" s="270" t="s">
        <v>742</v>
      </c>
      <c r="B177" s="270" t="s">
        <v>341</v>
      </c>
      <c r="C177" s="270" t="s">
        <v>339</v>
      </c>
      <c r="D177" s="270" t="s">
        <v>340</v>
      </c>
      <c r="E177" s="225">
        <f>'dod3'!E178-'dod3 - базовий бюджет'!F158</f>
        <v>40000</v>
      </c>
      <c r="F177" s="225">
        <f>'dod3'!F178-'dod3 - базовий бюджет'!G158</f>
        <v>40000</v>
      </c>
      <c r="G177" s="225">
        <f>'dod3'!G178-'dod3 - базовий бюджет'!H158</f>
        <v>0</v>
      </c>
      <c r="H177" s="225">
        <f>'dod3'!H178-'dod3 - базовий бюджет'!I158</f>
        <v>2362</v>
      </c>
      <c r="I177" s="225">
        <f>'dod3'!I178-'dod3 - базовий бюджет'!J158</f>
        <v>0</v>
      </c>
      <c r="J177" s="225">
        <f>'dod3'!J178-'dod3 - базовий бюджет'!K158</f>
        <v>0</v>
      </c>
      <c r="K177" s="225">
        <f>'dod3'!K178-'dod3 - базовий бюджет'!L158</f>
        <v>0</v>
      </c>
      <c r="L177" s="225">
        <f>'dod3'!L178-'dod3 - базовий бюджет'!M158</f>
        <v>0</v>
      </c>
      <c r="M177" s="225">
        <f>'dod3'!M178-'dod3 - базовий бюджет'!N158</f>
        <v>0</v>
      </c>
      <c r="N177" s="225">
        <f>'dod3'!N178-'dod3 - базовий бюджет'!O158</f>
        <v>0</v>
      </c>
      <c r="O177" s="225">
        <f>'dod3'!O178-'dod3 - базовий бюджет'!P158</f>
        <v>0</v>
      </c>
      <c r="P177" s="225">
        <f>'dod3'!P178-'dod3 - базовий бюджет'!Q158</f>
        <v>40000</v>
      </c>
      <c r="Q177" s="153"/>
      <c r="R177" s="155"/>
    </row>
    <row r="178" spans="1:18" ht="91.5" x14ac:dyDescent="0.2">
      <c r="A178" s="219">
        <v>3718600</v>
      </c>
      <c r="B178" s="219">
        <v>8600</v>
      </c>
      <c r="C178" s="270" t="s">
        <v>589</v>
      </c>
      <c r="D178" s="219" t="s">
        <v>590</v>
      </c>
      <c r="E178" s="225">
        <f>'dod3'!E179-'dod3 - базовий бюджет'!F159</f>
        <v>0</v>
      </c>
      <c r="F178" s="225">
        <f>'dod3'!F179-'dod3 - базовий бюджет'!G159</f>
        <v>0</v>
      </c>
      <c r="G178" s="225">
        <f>'dod3'!G179-'dod3 - базовий бюджет'!H159</f>
        <v>0</v>
      </c>
      <c r="H178" s="225">
        <f>'dod3'!H179-'dod3 - базовий бюджет'!I159</f>
        <v>0</v>
      </c>
      <c r="I178" s="225">
        <f>'dod3'!I179-'dod3 - базовий бюджет'!J159</f>
        <v>0</v>
      </c>
      <c r="J178" s="225">
        <f>'dod3'!J179-'dod3 - базовий бюджет'!K159</f>
        <v>0</v>
      </c>
      <c r="K178" s="225">
        <f>'dod3'!K179-'dod3 - базовий бюджет'!L159</f>
        <v>0</v>
      </c>
      <c r="L178" s="225">
        <f>'dod3'!L179-'dod3 - базовий бюджет'!M159</f>
        <v>0</v>
      </c>
      <c r="M178" s="225">
        <f>'dod3'!M179-'dod3 - базовий бюджет'!N159</f>
        <v>0</v>
      </c>
      <c r="N178" s="225">
        <f>'dod3'!N179-'dod3 - базовий бюджет'!O159</f>
        <v>0</v>
      </c>
      <c r="O178" s="225">
        <f>'dod3'!O179-'dod3 - базовий бюджет'!P159</f>
        <v>0</v>
      </c>
      <c r="P178" s="225">
        <f>'dod3'!P179-'dod3 - базовий бюджет'!Q159</f>
        <v>0</v>
      </c>
    </row>
    <row r="179" spans="1:18" ht="69" customHeight="1" x14ac:dyDescent="0.2">
      <c r="A179" s="219">
        <v>3718700</v>
      </c>
      <c r="B179" s="219">
        <v>8700</v>
      </c>
      <c r="C179" s="270" t="s">
        <v>70</v>
      </c>
      <c r="D179" s="215" t="s">
        <v>68</v>
      </c>
      <c r="E179" s="225">
        <f>'dod3'!E180-'dod3 - базовий бюджет'!F160</f>
        <v>-3376000</v>
      </c>
      <c r="F179" s="225">
        <f>'dod3'!F180-'dod3 - базовий бюджет'!G160</f>
        <v>-3376000</v>
      </c>
      <c r="G179" s="225">
        <f>'dod3'!G180-'dod3 - базовий бюджет'!H160</f>
        <v>0</v>
      </c>
      <c r="H179" s="225">
        <f>'dod3'!H180-'dod3 - базовий бюджет'!I160</f>
        <v>0</v>
      </c>
      <c r="I179" s="225">
        <f>'dod3'!I180-'dod3 - базовий бюджет'!J160</f>
        <v>0</v>
      </c>
      <c r="J179" s="225">
        <f>'dod3'!J180-'dod3 - базовий бюджет'!K160</f>
        <v>0</v>
      </c>
      <c r="K179" s="225">
        <f>'dod3'!K180-'dod3 - базовий бюджет'!L160</f>
        <v>0</v>
      </c>
      <c r="L179" s="225">
        <f>'dod3'!L180-'dod3 - базовий бюджет'!M160</f>
        <v>0</v>
      </c>
      <c r="M179" s="225">
        <f>'dod3'!M180-'dod3 - базовий бюджет'!N160</f>
        <v>0</v>
      </c>
      <c r="N179" s="225">
        <f>'dod3'!N180-'dod3 - базовий бюджет'!O160</f>
        <v>0</v>
      </c>
      <c r="O179" s="225">
        <f>'dod3'!O180-'dod3 - базовий бюджет'!P160</f>
        <v>0</v>
      </c>
      <c r="P179" s="225">
        <f>'dod3'!P180-'dod3 - базовий бюджет'!Q160</f>
        <v>-3376000</v>
      </c>
    </row>
    <row r="180" spans="1:18" ht="65.25" customHeight="1" x14ac:dyDescent="0.2">
      <c r="A180" s="219">
        <v>3719110</v>
      </c>
      <c r="B180" s="219">
        <v>9110</v>
      </c>
      <c r="C180" s="270" t="s">
        <v>71</v>
      </c>
      <c r="D180" s="215" t="s">
        <v>69</v>
      </c>
      <c r="E180" s="225">
        <f>'dod3'!E181-'dod3 - базовий бюджет'!F161</f>
        <v>0</v>
      </c>
      <c r="F180" s="225">
        <f>'dod3'!F181-'dod3 - базовий бюджет'!G161</f>
        <v>0</v>
      </c>
      <c r="G180" s="225">
        <f>'dod3'!G181-'dod3 - базовий бюджет'!H161</f>
        <v>0</v>
      </c>
      <c r="H180" s="225">
        <f>'dod3'!H181-'dod3 - базовий бюджет'!I161</f>
        <v>0</v>
      </c>
      <c r="I180" s="225">
        <f>'dod3'!I181-'dod3 - базовий бюджет'!J161</f>
        <v>0</v>
      </c>
      <c r="J180" s="225">
        <f>'dod3'!J181-'dod3 - базовий бюджет'!K161</f>
        <v>0</v>
      </c>
      <c r="K180" s="225">
        <f>'dod3'!K181-'dod3 - базовий бюджет'!L161</f>
        <v>0</v>
      </c>
      <c r="L180" s="225">
        <f>'dod3'!L181-'dod3 - базовий бюджет'!M161</f>
        <v>0</v>
      </c>
      <c r="M180" s="225">
        <f>'dod3'!M181-'dod3 - базовий бюджет'!N161</f>
        <v>0</v>
      </c>
      <c r="N180" s="225">
        <f>'dod3'!N181-'dod3 - базовий бюджет'!O161</f>
        <v>0</v>
      </c>
      <c r="O180" s="225">
        <f>'dod3'!O181-'dod3 - базовий бюджет'!P161</f>
        <v>0</v>
      </c>
      <c r="P180" s="225">
        <f>'dod3'!P181-'dod3 - базовий бюджет'!Q161</f>
        <v>0</v>
      </c>
    </row>
    <row r="181" spans="1:18" ht="81.75" customHeight="1" x14ac:dyDescent="0.55000000000000004">
      <c r="A181" s="188" t="s">
        <v>651</v>
      </c>
      <c r="B181" s="188" t="s">
        <v>651</v>
      </c>
      <c r="C181" s="188" t="s">
        <v>651</v>
      </c>
      <c r="D181" s="189" t="s">
        <v>669</v>
      </c>
      <c r="E181" s="143">
        <f>E13+E25+E108+E38+E52+E98+E124+E145+E154+E176+E158+E165+E171</f>
        <v>93620941.779999971</v>
      </c>
      <c r="F181" s="143">
        <f>F13+F25+F108+F38+F51+F98+F124+F145+F154+F176+F158+F165+F171</f>
        <v>93620941.779999971</v>
      </c>
      <c r="G181" s="143">
        <f t="shared" ref="G181:O181" si="66">G13+G25+G108+G38+G52+G98+G124+G145+G154+G176+G158+G165+G171</f>
        <v>7572186.3999999762</v>
      </c>
      <c r="H181" s="143">
        <f t="shared" si="66"/>
        <v>1330047</v>
      </c>
      <c r="I181" s="143">
        <f t="shared" si="66"/>
        <v>0</v>
      </c>
      <c r="J181" s="143">
        <f t="shared" si="66"/>
        <v>125401217.83</v>
      </c>
      <c r="K181" s="143">
        <f t="shared" si="66"/>
        <v>134259945.34999999</v>
      </c>
      <c r="L181" s="143">
        <f t="shared" si="66"/>
        <v>-9065491</v>
      </c>
      <c r="M181" s="143">
        <f t="shared" si="66"/>
        <v>-34100</v>
      </c>
      <c r="N181" s="143">
        <f t="shared" si="66"/>
        <v>181249</v>
      </c>
      <c r="O181" s="143">
        <f t="shared" si="66"/>
        <v>134466708.82999998</v>
      </c>
      <c r="P181" s="143">
        <f>P13+P25+P108+P38+P51+P98+P124+P145+P154+P176+P158+P165+P171</f>
        <v>219022159.60999998</v>
      </c>
      <c r="Q181" s="14"/>
    </row>
    <row r="182" spans="1:18" ht="45.75" x14ac:dyDescent="0.2">
      <c r="A182" s="424" t="s">
        <v>454</v>
      </c>
      <c r="B182" s="425"/>
      <c r="C182" s="425"/>
      <c r="D182" s="425"/>
      <c r="E182" s="425"/>
      <c r="F182" s="425"/>
      <c r="G182" s="425"/>
      <c r="H182" s="425"/>
      <c r="I182" s="425"/>
      <c r="J182" s="425"/>
      <c r="K182" s="425"/>
      <c r="L182" s="425"/>
      <c r="M182" s="425"/>
      <c r="N182" s="425"/>
      <c r="O182" s="425"/>
      <c r="P182" s="425"/>
      <c r="Q182" s="12"/>
    </row>
    <row r="183" spans="1:18" ht="45.75" hidden="1" x14ac:dyDescent="0.2">
      <c r="A183" s="121"/>
      <c r="B183" s="122"/>
      <c r="C183" s="122"/>
      <c r="D183" s="122"/>
      <c r="E183" s="226">
        <f>F183</f>
        <v>2719478063.7800002</v>
      </c>
      <c r="F183" s="226">
        <f>2630608432+88869631.78</f>
        <v>2719478063.7800002</v>
      </c>
      <c r="G183" s="226">
        <f>849422587+143550+5928000+86028.4+389900+20400+13948+160000+82000</f>
        <v>856246413.39999998</v>
      </c>
      <c r="H183" s="226">
        <f>96770291+4000+2000+5000+427000+69535</f>
        <v>97277826</v>
      </c>
      <c r="I183" s="226">
        <v>0</v>
      </c>
      <c r="J183" s="226">
        <f>L183+O183</f>
        <v>512656433.82999998</v>
      </c>
      <c r="K183" s="226">
        <f>254272789+124423259.83-31243.48-546803.04-150000</f>
        <v>377968002.30999994</v>
      </c>
      <c r="L183" s="352">
        <v>131537535</v>
      </c>
      <c r="M183" s="226">
        <f>33043505-34100</f>
        <v>33009405</v>
      </c>
      <c r="N183" s="226">
        <v>8774975</v>
      </c>
      <c r="O183" s="352">
        <f>256695639+124423259.83</f>
        <v>381118898.82999998</v>
      </c>
      <c r="P183" s="226">
        <f>E183+J183</f>
        <v>3232134497.6100001</v>
      </c>
      <c r="Q183" s="12"/>
    </row>
    <row r="184" spans="1:18" x14ac:dyDescent="0.2">
      <c r="E184" s="4"/>
      <c r="F184" s="3"/>
      <c r="J184" s="4"/>
      <c r="K184" s="4"/>
    </row>
    <row r="185" spans="1:18" ht="60.75" x14ac:dyDescent="0.2">
      <c r="D185" s="10"/>
      <c r="E185" s="152"/>
      <c r="F185" s="185"/>
      <c r="P185" s="119"/>
    </row>
    <row r="186" spans="1:18" ht="60.75" x14ac:dyDescent="0.2">
      <c r="A186"/>
      <c r="B186"/>
      <c r="C186"/>
      <c r="D186" s="10"/>
      <c r="E186" s="152"/>
      <c r="F186" s="133"/>
      <c r="G186" s="3"/>
      <c r="J186" s="4"/>
      <c r="K186" s="4"/>
      <c r="L186"/>
      <c r="M186"/>
      <c r="N186"/>
      <c r="O186"/>
      <c r="P186" s="119"/>
    </row>
    <row r="187" spans="1:18" ht="62.25" x14ac:dyDescent="0.8">
      <c r="A187"/>
      <c r="B187"/>
      <c r="C187"/>
      <c r="D187"/>
      <c r="E187" s="21"/>
      <c r="F187" s="133"/>
      <c r="J187" s="4"/>
      <c r="K187" s="4"/>
      <c r="L187"/>
      <c r="M187"/>
      <c r="N187"/>
      <c r="O187"/>
      <c r="P187" s="159"/>
    </row>
    <row r="188" spans="1:18" ht="45.75" x14ac:dyDescent="0.2">
      <c r="E188" s="22"/>
      <c r="F188" s="185"/>
    </row>
    <row r="189" spans="1:18" ht="45.75" x14ac:dyDescent="0.2">
      <c r="A189"/>
      <c r="B189"/>
      <c r="C189"/>
      <c r="D189"/>
      <c r="E189" s="21"/>
      <c r="F189" s="133"/>
      <c r="L189"/>
      <c r="M189"/>
      <c r="N189"/>
      <c r="O189"/>
      <c r="P189"/>
    </row>
    <row r="190" spans="1:18" ht="45.75" x14ac:dyDescent="0.2">
      <c r="E190" s="22"/>
      <c r="F190" s="185"/>
    </row>
    <row r="191" spans="1:18" ht="45.75" x14ac:dyDescent="0.2">
      <c r="E191" s="22"/>
      <c r="F191" s="185"/>
    </row>
    <row r="192" spans="1:18" ht="45.75" x14ac:dyDescent="0.2">
      <c r="E192" s="22"/>
      <c r="F192" s="185"/>
    </row>
    <row r="193" spans="1:16" ht="45.75" x14ac:dyDescent="0.2">
      <c r="A193"/>
      <c r="B193"/>
      <c r="C193"/>
      <c r="D193"/>
      <c r="E193" s="22"/>
      <c r="F193" s="185"/>
      <c r="G193"/>
      <c r="H193"/>
      <c r="I193"/>
      <c r="J193"/>
      <c r="K193"/>
      <c r="L193"/>
      <c r="M193"/>
      <c r="N193"/>
      <c r="O193"/>
      <c r="P193"/>
    </row>
    <row r="194" spans="1:16" ht="45.75" x14ac:dyDescent="0.2">
      <c r="A194"/>
      <c r="B194"/>
      <c r="C194"/>
      <c r="D194"/>
      <c r="E194" s="22"/>
      <c r="F194" s="185"/>
      <c r="G194"/>
      <c r="H194"/>
      <c r="I194"/>
      <c r="J194"/>
      <c r="K194"/>
      <c r="L194"/>
      <c r="M194"/>
      <c r="N194"/>
      <c r="O194"/>
      <c r="P194"/>
    </row>
    <row r="195" spans="1:16" ht="45.75" x14ac:dyDescent="0.2">
      <c r="A195"/>
      <c r="B195"/>
      <c r="C195"/>
      <c r="D195"/>
      <c r="E195" s="22"/>
      <c r="F195" s="185"/>
      <c r="G195"/>
      <c r="H195"/>
      <c r="I195"/>
      <c r="J195"/>
      <c r="K195"/>
      <c r="L195"/>
      <c r="M195"/>
      <c r="N195"/>
      <c r="O195"/>
      <c r="P195"/>
    </row>
    <row r="196" spans="1:16" ht="45.75" x14ac:dyDescent="0.2">
      <c r="A196"/>
      <c r="B196"/>
      <c r="C196"/>
      <c r="D196"/>
      <c r="E196" s="22"/>
      <c r="F196" s="185"/>
      <c r="G196"/>
      <c r="H196"/>
      <c r="I196"/>
      <c r="J196"/>
      <c r="K196"/>
      <c r="L196"/>
      <c r="M196"/>
      <c r="N196"/>
      <c r="O196"/>
      <c r="P196"/>
    </row>
  </sheetData>
  <mergeCells count="97">
    <mergeCell ref="A182:P182"/>
    <mergeCell ref="K141:K142"/>
    <mergeCell ref="L141:L142"/>
    <mergeCell ref="M141:M142"/>
    <mergeCell ref="N141:N142"/>
    <mergeCell ref="O141:O142"/>
    <mergeCell ref="P141:P142"/>
    <mergeCell ref="G141:G142"/>
    <mergeCell ref="H141:H142"/>
    <mergeCell ref="I141:I142"/>
    <mergeCell ref="J141:J142"/>
    <mergeCell ref="K95:K96"/>
    <mergeCell ref="L95:L96"/>
    <mergeCell ref="M95:M96"/>
    <mergeCell ref="N95:N96"/>
    <mergeCell ref="O95:O96"/>
    <mergeCell ref="J95:J96"/>
    <mergeCell ref="A141:A142"/>
    <mergeCell ref="B141:B142"/>
    <mergeCell ref="C141:C142"/>
    <mergeCell ref="E141:E142"/>
    <mergeCell ref="F141:F142"/>
    <mergeCell ref="P88:P90"/>
    <mergeCell ref="A95:A96"/>
    <mergeCell ref="B95:B96"/>
    <mergeCell ref="C95:C96"/>
    <mergeCell ref="E95:E96"/>
    <mergeCell ref="F95:F96"/>
    <mergeCell ref="G95:G96"/>
    <mergeCell ref="H95:H96"/>
    <mergeCell ref="I95:I96"/>
    <mergeCell ref="I88:I90"/>
    <mergeCell ref="J88:J90"/>
    <mergeCell ref="K88:K90"/>
    <mergeCell ref="L88:L90"/>
    <mergeCell ref="M88:M90"/>
    <mergeCell ref="N88:N90"/>
    <mergeCell ref="P95:P96"/>
    <mergeCell ref="O77:O78"/>
    <mergeCell ref="P77:P78"/>
    <mergeCell ref="A88:A90"/>
    <mergeCell ref="B88:B90"/>
    <mergeCell ref="C88:C90"/>
    <mergeCell ref="E88:E90"/>
    <mergeCell ref="F88:F90"/>
    <mergeCell ref="G88:G90"/>
    <mergeCell ref="H88:H90"/>
    <mergeCell ref="H77:H78"/>
    <mergeCell ref="I77:I78"/>
    <mergeCell ref="J77:J78"/>
    <mergeCell ref="K77:K78"/>
    <mergeCell ref="L77:L78"/>
    <mergeCell ref="M77:M78"/>
    <mergeCell ref="O88:O90"/>
    <mergeCell ref="A77:A78"/>
    <mergeCell ref="B77:B78"/>
    <mergeCell ref="C77:C78"/>
    <mergeCell ref="E77:E78"/>
    <mergeCell ref="F77:F78"/>
    <mergeCell ref="G77:G78"/>
    <mergeCell ref="K18:K19"/>
    <mergeCell ref="L18:L19"/>
    <mergeCell ref="M18:M19"/>
    <mergeCell ref="N18:N19"/>
    <mergeCell ref="N77:N78"/>
    <mergeCell ref="O18:O19"/>
    <mergeCell ref="P18:P19"/>
    <mergeCell ref="O9:O10"/>
    <mergeCell ref="A18:A19"/>
    <mergeCell ref="B18:B19"/>
    <mergeCell ref="C18:C19"/>
    <mergeCell ref="E18:E19"/>
    <mergeCell ref="F18:F19"/>
    <mergeCell ref="G18:G19"/>
    <mergeCell ref="H18:H19"/>
    <mergeCell ref="I18:I19"/>
    <mergeCell ref="J18:J19"/>
    <mergeCell ref="A8:A10"/>
    <mergeCell ref="B8:B10"/>
    <mergeCell ref="C8:C10"/>
    <mergeCell ref="D8:D10"/>
    <mergeCell ref="J8:O8"/>
    <mergeCell ref="P8:P10"/>
    <mergeCell ref="E9:E10"/>
    <mergeCell ref="F9:F10"/>
    <mergeCell ref="G9:H9"/>
    <mergeCell ref="I9:I10"/>
    <mergeCell ref="J9:J10"/>
    <mergeCell ref="K9:K10"/>
    <mergeCell ref="L9:L10"/>
    <mergeCell ref="M9:N9"/>
    <mergeCell ref="E8:I8"/>
    <mergeCell ref="O1:P1"/>
    <mergeCell ref="O2:P2"/>
    <mergeCell ref="O3:P3"/>
    <mergeCell ref="A5:P5"/>
    <mergeCell ref="A6:P6"/>
  </mergeCells>
  <conditionalFormatting sqref="Q154:R155">
    <cfRule type="iconSet" priority="6">
      <iconSet iconSet="3Arrows">
        <cfvo type="percent" val="0"/>
        <cfvo type="percent" val="33"/>
        <cfvo type="percent" val="67"/>
      </iconSet>
    </cfRule>
  </conditionalFormatting>
  <conditionalFormatting sqref="Q165:R166">
    <cfRule type="iconSet" priority="5">
      <iconSet iconSet="3Arrows">
        <cfvo type="percent" val="0"/>
        <cfvo type="percent" val="33"/>
        <cfvo type="percent" val="67"/>
      </iconSet>
    </cfRule>
  </conditionalFormatting>
  <conditionalFormatting sqref="Q177:R177 Q176">
    <cfRule type="iconSet" priority="4">
      <iconSet iconSet="3Arrows">
        <cfvo type="percent" val="0"/>
        <cfvo type="percent" val="33"/>
        <cfvo type="percent" val="67"/>
      </iconSet>
    </cfRule>
  </conditionalFormatting>
  <conditionalFormatting sqref="Q171:R172">
    <cfRule type="iconSet" priority="3">
      <iconSet iconSet="3Arrows">
        <cfvo type="percent" val="0"/>
        <cfvo type="percent" val="33"/>
        <cfvo type="percent" val="67"/>
      </iconSet>
    </cfRule>
  </conditionalFormatting>
  <conditionalFormatting sqref="R176">
    <cfRule type="iconSet" priority="2">
      <iconSet iconSet="3Arrows">
        <cfvo type="percent" val="0"/>
        <cfvo type="percent" val="33"/>
        <cfvo type="percent" val="67"/>
      </iconSet>
    </cfRule>
  </conditionalFormatting>
  <conditionalFormatting sqref="Q158:R158">
    <cfRule type="iconSet" priority="7">
      <iconSet iconSet="3Arrows">
        <cfvo type="percent" val="0"/>
        <cfvo type="percent" val="33"/>
        <cfvo type="percent" val="67"/>
      </iconSet>
    </cfRule>
  </conditionalFormatting>
  <conditionalFormatting sqref="R159:R163">
    <cfRule type="iconSet" priority="1">
      <iconSet iconSet="3Arrows">
        <cfvo type="percent" val="0"/>
        <cfvo type="percent" val="33"/>
        <cfvo type="percent" val="67"/>
      </iconSet>
    </cfRule>
  </conditionalFormatting>
  <pageMargins left="0.23622047244094491" right="0.27559055118110237" top="0.27559055118110237" bottom="0.15748031496062992" header="0.23622047244094491" footer="0.27559055118110237"/>
  <pageSetup paperSize="9" scale="15" fitToHeight="0" orientation="landscape" r:id="rId1"/>
  <headerFooter alignWithMargins="0">
    <oddFooter>&amp;C&amp;"Times New Roman Cyr,курсив"Сторінка &amp;P з &amp;N</oddFooter>
  </headerFooter>
  <rowBreaks count="2" manualBreakCount="2">
    <brk id="50" max="15" man="1"/>
    <brk id="72"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1CCF5-5AFD-4E3B-BB06-2534ECCA62DF}">
  <sheetPr>
    <pageSetUpPr fitToPage="1"/>
  </sheetPr>
  <dimension ref="A2:T208"/>
  <sheetViews>
    <sheetView view="pageBreakPreview" zoomScale="25" zoomScaleNormal="25" zoomScaleSheetLayoutView="25" zoomScalePageLayoutView="10" workbookViewId="0">
      <pane ySplit="12" topLeftCell="A13" activePane="bottomLeft" state="frozen"/>
      <selection activeCell="K153" sqref="K153"/>
      <selection pane="bottomLeft" activeCell="K142" sqref="K142:K143"/>
    </sheetView>
  </sheetViews>
  <sheetFormatPr defaultRowHeight="12.75" x14ac:dyDescent="0.2"/>
  <cols>
    <col min="1" max="1" width="48" style="1" customWidth="1"/>
    <col min="2" max="2" width="52.5703125" style="1" customWidth="1"/>
    <col min="3" max="3" width="65.7109375" style="1" customWidth="1"/>
    <col min="4" max="4" width="106.28515625" style="1" customWidth="1"/>
    <col min="5" max="5" width="66.42578125" style="5" customWidth="1"/>
    <col min="6" max="6" width="58.5703125" style="1" customWidth="1"/>
    <col min="7" max="7" width="55.42578125" style="1" customWidth="1"/>
    <col min="8" max="8" width="48.140625" style="1" customWidth="1"/>
    <col min="9" max="9" width="41.85546875" style="1" customWidth="1"/>
    <col min="10" max="10" width="50.5703125" style="5" customWidth="1"/>
    <col min="11" max="11" width="52.5703125" style="5" customWidth="1"/>
    <col min="12" max="12" width="56.140625" style="1" customWidth="1"/>
    <col min="13" max="13" width="54.85546875" style="1" customWidth="1"/>
    <col min="14" max="14" width="45.28515625" style="1" bestFit="1" customWidth="1"/>
    <col min="15" max="15" width="56.140625" style="1" bestFit="1" customWidth="1"/>
    <col min="16" max="16" width="86.28515625" style="5" customWidth="1"/>
    <col min="17" max="17" width="52.140625" customWidth="1"/>
    <col min="18" max="18" width="66.42578125" bestFit="1" customWidth="1"/>
    <col min="20" max="20" width="24.7109375" bestFit="1" customWidth="1"/>
  </cols>
  <sheetData>
    <row r="2" spans="1:18" ht="45.75" x14ac:dyDescent="0.2">
      <c r="D2" s="7"/>
      <c r="E2" s="8"/>
      <c r="F2" s="9"/>
      <c r="G2" s="8"/>
      <c r="H2" s="8"/>
      <c r="I2" s="8"/>
      <c r="J2" s="8"/>
      <c r="K2" s="8"/>
      <c r="L2" s="8"/>
      <c r="M2" s="8"/>
      <c r="N2" s="408" t="s">
        <v>89</v>
      </c>
      <c r="O2" s="392"/>
      <c r="P2" s="392"/>
      <c r="Q2" s="392"/>
    </row>
    <row r="3" spans="1:18" ht="45.75" x14ac:dyDescent="0.2">
      <c r="A3" s="7"/>
      <c r="B3" s="7"/>
      <c r="C3" s="7"/>
      <c r="D3" s="7"/>
      <c r="E3" s="8"/>
      <c r="F3" s="9"/>
      <c r="G3" s="8"/>
      <c r="H3" s="8"/>
      <c r="I3" s="8"/>
      <c r="J3" s="8"/>
      <c r="K3" s="8"/>
      <c r="L3" s="8"/>
      <c r="M3" s="8"/>
      <c r="N3" s="408" t="s">
        <v>934</v>
      </c>
      <c r="O3" s="409"/>
      <c r="P3" s="409"/>
      <c r="Q3" s="409"/>
    </row>
    <row r="4" spans="1:18" ht="40.700000000000003" customHeight="1" x14ac:dyDescent="0.2">
      <c r="A4" s="7"/>
      <c r="B4" s="7"/>
      <c r="C4" s="7"/>
      <c r="D4" s="7"/>
      <c r="E4" s="8"/>
      <c r="F4" s="9"/>
      <c r="G4" s="8"/>
      <c r="H4" s="8"/>
      <c r="I4" s="8"/>
      <c r="J4" s="8"/>
      <c r="K4" s="8"/>
      <c r="L4" s="8"/>
      <c r="M4" s="8"/>
      <c r="N4" s="8"/>
      <c r="O4" s="408"/>
      <c r="P4" s="410"/>
    </row>
    <row r="5" spans="1:18" ht="45.75" hidden="1" x14ac:dyDescent="0.2">
      <c r="A5" s="7"/>
      <c r="B5" s="7"/>
      <c r="C5" s="7"/>
      <c r="D5" s="7"/>
      <c r="E5" s="8"/>
      <c r="F5" s="9"/>
      <c r="G5" s="8"/>
      <c r="H5" s="8"/>
      <c r="I5" s="8"/>
      <c r="J5" s="8"/>
      <c r="K5" s="8"/>
      <c r="L5" s="8"/>
      <c r="M5" s="8"/>
      <c r="N5" s="8"/>
      <c r="O5" s="7"/>
      <c r="P5" s="9"/>
    </row>
    <row r="6" spans="1:18" ht="45" x14ac:dyDescent="0.2">
      <c r="A6" s="412" t="s">
        <v>88</v>
      </c>
      <c r="B6" s="412"/>
      <c r="C6" s="412"/>
      <c r="D6" s="412"/>
      <c r="E6" s="412"/>
      <c r="F6" s="412"/>
      <c r="G6" s="412"/>
      <c r="H6" s="412"/>
      <c r="I6" s="412"/>
      <c r="J6" s="412"/>
      <c r="K6" s="412"/>
      <c r="L6" s="412"/>
      <c r="M6" s="412"/>
      <c r="N6" s="412"/>
      <c r="O6" s="412"/>
      <c r="P6" s="412"/>
    </row>
    <row r="7" spans="1:18" ht="45" x14ac:dyDescent="0.2">
      <c r="A7" s="412" t="s">
        <v>657</v>
      </c>
      <c r="B7" s="412"/>
      <c r="C7" s="412"/>
      <c r="D7" s="412"/>
      <c r="E7" s="412"/>
      <c r="F7" s="412"/>
      <c r="G7" s="412"/>
      <c r="H7" s="412"/>
      <c r="I7" s="412"/>
      <c r="J7" s="412"/>
      <c r="K7" s="412"/>
      <c r="L7" s="412"/>
      <c r="M7" s="412"/>
      <c r="N7" s="412"/>
      <c r="O7" s="412"/>
      <c r="P7" s="412"/>
    </row>
    <row r="8" spans="1:18" ht="53.45" customHeight="1" x14ac:dyDescent="0.2">
      <c r="A8" s="8"/>
      <c r="B8" s="8"/>
      <c r="C8" s="8"/>
      <c r="D8" s="8"/>
      <c r="E8" s="8"/>
      <c r="F8" s="9"/>
      <c r="G8" s="8"/>
      <c r="H8" s="8"/>
      <c r="I8" s="8"/>
      <c r="J8" s="8"/>
      <c r="K8" s="8"/>
      <c r="L8" s="8"/>
      <c r="M8" s="8"/>
      <c r="N8" s="8"/>
      <c r="O8" s="8"/>
      <c r="P8" s="10" t="s">
        <v>658</v>
      </c>
    </row>
    <row r="9" spans="1:18" ht="62.45" customHeight="1" x14ac:dyDescent="0.2">
      <c r="A9" s="429" t="s">
        <v>29</v>
      </c>
      <c r="B9" s="429" t="s">
        <v>661</v>
      </c>
      <c r="C9" s="429" t="s">
        <v>668</v>
      </c>
      <c r="D9" s="429" t="s">
        <v>662</v>
      </c>
      <c r="E9" s="411" t="s">
        <v>25</v>
      </c>
      <c r="F9" s="411"/>
      <c r="G9" s="411"/>
      <c r="H9" s="411"/>
      <c r="I9" s="411"/>
      <c r="J9" s="433" t="s">
        <v>84</v>
      </c>
      <c r="K9" s="434"/>
      <c r="L9" s="434"/>
      <c r="M9" s="434"/>
      <c r="N9" s="434"/>
      <c r="O9" s="435"/>
      <c r="P9" s="411" t="s">
        <v>24</v>
      </c>
    </row>
    <row r="10" spans="1:18" ht="255" customHeight="1" x14ac:dyDescent="0.2">
      <c r="A10" s="430"/>
      <c r="B10" s="432"/>
      <c r="C10" s="432"/>
      <c r="D10" s="430"/>
      <c r="E10" s="413" t="s">
        <v>654</v>
      </c>
      <c r="F10" s="413" t="s">
        <v>85</v>
      </c>
      <c r="G10" s="413" t="s">
        <v>26</v>
      </c>
      <c r="H10" s="413"/>
      <c r="I10" s="413" t="s">
        <v>87</v>
      </c>
      <c r="J10" s="413" t="s">
        <v>654</v>
      </c>
      <c r="K10" s="413" t="s">
        <v>655</v>
      </c>
      <c r="L10" s="413" t="s">
        <v>85</v>
      </c>
      <c r="M10" s="413" t="s">
        <v>26</v>
      </c>
      <c r="N10" s="413"/>
      <c r="O10" s="413" t="s">
        <v>87</v>
      </c>
      <c r="P10" s="411"/>
    </row>
    <row r="11" spans="1:18" ht="135" x14ac:dyDescent="0.2">
      <c r="A11" s="431"/>
      <c r="B11" s="431"/>
      <c r="C11" s="431"/>
      <c r="D11" s="431"/>
      <c r="E11" s="413"/>
      <c r="F11" s="413"/>
      <c r="G11" s="195" t="s">
        <v>86</v>
      </c>
      <c r="H11" s="195" t="s">
        <v>28</v>
      </c>
      <c r="I11" s="413"/>
      <c r="J11" s="413"/>
      <c r="K11" s="413"/>
      <c r="L11" s="413"/>
      <c r="M11" s="195" t="s">
        <v>86</v>
      </c>
      <c r="N11" s="195" t="s">
        <v>28</v>
      </c>
      <c r="O11" s="413"/>
      <c r="P11" s="411"/>
    </row>
    <row r="12" spans="1:18" s="2" customFormat="1" ht="111" customHeight="1" x14ac:dyDescent="0.2">
      <c r="A12" s="11" t="s">
        <v>4</v>
      </c>
      <c r="B12" s="11" t="s">
        <v>5</v>
      </c>
      <c r="C12" s="11" t="s">
        <v>27</v>
      </c>
      <c r="D12" s="11" t="s">
        <v>7</v>
      </c>
      <c r="E12" s="11" t="s">
        <v>671</v>
      </c>
      <c r="F12" s="11" t="s">
        <v>672</v>
      </c>
      <c r="G12" s="11" t="s">
        <v>673</v>
      </c>
      <c r="H12" s="11" t="s">
        <v>674</v>
      </c>
      <c r="I12" s="11" t="s">
        <v>675</v>
      </c>
      <c r="J12" s="11" t="s">
        <v>676</v>
      </c>
      <c r="K12" s="11" t="s">
        <v>677</v>
      </c>
      <c r="L12" s="11" t="s">
        <v>678</v>
      </c>
      <c r="M12" s="11" t="s">
        <v>679</v>
      </c>
      <c r="N12" s="11" t="s">
        <v>680</v>
      </c>
      <c r="O12" s="11" t="s">
        <v>681</v>
      </c>
      <c r="P12" s="11" t="s">
        <v>682</v>
      </c>
    </row>
    <row r="13" spans="1:18" s="2" customFormat="1" ht="135" x14ac:dyDescent="0.2">
      <c r="A13" s="296" t="s">
        <v>234</v>
      </c>
      <c r="B13" s="296"/>
      <c r="C13" s="296"/>
      <c r="D13" s="297" t="s">
        <v>236</v>
      </c>
      <c r="E13" s="298">
        <f>E14</f>
        <v>90752908</v>
      </c>
      <c r="F13" s="298">
        <f t="shared" ref="F13:N13" si="0">F14</f>
        <v>90752908</v>
      </c>
      <c r="G13" s="298">
        <f t="shared" si="0"/>
        <v>54985000</v>
      </c>
      <c r="H13" s="298">
        <f t="shared" si="0"/>
        <v>2521600</v>
      </c>
      <c r="I13" s="298">
        <f t="shared" si="0"/>
        <v>0</v>
      </c>
      <c r="J13" s="298">
        <f t="shared" si="0"/>
        <v>10815718.039999999</v>
      </c>
      <c r="K13" s="298">
        <f t="shared" si="0"/>
        <v>7896952</v>
      </c>
      <c r="L13" s="298">
        <f t="shared" si="0"/>
        <v>2868766.04</v>
      </c>
      <c r="M13" s="298">
        <f t="shared" si="0"/>
        <v>0</v>
      </c>
      <c r="N13" s="298">
        <f t="shared" si="0"/>
        <v>0</v>
      </c>
      <c r="O13" s="298">
        <f>O14</f>
        <v>7946952</v>
      </c>
      <c r="P13" s="298">
        <f t="shared" ref="P13" si="1">P14</f>
        <v>101568626.03999999</v>
      </c>
    </row>
    <row r="14" spans="1:18" s="2" customFormat="1" ht="135" x14ac:dyDescent="0.2">
      <c r="A14" s="299" t="s">
        <v>235</v>
      </c>
      <c r="B14" s="299"/>
      <c r="C14" s="299"/>
      <c r="D14" s="300" t="s">
        <v>237</v>
      </c>
      <c r="E14" s="301">
        <f>SUM(E15:E24)</f>
        <v>90752908</v>
      </c>
      <c r="F14" s="301">
        <f t="shared" ref="F14:I14" si="2">SUM(F15:F24)</f>
        <v>90752908</v>
      </c>
      <c r="G14" s="301">
        <f t="shared" si="2"/>
        <v>54985000</v>
      </c>
      <c r="H14" s="301">
        <f t="shared" si="2"/>
        <v>2521600</v>
      </c>
      <c r="I14" s="301">
        <f t="shared" si="2"/>
        <v>0</v>
      </c>
      <c r="J14" s="301">
        <f t="shared" ref="J14:J19" si="3">L14+O14</f>
        <v>10815718.039999999</v>
      </c>
      <c r="K14" s="301">
        <f t="shared" ref="K14:O14" si="4">SUM(K15:K24)</f>
        <v>7896952</v>
      </c>
      <c r="L14" s="301">
        <f t="shared" si="4"/>
        <v>2868766.04</v>
      </c>
      <c r="M14" s="301">
        <f t="shared" si="4"/>
        <v>0</v>
      </c>
      <c r="N14" s="301">
        <f t="shared" si="4"/>
        <v>0</v>
      </c>
      <c r="O14" s="301">
        <f t="shared" si="4"/>
        <v>7946952</v>
      </c>
      <c r="P14" s="301">
        <f>E14+J14</f>
        <v>101568626.03999999</v>
      </c>
      <c r="Q14" s="141" t="b">
        <f>P15+P16+P17+P18+P21+P22+P19+P23+P24=P14</f>
        <v>1</v>
      </c>
      <c r="R14" s="141" t="b">
        <f>K14='dod5'!I6</f>
        <v>1</v>
      </c>
    </row>
    <row r="15" spans="1:18" ht="320.25" x14ac:dyDescent="0.2">
      <c r="A15" s="270" t="s">
        <v>337</v>
      </c>
      <c r="B15" s="270" t="s">
        <v>338</v>
      </c>
      <c r="C15" s="270" t="s">
        <v>339</v>
      </c>
      <c r="D15" s="270" t="s">
        <v>336</v>
      </c>
      <c r="E15" s="271">
        <f t="shared" ref="E15:E24" si="5">F15</f>
        <v>79041400</v>
      </c>
      <c r="F15" s="111">
        <f>(77586750)+1454650</f>
        <v>79041400</v>
      </c>
      <c r="G15" s="111">
        <v>54985000</v>
      </c>
      <c r="H15" s="111">
        <f>(2510600)+11000</f>
        <v>2521600</v>
      </c>
      <c r="I15" s="111"/>
      <c r="J15" s="271">
        <f t="shared" si="3"/>
        <v>778500</v>
      </c>
      <c r="K15" s="111">
        <f>(210000)+568500</f>
        <v>778500</v>
      </c>
      <c r="L15" s="154"/>
      <c r="M15" s="230"/>
      <c r="N15" s="230"/>
      <c r="O15" s="243">
        <f>K15</f>
        <v>778500</v>
      </c>
      <c r="P15" s="271">
        <f>+J15+E15</f>
        <v>79819900</v>
      </c>
      <c r="R15" s="141" t="b">
        <f>K15='dod5'!I8</f>
        <v>1</v>
      </c>
    </row>
    <row r="16" spans="1:18" ht="91.5" x14ac:dyDescent="0.2">
      <c r="A16" s="270" t="s">
        <v>353</v>
      </c>
      <c r="B16" s="270" t="s">
        <v>71</v>
      </c>
      <c r="C16" s="270" t="s">
        <v>70</v>
      </c>
      <c r="D16" s="270" t="s">
        <v>354</v>
      </c>
      <c r="E16" s="271">
        <f t="shared" si="5"/>
        <v>2305000</v>
      </c>
      <c r="F16" s="225">
        <f>(1305000)+1000000</f>
        <v>2305000</v>
      </c>
      <c r="G16" s="225"/>
      <c r="H16" s="225"/>
      <c r="I16" s="225"/>
      <c r="J16" s="271">
        <f t="shared" si="3"/>
        <v>0</v>
      </c>
      <c r="K16" s="225"/>
      <c r="L16" s="225"/>
      <c r="M16" s="225"/>
      <c r="N16" s="225"/>
      <c r="O16" s="243">
        <f>K16</f>
        <v>0</v>
      </c>
      <c r="P16" s="271">
        <f>E16+J16</f>
        <v>2305000</v>
      </c>
      <c r="R16" s="141"/>
    </row>
    <row r="17" spans="1:20" ht="91.5" x14ac:dyDescent="0.2">
      <c r="A17" s="270" t="s">
        <v>343</v>
      </c>
      <c r="B17" s="270" t="s">
        <v>344</v>
      </c>
      <c r="C17" s="270" t="s">
        <v>345</v>
      </c>
      <c r="D17" s="270" t="s">
        <v>342</v>
      </c>
      <c r="E17" s="271">
        <f t="shared" si="5"/>
        <v>3236400</v>
      </c>
      <c r="F17" s="225">
        <v>3236400</v>
      </c>
      <c r="G17" s="225">
        <f>H17+I17</f>
        <v>0</v>
      </c>
      <c r="H17" s="225"/>
      <c r="I17" s="225"/>
      <c r="J17" s="271">
        <f t="shared" si="3"/>
        <v>3500000</v>
      </c>
      <c r="K17" s="225">
        <f>(1500000)+2000000</f>
        <v>3500000</v>
      </c>
      <c r="L17" s="225"/>
      <c r="M17" s="225"/>
      <c r="N17" s="225"/>
      <c r="O17" s="243">
        <f>K17</f>
        <v>3500000</v>
      </c>
      <c r="P17" s="271">
        <f>+J17+E17</f>
        <v>6736400</v>
      </c>
      <c r="R17" s="141" t="b">
        <f>K17='dod5'!I9</f>
        <v>1</v>
      </c>
    </row>
    <row r="18" spans="1:20" ht="137.25" x14ac:dyDescent="0.2">
      <c r="A18" s="270" t="s">
        <v>445</v>
      </c>
      <c r="B18" s="270" t="s">
        <v>446</v>
      </c>
      <c r="C18" s="270" t="s">
        <v>256</v>
      </c>
      <c r="D18" s="268" t="s">
        <v>444</v>
      </c>
      <c r="E18" s="271">
        <f t="shared" si="5"/>
        <v>165000</v>
      </c>
      <c r="F18" s="225">
        <v>165000</v>
      </c>
      <c r="G18" s="225"/>
      <c r="H18" s="225"/>
      <c r="I18" s="225"/>
      <c r="J18" s="271">
        <f t="shared" si="3"/>
        <v>0</v>
      </c>
      <c r="K18" s="225"/>
      <c r="L18" s="225"/>
      <c r="M18" s="225"/>
      <c r="N18" s="225"/>
      <c r="O18" s="243">
        <f>K18</f>
        <v>0</v>
      </c>
      <c r="P18" s="271">
        <f>+J18+E18</f>
        <v>165000</v>
      </c>
      <c r="R18" s="141"/>
    </row>
    <row r="19" spans="1:20" s="123" customFormat="1" ht="409.5" x14ac:dyDescent="0.2">
      <c r="A19" s="422" t="s">
        <v>539</v>
      </c>
      <c r="B19" s="422" t="s">
        <v>538</v>
      </c>
      <c r="C19" s="422" t="s">
        <v>256</v>
      </c>
      <c r="D19" s="231" t="s">
        <v>549</v>
      </c>
      <c r="E19" s="418">
        <f t="shared" si="5"/>
        <v>0</v>
      </c>
      <c r="F19" s="404"/>
      <c r="G19" s="404"/>
      <c r="H19" s="404"/>
      <c r="I19" s="404"/>
      <c r="J19" s="414">
        <f t="shared" si="3"/>
        <v>2918766.04</v>
      </c>
      <c r="K19" s="404"/>
      <c r="L19" s="404">
        <f>(2225100)+643666.04</f>
        <v>2868766.04</v>
      </c>
      <c r="M19" s="404"/>
      <c r="N19" s="404"/>
      <c r="O19" s="406">
        <f>K19+50000</f>
        <v>50000</v>
      </c>
      <c r="P19" s="418">
        <f>E19+J19</f>
        <v>2918766.04</v>
      </c>
      <c r="Q19" s="254">
        <f>P19</f>
        <v>2918766.04</v>
      </c>
    </row>
    <row r="20" spans="1:20" s="123" customFormat="1" ht="137.25" x14ac:dyDescent="0.2">
      <c r="A20" s="403"/>
      <c r="B20" s="403"/>
      <c r="C20" s="403"/>
      <c r="D20" s="235" t="s">
        <v>550</v>
      </c>
      <c r="E20" s="419"/>
      <c r="F20" s="420"/>
      <c r="G20" s="420"/>
      <c r="H20" s="420"/>
      <c r="I20" s="420"/>
      <c r="J20" s="403"/>
      <c r="K20" s="403"/>
      <c r="L20" s="420"/>
      <c r="M20" s="420"/>
      <c r="N20" s="420"/>
      <c r="O20" s="426"/>
      <c r="P20" s="419"/>
    </row>
    <row r="21" spans="1:20" ht="91.5" x14ac:dyDescent="0.2">
      <c r="A21" s="270" t="s">
        <v>346</v>
      </c>
      <c r="B21" s="270" t="s">
        <v>347</v>
      </c>
      <c r="C21" s="270" t="s">
        <v>348</v>
      </c>
      <c r="D21" s="268" t="s">
        <v>349</v>
      </c>
      <c r="E21" s="271">
        <f>F21</f>
        <v>3645000</v>
      </c>
      <c r="F21" s="225">
        <f>(3515000)+130000</f>
        <v>3645000</v>
      </c>
      <c r="G21" s="225"/>
      <c r="H21" s="225"/>
      <c r="I21" s="225"/>
      <c r="J21" s="271">
        <f>L21+O21</f>
        <v>0</v>
      </c>
      <c r="K21" s="225"/>
      <c r="L21" s="225"/>
      <c r="M21" s="225"/>
      <c r="N21" s="225"/>
      <c r="O21" s="243">
        <f>K21</f>
        <v>0</v>
      </c>
      <c r="P21" s="271">
        <f>E21+J21</f>
        <v>3645000</v>
      </c>
    </row>
    <row r="22" spans="1:20" ht="274.5" x14ac:dyDescent="0.2">
      <c r="A22" s="270" t="s">
        <v>350</v>
      </c>
      <c r="B22" s="270" t="s">
        <v>351</v>
      </c>
      <c r="C22" s="270" t="s">
        <v>71</v>
      </c>
      <c r="D22" s="270" t="s">
        <v>352</v>
      </c>
      <c r="E22" s="271">
        <f t="shared" si="5"/>
        <v>190000</v>
      </c>
      <c r="F22" s="225">
        <v>190000</v>
      </c>
      <c r="G22" s="225"/>
      <c r="H22" s="225"/>
      <c r="I22" s="225"/>
      <c r="J22" s="271">
        <f>L22+O22</f>
        <v>0</v>
      </c>
      <c r="K22" s="225"/>
      <c r="L22" s="225"/>
      <c r="M22" s="225"/>
      <c r="N22" s="225"/>
      <c r="O22" s="243">
        <f>K22</f>
        <v>0</v>
      </c>
      <c r="P22" s="271">
        <f>E22+J22</f>
        <v>190000</v>
      </c>
    </row>
    <row r="23" spans="1:20" ht="91.5" x14ac:dyDescent="0.2">
      <c r="A23" s="270" t="s">
        <v>880</v>
      </c>
      <c r="B23" s="270" t="s">
        <v>601</v>
      </c>
      <c r="C23" s="270" t="s">
        <v>71</v>
      </c>
      <c r="D23" s="270" t="s">
        <v>602</v>
      </c>
      <c r="E23" s="271">
        <f t="shared" si="5"/>
        <v>0</v>
      </c>
      <c r="F23" s="225"/>
      <c r="G23" s="225"/>
      <c r="H23" s="225"/>
      <c r="I23" s="225"/>
      <c r="J23" s="271">
        <f t="shared" ref="J23:J24" si="6">L23+O23</f>
        <v>100000</v>
      </c>
      <c r="K23" s="225">
        <v>100000</v>
      </c>
      <c r="L23" s="225"/>
      <c r="M23" s="225"/>
      <c r="N23" s="225"/>
      <c r="O23" s="243">
        <f t="shared" ref="O23:O24" si="7">K23</f>
        <v>100000</v>
      </c>
      <c r="P23" s="271">
        <f t="shared" ref="P23:P24" si="8">E23+J23</f>
        <v>100000</v>
      </c>
      <c r="R23" s="141" t="b">
        <f>K23='dod5'!I10</f>
        <v>1</v>
      </c>
    </row>
    <row r="24" spans="1:20" ht="183" x14ac:dyDescent="0.2">
      <c r="A24" s="270" t="s">
        <v>882</v>
      </c>
      <c r="B24" s="270" t="s">
        <v>883</v>
      </c>
      <c r="C24" s="270" t="s">
        <v>71</v>
      </c>
      <c r="D24" s="270" t="s">
        <v>881</v>
      </c>
      <c r="E24" s="271">
        <f t="shared" si="5"/>
        <v>2170108</v>
      </c>
      <c r="F24" s="225">
        <v>2170108</v>
      </c>
      <c r="G24" s="225"/>
      <c r="H24" s="225"/>
      <c r="I24" s="225"/>
      <c r="J24" s="271">
        <f t="shared" si="6"/>
        <v>3518452</v>
      </c>
      <c r="K24" s="225">
        <v>3518452</v>
      </c>
      <c r="L24" s="225"/>
      <c r="M24" s="225"/>
      <c r="N24" s="225"/>
      <c r="O24" s="243">
        <f t="shared" si="7"/>
        <v>3518452</v>
      </c>
      <c r="P24" s="271">
        <f t="shared" si="8"/>
        <v>5688560</v>
      </c>
      <c r="R24" s="141" t="b">
        <f>K24='dod5'!I12+'dod5'!I11</f>
        <v>1</v>
      </c>
    </row>
    <row r="25" spans="1:20" ht="135" x14ac:dyDescent="0.2">
      <c r="A25" s="296" t="s">
        <v>238</v>
      </c>
      <c r="B25" s="296"/>
      <c r="C25" s="296"/>
      <c r="D25" s="297" t="s">
        <v>0</v>
      </c>
      <c r="E25" s="298">
        <f>E26</f>
        <v>1002153335.4</v>
      </c>
      <c r="F25" s="298">
        <f t="shared" ref="F25:G25" si="9">F26</f>
        <v>1002153335.4</v>
      </c>
      <c r="G25" s="298">
        <f t="shared" si="9"/>
        <v>654125477.39999998</v>
      </c>
      <c r="H25" s="298">
        <f>H26</f>
        <v>87033701</v>
      </c>
      <c r="I25" s="298">
        <f t="shared" ref="I25" si="10">I26</f>
        <v>0</v>
      </c>
      <c r="J25" s="298">
        <f>J26</f>
        <v>136254583.03999999</v>
      </c>
      <c r="K25" s="298">
        <f>K26</f>
        <v>33292593.039999999</v>
      </c>
      <c r="L25" s="298">
        <f>L26</f>
        <v>101610557</v>
      </c>
      <c r="M25" s="298">
        <f t="shared" ref="M25" si="11">M26</f>
        <v>26627480</v>
      </c>
      <c r="N25" s="298">
        <f>N26</f>
        <v>8228459</v>
      </c>
      <c r="O25" s="298">
        <f>O26</f>
        <v>34644026.039999999</v>
      </c>
      <c r="P25" s="302">
        <f t="shared" ref="P25" si="12">P26</f>
        <v>1138407918.4400001</v>
      </c>
    </row>
    <row r="26" spans="1:20" ht="135" x14ac:dyDescent="0.2">
      <c r="A26" s="299" t="s">
        <v>239</v>
      </c>
      <c r="B26" s="299"/>
      <c r="C26" s="299"/>
      <c r="D26" s="300" t="s">
        <v>1</v>
      </c>
      <c r="E26" s="301">
        <f>SUM(E27:E37)</f>
        <v>1002153335.4</v>
      </c>
      <c r="F26" s="301">
        <f>SUM(F27:F37)</f>
        <v>1002153335.4</v>
      </c>
      <c r="G26" s="301">
        <f>SUM(G27:G37)</f>
        <v>654125477.39999998</v>
      </c>
      <c r="H26" s="301">
        <f>SUM(H27:H37)</f>
        <v>87033701</v>
      </c>
      <c r="I26" s="301">
        <f>SUM(I27:I37)</f>
        <v>0</v>
      </c>
      <c r="J26" s="301">
        <f>L26+O26</f>
        <v>136254583.03999999</v>
      </c>
      <c r="K26" s="301">
        <f>SUM(K27:K37)</f>
        <v>33292593.039999999</v>
      </c>
      <c r="L26" s="301">
        <f>SUM(L27:L37)</f>
        <v>101610557</v>
      </c>
      <c r="M26" s="301">
        <f>SUM(M27:M37)</f>
        <v>26627480</v>
      </c>
      <c r="N26" s="301">
        <f>SUM(N27:N37)</f>
        <v>8228459</v>
      </c>
      <c r="O26" s="301">
        <f>SUM(O27:O37)</f>
        <v>34644026.039999999</v>
      </c>
      <c r="P26" s="301">
        <f t="shared" ref="P26:P37" si="13">E26+J26</f>
        <v>1138407918.4400001</v>
      </c>
      <c r="Q26" s="141" t="b">
        <f>P26=P27+P28+P29+P30+P31+P32+P33+P34+P36+P35+P37</f>
        <v>1</v>
      </c>
      <c r="R26" s="141" t="b">
        <f>K26='dod5'!I14</f>
        <v>1</v>
      </c>
    </row>
    <row r="27" spans="1:20" ht="46.5" x14ac:dyDescent="0.6">
      <c r="A27" s="270" t="s">
        <v>294</v>
      </c>
      <c r="B27" s="270" t="s">
        <v>295</v>
      </c>
      <c r="C27" s="270" t="s">
        <v>297</v>
      </c>
      <c r="D27" s="270" t="s">
        <v>298</v>
      </c>
      <c r="E27" s="271">
        <f>F27</f>
        <v>264555015</v>
      </c>
      <c r="F27" s="225">
        <f>(165508870+36411952+4442800+121320+24563500+1338350+273720+18519120+1241048+6540100+35500+100000)+4545735+913000</f>
        <v>264555015</v>
      </c>
      <c r="G27" s="225">
        <f>(165508870)+1966600+748360</f>
        <v>168223830</v>
      </c>
      <c r="H27" s="225">
        <v>26559008</v>
      </c>
      <c r="I27" s="225"/>
      <c r="J27" s="271">
        <f t="shared" ref="J27:J35" si="14">L27+O27</f>
        <v>46479882</v>
      </c>
      <c r="K27" s="225">
        <f>(252000+2500000)+3109462+498000</f>
        <v>6359462</v>
      </c>
      <c r="L27" s="225">
        <v>39787420</v>
      </c>
      <c r="M27" s="225">
        <v>7603840</v>
      </c>
      <c r="N27" s="225">
        <v>842876</v>
      </c>
      <c r="O27" s="243">
        <f>K27+333000</f>
        <v>6692462</v>
      </c>
      <c r="P27" s="271">
        <f t="shared" si="13"/>
        <v>311034897</v>
      </c>
      <c r="Q27" s="14"/>
      <c r="R27" s="321" t="b">
        <f>K27='dod5'!I15</f>
        <v>1</v>
      </c>
    </row>
    <row r="28" spans="1:20" ht="366" x14ac:dyDescent="0.55000000000000004">
      <c r="A28" s="270" t="s">
        <v>300</v>
      </c>
      <c r="B28" s="270" t="s">
        <v>296</v>
      </c>
      <c r="C28" s="270" t="s">
        <v>301</v>
      </c>
      <c r="D28" s="270" t="s">
        <v>628</v>
      </c>
      <c r="E28" s="271">
        <f t="shared" ref="E28:E33" si="15">F28</f>
        <v>565488990.39999998</v>
      </c>
      <c r="F28" s="225">
        <f>(377515910+83053501+7371100+178740+32183400+3499459+415560+30995614+945670+7256140+593970+178740+8163+2093100-15000000+17381620+3131372)+10321843.4-51482-771570+4355840-38200-129500</f>
        <v>565488990.39999998</v>
      </c>
      <c r="G28" s="225">
        <f>(377515910+1668354)+4047428.4</f>
        <v>383231692.39999998</v>
      </c>
      <c r="H28" s="225">
        <v>42540714</v>
      </c>
      <c r="I28" s="225"/>
      <c r="J28" s="271">
        <f t="shared" si="14"/>
        <v>60737934.039999999</v>
      </c>
      <c r="K28" s="225">
        <f>(171000+2450000+400000+655000)+13835258.04+771570+507746</f>
        <v>18790574.039999999</v>
      </c>
      <c r="L28" s="225">
        <f>(41102910)-24983</f>
        <v>41077927</v>
      </c>
      <c r="M28" s="225">
        <v>13732800</v>
      </c>
      <c r="N28" s="225">
        <v>987168</v>
      </c>
      <c r="O28" s="243">
        <f>K28+844450+24983</f>
        <v>19660007.039999999</v>
      </c>
      <c r="P28" s="271">
        <f t="shared" si="13"/>
        <v>626226924.43999994</v>
      </c>
      <c r="Q28" s="14"/>
      <c r="R28" s="141" t="b">
        <f>K28='dod5'!I16+'dod5'!I17+'dod5'!I18+'dod5'!I19+'dod5'!I20</f>
        <v>1</v>
      </c>
      <c r="T28" s="112"/>
    </row>
    <row r="29" spans="1:20" ht="366" x14ac:dyDescent="0.2">
      <c r="A29" s="270" t="s">
        <v>304</v>
      </c>
      <c r="B29" s="270" t="s">
        <v>303</v>
      </c>
      <c r="C29" s="270" t="s">
        <v>305</v>
      </c>
      <c r="D29" s="270" t="s">
        <v>32</v>
      </c>
      <c r="E29" s="271">
        <f t="shared" si="15"/>
        <v>16898046</v>
      </c>
      <c r="F29" s="225">
        <f>(11987275+2637201+297700+3970+635400+74400+12000+1090080+19380+107800+5400+5000)+8400+14040</f>
        <v>16898046</v>
      </c>
      <c r="G29" s="225">
        <v>11987275</v>
      </c>
      <c r="H29" s="225">
        <v>1222094</v>
      </c>
      <c r="I29" s="225"/>
      <c r="J29" s="271">
        <f t="shared" si="14"/>
        <v>89000</v>
      </c>
      <c r="K29" s="225">
        <f>(9000)+30000</f>
        <v>39000</v>
      </c>
      <c r="L29" s="225">
        <v>50000</v>
      </c>
      <c r="M29" s="225"/>
      <c r="N29" s="225">
        <v>29628</v>
      </c>
      <c r="O29" s="243">
        <f>K29</f>
        <v>39000</v>
      </c>
      <c r="P29" s="271">
        <f t="shared" si="13"/>
        <v>16987046</v>
      </c>
      <c r="R29" s="141" t="b">
        <f>K29='dod5'!I21</f>
        <v>1</v>
      </c>
    </row>
    <row r="30" spans="1:20" ht="183" x14ac:dyDescent="0.2">
      <c r="A30" s="270" t="s">
        <v>306</v>
      </c>
      <c r="B30" s="270" t="s">
        <v>287</v>
      </c>
      <c r="C30" s="270" t="s">
        <v>275</v>
      </c>
      <c r="D30" s="270" t="s">
        <v>33</v>
      </c>
      <c r="E30" s="271">
        <f t="shared" si="15"/>
        <v>27736015</v>
      </c>
      <c r="F30" s="225">
        <f>(19190813+4221979+572200+13650+0+820000+23640+304700+1254870+46020+589810+263715+3840+30500+200)+400078</f>
        <v>27736015</v>
      </c>
      <c r="G30" s="225">
        <v>19190813</v>
      </c>
      <c r="H30" s="225">
        <v>2186372</v>
      </c>
      <c r="I30" s="225"/>
      <c r="J30" s="271">
        <f t="shared" si="14"/>
        <v>7391670</v>
      </c>
      <c r="K30" s="225">
        <f>(18000+2000000+300000)+300000+60000</f>
        <v>2678000</v>
      </c>
      <c r="L30" s="225">
        <v>4579670</v>
      </c>
      <c r="M30" s="225">
        <v>1037200</v>
      </c>
      <c r="N30" s="225">
        <v>363907</v>
      </c>
      <c r="O30" s="243">
        <f>K30+134000</f>
        <v>2812000</v>
      </c>
      <c r="P30" s="271">
        <f t="shared" si="13"/>
        <v>35127685</v>
      </c>
      <c r="R30" s="141" t="b">
        <f>K30='dod5'!I22+'dod5'!I23</f>
        <v>1</v>
      </c>
    </row>
    <row r="31" spans="1:20" ht="137.25" x14ac:dyDescent="0.2">
      <c r="A31" s="270" t="s">
        <v>307</v>
      </c>
      <c r="B31" s="270" t="s">
        <v>308</v>
      </c>
      <c r="C31" s="270" t="s">
        <v>309</v>
      </c>
      <c r="D31" s="270" t="s">
        <v>310</v>
      </c>
      <c r="E31" s="271">
        <f t="shared" si="15"/>
        <v>100170470</v>
      </c>
      <c r="F31" s="225">
        <f>(55361620+12179557+98200+14420+3078726+14900+65640+8051698+582633+3183200+1360000+15250000+502876)+427000</f>
        <v>100170470</v>
      </c>
      <c r="G31" s="225">
        <v>55361620</v>
      </c>
      <c r="H31" s="225">
        <f>(13186731)+427000</f>
        <v>13613731</v>
      </c>
      <c r="I31" s="225"/>
      <c r="J31" s="271">
        <f>L31+O31</f>
        <v>15944717</v>
      </c>
      <c r="K31" s="225">
        <v>216557</v>
      </c>
      <c r="L31" s="225">
        <f>15728160-15000</f>
        <v>15713160</v>
      </c>
      <c r="M31" s="225">
        <v>4054000</v>
      </c>
      <c r="N31" s="225">
        <v>6001470</v>
      </c>
      <c r="O31" s="243">
        <f>K31+15000</f>
        <v>231557</v>
      </c>
      <c r="P31" s="271">
        <f t="shared" si="13"/>
        <v>116115187</v>
      </c>
      <c r="R31" s="141"/>
    </row>
    <row r="32" spans="1:20" ht="91.5" x14ac:dyDescent="0.2">
      <c r="A32" s="270" t="s">
        <v>312</v>
      </c>
      <c r="B32" s="270" t="s">
        <v>313</v>
      </c>
      <c r="C32" s="270" t="s">
        <v>314</v>
      </c>
      <c r="D32" s="270" t="s">
        <v>311</v>
      </c>
      <c r="E32" s="271">
        <f t="shared" si="15"/>
        <v>4772988</v>
      </c>
      <c r="F32" s="225">
        <f>(3056197+672364+210900+430000+3120+40000+126900+4845+57140+400+2500)+168622</f>
        <v>4772988</v>
      </c>
      <c r="G32" s="225">
        <v>3056197</v>
      </c>
      <c r="H32" s="225">
        <v>192106</v>
      </c>
      <c r="I32" s="225"/>
      <c r="J32" s="271">
        <f t="shared" si="14"/>
        <v>73740</v>
      </c>
      <c r="K32" s="225"/>
      <c r="L32" s="225">
        <v>73740</v>
      </c>
      <c r="M32" s="225"/>
      <c r="N32" s="225"/>
      <c r="O32" s="243">
        <f t="shared" ref="O32:O37" si="16">K32</f>
        <v>0</v>
      </c>
      <c r="P32" s="271">
        <f t="shared" si="13"/>
        <v>4846728</v>
      </c>
      <c r="R32" s="141"/>
    </row>
    <row r="33" spans="1:18" s="123" customFormat="1" ht="91.5" x14ac:dyDescent="0.2">
      <c r="A33" s="268" t="s">
        <v>503</v>
      </c>
      <c r="B33" s="268" t="s">
        <v>504</v>
      </c>
      <c r="C33" s="268" t="s">
        <v>314</v>
      </c>
      <c r="D33" s="268" t="s">
        <v>502</v>
      </c>
      <c r="E33" s="271">
        <f t="shared" si="15"/>
        <v>15721839</v>
      </c>
      <c r="F33" s="225">
        <f>(11912850+2620827+577800+1200+362900+12480+440620+8475+262150+2705+4360+400+3840+1416600)-1905368</f>
        <v>15721839</v>
      </c>
      <c r="G33" s="225">
        <f>(11912850+1161200)-1421200</f>
        <v>11652850</v>
      </c>
      <c r="H33" s="225">
        <f>(719676)-30900</f>
        <v>688776</v>
      </c>
      <c r="I33" s="272"/>
      <c r="J33" s="271">
        <f t="shared" si="14"/>
        <v>337640</v>
      </c>
      <c r="K33" s="225">
        <v>9000</v>
      </c>
      <c r="L33" s="225">
        <v>328640</v>
      </c>
      <c r="M33" s="225">
        <v>199640</v>
      </c>
      <c r="N33" s="225">
        <v>3410</v>
      </c>
      <c r="O33" s="243">
        <f t="shared" si="16"/>
        <v>9000</v>
      </c>
      <c r="P33" s="271">
        <f t="shared" si="13"/>
        <v>16059479</v>
      </c>
      <c r="R33" s="141" t="b">
        <f>K33='dod5'!I25</f>
        <v>1</v>
      </c>
    </row>
    <row r="34" spans="1:18" s="123" customFormat="1" ht="91.5" x14ac:dyDescent="0.2">
      <c r="A34" s="268" t="s">
        <v>536</v>
      </c>
      <c r="B34" s="268" t="s">
        <v>537</v>
      </c>
      <c r="C34" s="268" t="s">
        <v>314</v>
      </c>
      <c r="D34" s="270" t="s">
        <v>535</v>
      </c>
      <c r="E34" s="269">
        <f>F34</f>
        <v>148960</v>
      </c>
      <c r="F34" s="272">
        <v>148960</v>
      </c>
      <c r="G34" s="272"/>
      <c r="H34" s="272"/>
      <c r="I34" s="272"/>
      <c r="J34" s="271">
        <f t="shared" si="14"/>
        <v>0</v>
      </c>
      <c r="K34" s="272"/>
      <c r="L34" s="272"/>
      <c r="M34" s="272"/>
      <c r="N34" s="272"/>
      <c r="O34" s="243">
        <f t="shared" si="16"/>
        <v>0</v>
      </c>
      <c r="P34" s="271">
        <f t="shared" si="13"/>
        <v>148960</v>
      </c>
      <c r="R34" s="141"/>
    </row>
    <row r="35" spans="1:18" s="123" customFormat="1" ht="91.5" x14ac:dyDescent="0.2">
      <c r="A35" s="268" t="s">
        <v>833</v>
      </c>
      <c r="B35" s="268" t="s">
        <v>834</v>
      </c>
      <c r="C35" s="268" t="s">
        <v>314</v>
      </c>
      <c r="D35" s="270" t="s">
        <v>835</v>
      </c>
      <c r="E35" s="269">
        <f>F35</f>
        <v>2036012</v>
      </c>
      <c r="F35" s="272">
        <v>2036012</v>
      </c>
      <c r="G35" s="272">
        <f>1161200+260000</f>
        <v>1421200</v>
      </c>
      <c r="H35" s="272">
        <v>30900</v>
      </c>
      <c r="I35" s="272"/>
      <c r="J35" s="271">
        <f t="shared" si="14"/>
        <v>200000</v>
      </c>
      <c r="K35" s="272">
        <v>200000</v>
      </c>
      <c r="L35" s="272"/>
      <c r="M35" s="272"/>
      <c r="N35" s="272"/>
      <c r="O35" s="243">
        <f t="shared" si="16"/>
        <v>200000</v>
      </c>
      <c r="P35" s="271">
        <f t="shared" si="13"/>
        <v>2236012</v>
      </c>
      <c r="R35" s="141"/>
    </row>
    <row r="36" spans="1:18" s="123" customFormat="1" ht="366" x14ac:dyDescent="0.2">
      <c r="A36" s="270" t="s">
        <v>837</v>
      </c>
      <c r="B36" s="270" t="s">
        <v>838</v>
      </c>
      <c r="C36" s="270" t="s">
        <v>279</v>
      </c>
      <c r="D36" s="270" t="s">
        <v>836</v>
      </c>
      <c r="E36" s="269">
        <f>F36</f>
        <v>1925000</v>
      </c>
      <c r="F36" s="272">
        <v>1925000</v>
      </c>
      <c r="G36" s="272"/>
      <c r="H36" s="272"/>
      <c r="I36" s="272"/>
      <c r="J36" s="271">
        <f>L36+O36</f>
        <v>0</v>
      </c>
      <c r="K36" s="272"/>
      <c r="L36" s="272"/>
      <c r="M36" s="272"/>
      <c r="N36" s="272"/>
      <c r="O36" s="243">
        <f>K36</f>
        <v>0</v>
      </c>
      <c r="P36" s="271">
        <f>E36+J36</f>
        <v>1925000</v>
      </c>
      <c r="R36" s="141"/>
    </row>
    <row r="37" spans="1:18" s="123" customFormat="1" ht="46.5" x14ac:dyDescent="0.2">
      <c r="A37" s="270" t="s">
        <v>316</v>
      </c>
      <c r="B37" s="270" t="s">
        <v>317</v>
      </c>
      <c r="C37" s="270" t="s">
        <v>318</v>
      </c>
      <c r="D37" s="270" t="s">
        <v>67</v>
      </c>
      <c r="E37" s="269">
        <f>F37</f>
        <v>2700000</v>
      </c>
      <c r="F37" s="272">
        <v>2700000</v>
      </c>
      <c r="G37" s="272"/>
      <c r="H37" s="272"/>
      <c r="I37" s="272"/>
      <c r="J37" s="271">
        <f t="shared" ref="J37" si="17">L37+O37</f>
        <v>5000000</v>
      </c>
      <c r="K37" s="272">
        <v>5000000</v>
      </c>
      <c r="L37" s="272"/>
      <c r="M37" s="272"/>
      <c r="N37" s="272"/>
      <c r="O37" s="243">
        <f t="shared" si="16"/>
        <v>5000000</v>
      </c>
      <c r="P37" s="271">
        <f t="shared" si="13"/>
        <v>7700000</v>
      </c>
      <c r="R37" s="141" t="b">
        <f>K37='dod5'!I27</f>
        <v>1</v>
      </c>
    </row>
    <row r="38" spans="1:18" ht="135" x14ac:dyDescent="0.2">
      <c r="A38" s="303" t="s">
        <v>240</v>
      </c>
      <c r="B38" s="304"/>
      <c r="C38" s="304"/>
      <c r="D38" s="297" t="s">
        <v>36</v>
      </c>
      <c r="E38" s="298">
        <f>E39</f>
        <v>364680996.38</v>
      </c>
      <c r="F38" s="298">
        <f t="shared" ref="F38:G38" si="18">F39</f>
        <v>364680996.38</v>
      </c>
      <c r="G38" s="298">
        <f t="shared" si="18"/>
        <v>3641900</v>
      </c>
      <c r="H38" s="298">
        <f>H39</f>
        <v>215100</v>
      </c>
      <c r="I38" s="298">
        <f t="shared" ref="I38" si="19">I39</f>
        <v>0</v>
      </c>
      <c r="J38" s="298">
        <f>J39</f>
        <v>28002158</v>
      </c>
      <c r="K38" s="298">
        <f>K39</f>
        <v>21406367</v>
      </c>
      <c r="L38" s="298">
        <f>L39</f>
        <v>5853391</v>
      </c>
      <c r="M38" s="298">
        <f t="shared" ref="M38" si="20">M39</f>
        <v>0</v>
      </c>
      <c r="N38" s="298">
        <f>N39</f>
        <v>0</v>
      </c>
      <c r="O38" s="298">
        <f>O39</f>
        <v>22148767</v>
      </c>
      <c r="P38" s="305">
        <f>P39</f>
        <v>392683154.38</v>
      </c>
    </row>
    <row r="39" spans="1:18" ht="135" x14ac:dyDescent="0.2">
      <c r="A39" s="299" t="s">
        <v>241</v>
      </c>
      <c r="B39" s="299"/>
      <c r="C39" s="299"/>
      <c r="D39" s="300" t="s">
        <v>59</v>
      </c>
      <c r="E39" s="301">
        <f>SUM(E40:E51)</f>
        <v>364680996.38</v>
      </c>
      <c r="F39" s="301">
        <f t="shared" ref="F39:H39" si="21">SUM(F40:F51)</f>
        <v>364680996.38</v>
      </c>
      <c r="G39" s="301">
        <f t="shared" si="21"/>
        <v>3641900</v>
      </c>
      <c r="H39" s="301">
        <f t="shared" si="21"/>
        <v>215100</v>
      </c>
      <c r="I39" s="301">
        <f>SUM(I40:I51)</f>
        <v>0</v>
      </c>
      <c r="J39" s="301">
        <f>L39+O39</f>
        <v>28002158</v>
      </c>
      <c r="K39" s="301">
        <f>SUM(K40:K51)</f>
        <v>21406367</v>
      </c>
      <c r="L39" s="301">
        <f t="shared" ref="L39:N39" si="22">SUM(L40:L51)</f>
        <v>5853391</v>
      </c>
      <c r="M39" s="301">
        <f t="shared" si="22"/>
        <v>0</v>
      </c>
      <c r="N39" s="301">
        <f t="shared" si="22"/>
        <v>0</v>
      </c>
      <c r="O39" s="301">
        <f>SUM(O40:O51)</f>
        <v>22148767</v>
      </c>
      <c r="P39" s="301">
        <f t="shared" ref="P39:P51" si="23">E39+J39</f>
        <v>392683154.38</v>
      </c>
      <c r="Q39" s="141" t="b">
        <f>P39=P41+P42+P43+P44+P45+P46+P47+P48+P49+P40+P50+P51</f>
        <v>1</v>
      </c>
      <c r="R39" s="141" t="b">
        <f>K39='dod5'!I28</f>
        <v>1</v>
      </c>
    </row>
    <row r="40" spans="1:18" ht="228.75" x14ac:dyDescent="0.2">
      <c r="A40" s="270" t="s">
        <v>727</v>
      </c>
      <c r="B40" s="270" t="s">
        <v>341</v>
      </c>
      <c r="C40" s="270" t="s">
        <v>339</v>
      </c>
      <c r="D40" s="270" t="s">
        <v>340</v>
      </c>
      <c r="E40" s="271">
        <f>F40</f>
        <v>2501100</v>
      </c>
      <c r="F40" s="225">
        <v>2501100</v>
      </c>
      <c r="G40" s="225">
        <v>1884600</v>
      </c>
      <c r="H40" s="225">
        <v>101500</v>
      </c>
      <c r="I40" s="225"/>
      <c r="J40" s="271">
        <f t="shared" ref="J40:J51" si="24">L40+O40</f>
        <v>0</v>
      </c>
      <c r="K40" s="271"/>
      <c r="L40" s="271"/>
      <c r="M40" s="271"/>
      <c r="N40" s="271"/>
      <c r="O40" s="243">
        <f>K40</f>
        <v>0</v>
      </c>
      <c r="P40" s="271">
        <f t="shared" si="23"/>
        <v>2501100</v>
      </c>
      <c r="Q40" s="141"/>
      <c r="R40" s="141"/>
    </row>
    <row r="41" spans="1:18" ht="91.5" x14ac:dyDescent="0.2">
      <c r="A41" s="270" t="s">
        <v>319</v>
      </c>
      <c r="B41" s="270" t="s">
        <v>315</v>
      </c>
      <c r="C41" s="270" t="s">
        <v>320</v>
      </c>
      <c r="D41" s="270" t="s">
        <v>37</v>
      </c>
      <c r="E41" s="271">
        <f>F41</f>
        <v>200997642</v>
      </c>
      <c r="F41" s="225">
        <f>(190671412+426500+500000)-3985900+13242930-25000+167700</f>
        <v>200997642</v>
      </c>
      <c r="G41" s="225"/>
      <c r="H41" s="225"/>
      <c r="I41" s="225"/>
      <c r="J41" s="271">
        <f t="shared" si="24"/>
        <v>13097414</v>
      </c>
      <c r="K41" s="225">
        <f>(4532900)-200000-600000-208200-167638+7032030+208200+167638-130216</f>
        <v>10634714</v>
      </c>
      <c r="L41" s="225">
        <f>(4218000)-2055300</f>
        <v>2162700</v>
      </c>
      <c r="M41" s="225"/>
      <c r="N41" s="225"/>
      <c r="O41" s="243">
        <f>K41+300000</f>
        <v>10934714</v>
      </c>
      <c r="P41" s="271">
        <f t="shared" si="23"/>
        <v>214095056</v>
      </c>
      <c r="R41" s="141" t="b">
        <f>K41='dod5'!I30+'dod5'!I31+'dod5'!I32</f>
        <v>1</v>
      </c>
    </row>
    <row r="42" spans="1:18" ht="137.25" x14ac:dyDescent="0.2">
      <c r="A42" s="270" t="s">
        <v>321</v>
      </c>
      <c r="B42" s="270" t="s">
        <v>322</v>
      </c>
      <c r="C42" s="270" t="s">
        <v>323</v>
      </c>
      <c r="D42" s="270" t="s">
        <v>324</v>
      </c>
      <c r="E42" s="271">
        <f t="shared" ref="E42:E51" si="25">F42</f>
        <v>59783500</v>
      </c>
      <c r="F42" s="225">
        <v>59783500</v>
      </c>
      <c r="G42" s="225"/>
      <c r="H42" s="225"/>
      <c r="I42" s="225"/>
      <c r="J42" s="271">
        <f t="shared" si="24"/>
        <v>472091</v>
      </c>
      <c r="K42" s="225">
        <v>126000</v>
      </c>
      <c r="L42" s="225">
        <f>(1038271)-692180</f>
        <v>346091</v>
      </c>
      <c r="M42" s="225"/>
      <c r="N42" s="225"/>
      <c r="O42" s="243">
        <f>K42</f>
        <v>126000</v>
      </c>
      <c r="P42" s="271">
        <f t="shared" si="23"/>
        <v>60255591</v>
      </c>
      <c r="R42" s="141" t="b">
        <f>K42='dod5'!I33</f>
        <v>1</v>
      </c>
    </row>
    <row r="43" spans="1:18" ht="137.25" x14ac:dyDescent="0.2">
      <c r="A43" s="270" t="s">
        <v>325</v>
      </c>
      <c r="B43" s="270" t="s">
        <v>326</v>
      </c>
      <c r="C43" s="270" t="s">
        <v>327</v>
      </c>
      <c r="D43" s="270" t="s">
        <v>551</v>
      </c>
      <c r="E43" s="271">
        <f t="shared" si="25"/>
        <v>61436770</v>
      </c>
      <c r="F43" s="225">
        <f>(57684870)+3985900-234000</f>
        <v>61436770</v>
      </c>
      <c r="G43" s="225"/>
      <c r="H43" s="225"/>
      <c r="I43" s="225"/>
      <c r="J43" s="271">
        <f t="shared" si="24"/>
        <v>2706300</v>
      </c>
      <c r="K43" s="225">
        <f>939600-99000</f>
        <v>840600</v>
      </c>
      <c r="L43" s="225">
        <f>(5254900)-3731600</f>
        <v>1523300</v>
      </c>
      <c r="M43" s="225"/>
      <c r="N43" s="225"/>
      <c r="O43" s="243">
        <f>K43+342400</f>
        <v>1183000</v>
      </c>
      <c r="P43" s="271">
        <f t="shared" si="23"/>
        <v>64143070</v>
      </c>
      <c r="R43" s="141" t="b">
        <f>K43='dod5'!I34</f>
        <v>1</v>
      </c>
    </row>
    <row r="44" spans="1:18" ht="91.5" x14ac:dyDescent="0.2">
      <c r="A44" s="270" t="s">
        <v>328</v>
      </c>
      <c r="B44" s="270" t="s">
        <v>329</v>
      </c>
      <c r="C44" s="270" t="s">
        <v>330</v>
      </c>
      <c r="D44" s="270" t="s">
        <v>331</v>
      </c>
      <c r="E44" s="271">
        <f t="shared" si="25"/>
        <v>9871950</v>
      </c>
      <c r="F44" s="225">
        <f>9871950-949000+949000</f>
        <v>9871950</v>
      </c>
      <c r="G44" s="225"/>
      <c r="H44" s="225"/>
      <c r="I44" s="225"/>
      <c r="J44" s="271">
        <f t="shared" si="24"/>
        <v>3499300</v>
      </c>
      <c r="K44" s="225">
        <f>1600000</f>
        <v>1600000</v>
      </c>
      <c r="L44" s="225">
        <f>(5397900)-3598600</f>
        <v>1799300</v>
      </c>
      <c r="M44" s="225"/>
      <c r="N44" s="225"/>
      <c r="O44" s="243">
        <f>K44+100000</f>
        <v>1700000</v>
      </c>
      <c r="P44" s="271">
        <f t="shared" si="23"/>
        <v>13371250</v>
      </c>
      <c r="R44" s="141" t="b">
        <f>K44='dod5'!I35</f>
        <v>1</v>
      </c>
    </row>
    <row r="45" spans="1:18" ht="183" x14ac:dyDescent="0.2">
      <c r="A45" s="270" t="s">
        <v>332</v>
      </c>
      <c r="B45" s="268" t="s">
        <v>333</v>
      </c>
      <c r="C45" s="268" t="s">
        <v>552</v>
      </c>
      <c r="D45" s="270" t="s">
        <v>334</v>
      </c>
      <c r="E45" s="271">
        <f t="shared" si="25"/>
        <v>8952218</v>
      </c>
      <c r="F45" s="225">
        <f>(8891316)+60902</f>
        <v>8952218</v>
      </c>
      <c r="G45" s="225"/>
      <c r="H45" s="225"/>
      <c r="I45" s="225"/>
      <c r="J45" s="271">
        <f t="shared" si="24"/>
        <v>0</v>
      </c>
      <c r="K45" s="225"/>
      <c r="L45" s="225"/>
      <c r="M45" s="225"/>
      <c r="N45" s="225"/>
      <c r="O45" s="243">
        <f t="shared" ref="O45:O51" si="26">K45</f>
        <v>0</v>
      </c>
      <c r="P45" s="271">
        <f t="shared" si="23"/>
        <v>8952218</v>
      </c>
      <c r="R45" s="141"/>
    </row>
    <row r="46" spans="1:18" ht="183" x14ac:dyDescent="0.2">
      <c r="A46" s="270" t="s">
        <v>591</v>
      </c>
      <c r="B46" s="270" t="s">
        <v>592</v>
      </c>
      <c r="C46" s="268" t="s">
        <v>335</v>
      </c>
      <c r="D46" s="215" t="s">
        <v>593</v>
      </c>
      <c r="E46" s="271">
        <f t="shared" si="25"/>
        <v>13400746.379999999</v>
      </c>
      <c r="F46" s="225">
        <f>(8972700)+4428046.38</f>
        <v>13400746.379999999</v>
      </c>
      <c r="G46" s="225"/>
      <c r="H46" s="225"/>
      <c r="I46" s="225"/>
      <c r="J46" s="271">
        <f t="shared" si="24"/>
        <v>0</v>
      </c>
      <c r="K46" s="225"/>
      <c r="L46" s="225"/>
      <c r="M46" s="225"/>
      <c r="N46" s="225"/>
      <c r="O46" s="243">
        <f t="shared" si="26"/>
        <v>0</v>
      </c>
      <c r="P46" s="271">
        <f t="shared" si="23"/>
        <v>13400746.379999999</v>
      </c>
      <c r="R46" s="141"/>
    </row>
    <row r="47" spans="1:18" ht="183" x14ac:dyDescent="0.2">
      <c r="A47" s="270" t="s">
        <v>596</v>
      </c>
      <c r="B47" s="270" t="s">
        <v>595</v>
      </c>
      <c r="C47" s="268" t="s">
        <v>335</v>
      </c>
      <c r="D47" s="215" t="s">
        <v>594</v>
      </c>
      <c r="E47" s="271">
        <f t="shared" si="25"/>
        <v>1734200</v>
      </c>
      <c r="F47" s="225">
        <v>1734200</v>
      </c>
      <c r="G47" s="225"/>
      <c r="H47" s="225"/>
      <c r="I47" s="225"/>
      <c r="J47" s="271">
        <f t="shared" si="24"/>
        <v>0</v>
      </c>
      <c r="K47" s="225"/>
      <c r="L47" s="225"/>
      <c r="M47" s="225"/>
      <c r="N47" s="225"/>
      <c r="O47" s="243">
        <f t="shared" si="26"/>
        <v>0</v>
      </c>
      <c r="P47" s="271">
        <f t="shared" si="23"/>
        <v>1734200</v>
      </c>
      <c r="R47" s="141"/>
    </row>
    <row r="48" spans="1:18" s="123" customFormat="1" ht="137.25" x14ac:dyDescent="0.2">
      <c r="A48" s="270" t="s">
        <v>507</v>
      </c>
      <c r="B48" s="270" t="s">
        <v>509</v>
      </c>
      <c r="C48" s="268" t="s">
        <v>335</v>
      </c>
      <c r="D48" s="215" t="s">
        <v>505</v>
      </c>
      <c r="E48" s="271">
        <f t="shared" si="25"/>
        <v>2416670</v>
      </c>
      <c r="F48" s="225">
        <f>(2416670)</f>
        <v>2416670</v>
      </c>
      <c r="G48" s="225">
        <v>1757300</v>
      </c>
      <c r="H48" s="225">
        <v>113600</v>
      </c>
      <c r="I48" s="225"/>
      <c r="J48" s="271">
        <f t="shared" si="24"/>
        <v>129704</v>
      </c>
      <c r="K48" s="225">
        <f>167704-60000</f>
        <v>107704</v>
      </c>
      <c r="L48" s="225">
        <v>22000</v>
      </c>
      <c r="M48" s="225"/>
      <c r="N48" s="225"/>
      <c r="O48" s="243">
        <f t="shared" si="26"/>
        <v>107704</v>
      </c>
      <c r="P48" s="271">
        <f t="shared" si="23"/>
        <v>2546374</v>
      </c>
      <c r="R48" s="141" t="b">
        <f>K48='dod5'!I36</f>
        <v>1</v>
      </c>
    </row>
    <row r="49" spans="1:20" s="123" customFormat="1" ht="91.5" x14ac:dyDescent="0.2">
      <c r="A49" s="270" t="s">
        <v>508</v>
      </c>
      <c r="B49" s="270" t="s">
        <v>510</v>
      </c>
      <c r="C49" s="268" t="s">
        <v>335</v>
      </c>
      <c r="D49" s="215" t="s">
        <v>506</v>
      </c>
      <c r="E49" s="271">
        <f t="shared" si="25"/>
        <v>3486200</v>
      </c>
      <c r="F49" s="225">
        <f>(3360000)+949000+126200-949000</f>
        <v>3486200</v>
      </c>
      <c r="G49" s="225"/>
      <c r="H49" s="225"/>
      <c r="I49" s="225"/>
      <c r="J49" s="271">
        <f t="shared" si="24"/>
        <v>0</v>
      </c>
      <c r="K49" s="225"/>
      <c r="L49" s="225"/>
      <c r="M49" s="225"/>
      <c r="N49" s="225"/>
      <c r="O49" s="243">
        <f t="shared" si="26"/>
        <v>0</v>
      </c>
      <c r="P49" s="271">
        <f t="shared" si="23"/>
        <v>3486200</v>
      </c>
      <c r="R49" s="141"/>
    </row>
    <row r="50" spans="1:20" s="123" customFormat="1" ht="91.5" x14ac:dyDescent="0.2">
      <c r="A50" s="270" t="s">
        <v>904</v>
      </c>
      <c r="B50" s="270" t="s">
        <v>293</v>
      </c>
      <c r="C50" s="270" t="s">
        <v>256</v>
      </c>
      <c r="D50" s="270" t="s">
        <v>57</v>
      </c>
      <c r="E50" s="271">
        <f t="shared" si="25"/>
        <v>0</v>
      </c>
      <c r="F50" s="225"/>
      <c r="G50" s="225"/>
      <c r="H50" s="225"/>
      <c r="I50" s="225"/>
      <c r="J50" s="271">
        <f t="shared" si="24"/>
        <v>6942592</v>
      </c>
      <c r="K50" s="225">
        <f>200000+600000+208200+167638+7587376+25000-208200-167638-1600000+130216</f>
        <v>6942592</v>
      </c>
      <c r="L50" s="225"/>
      <c r="M50" s="225"/>
      <c r="N50" s="225"/>
      <c r="O50" s="243">
        <f t="shared" si="26"/>
        <v>6942592</v>
      </c>
      <c r="P50" s="271">
        <f t="shared" si="23"/>
        <v>6942592</v>
      </c>
      <c r="R50" s="141" t="b">
        <f>K50='dod5'!I37+'dod5'!I38+'dod5'!I39</f>
        <v>1</v>
      </c>
    </row>
    <row r="51" spans="1:20" s="123" customFormat="1" ht="91.5" x14ac:dyDescent="0.2">
      <c r="A51" s="270" t="s">
        <v>906</v>
      </c>
      <c r="B51" s="270" t="s">
        <v>601</v>
      </c>
      <c r="C51" s="270" t="s">
        <v>71</v>
      </c>
      <c r="D51" s="270" t="s">
        <v>602</v>
      </c>
      <c r="E51" s="271">
        <f t="shared" si="25"/>
        <v>100000</v>
      </c>
      <c r="F51" s="225">
        <v>100000</v>
      </c>
      <c r="G51" s="225"/>
      <c r="H51" s="225"/>
      <c r="I51" s="225"/>
      <c r="J51" s="271">
        <f t="shared" si="24"/>
        <v>1154757</v>
      </c>
      <c r="K51" s="225">
        <f>935992+218765</f>
        <v>1154757</v>
      </c>
      <c r="L51" s="225"/>
      <c r="M51" s="225"/>
      <c r="N51" s="225"/>
      <c r="O51" s="243">
        <f t="shared" si="26"/>
        <v>1154757</v>
      </c>
      <c r="P51" s="271">
        <f t="shared" si="23"/>
        <v>1254757</v>
      </c>
      <c r="R51" s="141" t="b">
        <f>K51='dod5'!I40</f>
        <v>1</v>
      </c>
    </row>
    <row r="52" spans="1:20" ht="225" x14ac:dyDescent="0.2">
      <c r="A52" s="296" t="s">
        <v>242</v>
      </c>
      <c r="B52" s="296"/>
      <c r="C52" s="296"/>
      <c r="D52" s="297" t="s">
        <v>60</v>
      </c>
      <c r="E52" s="298">
        <f>E53</f>
        <v>777939654</v>
      </c>
      <c r="F52" s="298">
        <f t="shared" ref="F52:G52" si="27">F53</f>
        <v>777939654</v>
      </c>
      <c r="G52" s="298">
        <f t="shared" si="27"/>
        <v>45447797</v>
      </c>
      <c r="H52" s="298">
        <f>H53</f>
        <v>1918012</v>
      </c>
      <c r="I52" s="298">
        <f t="shared" ref="I52" si="28">I53</f>
        <v>0</v>
      </c>
      <c r="J52" s="298">
        <f>J53</f>
        <v>10527980</v>
      </c>
      <c r="K52" s="298">
        <f>K53</f>
        <v>9852580</v>
      </c>
      <c r="L52" s="298">
        <f>L53</f>
        <v>675400</v>
      </c>
      <c r="M52" s="298">
        <f t="shared" ref="M52" si="29">M53</f>
        <v>60000</v>
      </c>
      <c r="N52" s="298">
        <f>N53</f>
        <v>4000</v>
      </c>
      <c r="O52" s="298">
        <f>O53</f>
        <v>9852580</v>
      </c>
      <c r="P52" s="302">
        <f>P53</f>
        <v>788467634</v>
      </c>
    </row>
    <row r="53" spans="1:20" ht="225" x14ac:dyDescent="0.2">
      <c r="A53" s="299" t="s">
        <v>243</v>
      </c>
      <c r="B53" s="299"/>
      <c r="C53" s="299"/>
      <c r="D53" s="300" t="s">
        <v>61</v>
      </c>
      <c r="E53" s="301">
        <f>SUM(E54:E97)</f>
        <v>777939654</v>
      </c>
      <c r="F53" s="301">
        <f>SUM(F54:F97)</f>
        <v>777939654</v>
      </c>
      <c r="G53" s="301">
        <f>SUM(G54:G97)</f>
        <v>45447797</v>
      </c>
      <c r="H53" s="301">
        <f>SUM(H54:H97)</f>
        <v>1918012</v>
      </c>
      <c r="I53" s="301">
        <f>SUM(I54:I97)</f>
        <v>0</v>
      </c>
      <c r="J53" s="301">
        <f t="shared" ref="J53:J89" si="30">L53+O53</f>
        <v>10527980</v>
      </c>
      <c r="K53" s="301">
        <f>SUM(K54:K97)</f>
        <v>9852580</v>
      </c>
      <c r="L53" s="301">
        <f>SUM(L54:L97)</f>
        <v>675400</v>
      </c>
      <c r="M53" s="301">
        <f>SUM(M54:M97)</f>
        <v>60000</v>
      </c>
      <c r="N53" s="301">
        <f>SUM(N54:N97)</f>
        <v>4000</v>
      </c>
      <c r="O53" s="301">
        <f>SUM(O54:O97)</f>
        <v>9852580</v>
      </c>
      <c r="P53" s="301">
        <f t="shared" ref="P53:P82" si="31">E53+J53</f>
        <v>788467634</v>
      </c>
      <c r="Q53" s="153" t="b">
        <f>P53=P55+P56+P57+P58+P59+P60+P61+P62+P63+P64+P65+P66+P67+P68+P69+P70+P72+P73+P74+P75+P76+P77+P80+P81+P82+P83+P84+P85+P86+P87+P89+P92+P93+P94+P88+P95+P54+P96+P78+P71</f>
        <v>1</v>
      </c>
      <c r="R53" s="155" t="b">
        <f>K53='dod5'!I42</f>
        <v>1</v>
      </c>
      <c r="T53" s="153"/>
    </row>
    <row r="54" spans="1:20" ht="228.75" x14ac:dyDescent="0.2">
      <c r="A54" s="270" t="s">
        <v>726</v>
      </c>
      <c r="B54" s="270" t="s">
        <v>341</v>
      </c>
      <c r="C54" s="270" t="s">
        <v>339</v>
      </c>
      <c r="D54" s="270" t="s">
        <v>340</v>
      </c>
      <c r="E54" s="269">
        <f t="shared" ref="E54:E58" si="32">F54</f>
        <v>36258100</v>
      </c>
      <c r="F54" s="225">
        <f>(35993100)+100000+100000+65000</f>
        <v>36258100</v>
      </c>
      <c r="G54" s="225">
        <v>26800000</v>
      </c>
      <c r="H54" s="225">
        <v>1006600</v>
      </c>
      <c r="I54" s="225"/>
      <c r="J54" s="271">
        <f t="shared" si="30"/>
        <v>450000</v>
      </c>
      <c r="K54" s="225">
        <v>450000</v>
      </c>
      <c r="L54" s="225"/>
      <c r="M54" s="225"/>
      <c r="N54" s="225"/>
      <c r="O54" s="243">
        <f>K54</f>
        <v>450000</v>
      </c>
      <c r="P54" s="269">
        <f t="shared" si="31"/>
        <v>36708100</v>
      </c>
      <c r="Q54" s="153"/>
      <c r="R54" s="155" t="b">
        <f>K54='dod5'!I43</f>
        <v>1</v>
      </c>
      <c r="T54" s="153"/>
    </row>
    <row r="55" spans="1:20" ht="183" x14ac:dyDescent="0.2">
      <c r="A55" s="268" t="s">
        <v>356</v>
      </c>
      <c r="B55" s="268" t="s">
        <v>357</v>
      </c>
      <c r="C55" s="268" t="s">
        <v>302</v>
      </c>
      <c r="D55" s="217" t="s">
        <v>355</v>
      </c>
      <c r="E55" s="269">
        <f t="shared" si="32"/>
        <v>62640000</v>
      </c>
      <c r="F55" s="272">
        <f>(44000000-1000000)+19640000</f>
        <v>62640000</v>
      </c>
      <c r="G55" s="272"/>
      <c r="H55" s="272"/>
      <c r="I55" s="272"/>
      <c r="J55" s="271">
        <f t="shared" si="30"/>
        <v>0</v>
      </c>
      <c r="K55" s="272"/>
      <c r="L55" s="272"/>
      <c r="M55" s="272"/>
      <c r="N55" s="272"/>
      <c r="O55" s="243">
        <f t="shared" ref="O55:O89" si="33">K55</f>
        <v>0</v>
      </c>
      <c r="P55" s="269">
        <f t="shared" si="31"/>
        <v>62640000</v>
      </c>
      <c r="R55" s="155"/>
    </row>
    <row r="56" spans="1:20" ht="183" x14ac:dyDescent="0.2">
      <c r="A56" s="218" t="s">
        <v>375</v>
      </c>
      <c r="B56" s="268" t="s">
        <v>376</v>
      </c>
      <c r="C56" s="268" t="s">
        <v>79</v>
      </c>
      <c r="D56" s="270" t="s">
        <v>8</v>
      </c>
      <c r="E56" s="221">
        <f t="shared" si="32"/>
        <v>174550900</v>
      </c>
      <c r="F56" s="225">
        <f>(200838400-6647500)-19640000</f>
        <v>174550900</v>
      </c>
      <c r="G56" s="225"/>
      <c r="H56" s="225"/>
      <c r="I56" s="225"/>
      <c r="J56" s="271">
        <f t="shared" si="30"/>
        <v>0</v>
      </c>
      <c r="K56" s="272"/>
      <c r="L56" s="225"/>
      <c r="M56" s="225"/>
      <c r="N56" s="225"/>
      <c r="O56" s="243">
        <f t="shared" si="33"/>
        <v>0</v>
      </c>
      <c r="P56" s="271">
        <f t="shared" si="31"/>
        <v>174550900</v>
      </c>
      <c r="R56" s="155"/>
    </row>
    <row r="57" spans="1:20" ht="274.5" x14ac:dyDescent="0.2">
      <c r="A57" s="270" t="s">
        <v>378</v>
      </c>
      <c r="B57" s="270" t="s">
        <v>379</v>
      </c>
      <c r="C57" s="270" t="s">
        <v>302</v>
      </c>
      <c r="D57" s="219" t="s">
        <v>377</v>
      </c>
      <c r="E57" s="269">
        <f t="shared" si="32"/>
        <v>3000</v>
      </c>
      <c r="F57" s="272">
        <v>3000</v>
      </c>
      <c r="G57" s="272"/>
      <c r="H57" s="272"/>
      <c r="I57" s="272"/>
      <c r="J57" s="271">
        <f t="shared" si="30"/>
        <v>0</v>
      </c>
      <c r="K57" s="272"/>
      <c r="L57" s="272"/>
      <c r="M57" s="272"/>
      <c r="N57" s="272"/>
      <c r="O57" s="243">
        <f t="shared" si="33"/>
        <v>0</v>
      </c>
      <c r="P57" s="269">
        <f t="shared" si="31"/>
        <v>3000</v>
      </c>
      <c r="R57" s="155"/>
    </row>
    <row r="58" spans="1:20" ht="228.75" x14ac:dyDescent="0.2">
      <c r="A58" s="270" t="s">
        <v>380</v>
      </c>
      <c r="B58" s="270" t="s">
        <v>381</v>
      </c>
      <c r="C58" s="219">
        <v>1060</v>
      </c>
      <c r="D58" s="220" t="s">
        <v>19</v>
      </c>
      <c r="E58" s="271">
        <f t="shared" si="32"/>
        <v>46300</v>
      </c>
      <c r="F58" s="225">
        <f>44700+1600</f>
        <v>46300</v>
      </c>
      <c r="G58" s="225"/>
      <c r="H58" s="225"/>
      <c r="I58" s="225"/>
      <c r="J58" s="271">
        <f t="shared" si="30"/>
        <v>0</v>
      </c>
      <c r="K58" s="225"/>
      <c r="L58" s="225"/>
      <c r="M58" s="225"/>
      <c r="N58" s="225"/>
      <c r="O58" s="243">
        <f t="shared" si="33"/>
        <v>0</v>
      </c>
      <c r="P58" s="271">
        <f t="shared" si="31"/>
        <v>46300</v>
      </c>
      <c r="R58" s="155"/>
    </row>
    <row r="59" spans="1:20" s="123" customFormat="1" ht="137.25" x14ac:dyDescent="0.2">
      <c r="A59" s="268" t="s">
        <v>406</v>
      </c>
      <c r="B59" s="268" t="s">
        <v>407</v>
      </c>
      <c r="C59" s="268" t="s">
        <v>302</v>
      </c>
      <c r="D59" s="217" t="s">
        <v>408</v>
      </c>
      <c r="E59" s="269">
        <f>F59</f>
        <v>512970</v>
      </c>
      <c r="F59" s="272">
        <f>(322970)+190000</f>
        <v>512970</v>
      </c>
      <c r="G59" s="272"/>
      <c r="H59" s="272"/>
      <c r="I59" s="272"/>
      <c r="J59" s="271">
        <f t="shared" si="30"/>
        <v>100000</v>
      </c>
      <c r="K59" s="272">
        <v>100000</v>
      </c>
      <c r="L59" s="272"/>
      <c r="M59" s="272"/>
      <c r="N59" s="272"/>
      <c r="O59" s="243">
        <f t="shared" si="33"/>
        <v>100000</v>
      </c>
      <c r="P59" s="269">
        <f t="shared" si="31"/>
        <v>612970</v>
      </c>
      <c r="R59" s="155" t="b">
        <f>K59='dod5'!I44</f>
        <v>1</v>
      </c>
    </row>
    <row r="60" spans="1:20" s="123" customFormat="1" ht="137.25" x14ac:dyDescent="0.2">
      <c r="A60" s="270" t="s">
        <v>409</v>
      </c>
      <c r="B60" s="270" t="s">
        <v>410</v>
      </c>
      <c r="C60" s="270" t="s">
        <v>303</v>
      </c>
      <c r="D60" s="270" t="s">
        <v>16</v>
      </c>
      <c r="E60" s="271">
        <f t="shared" ref="E60:E96" si="34">F60</f>
        <v>1360000</v>
      </c>
      <c r="F60" s="225">
        <v>1360000</v>
      </c>
      <c r="G60" s="225"/>
      <c r="H60" s="225"/>
      <c r="I60" s="225"/>
      <c r="J60" s="271">
        <f t="shared" si="30"/>
        <v>0</v>
      </c>
      <c r="K60" s="225"/>
      <c r="L60" s="225"/>
      <c r="M60" s="225"/>
      <c r="N60" s="225"/>
      <c r="O60" s="243">
        <f t="shared" si="33"/>
        <v>0</v>
      </c>
      <c r="P60" s="271">
        <f t="shared" si="31"/>
        <v>1360000</v>
      </c>
      <c r="R60" s="155"/>
    </row>
    <row r="61" spans="1:20" s="123" customFormat="1" ht="183" x14ac:dyDescent="0.2">
      <c r="A61" s="270" t="s">
        <v>412</v>
      </c>
      <c r="B61" s="270" t="s">
        <v>413</v>
      </c>
      <c r="C61" s="270" t="s">
        <v>303</v>
      </c>
      <c r="D61" s="268" t="s">
        <v>17</v>
      </c>
      <c r="E61" s="271">
        <f t="shared" si="34"/>
        <v>8000000</v>
      </c>
      <c r="F61" s="225">
        <v>8000000</v>
      </c>
      <c r="G61" s="225"/>
      <c r="H61" s="225"/>
      <c r="I61" s="225"/>
      <c r="J61" s="271">
        <f t="shared" si="30"/>
        <v>0</v>
      </c>
      <c r="K61" s="225"/>
      <c r="L61" s="225"/>
      <c r="M61" s="225"/>
      <c r="N61" s="225"/>
      <c r="O61" s="243">
        <f t="shared" si="33"/>
        <v>0</v>
      </c>
      <c r="P61" s="271">
        <f t="shared" si="31"/>
        <v>8000000</v>
      </c>
      <c r="R61" s="155"/>
    </row>
    <row r="62" spans="1:20" s="123" customFormat="1" ht="183" x14ac:dyDescent="0.2">
      <c r="A62" s="268" t="s">
        <v>414</v>
      </c>
      <c r="B62" s="268" t="s">
        <v>411</v>
      </c>
      <c r="C62" s="268" t="s">
        <v>303</v>
      </c>
      <c r="D62" s="268" t="s">
        <v>18</v>
      </c>
      <c r="E62" s="271">
        <f t="shared" si="34"/>
        <v>600000</v>
      </c>
      <c r="F62" s="225">
        <v>600000</v>
      </c>
      <c r="G62" s="225"/>
      <c r="H62" s="225"/>
      <c r="I62" s="225"/>
      <c r="J62" s="271">
        <f t="shared" si="30"/>
        <v>0</v>
      </c>
      <c r="K62" s="225"/>
      <c r="L62" s="225"/>
      <c r="M62" s="225"/>
      <c r="N62" s="225"/>
      <c r="O62" s="243">
        <f t="shared" si="33"/>
        <v>0</v>
      </c>
      <c r="P62" s="271">
        <f t="shared" si="31"/>
        <v>600000</v>
      </c>
      <c r="R62" s="155"/>
    </row>
    <row r="63" spans="1:20" s="123" customFormat="1" ht="183" x14ac:dyDescent="0.2">
      <c r="A63" s="268" t="s">
        <v>415</v>
      </c>
      <c r="B63" s="268" t="s">
        <v>416</v>
      </c>
      <c r="C63" s="268" t="s">
        <v>303</v>
      </c>
      <c r="D63" s="268" t="s">
        <v>21</v>
      </c>
      <c r="E63" s="271">
        <f t="shared" si="34"/>
        <v>82000000</v>
      </c>
      <c r="F63" s="225">
        <v>82000000</v>
      </c>
      <c r="G63" s="225"/>
      <c r="H63" s="225"/>
      <c r="I63" s="225"/>
      <c r="J63" s="271">
        <f t="shared" si="30"/>
        <v>0</v>
      </c>
      <c r="K63" s="225"/>
      <c r="L63" s="225"/>
      <c r="M63" s="225"/>
      <c r="N63" s="225"/>
      <c r="O63" s="243">
        <f t="shared" si="33"/>
        <v>0</v>
      </c>
      <c r="P63" s="271">
        <f t="shared" si="31"/>
        <v>82000000</v>
      </c>
      <c r="R63" s="155"/>
    </row>
    <row r="64" spans="1:20" s="123" customFormat="1" ht="91.5" x14ac:dyDescent="0.2">
      <c r="A64" s="270" t="s">
        <v>366</v>
      </c>
      <c r="B64" s="270" t="s">
        <v>358</v>
      </c>
      <c r="C64" s="270" t="s">
        <v>279</v>
      </c>
      <c r="D64" s="270" t="s">
        <v>10</v>
      </c>
      <c r="E64" s="271">
        <f t="shared" si="34"/>
        <v>2814000</v>
      </c>
      <c r="F64" s="225">
        <v>2814000</v>
      </c>
      <c r="G64" s="225"/>
      <c r="H64" s="225"/>
      <c r="I64" s="225"/>
      <c r="J64" s="271">
        <f t="shared" si="30"/>
        <v>0</v>
      </c>
      <c r="K64" s="225"/>
      <c r="L64" s="225"/>
      <c r="M64" s="225"/>
      <c r="N64" s="225"/>
      <c r="O64" s="243">
        <f t="shared" si="33"/>
        <v>0</v>
      </c>
      <c r="P64" s="271">
        <f t="shared" si="31"/>
        <v>2814000</v>
      </c>
      <c r="R64" s="155"/>
    </row>
    <row r="65" spans="1:20" s="123" customFormat="1" ht="91.5" x14ac:dyDescent="0.2">
      <c r="A65" s="270" t="s">
        <v>367</v>
      </c>
      <c r="B65" s="270" t="s">
        <v>359</v>
      </c>
      <c r="C65" s="270" t="s">
        <v>279</v>
      </c>
      <c r="D65" s="270" t="s">
        <v>365</v>
      </c>
      <c r="E65" s="271">
        <f>F65</f>
        <v>571520</v>
      </c>
      <c r="F65" s="225">
        <f>(371520)+200000</f>
        <v>571520</v>
      </c>
      <c r="G65" s="225"/>
      <c r="H65" s="225"/>
      <c r="I65" s="225"/>
      <c r="J65" s="271">
        <f t="shared" si="30"/>
        <v>0</v>
      </c>
      <c r="K65" s="225"/>
      <c r="L65" s="225"/>
      <c r="M65" s="225"/>
      <c r="N65" s="225"/>
      <c r="O65" s="243">
        <f t="shared" si="33"/>
        <v>0</v>
      </c>
      <c r="P65" s="271">
        <f t="shared" si="31"/>
        <v>571520</v>
      </c>
      <c r="R65" s="155"/>
    </row>
    <row r="66" spans="1:20" s="123" customFormat="1" ht="91.5" x14ac:dyDescent="0.2">
      <c r="A66" s="270" t="s">
        <v>368</v>
      </c>
      <c r="B66" s="270" t="s">
        <v>360</v>
      </c>
      <c r="C66" s="270" t="s">
        <v>279</v>
      </c>
      <c r="D66" s="270" t="s">
        <v>11</v>
      </c>
      <c r="E66" s="271">
        <f t="shared" si="34"/>
        <v>157511000</v>
      </c>
      <c r="F66" s="225">
        <f>157736000-225000</f>
        <v>157511000</v>
      </c>
      <c r="G66" s="225"/>
      <c r="H66" s="225"/>
      <c r="I66" s="225"/>
      <c r="J66" s="271">
        <f t="shared" si="30"/>
        <v>0</v>
      </c>
      <c r="K66" s="225"/>
      <c r="L66" s="225"/>
      <c r="M66" s="225"/>
      <c r="N66" s="225"/>
      <c r="O66" s="243">
        <f t="shared" si="33"/>
        <v>0</v>
      </c>
      <c r="P66" s="271">
        <f t="shared" si="31"/>
        <v>157511000</v>
      </c>
      <c r="R66" s="155"/>
    </row>
    <row r="67" spans="1:20" s="123" customFormat="1" ht="137.25" x14ac:dyDescent="0.2">
      <c r="A67" s="270" t="s">
        <v>369</v>
      </c>
      <c r="B67" s="270" t="s">
        <v>361</v>
      </c>
      <c r="C67" s="270" t="s">
        <v>279</v>
      </c>
      <c r="D67" s="270" t="s">
        <v>12</v>
      </c>
      <c r="E67" s="271">
        <f t="shared" si="34"/>
        <v>4266000</v>
      </c>
      <c r="F67" s="225">
        <v>4266000</v>
      </c>
      <c r="G67" s="225"/>
      <c r="H67" s="225"/>
      <c r="I67" s="225"/>
      <c r="J67" s="271">
        <f t="shared" si="30"/>
        <v>0</v>
      </c>
      <c r="K67" s="225"/>
      <c r="L67" s="225"/>
      <c r="M67" s="225"/>
      <c r="N67" s="225"/>
      <c r="O67" s="243">
        <f t="shared" si="33"/>
        <v>0</v>
      </c>
      <c r="P67" s="271">
        <f t="shared" si="31"/>
        <v>4266000</v>
      </c>
      <c r="R67" s="155"/>
    </row>
    <row r="68" spans="1:20" s="123" customFormat="1" ht="91.5" x14ac:dyDescent="0.2">
      <c r="A68" s="270" t="s">
        <v>370</v>
      </c>
      <c r="B68" s="270" t="s">
        <v>362</v>
      </c>
      <c r="C68" s="270" t="s">
        <v>279</v>
      </c>
      <c r="D68" s="270" t="s">
        <v>13</v>
      </c>
      <c r="E68" s="271">
        <f t="shared" si="34"/>
        <v>27062400</v>
      </c>
      <c r="F68" s="225">
        <v>27062400</v>
      </c>
      <c r="G68" s="225"/>
      <c r="H68" s="225"/>
      <c r="I68" s="225"/>
      <c r="J68" s="271">
        <f t="shared" si="30"/>
        <v>0</v>
      </c>
      <c r="K68" s="225"/>
      <c r="L68" s="225"/>
      <c r="M68" s="225"/>
      <c r="N68" s="225"/>
      <c r="O68" s="243">
        <f t="shared" si="33"/>
        <v>0</v>
      </c>
      <c r="P68" s="271">
        <f t="shared" si="31"/>
        <v>27062400</v>
      </c>
      <c r="R68" s="155"/>
    </row>
    <row r="69" spans="1:20" s="123" customFormat="1" ht="91.5" x14ac:dyDescent="0.2">
      <c r="A69" s="270" t="s">
        <v>371</v>
      </c>
      <c r="B69" s="270" t="s">
        <v>363</v>
      </c>
      <c r="C69" s="270" t="s">
        <v>279</v>
      </c>
      <c r="D69" s="270" t="s">
        <v>14</v>
      </c>
      <c r="E69" s="271">
        <f t="shared" si="34"/>
        <v>2700000</v>
      </c>
      <c r="F69" s="225">
        <v>2700000</v>
      </c>
      <c r="G69" s="225"/>
      <c r="H69" s="225"/>
      <c r="I69" s="225"/>
      <c r="J69" s="271">
        <f t="shared" si="30"/>
        <v>0</v>
      </c>
      <c r="K69" s="225"/>
      <c r="L69" s="225"/>
      <c r="M69" s="225"/>
      <c r="N69" s="225"/>
      <c r="O69" s="243">
        <f t="shared" si="33"/>
        <v>0</v>
      </c>
      <c r="P69" s="271">
        <f t="shared" si="31"/>
        <v>2700000</v>
      </c>
      <c r="R69" s="155"/>
    </row>
    <row r="70" spans="1:20" s="123" customFormat="1" ht="137.25" x14ac:dyDescent="0.2">
      <c r="A70" s="270" t="s">
        <v>372</v>
      </c>
      <c r="B70" s="270" t="s">
        <v>364</v>
      </c>
      <c r="C70" s="270" t="s">
        <v>279</v>
      </c>
      <c r="D70" s="270" t="s">
        <v>15</v>
      </c>
      <c r="E70" s="271">
        <f t="shared" si="34"/>
        <v>39337958</v>
      </c>
      <c r="F70" s="225">
        <v>39337958</v>
      </c>
      <c r="G70" s="225"/>
      <c r="H70" s="225"/>
      <c r="I70" s="225"/>
      <c r="J70" s="271">
        <f t="shared" si="30"/>
        <v>0</v>
      </c>
      <c r="K70" s="225"/>
      <c r="L70" s="225"/>
      <c r="M70" s="225"/>
      <c r="N70" s="225"/>
      <c r="O70" s="243">
        <f t="shared" si="33"/>
        <v>0</v>
      </c>
      <c r="P70" s="271">
        <f t="shared" si="31"/>
        <v>39337958</v>
      </c>
      <c r="R70" s="155"/>
    </row>
    <row r="71" spans="1:20" s="123" customFormat="1" ht="137.25" x14ac:dyDescent="0.2">
      <c r="A71" s="270" t="s">
        <v>929</v>
      </c>
      <c r="B71" s="270" t="s">
        <v>931</v>
      </c>
      <c r="C71" s="270" t="s">
        <v>279</v>
      </c>
      <c r="D71" s="270" t="s">
        <v>930</v>
      </c>
      <c r="E71" s="271">
        <f t="shared" si="34"/>
        <v>150000</v>
      </c>
      <c r="F71" s="225">
        <v>150000</v>
      </c>
      <c r="G71" s="225"/>
      <c r="H71" s="225"/>
      <c r="I71" s="225"/>
      <c r="J71" s="271">
        <f t="shared" si="30"/>
        <v>0</v>
      </c>
      <c r="K71" s="225"/>
      <c r="L71" s="225"/>
      <c r="M71" s="225"/>
      <c r="N71" s="225"/>
      <c r="O71" s="243">
        <f t="shared" si="33"/>
        <v>0</v>
      </c>
      <c r="P71" s="271">
        <f t="shared" si="31"/>
        <v>150000</v>
      </c>
      <c r="R71" s="155"/>
    </row>
    <row r="72" spans="1:20" ht="183" x14ac:dyDescent="0.2">
      <c r="A72" s="270" t="s">
        <v>382</v>
      </c>
      <c r="B72" s="270" t="s">
        <v>373</v>
      </c>
      <c r="C72" s="270" t="s">
        <v>303</v>
      </c>
      <c r="D72" s="270" t="s">
        <v>9</v>
      </c>
      <c r="E72" s="271">
        <f t="shared" si="34"/>
        <v>179080</v>
      </c>
      <c r="F72" s="225">
        <v>179080</v>
      </c>
      <c r="G72" s="225"/>
      <c r="H72" s="225"/>
      <c r="I72" s="225"/>
      <c r="J72" s="271">
        <f t="shared" si="30"/>
        <v>0</v>
      </c>
      <c r="K72" s="271"/>
      <c r="L72" s="225"/>
      <c r="M72" s="225"/>
      <c r="N72" s="225"/>
      <c r="O72" s="243">
        <f t="shared" si="33"/>
        <v>0</v>
      </c>
      <c r="P72" s="271">
        <f t="shared" si="31"/>
        <v>179080</v>
      </c>
      <c r="R72" s="155"/>
    </row>
    <row r="73" spans="1:20" s="123" customFormat="1" ht="183" x14ac:dyDescent="0.2">
      <c r="A73" s="270" t="s">
        <v>556</v>
      </c>
      <c r="B73" s="270" t="s">
        <v>557</v>
      </c>
      <c r="C73" s="270" t="s">
        <v>295</v>
      </c>
      <c r="D73" s="270" t="s">
        <v>555</v>
      </c>
      <c r="E73" s="271">
        <f t="shared" si="34"/>
        <v>78472603.400000006</v>
      </c>
      <c r="F73" s="225">
        <v>78472603.400000006</v>
      </c>
      <c r="G73" s="225"/>
      <c r="H73" s="225"/>
      <c r="I73" s="225"/>
      <c r="J73" s="271">
        <f t="shared" si="30"/>
        <v>0</v>
      </c>
      <c r="K73" s="225"/>
      <c r="L73" s="225"/>
      <c r="M73" s="225"/>
      <c r="N73" s="225"/>
      <c r="O73" s="243">
        <f t="shared" si="33"/>
        <v>0</v>
      </c>
      <c r="P73" s="271">
        <f t="shared" si="31"/>
        <v>78472603.400000006</v>
      </c>
      <c r="R73" s="155"/>
    </row>
    <row r="74" spans="1:20" s="123" customFormat="1" ht="228.75" x14ac:dyDescent="0.2">
      <c r="A74" s="270" t="s">
        <v>615</v>
      </c>
      <c r="B74" s="270" t="s">
        <v>616</v>
      </c>
      <c r="C74" s="270" t="s">
        <v>295</v>
      </c>
      <c r="D74" s="270" t="s">
        <v>617</v>
      </c>
      <c r="E74" s="271">
        <f t="shared" si="34"/>
        <v>25694626.600000001</v>
      </c>
      <c r="F74" s="225">
        <v>25694626.600000001</v>
      </c>
      <c r="G74" s="225"/>
      <c r="H74" s="225"/>
      <c r="I74" s="225"/>
      <c r="J74" s="271">
        <f t="shared" si="30"/>
        <v>0</v>
      </c>
      <c r="K74" s="225"/>
      <c r="L74" s="225"/>
      <c r="M74" s="225"/>
      <c r="N74" s="225"/>
      <c r="O74" s="243">
        <f t="shared" si="33"/>
        <v>0</v>
      </c>
      <c r="P74" s="271">
        <f t="shared" si="31"/>
        <v>25694626.600000001</v>
      </c>
      <c r="R74" s="155"/>
    </row>
    <row r="75" spans="1:20" s="123" customFormat="1" ht="183" x14ac:dyDescent="0.2">
      <c r="A75" s="270" t="s">
        <v>553</v>
      </c>
      <c r="B75" s="270" t="s">
        <v>554</v>
      </c>
      <c r="C75" s="270" t="s">
        <v>295</v>
      </c>
      <c r="D75" s="270" t="s">
        <v>511</v>
      </c>
      <c r="E75" s="271">
        <f t="shared" si="34"/>
        <v>13918200</v>
      </c>
      <c r="F75" s="225">
        <f>(14110200)-192000</f>
        <v>13918200</v>
      </c>
      <c r="G75" s="225"/>
      <c r="H75" s="225"/>
      <c r="I75" s="225"/>
      <c r="J75" s="271">
        <f t="shared" si="30"/>
        <v>0</v>
      </c>
      <c r="K75" s="225"/>
      <c r="L75" s="225"/>
      <c r="M75" s="225"/>
      <c r="N75" s="225"/>
      <c r="O75" s="243">
        <f t="shared" si="33"/>
        <v>0</v>
      </c>
      <c r="P75" s="271">
        <f t="shared" si="31"/>
        <v>13918200</v>
      </c>
      <c r="R75" s="155"/>
    </row>
    <row r="76" spans="1:20" s="123" customFormat="1" ht="274.5" x14ac:dyDescent="0.2">
      <c r="A76" s="270" t="s">
        <v>560</v>
      </c>
      <c r="B76" s="270" t="s">
        <v>561</v>
      </c>
      <c r="C76" s="270" t="s">
        <v>279</v>
      </c>
      <c r="D76" s="270" t="s">
        <v>562</v>
      </c>
      <c r="E76" s="271">
        <f t="shared" si="34"/>
        <v>1200000</v>
      </c>
      <c r="F76" s="225">
        <v>1200000</v>
      </c>
      <c r="G76" s="225"/>
      <c r="H76" s="225"/>
      <c r="I76" s="225"/>
      <c r="J76" s="271">
        <f t="shared" si="30"/>
        <v>0</v>
      </c>
      <c r="K76" s="225"/>
      <c r="L76" s="225"/>
      <c r="M76" s="225"/>
      <c r="N76" s="225"/>
      <c r="O76" s="243">
        <f t="shared" si="33"/>
        <v>0</v>
      </c>
      <c r="P76" s="271">
        <f t="shared" si="31"/>
        <v>1200000</v>
      </c>
      <c r="R76" s="155"/>
    </row>
    <row r="77" spans="1:20" s="123" customFormat="1" ht="320.25" x14ac:dyDescent="0.2">
      <c r="A77" s="270" t="s">
        <v>558</v>
      </c>
      <c r="B77" s="270" t="s">
        <v>559</v>
      </c>
      <c r="C77" s="270" t="s">
        <v>295</v>
      </c>
      <c r="D77" s="270" t="s">
        <v>563</v>
      </c>
      <c r="E77" s="271">
        <f t="shared" si="34"/>
        <v>264192</v>
      </c>
      <c r="F77" s="225">
        <v>264192</v>
      </c>
      <c r="G77" s="225"/>
      <c r="H77" s="225"/>
      <c r="I77" s="225"/>
      <c r="J77" s="271">
        <f t="shared" si="30"/>
        <v>0</v>
      </c>
      <c r="K77" s="225"/>
      <c r="L77" s="225"/>
      <c r="M77" s="225"/>
      <c r="N77" s="225"/>
      <c r="O77" s="243">
        <f t="shared" si="33"/>
        <v>0</v>
      </c>
      <c r="P77" s="271">
        <f t="shared" si="31"/>
        <v>264192</v>
      </c>
      <c r="R77" s="155"/>
    </row>
    <row r="78" spans="1:20" s="123" customFormat="1" ht="364.7" customHeight="1" x14ac:dyDescent="0.65">
      <c r="A78" s="422" t="s">
        <v>911</v>
      </c>
      <c r="B78" s="422" t="s">
        <v>912</v>
      </c>
      <c r="C78" s="422" t="s">
        <v>279</v>
      </c>
      <c r="D78" s="382" t="s">
        <v>913</v>
      </c>
      <c r="E78" s="414">
        <f t="shared" si="34"/>
        <v>67000</v>
      </c>
      <c r="F78" s="416">
        <v>67000</v>
      </c>
      <c r="G78" s="416"/>
      <c r="H78" s="416"/>
      <c r="I78" s="416"/>
      <c r="J78" s="414">
        <f t="shared" si="30"/>
        <v>0</v>
      </c>
      <c r="K78" s="416"/>
      <c r="L78" s="416"/>
      <c r="M78" s="416"/>
      <c r="N78" s="416"/>
      <c r="O78" s="416">
        <f t="shared" si="33"/>
        <v>0</v>
      </c>
      <c r="P78" s="414">
        <f t="shared" si="31"/>
        <v>67000</v>
      </c>
      <c r="Q78" s="383">
        <f>E78</f>
        <v>67000</v>
      </c>
      <c r="R78" s="383">
        <f>J78</f>
        <v>0</v>
      </c>
      <c r="T78" s="383">
        <f>K78</f>
        <v>0</v>
      </c>
    </row>
    <row r="79" spans="1:20" s="123" customFormat="1" ht="334.5" customHeight="1" x14ac:dyDescent="0.2">
      <c r="A79" s="403"/>
      <c r="B79" s="403"/>
      <c r="C79" s="403"/>
      <c r="D79" s="216" t="s">
        <v>914</v>
      </c>
      <c r="E79" s="403"/>
      <c r="F79" s="403"/>
      <c r="G79" s="403"/>
      <c r="H79" s="403"/>
      <c r="I79" s="403"/>
      <c r="J79" s="421"/>
      <c r="K79" s="403"/>
      <c r="L79" s="403"/>
      <c r="M79" s="403"/>
      <c r="N79" s="403"/>
      <c r="O79" s="403"/>
      <c r="P79" s="421"/>
      <c r="R79" s="155"/>
    </row>
    <row r="80" spans="1:20" ht="163.5" customHeight="1" x14ac:dyDescent="0.2">
      <c r="A80" s="270" t="s">
        <v>383</v>
      </c>
      <c r="B80" s="270" t="s">
        <v>374</v>
      </c>
      <c r="C80" s="270" t="s">
        <v>302</v>
      </c>
      <c r="D80" s="270" t="s">
        <v>512</v>
      </c>
      <c r="E80" s="271">
        <f t="shared" si="34"/>
        <v>152280</v>
      </c>
      <c r="F80" s="225">
        <v>152280</v>
      </c>
      <c r="G80" s="225"/>
      <c r="H80" s="225"/>
      <c r="I80" s="225"/>
      <c r="J80" s="271">
        <f t="shared" si="30"/>
        <v>0</v>
      </c>
      <c r="K80" s="271"/>
      <c r="L80" s="225"/>
      <c r="M80" s="225"/>
      <c r="N80" s="225"/>
      <c r="O80" s="243">
        <f t="shared" si="33"/>
        <v>0</v>
      </c>
      <c r="P80" s="271">
        <f t="shared" si="31"/>
        <v>152280</v>
      </c>
      <c r="R80" s="155"/>
    </row>
    <row r="81" spans="1:18" ht="301.7" customHeight="1" x14ac:dyDescent="0.2">
      <c r="A81" s="270" t="s">
        <v>404</v>
      </c>
      <c r="B81" s="270" t="s">
        <v>402</v>
      </c>
      <c r="C81" s="270" t="s">
        <v>296</v>
      </c>
      <c r="D81" s="270" t="s">
        <v>35</v>
      </c>
      <c r="E81" s="271">
        <f t="shared" si="34"/>
        <v>17985684</v>
      </c>
      <c r="F81" s="225">
        <f>(17332984)+652700</f>
        <v>17985684</v>
      </c>
      <c r="G81" s="225">
        <f>(11859350)+389900</f>
        <v>12249250</v>
      </c>
      <c r="H81" s="225">
        <v>245578</v>
      </c>
      <c r="I81" s="225"/>
      <c r="J81" s="271">
        <f t="shared" si="30"/>
        <v>314400</v>
      </c>
      <c r="K81" s="225">
        <f>(175000)+30000</f>
        <v>205000</v>
      </c>
      <c r="L81" s="225">
        <v>109400</v>
      </c>
      <c r="M81" s="225">
        <v>60000</v>
      </c>
      <c r="N81" s="225">
        <v>4000</v>
      </c>
      <c r="O81" s="243">
        <f t="shared" si="33"/>
        <v>205000</v>
      </c>
      <c r="P81" s="271">
        <f t="shared" si="31"/>
        <v>18300084</v>
      </c>
      <c r="R81" s="155" t="b">
        <f>K81='dod5'!I45</f>
        <v>1</v>
      </c>
    </row>
    <row r="82" spans="1:18" ht="137.25" x14ac:dyDescent="0.2">
      <c r="A82" s="270" t="s">
        <v>405</v>
      </c>
      <c r="B82" s="270" t="s">
        <v>403</v>
      </c>
      <c r="C82" s="270" t="s">
        <v>295</v>
      </c>
      <c r="D82" s="270" t="s">
        <v>513</v>
      </c>
      <c r="E82" s="271">
        <f t="shared" si="34"/>
        <v>5357323</v>
      </c>
      <c r="F82" s="225">
        <f>(5162423)+194900</f>
        <v>5357323</v>
      </c>
      <c r="G82" s="225">
        <f>(3617760)+20400</f>
        <v>3638160</v>
      </c>
      <c r="H82" s="225">
        <v>286789</v>
      </c>
      <c r="I82" s="225"/>
      <c r="J82" s="271">
        <f t="shared" si="30"/>
        <v>274250</v>
      </c>
      <c r="K82" s="225">
        <v>274250</v>
      </c>
      <c r="L82" s="225"/>
      <c r="M82" s="225"/>
      <c r="N82" s="225"/>
      <c r="O82" s="243">
        <f t="shared" si="33"/>
        <v>274250</v>
      </c>
      <c r="P82" s="271">
        <f t="shared" si="31"/>
        <v>5631573</v>
      </c>
      <c r="R82" s="155" t="b">
        <f>K82='dod5'!I46</f>
        <v>1</v>
      </c>
    </row>
    <row r="83" spans="1:18" ht="409.5" x14ac:dyDescent="0.2">
      <c r="A83" s="270" t="s">
        <v>400</v>
      </c>
      <c r="B83" s="270" t="s">
        <v>401</v>
      </c>
      <c r="C83" s="270" t="s">
        <v>295</v>
      </c>
      <c r="D83" s="270" t="s">
        <v>514</v>
      </c>
      <c r="E83" s="271">
        <f t="shared" si="34"/>
        <v>1554600</v>
      </c>
      <c r="F83" s="225">
        <v>1554600</v>
      </c>
      <c r="G83" s="225"/>
      <c r="H83" s="225"/>
      <c r="I83" s="225"/>
      <c r="J83" s="271">
        <f t="shared" si="30"/>
        <v>0</v>
      </c>
      <c r="K83" s="271"/>
      <c r="L83" s="225"/>
      <c r="M83" s="225"/>
      <c r="N83" s="225"/>
      <c r="O83" s="243">
        <f t="shared" si="33"/>
        <v>0</v>
      </c>
      <c r="P83" s="271">
        <f>+J83+E83</f>
        <v>1554600</v>
      </c>
      <c r="R83" s="155"/>
    </row>
    <row r="84" spans="1:18" ht="274.5" x14ac:dyDescent="0.2">
      <c r="A84" s="270" t="s">
        <v>515</v>
      </c>
      <c r="B84" s="270" t="s">
        <v>516</v>
      </c>
      <c r="C84" s="270" t="s">
        <v>295</v>
      </c>
      <c r="D84" s="270" t="s">
        <v>564</v>
      </c>
      <c r="E84" s="271">
        <f t="shared" si="34"/>
        <v>135534</v>
      </c>
      <c r="F84" s="225">
        <v>135534</v>
      </c>
      <c r="G84" s="225"/>
      <c r="H84" s="225"/>
      <c r="I84" s="225"/>
      <c r="J84" s="271">
        <f t="shared" si="30"/>
        <v>0</v>
      </c>
      <c r="K84" s="225"/>
      <c r="L84" s="225"/>
      <c r="M84" s="225"/>
      <c r="N84" s="225"/>
      <c r="O84" s="243">
        <f t="shared" si="33"/>
        <v>0</v>
      </c>
      <c r="P84" s="271">
        <f>+J84+E84</f>
        <v>135534</v>
      </c>
      <c r="R84" s="155"/>
    </row>
    <row r="85" spans="1:18" ht="112.7" customHeight="1" x14ac:dyDescent="0.2">
      <c r="A85" s="270" t="s">
        <v>517</v>
      </c>
      <c r="B85" s="270" t="s">
        <v>518</v>
      </c>
      <c r="C85" s="270" t="s">
        <v>295</v>
      </c>
      <c r="D85" s="270" t="s">
        <v>565</v>
      </c>
      <c r="E85" s="271">
        <f t="shared" si="34"/>
        <v>168</v>
      </c>
      <c r="F85" s="225">
        <v>168</v>
      </c>
      <c r="G85" s="225"/>
      <c r="H85" s="225"/>
      <c r="I85" s="225"/>
      <c r="J85" s="271">
        <f t="shared" si="30"/>
        <v>0</v>
      </c>
      <c r="K85" s="225"/>
      <c r="L85" s="225"/>
      <c r="M85" s="225"/>
      <c r="N85" s="225"/>
      <c r="O85" s="243">
        <f t="shared" si="33"/>
        <v>0</v>
      </c>
      <c r="P85" s="271">
        <f>+J85+E85</f>
        <v>168</v>
      </c>
      <c r="R85" s="155"/>
    </row>
    <row r="86" spans="1:18" ht="366" x14ac:dyDescent="0.2">
      <c r="A86" s="270" t="s">
        <v>568</v>
      </c>
      <c r="B86" s="270" t="s">
        <v>567</v>
      </c>
      <c r="C86" s="270" t="s">
        <v>79</v>
      </c>
      <c r="D86" s="270" t="s">
        <v>566</v>
      </c>
      <c r="E86" s="271">
        <f t="shared" si="34"/>
        <v>1808500</v>
      </c>
      <c r="F86" s="225">
        <v>1808500</v>
      </c>
      <c r="G86" s="225"/>
      <c r="H86" s="225"/>
      <c r="I86" s="225"/>
      <c r="J86" s="271">
        <f t="shared" si="30"/>
        <v>0</v>
      </c>
      <c r="K86" s="271"/>
      <c r="L86" s="225"/>
      <c r="M86" s="225"/>
      <c r="N86" s="225"/>
      <c r="O86" s="243">
        <f t="shared" si="33"/>
        <v>0</v>
      </c>
      <c r="P86" s="271">
        <f>E86+J86</f>
        <v>1808500</v>
      </c>
      <c r="R86" s="155"/>
    </row>
    <row r="87" spans="1:18" ht="228.75" x14ac:dyDescent="0.2">
      <c r="A87" s="270" t="s">
        <v>519</v>
      </c>
      <c r="B87" s="270" t="s">
        <v>520</v>
      </c>
      <c r="C87" s="270" t="s">
        <v>302</v>
      </c>
      <c r="D87" s="270" t="s">
        <v>569</v>
      </c>
      <c r="E87" s="271">
        <f t="shared" si="34"/>
        <v>550000</v>
      </c>
      <c r="F87" s="225">
        <v>550000</v>
      </c>
      <c r="G87" s="225"/>
      <c r="H87" s="225"/>
      <c r="I87" s="225"/>
      <c r="J87" s="271">
        <f t="shared" si="30"/>
        <v>0</v>
      </c>
      <c r="K87" s="225"/>
      <c r="L87" s="225"/>
      <c r="M87" s="225"/>
      <c r="N87" s="225"/>
      <c r="O87" s="243">
        <f t="shared" si="33"/>
        <v>0</v>
      </c>
      <c r="P87" s="271">
        <f>E87+J87</f>
        <v>550000</v>
      </c>
      <c r="R87" s="155"/>
    </row>
    <row r="88" spans="1:18" ht="91.5" x14ac:dyDescent="0.2">
      <c r="A88" s="270" t="s">
        <v>796</v>
      </c>
      <c r="B88" s="270" t="s">
        <v>632</v>
      </c>
      <c r="C88" s="270" t="s">
        <v>633</v>
      </c>
      <c r="D88" s="270" t="s">
        <v>631</v>
      </c>
      <c r="E88" s="271">
        <f t="shared" si="34"/>
        <v>250000</v>
      </c>
      <c r="F88" s="225">
        <v>250000</v>
      </c>
      <c r="G88" s="225">
        <v>205000</v>
      </c>
      <c r="H88" s="225"/>
      <c r="I88" s="225"/>
      <c r="J88" s="271">
        <f t="shared" si="30"/>
        <v>0</v>
      </c>
      <c r="K88" s="225"/>
      <c r="L88" s="225"/>
      <c r="M88" s="225"/>
      <c r="N88" s="225"/>
      <c r="O88" s="243">
        <f t="shared" si="33"/>
        <v>0</v>
      </c>
      <c r="P88" s="271">
        <f>E88+J88</f>
        <v>250000</v>
      </c>
      <c r="R88" s="155"/>
    </row>
    <row r="89" spans="1:18" ht="409.5" x14ac:dyDescent="0.2">
      <c r="A89" s="422" t="s">
        <v>399</v>
      </c>
      <c r="B89" s="422" t="s">
        <v>286</v>
      </c>
      <c r="C89" s="422" t="s">
        <v>279</v>
      </c>
      <c r="D89" s="214" t="s">
        <v>521</v>
      </c>
      <c r="E89" s="414">
        <f>F89</f>
        <v>1030700</v>
      </c>
      <c r="F89" s="416">
        <v>1030700</v>
      </c>
      <c r="G89" s="416"/>
      <c r="H89" s="416"/>
      <c r="I89" s="416"/>
      <c r="J89" s="414">
        <f t="shared" si="30"/>
        <v>0</v>
      </c>
      <c r="K89" s="414"/>
      <c r="L89" s="416"/>
      <c r="M89" s="416"/>
      <c r="N89" s="416"/>
      <c r="O89" s="406">
        <f t="shared" si="33"/>
        <v>0</v>
      </c>
      <c r="P89" s="414">
        <f>E89+J89</f>
        <v>1030700</v>
      </c>
      <c r="R89" s="155"/>
    </row>
    <row r="90" spans="1:18" ht="327.75" customHeight="1" x14ac:dyDescent="0.2">
      <c r="A90" s="417"/>
      <c r="B90" s="417"/>
      <c r="C90" s="417"/>
      <c r="D90" s="216" t="s">
        <v>811</v>
      </c>
      <c r="E90" s="436"/>
      <c r="F90" s="417"/>
      <c r="G90" s="417"/>
      <c r="H90" s="417"/>
      <c r="I90" s="417"/>
      <c r="J90" s="417"/>
      <c r="K90" s="417"/>
      <c r="L90" s="417"/>
      <c r="M90" s="417"/>
      <c r="N90" s="417"/>
      <c r="O90" s="437"/>
      <c r="P90" s="436"/>
      <c r="R90" s="155"/>
    </row>
    <row r="91" spans="1:18" ht="91.5" x14ac:dyDescent="0.2">
      <c r="A91" s="403"/>
      <c r="B91" s="403"/>
      <c r="C91" s="403"/>
      <c r="D91" s="216" t="s">
        <v>812</v>
      </c>
      <c r="E91" s="403"/>
      <c r="F91" s="403"/>
      <c r="G91" s="403"/>
      <c r="H91" s="403"/>
      <c r="I91" s="403"/>
      <c r="J91" s="403"/>
      <c r="K91" s="403"/>
      <c r="L91" s="403"/>
      <c r="M91" s="403"/>
      <c r="N91" s="403"/>
      <c r="O91" s="426"/>
      <c r="P91" s="403"/>
      <c r="R91" s="155"/>
    </row>
    <row r="92" spans="1:18" ht="183" x14ac:dyDescent="0.2">
      <c r="A92" s="270" t="s">
        <v>523</v>
      </c>
      <c r="B92" s="270" t="s">
        <v>525</v>
      </c>
      <c r="C92" s="270" t="s">
        <v>287</v>
      </c>
      <c r="D92" s="215" t="s">
        <v>527</v>
      </c>
      <c r="E92" s="271">
        <f t="shared" si="34"/>
        <v>5249475</v>
      </c>
      <c r="F92" s="225">
        <f>(4578467)+671008</f>
        <v>5249475</v>
      </c>
      <c r="G92" s="111">
        <f>(2541439)+13948</f>
        <v>2555387</v>
      </c>
      <c r="H92" s="111">
        <v>379045</v>
      </c>
      <c r="I92" s="225"/>
      <c r="J92" s="271">
        <f>L92+O92</f>
        <v>2904330</v>
      </c>
      <c r="K92" s="225">
        <f>(1380000+650000)+874330</f>
        <v>2904330</v>
      </c>
      <c r="L92" s="225"/>
      <c r="M92" s="225"/>
      <c r="N92" s="225"/>
      <c r="O92" s="243">
        <f>K92</f>
        <v>2904330</v>
      </c>
      <c r="P92" s="271">
        <f>E92+J92</f>
        <v>8153805</v>
      </c>
      <c r="R92" s="155" t="b">
        <f>K92='dod5'!I47+'dod5'!I48</f>
        <v>1</v>
      </c>
    </row>
    <row r="93" spans="1:18" ht="137.25" x14ac:dyDescent="0.2">
      <c r="A93" s="270" t="s">
        <v>524</v>
      </c>
      <c r="B93" s="270" t="s">
        <v>526</v>
      </c>
      <c r="C93" s="270" t="s">
        <v>287</v>
      </c>
      <c r="D93" s="215" t="s">
        <v>528</v>
      </c>
      <c r="E93" s="271">
        <f t="shared" si="34"/>
        <v>23685540</v>
      </c>
      <c r="F93" s="225">
        <f>(23486540)+199000</f>
        <v>23685540</v>
      </c>
      <c r="G93" s="225"/>
      <c r="H93" s="225"/>
      <c r="I93" s="225"/>
      <c r="J93" s="271">
        <f>L93+O93</f>
        <v>419000</v>
      </c>
      <c r="K93" s="225">
        <f>(220000)+199000</f>
        <v>419000</v>
      </c>
      <c r="L93" s="225"/>
      <c r="M93" s="225"/>
      <c r="N93" s="225"/>
      <c r="O93" s="243">
        <f>K93</f>
        <v>419000</v>
      </c>
      <c r="P93" s="271">
        <f>E93+J93</f>
        <v>24104540</v>
      </c>
      <c r="R93" s="155" t="b">
        <f>K93='dod5'!I50+'dod5'!I49</f>
        <v>1</v>
      </c>
    </row>
    <row r="94" spans="1:18" ht="137.25" x14ac:dyDescent="0.2">
      <c r="A94" s="270" t="s">
        <v>608</v>
      </c>
      <c r="B94" s="270" t="s">
        <v>606</v>
      </c>
      <c r="C94" s="270" t="s">
        <v>542</v>
      </c>
      <c r="D94" s="215" t="s">
        <v>607</v>
      </c>
      <c r="E94" s="271">
        <f t="shared" si="34"/>
        <v>0</v>
      </c>
      <c r="F94" s="225"/>
      <c r="G94" s="225"/>
      <c r="H94" s="225"/>
      <c r="I94" s="225"/>
      <c r="J94" s="271">
        <f>L94+O94</f>
        <v>3500000</v>
      </c>
      <c r="K94" s="225">
        <v>3500000</v>
      </c>
      <c r="L94" s="225"/>
      <c r="M94" s="225"/>
      <c r="N94" s="225"/>
      <c r="O94" s="243">
        <f>K94</f>
        <v>3500000</v>
      </c>
      <c r="P94" s="271">
        <f>E94+J94</f>
        <v>3500000</v>
      </c>
      <c r="R94" s="155" t="b">
        <f>K94='dod5'!I51</f>
        <v>1</v>
      </c>
    </row>
    <row r="95" spans="1:18" ht="91.5" x14ac:dyDescent="0.2">
      <c r="A95" s="270" t="s">
        <v>708</v>
      </c>
      <c r="B95" s="270" t="s">
        <v>709</v>
      </c>
      <c r="C95" s="270" t="s">
        <v>450</v>
      </c>
      <c r="D95" s="215" t="s">
        <v>710</v>
      </c>
      <c r="E95" s="271">
        <f t="shared" si="34"/>
        <v>0</v>
      </c>
      <c r="F95" s="225"/>
      <c r="G95" s="225"/>
      <c r="H95" s="225"/>
      <c r="I95" s="225"/>
      <c r="J95" s="271">
        <f>L95+O95</f>
        <v>2000000</v>
      </c>
      <c r="K95" s="225">
        <f>(1000000)+1000000</f>
        <v>2000000</v>
      </c>
      <c r="L95" s="225"/>
      <c r="M95" s="225"/>
      <c r="N95" s="225"/>
      <c r="O95" s="243">
        <f>K95</f>
        <v>2000000</v>
      </c>
      <c r="P95" s="271">
        <f>E95+J95</f>
        <v>2000000</v>
      </c>
      <c r="R95" s="155" t="b">
        <f>K95='dod5'!I52</f>
        <v>1</v>
      </c>
    </row>
    <row r="96" spans="1:18" ht="409.5" x14ac:dyDescent="0.2">
      <c r="A96" s="422" t="s">
        <v>749</v>
      </c>
      <c r="B96" s="422" t="s">
        <v>538</v>
      </c>
      <c r="C96" s="422" t="s">
        <v>256</v>
      </c>
      <c r="D96" s="231" t="s">
        <v>549</v>
      </c>
      <c r="E96" s="418">
        <f t="shared" si="34"/>
        <v>0</v>
      </c>
      <c r="F96" s="404"/>
      <c r="G96" s="404"/>
      <c r="H96" s="404"/>
      <c r="I96" s="404"/>
      <c r="J96" s="414">
        <f>L96+O96</f>
        <v>566000</v>
      </c>
      <c r="K96" s="404"/>
      <c r="L96" s="404">
        <v>566000</v>
      </c>
      <c r="M96" s="404"/>
      <c r="N96" s="404"/>
      <c r="O96" s="406">
        <f>K96</f>
        <v>0</v>
      </c>
      <c r="P96" s="418">
        <f>E96+J96</f>
        <v>566000</v>
      </c>
      <c r="Q96" s="120">
        <f>P96</f>
        <v>566000</v>
      </c>
      <c r="R96" s="155"/>
    </row>
    <row r="97" spans="1:18" ht="137.25" x14ac:dyDescent="0.2">
      <c r="A97" s="403"/>
      <c r="B97" s="403"/>
      <c r="C97" s="403"/>
      <c r="D97" s="235" t="s">
        <v>550</v>
      </c>
      <c r="E97" s="419"/>
      <c r="F97" s="420"/>
      <c r="G97" s="420"/>
      <c r="H97" s="420"/>
      <c r="I97" s="420"/>
      <c r="J97" s="403"/>
      <c r="K97" s="403"/>
      <c r="L97" s="420"/>
      <c r="M97" s="420"/>
      <c r="N97" s="420"/>
      <c r="O97" s="426"/>
      <c r="P97" s="419"/>
      <c r="R97" s="155"/>
    </row>
    <row r="98" spans="1:18" ht="180" x14ac:dyDescent="0.2">
      <c r="A98" s="306">
        <v>1000000</v>
      </c>
      <c r="B98" s="306"/>
      <c r="C98" s="306"/>
      <c r="D98" s="296" t="s">
        <v>43</v>
      </c>
      <c r="E98" s="298">
        <f>E99</f>
        <v>81434879</v>
      </c>
      <c r="F98" s="298">
        <f t="shared" ref="F98:G98" si="35">F99</f>
        <v>81434879</v>
      </c>
      <c r="G98" s="298">
        <f t="shared" si="35"/>
        <v>56675325</v>
      </c>
      <c r="H98" s="298">
        <f>H99</f>
        <v>3263442</v>
      </c>
      <c r="I98" s="298">
        <f t="shared" ref="I98" si="36">I99</f>
        <v>0</v>
      </c>
      <c r="J98" s="298">
        <f>J99</f>
        <v>15766734</v>
      </c>
      <c r="K98" s="298">
        <f>K99</f>
        <v>8279954</v>
      </c>
      <c r="L98" s="298">
        <f>L99</f>
        <v>7451780</v>
      </c>
      <c r="M98" s="298">
        <f t="shared" ref="M98" si="37">M99</f>
        <v>5409770</v>
      </c>
      <c r="N98" s="298">
        <f>N99</f>
        <v>197280</v>
      </c>
      <c r="O98" s="298">
        <f>O99</f>
        <v>8314954</v>
      </c>
      <c r="P98" s="302">
        <f t="shared" ref="P98" si="38">P99</f>
        <v>97201613</v>
      </c>
    </row>
    <row r="99" spans="1:18" ht="180" x14ac:dyDescent="0.2">
      <c r="A99" s="307">
        <v>1010000</v>
      </c>
      <c r="B99" s="307"/>
      <c r="C99" s="307"/>
      <c r="D99" s="299" t="s">
        <v>62</v>
      </c>
      <c r="E99" s="301">
        <f>F99</f>
        <v>81434879</v>
      </c>
      <c r="F99" s="301">
        <f>SUM(F100:F107)</f>
        <v>81434879</v>
      </c>
      <c r="G99" s="301">
        <f t="shared" ref="G99:I99" si="39">SUM(G100:G107)</f>
        <v>56675325</v>
      </c>
      <c r="H99" s="301">
        <f t="shared" si="39"/>
        <v>3263442</v>
      </c>
      <c r="I99" s="301">
        <f t="shared" si="39"/>
        <v>0</v>
      </c>
      <c r="J99" s="301">
        <f t="shared" ref="J99:J107" si="40">L99+O99</f>
        <v>15766734</v>
      </c>
      <c r="K99" s="301">
        <f t="shared" ref="K99:O99" si="41">SUM(K100:K107)</f>
        <v>8279954</v>
      </c>
      <c r="L99" s="301">
        <f t="shared" si="41"/>
        <v>7451780</v>
      </c>
      <c r="M99" s="301">
        <f t="shared" si="41"/>
        <v>5409770</v>
      </c>
      <c r="N99" s="301">
        <f t="shared" si="41"/>
        <v>197280</v>
      </c>
      <c r="O99" s="301">
        <f t="shared" si="41"/>
        <v>8314954</v>
      </c>
      <c r="P99" s="301">
        <f t="shared" ref="P99:P106" si="42">E99+J99</f>
        <v>97201613</v>
      </c>
      <c r="Q99" s="153" t="b">
        <f>P99=P100+P101+P102+P103+P104+P105+P106+P107</f>
        <v>1</v>
      </c>
      <c r="R99" s="155" t="b">
        <f>K99='dod5'!I54</f>
        <v>1</v>
      </c>
    </row>
    <row r="100" spans="1:18" ht="274.5" x14ac:dyDescent="0.2">
      <c r="A100" s="270" t="s">
        <v>34</v>
      </c>
      <c r="B100" s="270" t="s">
        <v>274</v>
      </c>
      <c r="C100" s="270" t="s">
        <v>275</v>
      </c>
      <c r="D100" s="270" t="s">
        <v>273</v>
      </c>
      <c r="E100" s="271">
        <f>F100</f>
        <v>46291215</v>
      </c>
      <c r="F100" s="225">
        <f>(46221680)+69535</f>
        <v>46291215</v>
      </c>
      <c r="G100" s="225">
        <v>35856900</v>
      </c>
      <c r="H100" s="225">
        <f>(1907060)+69535</f>
        <v>1976595</v>
      </c>
      <c r="I100" s="225"/>
      <c r="J100" s="271">
        <f t="shared" si="40"/>
        <v>8264384</v>
      </c>
      <c r="K100" s="225">
        <f>(386442)+1046562</f>
        <v>1433004</v>
      </c>
      <c r="L100" s="225">
        <v>6805480</v>
      </c>
      <c r="M100" s="225">
        <v>5170040</v>
      </c>
      <c r="N100" s="225">
        <v>138080</v>
      </c>
      <c r="O100" s="243">
        <f>K100+25900</f>
        <v>1458904</v>
      </c>
      <c r="P100" s="271">
        <f t="shared" si="42"/>
        <v>54555599</v>
      </c>
      <c r="R100" s="155" t="b">
        <f>K100='dod5'!I55+'dod5'!I56</f>
        <v>1</v>
      </c>
    </row>
    <row r="101" spans="1:18" ht="46.5" x14ac:dyDescent="0.2">
      <c r="A101" s="270" t="s">
        <v>257</v>
      </c>
      <c r="B101" s="270" t="s">
        <v>258</v>
      </c>
      <c r="C101" s="270" t="s">
        <v>261</v>
      </c>
      <c r="D101" s="270" t="s">
        <v>262</v>
      </c>
      <c r="E101" s="271">
        <f t="shared" ref="E101:E104" si="43">F101</f>
        <v>726700</v>
      </c>
      <c r="F101" s="225">
        <v>726700</v>
      </c>
      <c r="G101" s="225"/>
      <c r="H101" s="225"/>
      <c r="I101" s="225"/>
      <c r="J101" s="271">
        <f t="shared" si="40"/>
        <v>0</v>
      </c>
      <c r="K101" s="225"/>
      <c r="L101" s="225"/>
      <c r="M101" s="225"/>
      <c r="N101" s="225"/>
      <c r="O101" s="243">
        <f>K101</f>
        <v>0</v>
      </c>
      <c r="P101" s="271">
        <f t="shared" si="42"/>
        <v>726700</v>
      </c>
      <c r="R101" s="155"/>
    </row>
    <row r="102" spans="1:18" ht="91.5" x14ac:dyDescent="0.2">
      <c r="A102" s="270" t="s">
        <v>263</v>
      </c>
      <c r="B102" s="270" t="s">
        <v>264</v>
      </c>
      <c r="C102" s="270" t="s">
        <v>265</v>
      </c>
      <c r="D102" s="270" t="s">
        <v>266</v>
      </c>
      <c r="E102" s="271">
        <f t="shared" si="43"/>
        <v>7796525</v>
      </c>
      <c r="F102" s="225">
        <f>(7716225)+80300</f>
        <v>7796525</v>
      </c>
      <c r="G102" s="225">
        <v>5790700</v>
      </c>
      <c r="H102" s="225">
        <v>459705</v>
      </c>
      <c r="I102" s="225"/>
      <c r="J102" s="271">
        <f t="shared" si="40"/>
        <v>716950</v>
      </c>
      <c r="K102" s="225">
        <v>631950</v>
      </c>
      <c r="L102" s="225">
        <v>85000</v>
      </c>
      <c r="M102" s="225">
        <v>9800</v>
      </c>
      <c r="N102" s="225">
        <v>18500</v>
      </c>
      <c r="O102" s="243">
        <f>K102</f>
        <v>631950</v>
      </c>
      <c r="P102" s="271">
        <f t="shared" si="42"/>
        <v>8513475</v>
      </c>
      <c r="R102" s="155" t="b">
        <f>K102='dod5'!I57</f>
        <v>1</v>
      </c>
    </row>
    <row r="103" spans="1:18" ht="91.5" x14ac:dyDescent="0.2">
      <c r="A103" s="270" t="s">
        <v>267</v>
      </c>
      <c r="B103" s="270" t="s">
        <v>268</v>
      </c>
      <c r="C103" s="270" t="s">
        <v>265</v>
      </c>
      <c r="D103" s="270" t="s">
        <v>269</v>
      </c>
      <c r="E103" s="271">
        <f t="shared" si="43"/>
        <v>1220535</v>
      </c>
      <c r="F103" s="225">
        <v>1220535</v>
      </c>
      <c r="G103" s="225">
        <v>796025</v>
      </c>
      <c r="H103" s="225">
        <v>201670</v>
      </c>
      <c r="I103" s="225"/>
      <c r="J103" s="271">
        <f t="shared" si="40"/>
        <v>5075000</v>
      </c>
      <c r="K103" s="225">
        <f>(3000000)+2000000</f>
        <v>5000000</v>
      </c>
      <c r="L103" s="225">
        <v>75000</v>
      </c>
      <c r="M103" s="225">
        <v>6100</v>
      </c>
      <c r="N103" s="225">
        <v>3300</v>
      </c>
      <c r="O103" s="243">
        <f>K103</f>
        <v>5000000</v>
      </c>
      <c r="P103" s="271">
        <f t="shared" si="42"/>
        <v>6295535</v>
      </c>
      <c r="R103" s="155" t="b">
        <f>K103='dod5'!I58+'dod5'!I59</f>
        <v>1</v>
      </c>
    </row>
    <row r="104" spans="1:18" ht="183" x14ac:dyDescent="0.2">
      <c r="A104" s="270" t="s">
        <v>270</v>
      </c>
      <c r="B104" s="270" t="s">
        <v>259</v>
      </c>
      <c r="C104" s="270" t="s">
        <v>271</v>
      </c>
      <c r="D104" s="270" t="s">
        <v>272</v>
      </c>
      <c r="E104" s="271">
        <f t="shared" si="43"/>
        <v>5816142</v>
      </c>
      <c r="F104" s="225">
        <f>(5699642)+116500</f>
        <v>5816142</v>
      </c>
      <c r="G104" s="225">
        <v>4068700</v>
      </c>
      <c r="H104" s="225">
        <v>590742</v>
      </c>
      <c r="I104" s="225"/>
      <c r="J104" s="271">
        <f t="shared" si="40"/>
        <v>1555400</v>
      </c>
      <c r="K104" s="225">
        <f>(500000)+690000</f>
        <v>1190000</v>
      </c>
      <c r="L104" s="225">
        <v>356300</v>
      </c>
      <c r="M104" s="225">
        <v>218030</v>
      </c>
      <c r="N104" s="225">
        <v>37400</v>
      </c>
      <c r="O104" s="243">
        <f>K104+9100</f>
        <v>1199100</v>
      </c>
      <c r="P104" s="271">
        <f t="shared" si="42"/>
        <v>7371542</v>
      </c>
      <c r="R104" s="155" t="b">
        <f>K104='dod5'!I60</f>
        <v>1</v>
      </c>
    </row>
    <row r="105" spans="1:18" ht="137.25" x14ac:dyDescent="0.2">
      <c r="A105" s="270" t="s">
        <v>530</v>
      </c>
      <c r="B105" s="270" t="s">
        <v>531</v>
      </c>
      <c r="C105" s="270" t="s">
        <v>276</v>
      </c>
      <c r="D105" s="270" t="s">
        <v>529</v>
      </c>
      <c r="E105" s="271">
        <f>F105</f>
        <v>13283762</v>
      </c>
      <c r="F105" s="225">
        <f>(13266262)+17500</f>
        <v>13283762</v>
      </c>
      <c r="G105" s="225">
        <v>10163000</v>
      </c>
      <c r="H105" s="225">
        <v>34730</v>
      </c>
      <c r="I105" s="225"/>
      <c r="J105" s="271">
        <f t="shared" si="40"/>
        <v>130000</v>
      </c>
      <c r="K105" s="225"/>
      <c r="L105" s="225">
        <v>130000</v>
      </c>
      <c r="M105" s="225">
        <v>5800</v>
      </c>
      <c r="N105" s="225"/>
      <c r="O105" s="243">
        <f>K105</f>
        <v>0</v>
      </c>
      <c r="P105" s="271">
        <f t="shared" si="42"/>
        <v>13413762</v>
      </c>
      <c r="R105" s="155"/>
    </row>
    <row r="106" spans="1:18" ht="91.5" x14ac:dyDescent="0.2">
      <c r="A106" s="270" t="s">
        <v>532</v>
      </c>
      <c r="B106" s="270" t="s">
        <v>533</v>
      </c>
      <c r="C106" s="270" t="s">
        <v>276</v>
      </c>
      <c r="D106" s="270" t="s">
        <v>534</v>
      </c>
      <c r="E106" s="271">
        <f>F106</f>
        <v>6300000</v>
      </c>
      <c r="F106" s="225">
        <f>(6000000)+300000</f>
        <v>6300000</v>
      </c>
      <c r="G106" s="225"/>
      <c r="H106" s="225"/>
      <c r="I106" s="225"/>
      <c r="J106" s="271">
        <f t="shared" si="40"/>
        <v>0</v>
      </c>
      <c r="K106" s="225"/>
      <c r="L106" s="225"/>
      <c r="M106" s="225"/>
      <c r="N106" s="225"/>
      <c r="O106" s="243">
        <f>K106</f>
        <v>0</v>
      </c>
      <c r="P106" s="271">
        <f t="shared" si="42"/>
        <v>6300000</v>
      </c>
      <c r="R106" s="155"/>
    </row>
    <row r="107" spans="1:18" ht="91.5" x14ac:dyDescent="0.2">
      <c r="A107" s="270" t="s">
        <v>868</v>
      </c>
      <c r="B107" s="270" t="s">
        <v>293</v>
      </c>
      <c r="C107" s="270" t="s">
        <v>256</v>
      </c>
      <c r="D107" s="270" t="s">
        <v>57</v>
      </c>
      <c r="E107" s="142">
        <f t="shared" ref="E107" si="44">F107</f>
        <v>0</v>
      </c>
      <c r="F107" s="111"/>
      <c r="G107" s="111"/>
      <c r="H107" s="111"/>
      <c r="I107" s="111"/>
      <c r="J107" s="271">
        <f t="shared" si="40"/>
        <v>25000</v>
      </c>
      <c r="K107" s="225">
        <v>25000</v>
      </c>
      <c r="L107" s="111"/>
      <c r="M107" s="111"/>
      <c r="N107" s="111"/>
      <c r="O107" s="243">
        <f t="shared" ref="O107" si="45">K107</f>
        <v>25000</v>
      </c>
      <c r="P107" s="271">
        <f>E107+J107</f>
        <v>25000</v>
      </c>
      <c r="R107" s="155" t="b">
        <f>K107='dod5'!I61</f>
        <v>1</v>
      </c>
    </row>
    <row r="108" spans="1:18" ht="135" x14ac:dyDescent="0.2">
      <c r="A108" s="296" t="s">
        <v>40</v>
      </c>
      <c r="B108" s="296"/>
      <c r="C108" s="296"/>
      <c r="D108" s="296" t="s">
        <v>41</v>
      </c>
      <c r="E108" s="298">
        <f>E109</f>
        <v>51870012</v>
      </c>
      <c r="F108" s="298">
        <f t="shared" ref="F108:G108" si="46">F109</f>
        <v>51870012</v>
      </c>
      <c r="G108" s="298">
        <f t="shared" si="46"/>
        <v>18314174</v>
      </c>
      <c r="H108" s="298">
        <f>H109</f>
        <v>1640093</v>
      </c>
      <c r="I108" s="298">
        <f t="shared" ref="I108" si="47">I109</f>
        <v>0</v>
      </c>
      <c r="J108" s="298">
        <f>J109</f>
        <v>5200065</v>
      </c>
      <c r="K108" s="298">
        <f>K109</f>
        <v>3183421</v>
      </c>
      <c r="L108" s="298">
        <f>L109</f>
        <v>2016644</v>
      </c>
      <c r="M108" s="298">
        <f t="shared" ref="M108" si="48">M109</f>
        <v>912155</v>
      </c>
      <c r="N108" s="298">
        <f>N109</f>
        <v>345236</v>
      </c>
      <c r="O108" s="298">
        <f>O109</f>
        <v>3183421</v>
      </c>
      <c r="P108" s="302">
        <f t="shared" ref="P108" si="49">P109</f>
        <v>57070077</v>
      </c>
    </row>
    <row r="109" spans="1:18" ht="135" x14ac:dyDescent="0.2">
      <c r="A109" s="299" t="s">
        <v>39</v>
      </c>
      <c r="B109" s="299"/>
      <c r="C109" s="299"/>
      <c r="D109" s="299" t="s">
        <v>58</v>
      </c>
      <c r="E109" s="301">
        <f>SUM(E110:E123)</f>
        <v>51870012</v>
      </c>
      <c r="F109" s="301">
        <f t="shared" ref="F109:I109" si="50">SUM(F110:F123)</f>
        <v>51870012</v>
      </c>
      <c r="G109" s="301">
        <f t="shared" si="50"/>
        <v>18314174</v>
      </c>
      <c r="H109" s="301">
        <f t="shared" si="50"/>
        <v>1640093</v>
      </c>
      <c r="I109" s="301">
        <f t="shared" si="50"/>
        <v>0</v>
      </c>
      <c r="J109" s="301">
        <f t="shared" ref="J109:J122" si="51">L109+O109</f>
        <v>5200065</v>
      </c>
      <c r="K109" s="301">
        <f t="shared" ref="K109:N109" si="52">SUM(K110:K123)</f>
        <v>3183421</v>
      </c>
      <c r="L109" s="301">
        <f t="shared" si="52"/>
        <v>2016644</v>
      </c>
      <c r="M109" s="301">
        <f t="shared" si="52"/>
        <v>912155</v>
      </c>
      <c r="N109" s="301">
        <f t="shared" si="52"/>
        <v>345236</v>
      </c>
      <c r="O109" s="301">
        <f>SUM(O110:O123)</f>
        <v>3183421</v>
      </c>
      <c r="P109" s="301">
        <f>E109+J109</f>
        <v>57070077</v>
      </c>
      <c r="Q109" s="153" t="b">
        <f>P109=P110+P111+P112+P113+P114+P115+P116+P117+P118+P120+P121+P122+P119+P123</f>
        <v>1</v>
      </c>
      <c r="R109" s="155" t="b">
        <f>K109='dod5'!I63</f>
        <v>1</v>
      </c>
    </row>
    <row r="110" spans="1:18" ht="137.25" x14ac:dyDescent="0.2">
      <c r="A110" s="270" t="s">
        <v>277</v>
      </c>
      <c r="B110" s="270" t="s">
        <v>278</v>
      </c>
      <c r="C110" s="270" t="s">
        <v>279</v>
      </c>
      <c r="D110" s="270" t="s">
        <v>280</v>
      </c>
      <c r="E110" s="142">
        <f t="shared" ref="E110:E120" si="53">F110</f>
        <v>3393343</v>
      </c>
      <c r="F110" s="111">
        <f>(3278423)+114920</f>
        <v>3393343</v>
      </c>
      <c r="G110" s="111">
        <f>(2517500)+82000</f>
        <v>2599500</v>
      </c>
      <c r="H110" s="111">
        <v>66793</v>
      </c>
      <c r="I110" s="111"/>
      <c r="J110" s="271">
        <f t="shared" si="51"/>
        <v>53278</v>
      </c>
      <c r="K110" s="111">
        <v>53278</v>
      </c>
      <c r="L110" s="154"/>
      <c r="M110" s="154"/>
      <c r="N110" s="154"/>
      <c r="O110" s="243">
        <f t="shared" ref="O110:O122" si="54">K110</f>
        <v>53278</v>
      </c>
      <c r="P110" s="271">
        <f>+J110+E110</f>
        <v>3446621</v>
      </c>
      <c r="Q110" s="155"/>
      <c r="R110" s="155" t="b">
        <f>K110='dod5'!I64</f>
        <v>1</v>
      </c>
    </row>
    <row r="111" spans="1:18" ht="228.75" x14ac:dyDescent="0.2">
      <c r="A111" s="270" t="s">
        <v>72</v>
      </c>
      <c r="B111" s="270" t="s">
        <v>260</v>
      </c>
      <c r="C111" s="270" t="s">
        <v>279</v>
      </c>
      <c r="D111" s="270" t="s">
        <v>22</v>
      </c>
      <c r="E111" s="142">
        <f t="shared" si="53"/>
        <v>1225790</v>
      </c>
      <c r="F111" s="111">
        <f>(875790)+350000</f>
        <v>1225790</v>
      </c>
      <c r="G111" s="111"/>
      <c r="H111" s="111"/>
      <c r="I111" s="111"/>
      <c r="J111" s="271">
        <f t="shared" si="51"/>
        <v>0</v>
      </c>
      <c r="K111" s="111"/>
      <c r="L111" s="154"/>
      <c r="M111" s="154"/>
      <c r="N111" s="154"/>
      <c r="O111" s="243">
        <f t="shared" si="54"/>
        <v>0</v>
      </c>
      <c r="P111" s="271">
        <f>+J111+E111</f>
        <v>1225790</v>
      </c>
      <c r="R111" s="155"/>
    </row>
    <row r="112" spans="1:18" ht="91.5" x14ac:dyDescent="0.2">
      <c r="A112" s="270" t="s">
        <v>284</v>
      </c>
      <c r="B112" s="270" t="s">
        <v>285</v>
      </c>
      <c r="C112" s="270" t="s">
        <v>279</v>
      </c>
      <c r="D112" s="270" t="s">
        <v>23</v>
      </c>
      <c r="E112" s="142">
        <f t="shared" si="53"/>
        <v>3279368</v>
      </c>
      <c r="F112" s="111">
        <f>(3054118)+225250</f>
        <v>3279368</v>
      </c>
      <c r="G112" s="111">
        <f>(1623800)+160000</f>
        <v>1783800</v>
      </c>
      <c r="H112" s="111">
        <v>437788</v>
      </c>
      <c r="I112" s="111"/>
      <c r="J112" s="271">
        <f t="shared" si="51"/>
        <v>1468936</v>
      </c>
      <c r="K112" s="111">
        <f>(592430)+551506</f>
        <v>1143936</v>
      </c>
      <c r="L112" s="154">
        <v>325000</v>
      </c>
      <c r="M112" s="154">
        <f>(189100)-34100</f>
        <v>155000</v>
      </c>
      <c r="N112" s="154">
        <v>89400</v>
      </c>
      <c r="O112" s="243">
        <f t="shared" si="54"/>
        <v>1143936</v>
      </c>
      <c r="P112" s="271">
        <f t="shared" ref="P112:P123" si="55">E112+J112</f>
        <v>4748304</v>
      </c>
      <c r="R112" s="155" t="b">
        <f>K112='dod5'!I65+'dod5'!I66</f>
        <v>1</v>
      </c>
    </row>
    <row r="113" spans="1:18" ht="91.5" x14ac:dyDescent="0.2">
      <c r="A113" s="270" t="s">
        <v>574</v>
      </c>
      <c r="B113" s="270" t="s">
        <v>575</v>
      </c>
      <c r="C113" s="270" t="s">
        <v>279</v>
      </c>
      <c r="D113" s="270" t="s">
        <v>576</v>
      </c>
      <c r="E113" s="142">
        <f t="shared" si="53"/>
        <v>6305396</v>
      </c>
      <c r="F113" s="111">
        <f>(5640576+301303)+363517</f>
        <v>6305396</v>
      </c>
      <c r="G113" s="111">
        <v>714843</v>
      </c>
      <c r="H113" s="111">
        <v>110000</v>
      </c>
      <c r="I113" s="111"/>
      <c r="J113" s="271">
        <f t="shared" si="51"/>
        <v>1366703</v>
      </c>
      <c r="K113" s="111">
        <f>(816103)+550600</f>
        <v>1366703</v>
      </c>
      <c r="L113" s="154"/>
      <c r="M113" s="154"/>
      <c r="N113" s="154"/>
      <c r="O113" s="243">
        <f t="shared" si="54"/>
        <v>1366703</v>
      </c>
      <c r="P113" s="271">
        <f t="shared" si="55"/>
        <v>7672099</v>
      </c>
      <c r="R113" s="155" t="b">
        <f>K113='dod5'!I67</f>
        <v>1</v>
      </c>
    </row>
    <row r="114" spans="1:18" ht="137.25" x14ac:dyDescent="0.2">
      <c r="A114" s="270" t="s">
        <v>73</v>
      </c>
      <c r="B114" s="270" t="s">
        <v>281</v>
      </c>
      <c r="C114" s="270" t="s">
        <v>291</v>
      </c>
      <c r="D114" s="270" t="s">
        <v>74</v>
      </c>
      <c r="E114" s="142">
        <f t="shared" si="53"/>
        <v>10046475</v>
      </c>
      <c r="F114" s="111">
        <f>(10002475)+44000</f>
        <v>10046475</v>
      </c>
      <c r="G114" s="225"/>
      <c r="H114" s="225"/>
      <c r="I114" s="225"/>
      <c r="J114" s="271">
        <f t="shared" si="51"/>
        <v>0</v>
      </c>
      <c r="K114" s="225"/>
      <c r="L114" s="225"/>
      <c r="M114" s="225"/>
      <c r="N114" s="225"/>
      <c r="O114" s="243">
        <f t="shared" si="54"/>
        <v>0</v>
      </c>
      <c r="P114" s="271">
        <f t="shared" si="55"/>
        <v>10046475</v>
      </c>
      <c r="R114" s="155"/>
    </row>
    <row r="115" spans="1:18" ht="137.25" x14ac:dyDescent="0.2">
      <c r="A115" s="270" t="s">
        <v>75</v>
      </c>
      <c r="B115" s="270" t="s">
        <v>282</v>
      </c>
      <c r="C115" s="270" t="s">
        <v>291</v>
      </c>
      <c r="D115" s="270" t="s">
        <v>6</v>
      </c>
      <c r="E115" s="142">
        <f t="shared" si="53"/>
        <v>1757513</v>
      </c>
      <c r="F115" s="111">
        <f>(1727513)+30000</f>
        <v>1757513</v>
      </c>
      <c r="G115" s="225"/>
      <c r="H115" s="225"/>
      <c r="I115" s="225"/>
      <c r="J115" s="271">
        <f t="shared" si="51"/>
        <v>0</v>
      </c>
      <c r="K115" s="225"/>
      <c r="L115" s="225"/>
      <c r="M115" s="225"/>
      <c r="N115" s="225"/>
      <c r="O115" s="243">
        <f t="shared" si="54"/>
        <v>0</v>
      </c>
      <c r="P115" s="271">
        <f t="shared" si="55"/>
        <v>1757513</v>
      </c>
      <c r="R115" s="155"/>
    </row>
    <row r="116" spans="1:18" ht="183" x14ac:dyDescent="0.2">
      <c r="A116" s="270" t="s">
        <v>76</v>
      </c>
      <c r="B116" s="270" t="s">
        <v>283</v>
      </c>
      <c r="C116" s="270" t="s">
        <v>291</v>
      </c>
      <c r="D116" s="270" t="s">
        <v>570</v>
      </c>
      <c r="E116" s="142">
        <f>F116</f>
        <v>53014</v>
      </c>
      <c r="F116" s="111">
        <v>53014</v>
      </c>
      <c r="G116" s="111"/>
      <c r="H116" s="111"/>
      <c r="I116" s="225"/>
      <c r="J116" s="271">
        <f t="shared" si="51"/>
        <v>0</v>
      </c>
      <c r="K116" s="225"/>
      <c r="L116" s="111"/>
      <c r="M116" s="111"/>
      <c r="N116" s="111"/>
      <c r="O116" s="243">
        <f t="shared" si="54"/>
        <v>0</v>
      </c>
      <c r="P116" s="271">
        <f t="shared" si="55"/>
        <v>53014</v>
      </c>
      <c r="R116" s="155"/>
    </row>
    <row r="117" spans="1:18" ht="183" x14ac:dyDescent="0.2">
      <c r="A117" s="270" t="s">
        <v>49</v>
      </c>
      <c r="B117" s="270" t="s">
        <v>288</v>
      </c>
      <c r="C117" s="270" t="s">
        <v>291</v>
      </c>
      <c r="D117" s="270" t="s">
        <v>77</v>
      </c>
      <c r="E117" s="142">
        <f t="shared" si="53"/>
        <v>18741107</v>
      </c>
      <c r="F117" s="111">
        <f>(18126095)+615012</f>
        <v>18741107</v>
      </c>
      <c r="G117" s="111">
        <f>12402731</f>
        <v>12402731</v>
      </c>
      <c r="H117" s="111">
        <v>1025512</v>
      </c>
      <c r="I117" s="111"/>
      <c r="J117" s="271">
        <f t="shared" si="51"/>
        <v>2169444</v>
      </c>
      <c r="K117" s="111">
        <v>519800</v>
      </c>
      <c r="L117" s="111">
        <v>1649644</v>
      </c>
      <c r="M117" s="111">
        <v>757155</v>
      </c>
      <c r="N117" s="111">
        <v>255836</v>
      </c>
      <c r="O117" s="243">
        <f t="shared" si="54"/>
        <v>519800</v>
      </c>
      <c r="P117" s="271">
        <f t="shared" si="55"/>
        <v>20910551</v>
      </c>
      <c r="R117" s="155" t="b">
        <f>K117='dod5'!I68+'dod5'!I69</f>
        <v>1</v>
      </c>
    </row>
    <row r="118" spans="1:18" ht="183" x14ac:dyDescent="0.2">
      <c r="A118" s="270" t="s">
        <v>50</v>
      </c>
      <c r="B118" s="270" t="s">
        <v>289</v>
      </c>
      <c r="C118" s="270" t="s">
        <v>291</v>
      </c>
      <c r="D118" s="270" t="s">
        <v>78</v>
      </c>
      <c r="E118" s="142">
        <f t="shared" si="53"/>
        <v>4254685</v>
      </c>
      <c r="F118" s="111">
        <v>4254685</v>
      </c>
      <c r="G118" s="111"/>
      <c r="H118" s="111"/>
      <c r="I118" s="111"/>
      <c r="J118" s="271">
        <f t="shared" si="51"/>
        <v>0</v>
      </c>
      <c r="K118" s="111"/>
      <c r="L118" s="111"/>
      <c r="M118" s="111"/>
      <c r="N118" s="111"/>
      <c r="O118" s="243">
        <f t="shared" si="54"/>
        <v>0</v>
      </c>
      <c r="P118" s="271">
        <f t="shared" si="55"/>
        <v>4254685</v>
      </c>
      <c r="R118" s="155"/>
    </row>
    <row r="119" spans="1:18" ht="320.25" x14ac:dyDescent="0.2">
      <c r="A119" s="270" t="s">
        <v>917</v>
      </c>
      <c r="B119" s="270" t="s">
        <v>918</v>
      </c>
      <c r="C119" s="270" t="s">
        <v>291</v>
      </c>
      <c r="D119" s="270" t="s">
        <v>919</v>
      </c>
      <c r="E119" s="142">
        <f t="shared" si="53"/>
        <v>68296</v>
      </c>
      <c r="F119" s="111">
        <v>68296</v>
      </c>
      <c r="G119" s="111"/>
      <c r="H119" s="111"/>
      <c r="I119" s="111"/>
      <c r="J119" s="271">
        <f t="shared" si="51"/>
        <v>0</v>
      </c>
      <c r="K119" s="111"/>
      <c r="L119" s="111"/>
      <c r="M119" s="111"/>
      <c r="N119" s="111"/>
      <c r="O119" s="243">
        <f t="shared" si="54"/>
        <v>0</v>
      </c>
      <c r="P119" s="271">
        <f t="shared" si="55"/>
        <v>68296</v>
      </c>
      <c r="R119" s="155"/>
    </row>
    <row r="120" spans="1:18" ht="274.5" x14ac:dyDescent="0.2">
      <c r="A120" s="204" t="s">
        <v>51</v>
      </c>
      <c r="B120" s="204" t="s">
        <v>290</v>
      </c>
      <c r="C120" s="204" t="s">
        <v>291</v>
      </c>
      <c r="D120" s="270" t="s">
        <v>52</v>
      </c>
      <c r="E120" s="142">
        <f t="shared" si="53"/>
        <v>1456611</v>
      </c>
      <c r="F120" s="111">
        <f>(1500611)-44000</f>
        <v>1456611</v>
      </c>
      <c r="G120" s="225"/>
      <c r="H120" s="225"/>
      <c r="I120" s="225"/>
      <c r="J120" s="271">
        <f t="shared" si="51"/>
        <v>0</v>
      </c>
      <c r="K120" s="225"/>
      <c r="L120" s="225"/>
      <c r="M120" s="225"/>
      <c r="N120" s="225"/>
      <c r="O120" s="243">
        <f t="shared" si="54"/>
        <v>0</v>
      </c>
      <c r="P120" s="271">
        <f t="shared" si="55"/>
        <v>1456611</v>
      </c>
      <c r="R120" s="155"/>
    </row>
    <row r="121" spans="1:18" ht="91.5" x14ac:dyDescent="0.2">
      <c r="A121" s="204" t="s">
        <v>53</v>
      </c>
      <c r="B121" s="204" t="s">
        <v>292</v>
      </c>
      <c r="C121" s="204" t="s">
        <v>291</v>
      </c>
      <c r="D121" s="270" t="s">
        <v>54</v>
      </c>
      <c r="E121" s="142">
        <f>F121</f>
        <v>1267414</v>
      </c>
      <c r="F121" s="111">
        <f>(1179249)+88165</f>
        <v>1267414</v>
      </c>
      <c r="G121" s="225">
        <v>813300</v>
      </c>
      <c r="H121" s="225"/>
      <c r="I121" s="225"/>
      <c r="J121" s="271">
        <f t="shared" si="51"/>
        <v>42000</v>
      </c>
      <c r="K121" s="225"/>
      <c r="L121" s="225">
        <v>42000</v>
      </c>
      <c r="M121" s="225"/>
      <c r="N121" s="225"/>
      <c r="O121" s="243">
        <f t="shared" si="54"/>
        <v>0</v>
      </c>
      <c r="P121" s="271">
        <f t="shared" si="55"/>
        <v>1309414</v>
      </c>
      <c r="R121" s="155"/>
    </row>
    <row r="122" spans="1:18" ht="274.5" x14ac:dyDescent="0.2">
      <c r="A122" s="204" t="s">
        <v>544</v>
      </c>
      <c r="B122" s="204" t="s">
        <v>543</v>
      </c>
      <c r="C122" s="204" t="s">
        <v>542</v>
      </c>
      <c r="D122" s="270" t="s">
        <v>541</v>
      </c>
      <c r="E122" s="142">
        <f>F122</f>
        <v>21000</v>
      </c>
      <c r="F122" s="111">
        <v>21000</v>
      </c>
      <c r="G122" s="225"/>
      <c r="H122" s="225"/>
      <c r="I122" s="225"/>
      <c r="J122" s="271">
        <f t="shared" si="51"/>
        <v>0</v>
      </c>
      <c r="K122" s="225"/>
      <c r="L122" s="225"/>
      <c r="M122" s="225"/>
      <c r="N122" s="225"/>
      <c r="O122" s="243">
        <f t="shared" si="54"/>
        <v>0</v>
      </c>
      <c r="P122" s="271">
        <f t="shared" si="55"/>
        <v>21000</v>
      </c>
      <c r="R122" s="155"/>
    </row>
    <row r="123" spans="1:18" ht="91.5" x14ac:dyDescent="0.2">
      <c r="A123" s="270" t="s">
        <v>920</v>
      </c>
      <c r="B123" s="270" t="s">
        <v>293</v>
      </c>
      <c r="C123" s="270" t="s">
        <v>256</v>
      </c>
      <c r="D123" s="270" t="s">
        <v>57</v>
      </c>
      <c r="E123" s="142">
        <f>F123</f>
        <v>0</v>
      </c>
      <c r="F123" s="111">
        <f>30000-30000</f>
        <v>0</v>
      </c>
      <c r="G123" s="111"/>
      <c r="H123" s="111"/>
      <c r="I123" s="111"/>
      <c r="J123" s="271">
        <f>L123+O123</f>
        <v>99704</v>
      </c>
      <c r="K123" s="225">
        <v>99704</v>
      </c>
      <c r="L123" s="111"/>
      <c r="M123" s="111"/>
      <c r="N123" s="111"/>
      <c r="O123" s="243">
        <f>K123</f>
        <v>99704</v>
      </c>
      <c r="P123" s="271">
        <f t="shared" si="55"/>
        <v>99704</v>
      </c>
      <c r="R123" s="155" t="b">
        <f>K123='dod5'!I70</f>
        <v>1</v>
      </c>
    </row>
    <row r="124" spans="1:18" ht="180" x14ac:dyDescent="0.2">
      <c r="A124" s="296" t="s">
        <v>244</v>
      </c>
      <c r="B124" s="296"/>
      <c r="C124" s="296"/>
      <c r="D124" s="296" t="s">
        <v>42</v>
      </c>
      <c r="E124" s="298">
        <f>E125</f>
        <v>270321689</v>
      </c>
      <c r="F124" s="298">
        <f t="shared" ref="F124:G124" si="56">F125</f>
        <v>270321689</v>
      </c>
      <c r="G124" s="298">
        <f t="shared" si="56"/>
        <v>8116500</v>
      </c>
      <c r="H124" s="298">
        <f>H125</f>
        <v>161600</v>
      </c>
      <c r="I124" s="298">
        <f t="shared" ref="I124" si="57">I125</f>
        <v>0</v>
      </c>
      <c r="J124" s="298">
        <f>J125</f>
        <v>221161647.79000002</v>
      </c>
      <c r="K124" s="298">
        <f>K125</f>
        <v>219706267.31</v>
      </c>
      <c r="L124" s="298">
        <f>L125</f>
        <v>1371000</v>
      </c>
      <c r="M124" s="298">
        <f t="shared" ref="M124" si="58">M125</f>
        <v>0</v>
      </c>
      <c r="N124" s="298">
        <f>N125</f>
        <v>0</v>
      </c>
      <c r="O124" s="298">
        <f>O125</f>
        <v>219790647.79000002</v>
      </c>
      <c r="P124" s="302">
        <f t="shared" ref="P124" si="59">P125</f>
        <v>491483336.79000002</v>
      </c>
    </row>
    <row r="125" spans="1:18" ht="180" x14ac:dyDescent="0.2">
      <c r="A125" s="299" t="s">
        <v>245</v>
      </c>
      <c r="B125" s="299"/>
      <c r="C125" s="299"/>
      <c r="D125" s="299" t="s">
        <v>63</v>
      </c>
      <c r="E125" s="301">
        <f>SUM(E126:E144)</f>
        <v>270321689</v>
      </c>
      <c r="F125" s="301">
        <f>SUM(F126:F144)</f>
        <v>270321689</v>
      </c>
      <c r="G125" s="301">
        <f>SUM(G126:G144)</f>
        <v>8116500</v>
      </c>
      <c r="H125" s="301">
        <f>SUM(H126:H144)</f>
        <v>161600</v>
      </c>
      <c r="I125" s="301">
        <f>SUM(I126:I144)</f>
        <v>0</v>
      </c>
      <c r="J125" s="301">
        <f t="shared" ref="J125:J142" si="60">L125+O125</f>
        <v>221161647.79000002</v>
      </c>
      <c r="K125" s="301">
        <f>SUM(K126:K144)</f>
        <v>219706267.31</v>
      </c>
      <c r="L125" s="301">
        <f>SUM(L126:L144)</f>
        <v>1371000</v>
      </c>
      <c r="M125" s="301">
        <f>SUM(M126:M144)</f>
        <v>0</v>
      </c>
      <c r="N125" s="301">
        <f>SUM(N126:N144)</f>
        <v>0</v>
      </c>
      <c r="O125" s="301">
        <f>SUM(O126:O144)</f>
        <v>219790647.79000002</v>
      </c>
      <c r="P125" s="301">
        <f>E125+J125</f>
        <v>491483336.79000002</v>
      </c>
      <c r="Q125" s="153" t="b">
        <f>P125=P128+P130+P131+P132+P133+P134+P135+P139+P140+P141+P144+P129+P126+P137+P138+P142+P127+P136</f>
        <v>1</v>
      </c>
      <c r="R125" s="155" t="b">
        <f>K125='dod5'!I72</f>
        <v>1</v>
      </c>
    </row>
    <row r="126" spans="1:18" ht="228.75" x14ac:dyDescent="0.2">
      <c r="A126" s="270" t="s">
        <v>743</v>
      </c>
      <c r="B126" s="270" t="s">
        <v>341</v>
      </c>
      <c r="C126" s="270" t="s">
        <v>339</v>
      </c>
      <c r="D126" s="270" t="s">
        <v>340</v>
      </c>
      <c r="E126" s="142">
        <f>F126</f>
        <v>9641900</v>
      </c>
      <c r="F126" s="111">
        <f>(9531200)-49300+160000</f>
        <v>9641900</v>
      </c>
      <c r="G126" s="111">
        <v>7129200</v>
      </c>
      <c r="H126" s="111">
        <v>134000</v>
      </c>
      <c r="I126" s="111"/>
      <c r="J126" s="271">
        <f t="shared" si="60"/>
        <v>0</v>
      </c>
      <c r="K126" s="111"/>
      <c r="L126" s="154"/>
      <c r="M126" s="154"/>
      <c r="N126" s="154"/>
      <c r="O126" s="243">
        <f t="shared" ref="O126:O141" si="61">K126</f>
        <v>0</v>
      </c>
      <c r="P126" s="271">
        <f t="shared" ref="P126:P132" si="62">+J126+E126</f>
        <v>9641900</v>
      </c>
      <c r="Q126" s="153"/>
      <c r="R126" s="155"/>
    </row>
    <row r="127" spans="1:18" ht="91.5" x14ac:dyDescent="0.2">
      <c r="A127" s="270" t="s">
        <v>843</v>
      </c>
      <c r="B127" s="270" t="s">
        <v>71</v>
      </c>
      <c r="C127" s="270" t="s">
        <v>70</v>
      </c>
      <c r="D127" s="270" t="s">
        <v>354</v>
      </c>
      <c r="E127" s="142">
        <f>F127</f>
        <v>49300</v>
      </c>
      <c r="F127" s="111">
        <v>49300</v>
      </c>
      <c r="G127" s="111"/>
      <c r="H127" s="111"/>
      <c r="I127" s="111"/>
      <c r="J127" s="271">
        <f t="shared" si="60"/>
        <v>0</v>
      </c>
      <c r="K127" s="111"/>
      <c r="L127" s="154"/>
      <c r="M127" s="154"/>
      <c r="N127" s="154"/>
      <c r="O127" s="243">
        <f t="shared" si="61"/>
        <v>0</v>
      </c>
      <c r="P127" s="271">
        <f t="shared" si="62"/>
        <v>49300</v>
      </c>
      <c r="Q127" s="153"/>
      <c r="R127" s="155"/>
    </row>
    <row r="128" spans="1:18" ht="137.25" x14ac:dyDescent="0.2">
      <c r="A128" s="270" t="s">
        <v>417</v>
      </c>
      <c r="B128" s="270" t="s">
        <v>418</v>
      </c>
      <c r="C128" s="270" t="s">
        <v>542</v>
      </c>
      <c r="D128" s="270" t="s">
        <v>419</v>
      </c>
      <c r="E128" s="142">
        <f t="shared" ref="E128:E144" si="63">F128</f>
        <v>50000</v>
      </c>
      <c r="F128" s="111">
        <v>50000</v>
      </c>
      <c r="G128" s="111"/>
      <c r="H128" s="111"/>
      <c r="I128" s="111"/>
      <c r="J128" s="271">
        <f t="shared" si="60"/>
        <v>4550000</v>
      </c>
      <c r="K128" s="111">
        <v>4550000</v>
      </c>
      <c r="L128" s="154"/>
      <c r="M128" s="154"/>
      <c r="N128" s="154"/>
      <c r="O128" s="243">
        <f t="shared" si="61"/>
        <v>4550000</v>
      </c>
      <c r="P128" s="271">
        <f t="shared" si="62"/>
        <v>4600000</v>
      </c>
    </row>
    <row r="129" spans="1:17" ht="137.25" x14ac:dyDescent="0.2">
      <c r="A129" s="270" t="s">
        <v>641</v>
      </c>
      <c r="B129" s="270" t="s">
        <v>642</v>
      </c>
      <c r="C129" s="270" t="s">
        <v>420</v>
      </c>
      <c r="D129" s="270" t="s">
        <v>643</v>
      </c>
      <c r="E129" s="142">
        <f t="shared" si="63"/>
        <v>18000000</v>
      </c>
      <c r="F129" s="111">
        <v>18000000</v>
      </c>
      <c r="G129" s="111"/>
      <c r="H129" s="111"/>
      <c r="I129" s="111"/>
      <c r="J129" s="271">
        <f t="shared" si="60"/>
        <v>0</v>
      </c>
      <c r="K129" s="111"/>
      <c r="L129" s="154"/>
      <c r="M129" s="154"/>
      <c r="N129" s="154"/>
      <c r="O129" s="243">
        <f t="shared" si="61"/>
        <v>0</v>
      </c>
      <c r="P129" s="271">
        <f t="shared" si="62"/>
        <v>18000000</v>
      </c>
    </row>
    <row r="130" spans="1:17" ht="137.25" x14ac:dyDescent="0.2">
      <c r="A130" s="270" t="s">
        <v>424</v>
      </c>
      <c r="B130" s="270" t="s">
        <v>425</v>
      </c>
      <c r="C130" s="270" t="s">
        <v>420</v>
      </c>
      <c r="D130" s="270" t="s">
        <v>426</v>
      </c>
      <c r="E130" s="142">
        <f t="shared" si="63"/>
        <v>10553700</v>
      </c>
      <c r="F130" s="111">
        <f>(5553700)+5000000</f>
        <v>10553700</v>
      </c>
      <c r="G130" s="111"/>
      <c r="H130" s="111"/>
      <c r="I130" s="111"/>
      <c r="J130" s="271">
        <f t="shared" si="60"/>
        <v>0</v>
      </c>
      <c r="K130" s="111"/>
      <c r="L130" s="154"/>
      <c r="M130" s="154"/>
      <c r="N130" s="154"/>
      <c r="O130" s="243">
        <f t="shared" si="61"/>
        <v>0</v>
      </c>
      <c r="P130" s="271">
        <f t="shared" si="62"/>
        <v>10553700</v>
      </c>
    </row>
    <row r="131" spans="1:17" ht="137.25" x14ac:dyDescent="0.2">
      <c r="A131" s="270" t="s">
        <v>447</v>
      </c>
      <c r="B131" s="270" t="s">
        <v>448</v>
      </c>
      <c r="C131" s="270" t="s">
        <v>420</v>
      </c>
      <c r="D131" s="270" t="s">
        <v>449</v>
      </c>
      <c r="E131" s="142">
        <f t="shared" si="63"/>
        <v>0</v>
      </c>
      <c r="F131" s="111"/>
      <c r="G131" s="111"/>
      <c r="H131" s="111"/>
      <c r="I131" s="111"/>
      <c r="J131" s="271">
        <f t="shared" si="60"/>
        <v>5000000</v>
      </c>
      <c r="K131" s="111">
        <v>5000000</v>
      </c>
      <c r="L131" s="154"/>
      <c r="M131" s="154"/>
      <c r="N131" s="154"/>
      <c r="O131" s="243">
        <f t="shared" si="61"/>
        <v>5000000</v>
      </c>
      <c r="P131" s="271">
        <f t="shared" si="62"/>
        <v>5000000</v>
      </c>
    </row>
    <row r="132" spans="1:17" ht="183" x14ac:dyDescent="0.2">
      <c r="A132" s="270" t="s">
        <v>421</v>
      </c>
      <c r="B132" s="270" t="s">
        <v>422</v>
      </c>
      <c r="C132" s="270" t="s">
        <v>420</v>
      </c>
      <c r="D132" s="270" t="s">
        <v>423</v>
      </c>
      <c r="E132" s="142">
        <f t="shared" si="63"/>
        <v>0</v>
      </c>
      <c r="F132" s="111">
        <v>0</v>
      </c>
      <c r="G132" s="111"/>
      <c r="H132" s="111"/>
      <c r="I132" s="111"/>
      <c r="J132" s="271">
        <f t="shared" si="60"/>
        <v>24271028</v>
      </c>
      <c r="K132" s="111">
        <f>(23000000)+271028+1000000</f>
        <v>24271028</v>
      </c>
      <c r="L132" s="154"/>
      <c r="M132" s="154"/>
      <c r="N132" s="154"/>
      <c r="O132" s="243">
        <f t="shared" si="61"/>
        <v>24271028</v>
      </c>
      <c r="P132" s="271">
        <f t="shared" si="62"/>
        <v>24271028</v>
      </c>
    </row>
    <row r="133" spans="1:17" ht="228.75" x14ac:dyDescent="0.2">
      <c r="A133" s="270" t="s">
        <v>441</v>
      </c>
      <c r="B133" s="270" t="s">
        <v>442</v>
      </c>
      <c r="C133" s="270" t="s">
        <v>420</v>
      </c>
      <c r="D133" s="270" t="s">
        <v>443</v>
      </c>
      <c r="E133" s="142">
        <f t="shared" si="63"/>
        <v>470575</v>
      </c>
      <c r="F133" s="111">
        <f>(370575)+100000</f>
        <v>470575</v>
      </c>
      <c r="G133" s="111"/>
      <c r="H133" s="111"/>
      <c r="I133" s="111"/>
      <c r="J133" s="271">
        <f t="shared" si="60"/>
        <v>0</v>
      </c>
      <c r="K133" s="225"/>
      <c r="L133" s="111"/>
      <c r="M133" s="111"/>
      <c r="N133" s="111"/>
      <c r="O133" s="243">
        <f t="shared" si="61"/>
        <v>0</v>
      </c>
      <c r="P133" s="271">
        <f t="shared" ref="P133:P138" si="64">E133+J133</f>
        <v>470575</v>
      </c>
    </row>
    <row r="134" spans="1:17" ht="91.5" x14ac:dyDescent="0.2">
      <c r="A134" s="270" t="s">
        <v>427</v>
      </c>
      <c r="B134" s="270" t="s">
        <v>428</v>
      </c>
      <c r="C134" s="270" t="s">
        <v>420</v>
      </c>
      <c r="D134" s="270" t="s">
        <v>429</v>
      </c>
      <c r="E134" s="142">
        <f t="shared" si="63"/>
        <v>119082180</v>
      </c>
      <c r="F134" s="111">
        <f>(111566028)+7516152</f>
        <v>119082180</v>
      </c>
      <c r="G134" s="111"/>
      <c r="H134" s="111">
        <f>(10000)+5000</f>
        <v>15000</v>
      </c>
      <c r="I134" s="111"/>
      <c r="J134" s="271">
        <f t="shared" si="60"/>
        <v>22370721</v>
      </c>
      <c r="K134" s="225">
        <f>(19160721)+3210000+1000000-1000000</f>
        <v>22370721</v>
      </c>
      <c r="L134" s="111"/>
      <c r="M134" s="111"/>
      <c r="N134" s="111"/>
      <c r="O134" s="243">
        <f t="shared" si="61"/>
        <v>22370721</v>
      </c>
      <c r="P134" s="271">
        <f t="shared" si="64"/>
        <v>141452901</v>
      </c>
    </row>
    <row r="135" spans="1:17" ht="92.25" x14ac:dyDescent="0.2">
      <c r="A135" s="270" t="s">
        <v>451</v>
      </c>
      <c r="B135" s="270" t="s">
        <v>452</v>
      </c>
      <c r="C135" s="270" t="s">
        <v>450</v>
      </c>
      <c r="D135" s="270" t="s">
        <v>453</v>
      </c>
      <c r="E135" s="142">
        <f t="shared" si="63"/>
        <v>0</v>
      </c>
      <c r="F135" s="111"/>
      <c r="G135" s="111"/>
      <c r="H135" s="111"/>
      <c r="I135" s="111"/>
      <c r="J135" s="271">
        <f>L135+O135</f>
        <v>8428600</v>
      </c>
      <c r="K135" s="225">
        <f>((18518000)-4000000-8818000)+2728600</f>
        <v>8428600</v>
      </c>
      <c r="L135" s="111"/>
      <c r="M135" s="111"/>
      <c r="N135" s="111"/>
      <c r="O135" s="243">
        <f>K135</f>
        <v>8428600</v>
      </c>
      <c r="P135" s="271">
        <f t="shared" si="64"/>
        <v>8428600</v>
      </c>
    </row>
    <row r="136" spans="1:17" ht="137.25" x14ac:dyDescent="0.2">
      <c r="A136" s="270" t="s">
        <v>870</v>
      </c>
      <c r="B136" s="270" t="s">
        <v>572</v>
      </c>
      <c r="C136" s="270" t="s">
        <v>256</v>
      </c>
      <c r="D136" s="270" t="s">
        <v>398</v>
      </c>
      <c r="E136" s="142">
        <f t="shared" si="63"/>
        <v>0</v>
      </c>
      <c r="F136" s="111"/>
      <c r="G136" s="111"/>
      <c r="H136" s="111"/>
      <c r="I136" s="111"/>
      <c r="J136" s="271">
        <f>L136+O136</f>
        <v>30278000</v>
      </c>
      <c r="K136" s="225">
        <f>(4000000)-4000000+21460000+8818000</f>
        <v>30278000</v>
      </c>
      <c r="L136" s="111"/>
      <c r="M136" s="111"/>
      <c r="N136" s="111"/>
      <c r="O136" s="243">
        <f>K136</f>
        <v>30278000</v>
      </c>
      <c r="P136" s="271">
        <f t="shared" si="64"/>
        <v>30278000</v>
      </c>
    </row>
    <row r="137" spans="1:17" ht="91.5" x14ac:dyDescent="0.2">
      <c r="A137" s="270" t="s">
        <v>722</v>
      </c>
      <c r="B137" s="270" t="s">
        <v>723</v>
      </c>
      <c r="C137" s="270" t="s">
        <v>724</v>
      </c>
      <c r="D137" s="270" t="s">
        <v>725</v>
      </c>
      <c r="E137" s="142">
        <f t="shared" si="63"/>
        <v>16387634</v>
      </c>
      <c r="F137" s="111">
        <f>(10620634)+5767000</f>
        <v>16387634</v>
      </c>
      <c r="G137" s="111"/>
      <c r="H137" s="111"/>
      <c r="I137" s="111"/>
      <c r="J137" s="271">
        <f t="shared" si="60"/>
        <v>0</v>
      </c>
      <c r="K137" s="225"/>
      <c r="L137" s="111"/>
      <c r="M137" s="111"/>
      <c r="N137" s="111"/>
      <c r="O137" s="243">
        <f t="shared" si="61"/>
        <v>0</v>
      </c>
      <c r="P137" s="271">
        <f t="shared" si="64"/>
        <v>16387634</v>
      </c>
    </row>
    <row r="138" spans="1:17" ht="91.5" x14ac:dyDescent="0.2">
      <c r="A138" s="270" t="s">
        <v>430</v>
      </c>
      <c r="B138" s="270" t="s">
        <v>431</v>
      </c>
      <c r="C138" s="270" t="s">
        <v>433</v>
      </c>
      <c r="D138" s="270" t="s">
        <v>432</v>
      </c>
      <c r="E138" s="142">
        <f t="shared" si="63"/>
        <v>25850135</v>
      </c>
      <c r="F138" s="111">
        <f>(16217135)+9633000</f>
        <v>25850135</v>
      </c>
      <c r="G138" s="111"/>
      <c r="H138" s="111"/>
      <c r="I138" s="111"/>
      <c r="J138" s="271">
        <f t="shared" si="60"/>
        <v>0</v>
      </c>
      <c r="K138" s="225"/>
      <c r="L138" s="111"/>
      <c r="M138" s="111"/>
      <c r="N138" s="111"/>
      <c r="O138" s="243">
        <f t="shared" si="61"/>
        <v>0</v>
      </c>
      <c r="P138" s="271">
        <f t="shared" si="64"/>
        <v>25850135</v>
      </c>
    </row>
    <row r="139" spans="1:17" ht="228.75" x14ac:dyDescent="0.2">
      <c r="A139" s="270" t="s">
        <v>434</v>
      </c>
      <c r="B139" s="270" t="s">
        <v>435</v>
      </c>
      <c r="C139" s="270" t="s">
        <v>437</v>
      </c>
      <c r="D139" s="270" t="s">
        <v>436</v>
      </c>
      <c r="E139" s="142">
        <f t="shared" si="63"/>
        <v>68735275</v>
      </c>
      <c r="F139" s="111">
        <f>(54477425)+14257850</f>
        <v>68735275</v>
      </c>
      <c r="G139" s="111"/>
      <c r="H139" s="111"/>
      <c r="I139" s="111"/>
      <c r="J139" s="271">
        <f t="shared" si="60"/>
        <v>83820169.109999999</v>
      </c>
      <c r="K139" s="111">
        <f>(82763108-570000)+3377030.11-31243.48-250000+31-1000000-500000</f>
        <v>83788925.629999995</v>
      </c>
      <c r="L139" s="154"/>
      <c r="M139" s="154"/>
      <c r="N139" s="154"/>
      <c r="O139" s="243">
        <f>K139+31243.48</f>
        <v>83820169.109999999</v>
      </c>
      <c r="P139" s="271">
        <f>+J139+E139</f>
        <v>152555444.11000001</v>
      </c>
    </row>
    <row r="140" spans="1:17" ht="46.5" x14ac:dyDescent="0.2">
      <c r="A140" s="270" t="s">
        <v>438</v>
      </c>
      <c r="B140" s="270" t="s">
        <v>317</v>
      </c>
      <c r="C140" s="270" t="s">
        <v>318</v>
      </c>
      <c r="D140" s="270" t="s">
        <v>67</v>
      </c>
      <c r="E140" s="142">
        <f t="shared" si="63"/>
        <v>250000</v>
      </c>
      <c r="F140" s="111">
        <v>250000</v>
      </c>
      <c r="G140" s="111"/>
      <c r="H140" s="111"/>
      <c r="I140" s="111"/>
      <c r="J140" s="271">
        <f t="shared" si="60"/>
        <v>1250000</v>
      </c>
      <c r="K140" s="225">
        <f>1000000+250000</f>
        <v>1250000</v>
      </c>
      <c r="L140" s="111"/>
      <c r="M140" s="111"/>
      <c r="N140" s="111"/>
      <c r="O140" s="243">
        <f t="shared" si="61"/>
        <v>1250000</v>
      </c>
      <c r="P140" s="271">
        <f>E140+J140</f>
        <v>1500000</v>
      </c>
    </row>
    <row r="141" spans="1:17" ht="91.5" x14ac:dyDescent="0.65">
      <c r="A141" s="270" t="s">
        <v>455</v>
      </c>
      <c r="B141" s="270" t="s">
        <v>293</v>
      </c>
      <c r="C141" s="270" t="s">
        <v>256</v>
      </c>
      <c r="D141" s="270" t="s">
        <v>57</v>
      </c>
      <c r="E141" s="142">
        <f t="shared" si="63"/>
        <v>0</v>
      </c>
      <c r="F141" s="111"/>
      <c r="G141" s="111"/>
      <c r="H141" s="111"/>
      <c r="I141" s="111"/>
      <c r="J141" s="271">
        <f t="shared" si="60"/>
        <v>39768992.68</v>
      </c>
      <c r="K141" s="225">
        <f>(8180115+557370)+91328.68+30690210+250000-31</f>
        <v>39768992.68</v>
      </c>
      <c r="L141" s="111"/>
      <c r="M141" s="111"/>
      <c r="N141" s="111"/>
      <c r="O141" s="243">
        <f t="shared" si="61"/>
        <v>39768992.68</v>
      </c>
      <c r="P141" s="271">
        <f>E141+J141</f>
        <v>39768992.68</v>
      </c>
      <c r="Q141" s="165"/>
    </row>
    <row r="142" spans="1:17" ht="409.5" x14ac:dyDescent="0.2">
      <c r="A142" s="422" t="s">
        <v>750</v>
      </c>
      <c r="B142" s="422" t="s">
        <v>538</v>
      </c>
      <c r="C142" s="422" t="s">
        <v>256</v>
      </c>
      <c r="D142" s="231" t="s">
        <v>549</v>
      </c>
      <c r="E142" s="418">
        <f t="shared" si="63"/>
        <v>0</v>
      </c>
      <c r="F142" s="404"/>
      <c r="G142" s="404"/>
      <c r="H142" s="404"/>
      <c r="I142" s="404"/>
      <c r="J142" s="414">
        <f t="shared" si="60"/>
        <v>1424137</v>
      </c>
      <c r="K142" s="404"/>
      <c r="L142" s="404">
        <v>1371000</v>
      </c>
      <c r="M142" s="404"/>
      <c r="N142" s="404"/>
      <c r="O142" s="406">
        <f>K142+53137</f>
        <v>53137</v>
      </c>
      <c r="P142" s="418">
        <f>E142+J142</f>
        <v>1424137</v>
      </c>
      <c r="Q142" s="255">
        <f>P142</f>
        <v>1424137</v>
      </c>
    </row>
    <row r="143" spans="1:17" ht="137.25" x14ac:dyDescent="0.65">
      <c r="A143" s="428"/>
      <c r="B143" s="428"/>
      <c r="C143" s="428"/>
      <c r="D143" s="235" t="s">
        <v>550</v>
      </c>
      <c r="E143" s="427"/>
      <c r="F143" s="405"/>
      <c r="G143" s="405"/>
      <c r="H143" s="405"/>
      <c r="I143" s="405"/>
      <c r="J143" s="415"/>
      <c r="K143" s="405"/>
      <c r="L143" s="405"/>
      <c r="M143" s="405"/>
      <c r="N143" s="405"/>
      <c r="O143" s="407"/>
      <c r="P143" s="427"/>
      <c r="Q143" s="165"/>
    </row>
    <row r="144" spans="1:17" ht="91.5" x14ac:dyDescent="0.2">
      <c r="A144" s="270" t="s">
        <v>385</v>
      </c>
      <c r="B144" s="270" t="s">
        <v>386</v>
      </c>
      <c r="C144" s="270" t="s">
        <v>387</v>
      </c>
      <c r="D144" s="270" t="s">
        <v>384</v>
      </c>
      <c r="E144" s="142">
        <f t="shared" si="63"/>
        <v>1250990</v>
      </c>
      <c r="F144" s="111">
        <v>1250990</v>
      </c>
      <c r="G144" s="111">
        <f>843750+143550</f>
        <v>987300</v>
      </c>
      <c r="H144" s="111">
        <v>12600</v>
      </c>
      <c r="I144" s="111"/>
      <c r="J144" s="271">
        <f>L144+O144</f>
        <v>0</v>
      </c>
      <c r="K144" s="225"/>
      <c r="L144" s="111"/>
      <c r="M144" s="111"/>
      <c r="N144" s="111"/>
      <c r="O144" s="243">
        <f>K144</f>
        <v>0</v>
      </c>
      <c r="P144" s="271">
        <f>E144+J144</f>
        <v>1250990</v>
      </c>
    </row>
    <row r="145" spans="1:18" ht="315" x14ac:dyDescent="0.2">
      <c r="A145" s="296" t="s">
        <v>44</v>
      </c>
      <c r="B145" s="296"/>
      <c r="C145" s="296"/>
      <c r="D145" s="296" t="s">
        <v>635</v>
      </c>
      <c r="E145" s="298">
        <f>E146</f>
        <v>3017500</v>
      </c>
      <c r="F145" s="298">
        <f t="shared" ref="F145:G145" si="65">F146</f>
        <v>3017500</v>
      </c>
      <c r="G145" s="298">
        <f t="shared" si="65"/>
        <v>1776300</v>
      </c>
      <c r="H145" s="298">
        <f>H146</f>
        <v>100000</v>
      </c>
      <c r="I145" s="298">
        <f t="shared" ref="I145" si="66">I146</f>
        <v>0</v>
      </c>
      <c r="J145" s="298">
        <f>J146</f>
        <v>72776600</v>
      </c>
      <c r="K145" s="298">
        <f>K146</f>
        <v>72776600</v>
      </c>
      <c r="L145" s="298">
        <f>L146</f>
        <v>0</v>
      </c>
      <c r="M145" s="298">
        <f t="shared" ref="M145" si="67">M146</f>
        <v>0</v>
      </c>
      <c r="N145" s="298">
        <f>N146</f>
        <v>0</v>
      </c>
      <c r="O145" s="298">
        <f>O146</f>
        <v>72776600</v>
      </c>
      <c r="P145" s="302">
        <f t="shared" ref="P145" si="68">P146</f>
        <v>75794100</v>
      </c>
    </row>
    <row r="146" spans="1:18" ht="270" x14ac:dyDescent="0.2">
      <c r="A146" s="299" t="s">
        <v>45</v>
      </c>
      <c r="B146" s="299"/>
      <c r="C146" s="299"/>
      <c r="D146" s="299" t="s">
        <v>634</v>
      </c>
      <c r="E146" s="301">
        <f>SUM(E147:E153)</f>
        <v>3017500</v>
      </c>
      <c r="F146" s="301">
        <f t="shared" ref="F146:O146" si="69">SUM(F147:F153)</f>
        <v>3017500</v>
      </c>
      <c r="G146" s="301">
        <f t="shared" si="69"/>
        <v>1776300</v>
      </c>
      <c r="H146" s="301">
        <f t="shared" si="69"/>
        <v>100000</v>
      </c>
      <c r="I146" s="301">
        <f t="shared" si="69"/>
        <v>0</v>
      </c>
      <c r="J146" s="301">
        <f t="shared" ref="J146:J153" si="70">L146+O146</f>
        <v>72776600</v>
      </c>
      <c r="K146" s="301">
        <f t="shared" si="69"/>
        <v>72776600</v>
      </c>
      <c r="L146" s="301">
        <f t="shared" si="69"/>
        <v>0</v>
      </c>
      <c r="M146" s="301">
        <f t="shared" si="69"/>
        <v>0</v>
      </c>
      <c r="N146" s="301">
        <f t="shared" si="69"/>
        <v>0</v>
      </c>
      <c r="O146" s="301">
        <f t="shared" si="69"/>
        <v>72776600</v>
      </c>
      <c r="P146" s="301">
        <f t="shared" ref="P146:P153" si="71">E146+J146</f>
        <v>75794100</v>
      </c>
      <c r="Q146" s="153" t="b">
        <f>P146=P150+P151+P152+P147+P148+P153+P149</f>
        <v>1</v>
      </c>
      <c r="R146" s="155" t="b">
        <f>K146='dod5'!I122</f>
        <v>1</v>
      </c>
    </row>
    <row r="147" spans="1:18" ht="228.75" x14ac:dyDescent="0.2">
      <c r="A147" s="270" t="s">
        <v>739</v>
      </c>
      <c r="B147" s="270" t="s">
        <v>341</v>
      </c>
      <c r="C147" s="270" t="s">
        <v>339</v>
      </c>
      <c r="D147" s="270" t="s">
        <v>340</v>
      </c>
      <c r="E147" s="271">
        <f>F147</f>
        <v>2461800</v>
      </c>
      <c r="F147" s="225">
        <f>(2696500)-289700+55000</f>
        <v>2461800</v>
      </c>
      <c r="G147" s="225">
        <v>1776300</v>
      </c>
      <c r="H147" s="225">
        <v>100000</v>
      </c>
      <c r="I147" s="225"/>
      <c r="J147" s="271">
        <f t="shared" si="70"/>
        <v>10400</v>
      </c>
      <c r="K147" s="225">
        <v>10400</v>
      </c>
      <c r="L147" s="225"/>
      <c r="M147" s="225"/>
      <c r="N147" s="225"/>
      <c r="O147" s="243">
        <f>K147</f>
        <v>10400</v>
      </c>
      <c r="P147" s="271">
        <f t="shared" si="71"/>
        <v>2472200</v>
      </c>
      <c r="Q147" s="153"/>
      <c r="R147" s="155" t="b">
        <f>K147='dod5'!I124</f>
        <v>1</v>
      </c>
    </row>
    <row r="148" spans="1:18" ht="91.5" x14ac:dyDescent="0.2">
      <c r="A148" s="270" t="s">
        <v>840</v>
      </c>
      <c r="B148" s="270" t="s">
        <v>71</v>
      </c>
      <c r="C148" s="270" t="s">
        <v>70</v>
      </c>
      <c r="D148" s="270" t="s">
        <v>354</v>
      </c>
      <c r="E148" s="271">
        <f t="shared" ref="E148:E151" si="72">F148</f>
        <v>555700</v>
      </c>
      <c r="F148" s="225">
        <f>289700+266000</f>
        <v>555700</v>
      </c>
      <c r="G148" s="225"/>
      <c r="H148" s="225"/>
      <c r="I148" s="225"/>
      <c r="J148" s="271">
        <f t="shared" si="70"/>
        <v>0</v>
      </c>
      <c r="K148" s="225"/>
      <c r="L148" s="225"/>
      <c r="M148" s="225"/>
      <c r="N148" s="225"/>
      <c r="O148" s="243">
        <f t="shared" ref="O148:O149" si="73">K148</f>
        <v>0</v>
      </c>
      <c r="P148" s="271">
        <f t="shared" si="71"/>
        <v>555700</v>
      </c>
      <c r="Q148" s="153"/>
      <c r="R148" s="155"/>
    </row>
    <row r="149" spans="1:18" ht="320.25" x14ac:dyDescent="0.2">
      <c r="A149" s="270" t="s">
        <v>846</v>
      </c>
      <c r="B149" s="270" t="s">
        <v>848</v>
      </c>
      <c r="C149" s="270" t="s">
        <v>291</v>
      </c>
      <c r="D149" s="270" t="s">
        <v>847</v>
      </c>
      <c r="E149" s="271">
        <f t="shared" si="72"/>
        <v>0</v>
      </c>
      <c r="F149" s="225"/>
      <c r="G149" s="225"/>
      <c r="H149" s="225"/>
      <c r="I149" s="225"/>
      <c r="J149" s="271">
        <f t="shared" si="70"/>
        <v>8500000</v>
      </c>
      <c r="K149" s="225">
        <f>4500000+4000000</f>
        <v>8500000</v>
      </c>
      <c r="L149" s="225"/>
      <c r="M149" s="225"/>
      <c r="N149" s="225"/>
      <c r="O149" s="243">
        <f t="shared" si="73"/>
        <v>8500000</v>
      </c>
      <c r="P149" s="271">
        <f t="shared" si="71"/>
        <v>8500000</v>
      </c>
      <c r="Q149" s="153"/>
      <c r="R149" s="155"/>
    </row>
    <row r="150" spans="1:18" ht="91.5" x14ac:dyDescent="0.2">
      <c r="A150" s="270" t="s">
        <v>469</v>
      </c>
      <c r="B150" s="270" t="s">
        <v>470</v>
      </c>
      <c r="C150" s="270" t="s">
        <v>450</v>
      </c>
      <c r="D150" s="270" t="s">
        <v>468</v>
      </c>
      <c r="E150" s="271">
        <f t="shared" si="72"/>
        <v>0</v>
      </c>
      <c r="F150" s="225"/>
      <c r="G150" s="225"/>
      <c r="H150" s="225"/>
      <c r="I150" s="225"/>
      <c r="J150" s="271">
        <f t="shared" si="70"/>
        <v>23700000</v>
      </c>
      <c r="K150" s="225">
        <f>37000000-20000000+6700000</f>
        <v>23700000</v>
      </c>
      <c r="L150" s="225"/>
      <c r="M150" s="225"/>
      <c r="N150" s="225"/>
      <c r="O150" s="243">
        <f>K150</f>
        <v>23700000</v>
      </c>
      <c r="P150" s="271">
        <f t="shared" si="71"/>
        <v>23700000</v>
      </c>
    </row>
    <row r="151" spans="1:18" ht="137.25" x14ac:dyDescent="0.2">
      <c r="A151" s="270" t="s">
        <v>471</v>
      </c>
      <c r="B151" s="270" t="s">
        <v>472</v>
      </c>
      <c r="C151" s="270" t="s">
        <v>450</v>
      </c>
      <c r="D151" s="270" t="s">
        <v>473</v>
      </c>
      <c r="E151" s="271">
        <f t="shared" si="72"/>
        <v>0</v>
      </c>
      <c r="F151" s="225"/>
      <c r="G151" s="225"/>
      <c r="H151" s="225"/>
      <c r="I151" s="225"/>
      <c r="J151" s="271">
        <f t="shared" si="70"/>
        <v>1400000</v>
      </c>
      <c r="K151" s="225">
        <f>4500000+1400000-4500000</f>
        <v>1400000</v>
      </c>
      <c r="L151" s="225"/>
      <c r="M151" s="225"/>
      <c r="N151" s="225"/>
      <c r="O151" s="243">
        <f>K151</f>
        <v>1400000</v>
      </c>
      <c r="P151" s="271">
        <f t="shared" si="71"/>
        <v>1400000</v>
      </c>
    </row>
    <row r="152" spans="1:18" ht="91.5" x14ac:dyDescent="0.2">
      <c r="A152" s="270" t="s">
        <v>475</v>
      </c>
      <c r="B152" s="270" t="s">
        <v>476</v>
      </c>
      <c r="C152" s="270" t="s">
        <v>450</v>
      </c>
      <c r="D152" s="270" t="s">
        <v>853</v>
      </c>
      <c r="E152" s="271">
        <f>F152</f>
        <v>0</v>
      </c>
      <c r="F152" s="225"/>
      <c r="G152" s="225"/>
      <c r="H152" s="225"/>
      <c r="I152" s="225"/>
      <c r="J152" s="271">
        <f t="shared" si="70"/>
        <v>13166200</v>
      </c>
      <c r="K152" s="225">
        <f>11500000+1666200</f>
        <v>13166200</v>
      </c>
      <c r="L152" s="225"/>
      <c r="M152" s="225"/>
      <c r="N152" s="225"/>
      <c r="O152" s="243">
        <f>K152</f>
        <v>13166200</v>
      </c>
      <c r="P152" s="271">
        <f t="shared" si="71"/>
        <v>13166200</v>
      </c>
    </row>
    <row r="153" spans="1:18" ht="137.25" x14ac:dyDescent="0.2">
      <c r="A153" s="270" t="s">
        <v>845</v>
      </c>
      <c r="B153" s="270" t="s">
        <v>572</v>
      </c>
      <c r="C153" s="270" t="s">
        <v>256</v>
      </c>
      <c r="D153" s="270" t="s">
        <v>398</v>
      </c>
      <c r="E153" s="271">
        <f>F153</f>
        <v>0</v>
      </c>
      <c r="F153" s="225"/>
      <c r="G153" s="225"/>
      <c r="H153" s="225"/>
      <c r="I153" s="225"/>
      <c r="J153" s="271">
        <f t="shared" si="70"/>
        <v>26000000</v>
      </c>
      <c r="K153" s="225">
        <f>20000000+5000000+1000000</f>
        <v>26000000</v>
      </c>
      <c r="L153" s="225"/>
      <c r="M153" s="225"/>
      <c r="N153" s="225"/>
      <c r="O153" s="243">
        <f>K153</f>
        <v>26000000</v>
      </c>
      <c r="P153" s="271">
        <f t="shared" si="71"/>
        <v>26000000</v>
      </c>
    </row>
    <row r="154" spans="1:18" ht="270" x14ac:dyDescent="0.2">
      <c r="A154" s="296" t="s">
        <v>246</v>
      </c>
      <c r="B154" s="296"/>
      <c r="C154" s="296"/>
      <c r="D154" s="296" t="s">
        <v>46</v>
      </c>
      <c r="E154" s="298">
        <f>E155</f>
        <v>3935500</v>
      </c>
      <c r="F154" s="298">
        <f t="shared" ref="F154:G154" si="74">F155</f>
        <v>3935500</v>
      </c>
      <c r="G154" s="298">
        <f t="shared" si="74"/>
        <v>2850700</v>
      </c>
      <c r="H154" s="298">
        <f>H155</f>
        <v>107000</v>
      </c>
      <c r="I154" s="298">
        <f t="shared" ref="I154" si="75">I155</f>
        <v>0</v>
      </c>
      <c r="J154" s="298">
        <f>J155</f>
        <v>500000</v>
      </c>
      <c r="K154" s="298">
        <f>K155</f>
        <v>500000</v>
      </c>
      <c r="L154" s="298">
        <f>L155</f>
        <v>0</v>
      </c>
      <c r="M154" s="298">
        <f t="shared" ref="M154" si="76">M155</f>
        <v>0</v>
      </c>
      <c r="N154" s="298">
        <f>N155</f>
        <v>0</v>
      </c>
      <c r="O154" s="298">
        <f>O155</f>
        <v>500000</v>
      </c>
      <c r="P154" s="302">
        <f t="shared" ref="P154" si="77">P155</f>
        <v>4435500</v>
      </c>
    </row>
    <row r="155" spans="1:18" ht="270" x14ac:dyDescent="0.2">
      <c r="A155" s="299" t="s">
        <v>247</v>
      </c>
      <c r="B155" s="299"/>
      <c r="C155" s="299"/>
      <c r="D155" s="299" t="s">
        <v>64</v>
      </c>
      <c r="E155" s="301">
        <f>SUM(E156:E157)</f>
        <v>3935500</v>
      </c>
      <c r="F155" s="301">
        <f t="shared" ref="F155:O155" si="78">SUM(F156:F157)</f>
        <v>3935500</v>
      </c>
      <c r="G155" s="301">
        <f t="shared" si="78"/>
        <v>2850700</v>
      </c>
      <c r="H155" s="301">
        <f t="shared" si="78"/>
        <v>107000</v>
      </c>
      <c r="I155" s="301">
        <f t="shared" si="78"/>
        <v>0</v>
      </c>
      <c r="J155" s="301">
        <f>L155+O155</f>
        <v>500000</v>
      </c>
      <c r="K155" s="301">
        <f t="shared" si="78"/>
        <v>500000</v>
      </c>
      <c r="L155" s="301">
        <f t="shared" si="78"/>
        <v>0</v>
      </c>
      <c r="M155" s="301">
        <f t="shared" si="78"/>
        <v>0</v>
      </c>
      <c r="N155" s="301">
        <f t="shared" si="78"/>
        <v>0</v>
      </c>
      <c r="O155" s="301">
        <f t="shared" si="78"/>
        <v>500000</v>
      </c>
      <c r="P155" s="301">
        <f>E155+J155</f>
        <v>4435500</v>
      </c>
      <c r="Q155" s="153" t="b">
        <f>P155=P157+P156</f>
        <v>1</v>
      </c>
      <c r="R155" s="155" t="b">
        <f>K155='dod5'!I146</f>
        <v>1</v>
      </c>
    </row>
    <row r="156" spans="1:18" ht="228.75" x14ac:dyDescent="0.2">
      <c r="A156" s="270" t="s">
        <v>741</v>
      </c>
      <c r="B156" s="270" t="s">
        <v>341</v>
      </c>
      <c r="C156" s="270" t="s">
        <v>339</v>
      </c>
      <c r="D156" s="270" t="s">
        <v>340</v>
      </c>
      <c r="E156" s="271">
        <f>F156</f>
        <v>3935500</v>
      </c>
      <c r="F156" s="225">
        <f>(3880500)+55000</f>
        <v>3935500</v>
      </c>
      <c r="G156" s="225">
        <v>2850700</v>
      </c>
      <c r="H156" s="225">
        <v>107000</v>
      </c>
      <c r="I156" s="225"/>
      <c r="J156" s="271">
        <f>L156+O156</f>
        <v>0</v>
      </c>
      <c r="K156" s="225"/>
      <c r="L156" s="225"/>
      <c r="M156" s="225"/>
      <c r="N156" s="225"/>
      <c r="O156" s="243">
        <f>K156</f>
        <v>0</v>
      </c>
      <c r="P156" s="271">
        <f>E156+J156</f>
        <v>3935500</v>
      </c>
      <c r="Q156" s="153"/>
      <c r="R156" s="155"/>
    </row>
    <row r="157" spans="1:18" ht="137.25" x14ac:dyDescent="0.2">
      <c r="A157" s="270" t="s">
        <v>460</v>
      </c>
      <c r="B157" s="270" t="s">
        <v>461</v>
      </c>
      <c r="C157" s="270" t="s">
        <v>450</v>
      </c>
      <c r="D157" s="270" t="s">
        <v>462</v>
      </c>
      <c r="E157" s="271">
        <f>F157</f>
        <v>0</v>
      </c>
      <c r="F157" s="225">
        <v>0</v>
      </c>
      <c r="G157" s="225"/>
      <c r="H157" s="225"/>
      <c r="I157" s="225"/>
      <c r="J157" s="271">
        <f>L157+O157</f>
        <v>500000</v>
      </c>
      <c r="K157" s="225">
        <f>(2000000)-1500000</f>
        <v>500000</v>
      </c>
      <c r="L157" s="225"/>
      <c r="M157" s="225"/>
      <c r="N157" s="225"/>
      <c r="O157" s="243">
        <f>K157</f>
        <v>500000</v>
      </c>
      <c r="P157" s="271">
        <f>E157+J157</f>
        <v>500000</v>
      </c>
    </row>
    <row r="158" spans="1:18" ht="135" x14ac:dyDescent="0.2">
      <c r="A158" s="296" t="s">
        <v>252</v>
      </c>
      <c r="B158" s="296"/>
      <c r="C158" s="296"/>
      <c r="D158" s="296" t="s">
        <v>577</v>
      </c>
      <c r="E158" s="298">
        <f>E159</f>
        <v>6199000</v>
      </c>
      <c r="F158" s="298">
        <f t="shared" ref="F158:G158" si="79">F159</f>
        <v>6199000</v>
      </c>
      <c r="G158" s="298">
        <f t="shared" si="79"/>
        <v>0</v>
      </c>
      <c r="H158" s="298">
        <f>H159</f>
        <v>0</v>
      </c>
      <c r="I158" s="298">
        <f t="shared" ref="I158" si="80">I159</f>
        <v>0</v>
      </c>
      <c r="J158" s="298">
        <f>J159</f>
        <v>2270000</v>
      </c>
      <c r="K158" s="298">
        <f>K159</f>
        <v>2270000</v>
      </c>
      <c r="L158" s="298">
        <f>L159</f>
        <v>0</v>
      </c>
      <c r="M158" s="298">
        <f t="shared" ref="M158" si="81">M159</f>
        <v>0</v>
      </c>
      <c r="N158" s="298">
        <f>N159</f>
        <v>0</v>
      </c>
      <c r="O158" s="298">
        <f>O159</f>
        <v>2270000</v>
      </c>
      <c r="P158" s="302">
        <f t="shared" ref="P158" si="82">P159</f>
        <v>8469000</v>
      </c>
    </row>
    <row r="159" spans="1:18" ht="135" x14ac:dyDescent="0.2">
      <c r="A159" s="299" t="s">
        <v>253</v>
      </c>
      <c r="B159" s="299"/>
      <c r="C159" s="299"/>
      <c r="D159" s="299" t="s">
        <v>578</v>
      </c>
      <c r="E159" s="301">
        <f>SUM(E160:E164)</f>
        <v>6199000</v>
      </c>
      <c r="F159" s="301">
        <f t="shared" ref="F159:O159" si="83">SUM(F160:F164)</f>
        <v>6199000</v>
      </c>
      <c r="G159" s="301">
        <f t="shared" si="83"/>
        <v>0</v>
      </c>
      <c r="H159" s="301">
        <f t="shared" si="83"/>
        <v>0</v>
      </c>
      <c r="I159" s="301">
        <f t="shared" si="83"/>
        <v>0</v>
      </c>
      <c r="J159" s="301">
        <f t="shared" ref="J159:J164" si="84">L159+O159</f>
        <v>2270000</v>
      </c>
      <c r="K159" s="301">
        <f t="shared" si="83"/>
        <v>2270000</v>
      </c>
      <c r="L159" s="301">
        <f t="shared" si="83"/>
        <v>0</v>
      </c>
      <c r="M159" s="301">
        <f t="shared" si="83"/>
        <v>0</v>
      </c>
      <c r="N159" s="301">
        <f t="shared" si="83"/>
        <v>0</v>
      </c>
      <c r="O159" s="301">
        <f t="shared" si="83"/>
        <v>2270000</v>
      </c>
      <c r="P159" s="301">
        <f t="shared" ref="P159:P164" si="85">E159+J159</f>
        <v>8469000</v>
      </c>
      <c r="Q159" s="153" t="b">
        <f>P159=P160+P161+P162+P163+P164</f>
        <v>1</v>
      </c>
      <c r="R159" s="155" t="b">
        <f>K159='dod5'!I152</f>
        <v>1</v>
      </c>
    </row>
    <row r="160" spans="1:18" ht="137.25" hidden="1" x14ac:dyDescent="0.2">
      <c r="A160" s="270" t="s">
        <v>571</v>
      </c>
      <c r="B160" s="270" t="s">
        <v>572</v>
      </c>
      <c r="C160" s="270" t="s">
        <v>256</v>
      </c>
      <c r="D160" s="270" t="s">
        <v>398</v>
      </c>
      <c r="E160" s="271">
        <f>F160</f>
        <v>0</v>
      </c>
      <c r="F160" s="225"/>
      <c r="G160" s="225"/>
      <c r="H160" s="225"/>
      <c r="I160" s="225"/>
      <c r="J160" s="271">
        <f t="shared" si="84"/>
        <v>0</v>
      </c>
      <c r="K160" s="225">
        <f>(2000000)-2000000</f>
        <v>0</v>
      </c>
      <c r="L160" s="225"/>
      <c r="M160" s="225"/>
      <c r="N160" s="225"/>
      <c r="O160" s="243">
        <f>K160</f>
        <v>0</v>
      </c>
      <c r="P160" s="271">
        <f t="shared" si="85"/>
        <v>0</v>
      </c>
      <c r="R160" s="155"/>
    </row>
    <row r="161" spans="1:18" ht="91.5" x14ac:dyDescent="0.2">
      <c r="A161" s="270" t="s">
        <v>396</v>
      </c>
      <c r="B161" s="270" t="s">
        <v>397</v>
      </c>
      <c r="C161" s="270" t="s">
        <v>395</v>
      </c>
      <c r="D161" s="270" t="s">
        <v>394</v>
      </c>
      <c r="E161" s="271">
        <f t="shared" ref="E161:E164" si="86">F161</f>
        <v>3285000</v>
      </c>
      <c r="F161" s="225">
        <f>(2656650)+828350-240000+40000</f>
        <v>3285000</v>
      </c>
      <c r="G161" s="225"/>
      <c r="H161" s="225"/>
      <c r="I161" s="225"/>
      <c r="J161" s="271">
        <f t="shared" si="84"/>
        <v>770000</v>
      </c>
      <c r="K161" s="225">
        <f>(570000)+200000</f>
        <v>770000</v>
      </c>
      <c r="L161" s="225"/>
      <c r="M161" s="225"/>
      <c r="N161" s="225"/>
      <c r="O161" s="243">
        <f>K161</f>
        <v>770000</v>
      </c>
      <c r="P161" s="271">
        <f t="shared" si="85"/>
        <v>4055000</v>
      </c>
      <c r="R161" s="155" t="b">
        <f>K161='dod5'!I154</f>
        <v>1</v>
      </c>
    </row>
    <row r="162" spans="1:18" ht="137.25" x14ac:dyDescent="0.2">
      <c r="A162" s="270" t="s">
        <v>388</v>
      </c>
      <c r="B162" s="270" t="s">
        <v>390</v>
      </c>
      <c r="C162" s="270" t="s">
        <v>318</v>
      </c>
      <c r="D162" s="270" t="s">
        <v>389</v>
      </c>
      <c r="E162" s="271">
        <f t="shared" si="86"/>
        <v>420000</v>
      </c>
      <c r="F162" s="225">
        <v>420000</v>
      </c>
      <c r="G162" s="225"/>
      <c r="H162" s="225"/>
      <c r="I162" s="225"/>
      <c r="J162" s="271">
        <f t="shared" si="84"/>
        <v>0</v>
      </c>
      <c r="K162" s="225"/>
      <c r="L162" s="225"/>
      <c r="M162" s="225"/>
      <c r="N162" s="225"/>
      <c r="O162" s="243">
        <f>K162</f>
        <v>0</v>
      </c>
      <c r="P162" s="271">
        <f t="shared" si="85"/>
        <v>420000</v>
      </c>
      <c r="R162" s="155"/>
    </row>
    <row r="163" spans="1:18" ht="91.5" x14ac:dyDescent="0.2">
      <c r="A163" s="270" t="s">
        <v>392</v>
      </c>
      <c r="B163" s="270" t="s">
        <v>393</v>
      </c>
      <c r="C163" s="270" t="s">
        <v>256</v>
      </c>
      <c r="D163" s="270" t="s">
        <v>391</v>
      </c>
      <c r="E163" s="271">
        <f t="shared" si="86"/>
        <v>2494000</v>
      </c>
      <c r="F163" s="225">
        <f>(1794000)+800000-100000</f>
        <v>2494000</v>
      </c>
      <c r="G163" s="225"/>
      <c r="H163" s="225"/>
      <c r="I163" s="225"/>
      <c r="J163" s="271">
        <f t="shared" si="84"/>
        <v>200000</v>
      </c>
      <c r="K163" s="225">
        <f>200000+1000000-1000000</f>
        <v>200000</v>
      </c>
      <c r="L163" s="225"/>
      <c r="M163" s="225"/>
      <c r="N163" s="225"/>
      <c r="O163" s="243">
        <f>K163</f>
        <v>200000</v>
      </c>
      <c r="P163" s="271">
        <f t="shared" si="85"/>
        <v>2694000</v>
      </c>
      <c r="R163" s="155" t="b">
        <f>K163='dod5'!I155</f>
        <v>1</v>
      </c>
    </row>
    <row r="164" spans="1:18" ht="91.5" x14ac:dyDescent="0.2">
      <c r="A164" s="270" t="s">
        <v>932</v>
      </c>
      <c r="B164" s="270" t="s">
        <v>601</v>
      </c>
      <c r="C164" s="270" t="s">
        <v>71</v>
      </c>
      <c r="D164" s="270" t="s">
        <v>602</v>
      </c>
      <c r="E164" s="271">
        <f t="shared" si="86"/>
        <v>0</v>
      </c>
      <c r="F164" s="225"/>
      <c r="G164" s="225"/>
      <c r="H164" s="225"/>
      <c r="I164" s="225"/>
      <c r="J164" s="271">
        <f t="shared" si="84"/>
        <v>1300000</v>
      </c>
      <c r="K164" s="225">
        <f>500000+1000000-1000000+800000</f>
        <v>1300000</v>
      </c>
      <c r="L164" s="225"/>
      <c r="M164" s="225"/>
      <c r="N164" s="225"/>
      <c r="O164" s="243">
        <f>K164</f>
        <v>1300000</v>
      </c>
      <c r="P164" s="271">
        <f t="shared" si="85"/>
        <v>1300000</v>
      </c>
      <c r="R164" s="155" t="b">
        <f>K164='dod5'!I157+'dod5'!I156</f>
        <v>1</v>
      </c>
    </row>
    <row r="165" spans="1:18" ht="180" x14ac:dyDescent="0.2">
      <c r="A165" s="296" t="s">
        <v>250</v>
      </c>
      <c r="B165" s="296"/>
      <c r="C165" s="296"/>
      <c r="D165" s="296" t="s">
        <v>47</v>
      </c>
      <c r="E165" s="298">
        <f>E166</f>
        <v>4258100</v>
      </c>
      <c r="F165" s="298">
        <f t="shared" ref="F165:G165" si="87">F166</f>
        <v>4258100</v>
      </c>
      <c r="G165" s="298">
        <f t="shared" si="87"/>
        <v>3166500</v>
      </c>
      <c r="H165" s="298">
        <f>H166</f>
        <v>119916</v>
      </c>
      <c r="I165" s="298">
        <f t="shared" ref="I165" si="88">I166</f>
        <v>0</v>
      </c>
      <c r="J165" s="298">
        <f>J166</f>
        <v>990905.96</v>
      </c>
      <c r="K165" s="298">
        <f>K166</f>
        <v>0</v>
      </c>
      <c r="L165" s="298">
        <f>L166</f>
        <v>408505.96</v>
      </c>
      <c r="M165" s="298">
        <f t="shared" ref="M165" si="89">M166</f>
        <v>0</v>
      </c>
      <c r="N165" s="298">
        <f>N166</f>
        <v>0</v>
      </c>
      <c r="O165" s="298">
        <f>O166</f>
        <v>582400</v>
      </c>
      <c r="P165" s="302">
        <f t="shared" ref="P165" si="90">P166</f>
        <v>5249005.96</v>
      </c>
    </row>
    <row r="166" spans="1:18" ht="180" x14ac:dyDescent="0.2">
      <c r="A166" s="299" t="s">
        <v>251</v>
      </c>
      <c r="B166" s="299"/>
      <c r="C166" s="299"/>
      <c r="D166" s="299" t="s">
        <v>65</v>
      </c>
      <c r="E166" s="301">
        <f t="shared" ref="E166:N166" si="91">SUM(E167:E170)</f>
        <v>4258100</v>
      </c>
      <c r="F166" s="301">
        <f t="shared" si="91"/>
        <v>4258100</v>
      </c>
      <c r="G166" s="301">
        <f t="shared" si="91"/>
        <v>3166500</v>
      </c>
      <c r="H166" s="301">
        <f t="shared" si="91"/>
        <v>119916</v>
      </c>
      <c r="I166" s="301">
        <f t="shared" si="91"/>
        <v>0</v>
      </c>
      <c r="J166" s="301">
        <f>L166+O166</f>
        <v>990905.96</v>
      </c>
      <c r="K166" s="301">
        <f t="shared" si="91"/>
        <v>0</v>
      </c>
      <c r="L166" s="301">
        <f t="shared" si="91"/>
        <v>408505.96</v>
      </c>
      <c r="M166" s="301">
        <f t="shared" si="91"/>
        <v>0</v>
      </c>
      <c r="N166" s="301">
        <f t="shared" si="91"/>
        <v>0</v>
      </c>
      <c r="O166" s="301">
        <f>SUM(O167:O170)</f>
        <v>582400</v>
      </c>
      <c r="P166" s="301">
        <f>E166+J166</f>
        <v>5249005.96</v>
      </c>
      <c r="Q166" s="153" t="b">
        <f>P166=P168+P170+P167+P169</f>
        <v>1</v>
      </c>
      <c r="R166" s="155" t="b">
        <f>J166='dod7'!F16</f>
        <v>1</v>
      </c>
    </row>
    <row r="167" spans="1:18" ht="228.75" x14ac:dyDescent="0.2">
      <c r="A167" s="270" t="s">
        <v>744</v>
      </c>
      <c r="B167" s="270" t="s">
        <v>341</v>
      </c>
      <c r="C167" s="270" t="s">
        <v>339</v>
      </c>
      <c r="D167" s="270" t="s">
        <v>340</v>
      </c>
      <c r="E167" s="271">
        <f>F167</f>
        <v>4258100</v>
      </c>
      <c r="F167" s="225">
        <f>(4223100)+35000</f>
        <v>4258100</v>
      </c>
      <c r="G167" s="225">
        <v>3166500</v>
      </c>
      <c r="H167" s="225">
        <v>119916</v>
      </c>
      <c r="I167" s="225"/>
      <c r="J167" s="271">
        <f>L167+O167</f>
        <v>0</v>
      </c>
      <c r="K167" s="225"/>
      <c r="L167" s="225"/>
      <c r="M167" s="225"/>
      <c r="N167" s="225"/>
      <c r="O167" s="243">
        <f>K167</f>
        <v>0</v>
      </c>
      <c r="P167" s="271">
        <f>E167+J167</f>
        <v>4258100</v>
      </c>
      <c r="Q167" s="153"/>
      <c r="R167" s="155"/>
    </row>
    <row r="168" spans="1:18" ht="137.25" x14ac:dyDescent="0.2">
      <c r="A168" s="270" t="s">
        <v>463</v>
      </c>
      <c r="B168" s="270" t="s">
        <v>464</v>
      </c>
      <c r="C168" s="270" t="s">
        <v>81</v>
      </c>
      <c r="D168" s="270" t="s">
        <v>82</v>
      </c>
      <c r="E168" s="271">
        <f t="shared" ref="E168:E169" si="92">F168</f>
        <v>0</v>
      </c>
      <c r="F168" s="225"/>
      <c r="G168" s="225"/>
      <c r="H168" s="225"/>
      <c r="I168" s="225"/>
      <c r="J168" s="271">
        <f>L168+O168</f>
        <v>834616</v>
      </c>
      <c r="K168" s="225"/>
      <c r="L168" s="225">
        <f>(116000)+90000+46216</f>
        <v>252216</v>
      </c>
      <c r="M168" s="225"/>
      <c r="N168" s="225"/>
      <c r="O168" s="243">
        <f>(K168+284000)+344616-130000+130000-46216</f>
        <v>582400</v>
      </c>
      <c r="P168" s="271">
        <f>E168+J168</f>
        <v>834616</v>
      </c>
    </row>
    <row r="169" spans="1:18" ht="91.5" x14ac:dyDescent="0.2">
      <c r="A169" s="270" t="s">
        <v>830</v>
      </c>
      <c r="B169" s="270" t="s">
        <v>831</v>
      </c>
      <c r="C169" s="270" t="s">
        <v>855</v>
      </c>
      <c r="D169" s="270" t="s">
        <v>854</v>
      </c>
      <c r="E169" s="271">
        <f t="shared" si="92"/>
        <v>0</v>
      </c>
      <c r="F169" s="225"/>
      <c r="G169" s="225"/>
      <c r="H169" s="225"/>
      <c r="I169" s="225"/>
      <c r="J169" s="271">
        <f>L169+O169</f>
        <v>56289.96</v>
      </c>
      <c r="K169" s="225"/>
      <c r="L169" s="225">
        <v>56289.96</v>
      </c>
      <c r="M169" s="225"/>
      <c r="N169" s="225"/>
      <c r="O169" s="243">
        <f>K169</f>
        <v>0</v>
      </c>
      <c r="P169" s="271">
        <f>E169+J169</f>
        <v>56289.96</v>
      </c>
    </row>
    <row r="170" spans="1:18" ht="91.5" x14ac:dyDescent="0.2">
      <c r="A170" s="270" t="s">
        <v>465</v>
      </c>
      <c r="B170" s="270" t="s">
        <v>466</v>
      </c>
      <c r="C170" s="270" t="s">
        <v>83</v>
      </c>
      <c r="D170" s="270" t="s">
        <v>467</v>
      </c>
      <c r="E170" s="271">
        <v>0</v>
      </c>
      <c r="F170" s="225"/>
      <c r="G170" s="225"/>
      <c r="H170" s="225"/>
      <c r="I170" s="225"/>
      <c r="J170" s="271">
        <f>L170+O170</f>
        <v>100000</v>
      </c>
      <c r="K170" s="271"/>
      <c r="L170" s="225">
        <v>100000</v>
      </c>
      <c r="M170" s="225"/>
      <c r="N170" s="225"/>
      <c r="O170" s="243">
        <f>K170</f>
        <v>0</v>
      </c>
      <c r="P170" s="271">
        <f>E170+J170</f>
        <v>100000</v>
      </c>
    </row>
    <row r="171" spans="1:18" ht="315" x14ac:dyDescent="0.2">
      <c r="A171" s="296" t="s">
        <v>248</v>
      </c>
      <c r="B171" s="296"/>
      <c r="C171" s="296"/>
      <c r="D171" s="296" t="s">
        <v>579</v>
      </c>
      <c r="E171" s="298">
        <f>E172</f>
        <v>3524300</v>
      </c>
      <c r="F171" s="298">
        <f t="shared" ref="F171:G171" si="93">F172</f>
        <v>3524300</v>
      </c>
      <c r="G171" s="298">
        <f t="shared" si="93"/>
        <v>2641000</v>
      </c>
      <c r="H171" s="298">
        <f>H172</f>
        <v>60000</v>
      </c>
      <c r="I171" s="298">
        <f t="shared" ref="I171" si="94">I172</f>
        <v>0</v>
      </c>
      <c r="J171" s="298">
        <f>J172</f>
        <v>500000</v>
      </c>
      <c r="K171" s="298">
        <f>K172</f>
        <v>500000</v>
      </c>
      <c r="L171" s="298">
        <f>L172</f>
        <v>0</v>
      </c>
      <c r="M171" s="298">
        <f t="shared" ref="M171" si="95">M172</f>
        <v>0</v>
      </c>
      <c r="N171" s="298">
        <f>N172</f>
        <v>0</v>
      </c>
      <c r="O171" s="298">
        <f>O172</f>
        <v>500000</v>
      </c>
      <c r="P171" s="302">
        <f t="shared" ref="P171" si="96">P172</f>
        <v>4024300</v>
      </c>
    </row>
    <row r="172" spans="1:18" ht="315" x14ac:dyDescent="0.2">
      <c r="A172" s="299" t="s">
        <v>249</v>
      </c>
      <c r="B172" s="299"/>
      <c r="C172" s="299"/>
      <c r="D172" s="299" t="s">
        <v>580</v>
      </c>
      <c r="E172" s="301">
        <f>SUM(E173:E175)</f>
        <v>3524300</v>
      </c>
      <c r="F172" s="301">
        <f t="shared" ref="F172:N172" si="97">SUM(F173:F175)</f>
        <v>3524300</v>
      </c>
      <c r="G172" s="301">
        <f t="shared" si="97"/>
        <v>2641000</v>
      </c>
      <c r="H172" s="301">
        <f t="shared" si="97"/>
        <v>60000</v>
      </c>
      <c r="I172" s="301">
        <f t="shared" si="97"/>
        <v>0</v>
      </c>
      <c r="J172" s="301">
        <f>L172+O172</f>
        <v>500000</v>
      </c>
      <c r="K172" s="301">
        <f t="shared" si="97"/>
        <v>500000</v>
      </c>
      <c r="L172" s="301">
        <f t="shared" si="97"/>
        <v>0</v>
      </c>
      <c r="M172" s="301">
        <f t="shared" si="97"/>
        <v>0</v>
      </c>
      <c r="N172" s="301">
        <f t="shared" si="97"/>
        <v>0</v>
      </c>
      <c r="O172" s="301">
        <f>SUM(O173:O175)</f>
        <v>500000</v>
      </c>
      <c r="P172" s="301">
        <f>E172+J172</f>
        <v>4024300</v>
      </c>
      <c r="Q172" s="153" t="b">
        <f>P172=P174+P175+P173</f>
        <v>1</v>
      </c>
      <c r="R172" s="155" t="b">
        <f>K172='dod5'!I158</f>
        <v>1</v>
      </c>
    </row>
    <row r="173" spans="1:18" ht="228.75" x14ac:dyDescent="0.2">
      <c r="A173" s="270" t="s">
        <v>740</v>
      </c>
      <c r="B173" s="270" t="s">
        <v>341</v>
      </c>
      <c r="C173" s="270" t="s">
        <v>339</v>
      </c>
      <c r="D173" s="270" t="s">
        <v>340</v>
      </c>
      <c r="E173" s="271">
        <f>F173</f>
        <v>3524300</v>
      </c>
      <c r="F173" s="225">
        <f>(3469300)+55000</f>
        <v>3524300</v>
      </c>
      <c r="G173" s="225">
        <v>2641000</v>
      </c>
      <c r="H173" s="225">
        <v>60000</v>
      </c>
      <c r="I173" s="225"/>
      <c r="J173" s="271">
        <f>L173+O173</f>
        <v>0</v>
      </c>
      <c r="K173" s="225"/>
      <c r="L173" s="225"/>
      <c r="M173" s="225"/>
      <c r="N173" s="225"/>
      <c r="O173" s="243">
        <f>K173</f>
        <v>0</v>
      </c>
      <c r="P173" s="271">
        <f>E173+J173</f>
        <v>3524300</v>
      </c>
      <c r="Q173" s="153"/>
      <c r="R173" s="155"/>
    </row>
    <row r="174" spans="1:18" ht="91.5" x14ac:dyDescent="0.2">
      <c r="A174" s="270" t="s">
        <v>457</v>
      </c>
      <c r="B174" s="270" t="s">
        <v>458</v>
      </c>
      <c r="C174" s="270" t="s">
        <v>459</v>
      </c>
      <c r="D174" s="270" t="s">
        <v>456</v>
      </c>
      <c r="E174" s="271">
        <f>F174</f>
        <v>0</v>
      </c>
      <c r="F174" s="225">
        <v>0</v>
      </c>
      <c r="G174" s="225"/>
      <c r="H174" s="225"/>
      <c r="I174" s="225"/>
      <c r="J174" s="271">
        <f>L174+O174</f>
        <v>410000</v>
      </c>
      <c r="K174" s="225">
        <v>410000</v>
      </c>
      <c r="L174" s="225"/>
      <c r="M174" s="225"/>
      <c r="N174" s="225"/>
      <c r="O174" s="243">
        <f>K174</f>
        <v>410000</v>
      </c>
      <c r="P174" s="271">
        <f>E174+J174</f>
        <v>410000</v>
      </c>
    </row>
    <row r="175" spans="1:18" ht="137.25" x14ac:dyDescent="0.2">
      <c r="A175" s="270" t="s">
        <v>610</v>
      </c>
      <c r="B175" s="270" t="s">
        <v>611</v>
      </c>
      <c r="C175" s="270" t="s">
        <v>256</v>
      </c>
      <c r="D175" s="270" t="s">
        <v>612</v>
      </c>
      <c r="E175" s="271">
        <f>F175</f>
        <v>0</v>
      </c>
      <c r="F175" s="225">
        <v>0</v>
      </c>
      <c r="G175" s="225"/>
      <c r="H175" s="225"/>
      <c r="I175" s="225"/>
      <c r="J175" s="271">
        <f>L175+O175</f>
        <v>90000</v>
      </c>
      <c r="K175" s="225">
        <v>90000</v>
      </c>
      <c r="L175" s="225"/>
      <c r="M175" s="225"/>
      <c r="N175" s="225"/>
      <c r="O175" s="243">
        <f>K175</f>
        <v>90000</v>
      </c>
      <c r="P175" s="271">
        <f>E175+J175</f>
        <v>90000</v>
      </c>
    </row>
    <row r="176" spans="1:18" ht="135" x14ac:dyDescent="0.2">
      <c r="A176" s="296" t="s">
        <v>254</v>
      </c>
      <c r="B176" s="296"/>
      <c r="C176" s="296"/>
      <c r="D176" s="296" t="s">
        <v>48</v>
      </c>
      <c r="E176" s="298">
        <f>E177</f>
        <v>64141500</v>
      </c>
      <c r="F176" s="298">
        <f t="shared" ref="F176:G176" si="98">F177</f>
        <v>64141500</v>
      </c>
      <c r="G176" s="298">
        <f t="shared" si="98"/>
        <v>5254100</v>
      </c>
      <c r="H176" s="298">
        <f>H177</f>
        <v>142362</v>
      </c>
      <c r="I176" s="298">
        <f t="shared" ref="I176" si="99">I177</f>
        <v>0</v>
      </c>
      <c r="J176" s="298">
        <f>J177</f>
        <v>50000</v>
      </c>
      <c r="K176" s="298">
        <f>K177</f>
        <v>50000</v>
      </c>
      <c r="L176" s="298">
        <f>L177</f>
        <v>0</v>
      </c>
      <c r="M176" s="298">
        <f t="shared" ref="M176" si="100">M177</f>
        <v>0</v>
      </c>
      <c r="N176" s="298">
        <f>N177</f>
        <v>0</v>
      </c>
      <c r="O176" s="298">
        <f>O177</f>
        <v>50000</v>
      </c>
      <c r="P176" s="302">
        <f t="shared" ref="P176" si="101">P177</f>
        <v>64191500</v>
      </c>
    </row>
    <row r="177" spans="1:18" ht="135" x14ac:dyDescent="0.2">
      <c r="A177" s="299" t="s">
        <v>255</v>
      </c>
      <c r="B177" s="299"/>
      <c r="C177" s="299"/>
      <c r="D177" s="299" t="s">
        <v>66</v>
      </c>
      <c r="E177" s="301">
        <f>SUM(E178:E181)</f>
        <v>64141500</v>
      </c>
      <c r="F177" s="301">
        <f t="shared" ref="F177:N177" si="102">SUM(F178:F181)</f>
        <v>64141500</v>
      </c>
      <c r="G177" s="301">
        <f t="shared" si="102"/>
        <v>5254100</v>
      </c>
      <c r="H177" s="301">
        <f t="shared" si="102"/>
        <v>142362</v>
      </c>
      <c r="I177" s="301">
        <f t="shared" si="102"/>
        <v>0</v>
      </c>
      <c r="J177" s="301">
        <f>L177+O177</f>
        <v>50000</v>
      </c>
      <c r="K177" s="301">
        <f>SUM(K178:K181)</f>
        <v>50000</v>
      </c>
      <c r="L177" s="301">
        <f t="shared" si="102"/>
        <v>0</v>
      </c>
      <c r="M177" s="301">
        <f t="shared" si="102"/>
        <v>0</v>
      </c>
      <c r="N177" s="301">
        <f t="shared" si="102"/>
        <v>0</v>
      </c>
      <c r="O177" s="301">
        <f>SUM(O178:O181)</f>
        <v>50000</v>
      </c>
      <c r="P177" s="301">
        <f>E177+J177</f>
        <v>64191500</v>
      </c>
      <c r="Q177" s="153" t="b">
        <f>P177=P179+P180+P181+P178</f>
        <v>1</v>
      </c>
      <c r="R177" s="155" t="b">
        <f>K177='dod5'!I166</f>
        <v>1</v>
      </c>
    </row>
    <row r="178" spans="1:18" ht="228.75" x14ac:dyDescent="0.2">
      <c r="A178" s="270" t="s">
        <v>742</v>
      </c>
      <c r="B178" s="270" t="s">
        <v>341</v>
      </c>
      <c r="C178" s="270" t="s">
        <v>339</v>
      </c>
      <c r="D178" s="270" t="s">
        <v>340</v>
      </c>
      <c r="E178" s="271">
        <f>F178</f>
        <v>6927800</v>
      </c>
      <c r="F178" s="225">
        <f>(6887800)+40000</f>
        <v>6927800</v>
      </c>
      <c r="G178" s="225">
        <v>5254100</v>
      </c>
      <c r="H178" s="225">
        <v>142362</v>
      </c>
      <c r="I178" s="225"/>
      <c r="J178" s="271">
        <f>L178+O178</f>
        <v>50000</v>
      </c>
      <c r="K178" s="225">
        <v>50000</v>
      </c>
      <c r="L178" s="225"/>
      <c r="M178" s="225"/>
      <c r="N178" s="225"/>
      <c r="O178" s="243">
        <f>K178</f>
        <v>50000</v>
      </c>
      <c r="P178" s="271">
        <f>E178+J178</f>
        <v>6977800</v>
      </c>
      <c r="Q178" s="153"/>
      <c r="R178" s="155"/>
    </row>
    <row r="179" spans="1:18" ht="91.5" x14ac:dyDescent="0.2">
      <c r="A179" s="219">
        <v>3718600</v>
      </c>
      <c r="B179" s="219">
        <v>8600</v>
      </c>
      <c r="C179" s="270" t="s">
        <v>589</v>
      </c>
      <c r="D179" s="219" t="s">
        <v>590</v>
      </c>
      <c r="E179" s="271">
        <f>F179</f>
        <v>1282700</v>
      </c>
      <c r="F179" s="225">
        <v>1282700</v>
      </c>
      <c r="G179" s="225"/>
      <c r="H179" s="225"/>
      <c r="I179" s="225"/>
      <c r="J179" s="271">
        <f>L179+O179</f>
        <v>0</v>
      </c>
      <c r="K179" s="225"/>
      <c r="L179" s="225"/>
      <c r="M179" s="225"/>
      <c r="N179" s="225"/>
      <c r="O179" s="243">
        <f>K179</f>
        <v>0</v>
      </c>
      <c r="P179" s="271">
        <f>E179+J179</f>
        <v>1282700</v>
      </c>
    </row>
    <row r="180" spans="1:18" ht="69" customHeight="1" x14ac:dyDescent="0.2">
      <c r="A180" s="219">
        <v>3718700</v>
      </c>
      <c r="B180" s="219">
        <v>8700</v>
      </c>
      <c r="C180" s="270" t="s">
        <v>70</v>
      </c>
      <c r="D180" s="215" t="s">
        <v>68</v>
      </c>
      <c r="E180" s="271">
        <f>F180</f>
        <v>1545000</v>
      </c>
      <c r="F180" s="225">
        <f>(5000000-655000)-3000000+1000000-800000</f>
        <v>1545000</v>
      </c>
      <c r="G180" s="225"/>
      <c r="H180" s="225"/>
      <c r="I180" s="225"/>
      <c r="J180" s="271">
        <f>L180+O180</f>
        <v>0</v>
      </c>
      <c r="K180" s="225"/>
      <c r="L180" s="225"/>
      <c r="M180" s="225"/>
      <c r="N180" s="225"/>
      <c r="O180" s="243">
        <f>K180</f>
        <v>0</v>
      </c>
      <c r="P180" s="271">
        <f>E180+J180</f>
        <v>1545000</v>
      </c>
    </row>
    <row r="181" spans="1:18" ht="65.25" customHeight="1" x14ac:dyDescent="0.2">
      <c r="A181" s="219">
        <v>3719110</v>
      </c>
      <c r="B181" s="219">
        <v>9110</v>
      </c>
      <c r="C181" s="270" t="s">
        <v>71</v>
      </c>
      <c r="D181" s="215" t="s">
        <v>69</v>
      </c>
      <c r="E181" s="271">
        <f>F181</f>
        <v>54386000</v>
      </c>
      <c r="F181" s="225">
        <v>54386000</v>
      </c>
      <c r="G181" s="225"/>
      <c r="H181" s="225"/>
      <c r="I181" s="225"/>
      <c r="J181" s="271">
        <f>L181+O181</f>
        <v>0</v>
      </c>
      <c r="K181" s="225"/>
      <c r="L181" s="225"/>
      <c r="M181" s="225"/>
      <c r="N181" s="225"/>
      <c r="O181" s="243">
        <f>K181</f>
        <v>0</v>
      </c>
      <c r="P181" s="271">
        <f>E181+J181</f>
        <v>54386000</v>
      </c>
    </row>
    <row r="182" spans="1:18" ht="81.75" customHeight="1" x14ac:dyDescent="0.55000000000000004">
      <c r="A182" s="188" t="s">
        <v>651</v>
      </c>
      <c r="B182" s="188" t="s">
        <v>651</v>
      </c>
      <c r="C182" s="188" t="s">
        <v>651</v>
      </c>
      <c r="D182" s="189" t="s">
        <v>669</v>
      </c>
      <c r="E182" s="143">
        <f>E14+E26+E109+E39+E53+E99+E125+E146+E155+E177+E159+E166+E172</f>
        <v>2724229373.7800002</v>
      </c>
      <c r="F182" s="143">
        <f>F14+F26+F109+F39+F52+F99+F125+F146+F155+F177+F159+F166+F172</f>
        <v>2724229373.7800002</v>
      </c>
      <c r="G182" s="143">
        <f t="shared" ref="G182:O182" si="103">G14+G26+G109+G39+G53+G99+G125+G146+G155+G177+G159+G166+G172</f>
        <v>856994773.39999998</v>
      </c>
      <c r="H182" s="143">
        <f t="shared" si="103"/>
        <v>97282826</v>
      </c>
      <c r="I182" s="143">
        <f t="shared" si="103"/>
        <v>0</v>
      </c>
      <c r="J182" s="143">
        <f t="shared" si="103"/>
        <v>504816391.82999998</v>
      </c>
      <c r="K182" s="143">
        <f t="shared" si="103"/>
        <v>379714734.35000002</v>
      </c>
      <c r="L182" s="143">
        <f t="shared" si="103"/>
        <v>122256044</v>
      </c>
      <c r="M182" s="143">
        <f t="shared" si="103"/>
        <v>33009405</v>
      </c>
      <c r="N182" s="143">
        <f t="shared" si="103"/>
        <v>8774975</v>
      </c>
      <c r="O182" s="143">
        <f t="shared" si="103"/>
        <v>382560347.83000004</v>
      </c>
      <c r="P182" s="143">
        <f>P14+P26+P109+P39+P52+P99+P125+P146+P155+P177+P159+P166+P172</f>
        <v>3229045765.6100001</v>
      </c>
      <c r="Q182" s="14" t="b">
        <f>K182='dod5'!I169</f>
        <v>1</v>
      </c>
    </row>
    <row r="183" spans="1:18" ht="45.75" x14ac:dyDescent="0.2">
      <c r="A183" s="424" t="s">
        <v>454</v>
      </c>
      <c r="B183" s="425"/>
      <c r="C183" s="425"/>
      <c r="D183" s="425"/>
      <c r="E183" s="425"/>
      <c r="F183" s="425"/>
      <c r="G183" s="425"/>
      <c r="H183" s="425"/>
      <c r="I183" s="425"/>
      <c r="J183" s="425"/>
      <c r="K183" s="425"/>
      <c r="L183" s="425"/>
      <c r="M183" s="425"/>
      <c r="N183" s="425"/>
      <c r="O183" s="425"/>
      <c r="P183" s="425"/>
      <c r="Q183" s="12"/>
    </row>
    <row r="184" spans="1:18" ht="45.75" hidden="1" x14ac:dyDescent="0.2">
      <c r="A184" s="121"/>
      <c r="B184" s="122"/>
      <c r="C184" s="122"/>
      <c r="D184" s="122"/>
      <c r="E184" s="226">
        <f>F184</f>
        <v>2724229373.7800002</v>
      </c>
      <c r="F184" s="226">
        <f>2630608432+94420941.78-800000</f>
        <v>2724229373.7800002</v>
      </c>
      <c r="G184" s="226">
        <f>849422587+143550+5928000+86028.4+389900+20400+13948+160000+82000+748360</f>
        <v>856994773.39999998</v>
      </c>
      <c r="H184" s="226">
        <f>96770291+4000+2000+5000+427000+69535+5000</f>
        <v>97282826</v>
      </c>
      <c r="I184" s="226">
        <v>0</v>
      </c>
      <c r="J184" s="226">
        <f>L184+O184</f>
        <v>504816391.82999998</v>
      </c>
      <c r="K184" s="226">
        <f>254272789+115783217.83-31243.48-696803.04-490905.96+10077680+800000</f>
        <v>379714734.34999996</v>
      </c>
      <c r="L184" s="226">
        <f>131537535-24983+643666.04+146289.96-10077680+46216-15000</f>
        <v>122256044</v>
      </c>
      <c r="M184" s="226">
        <f>33043505-34100</f>
        <v>33009405</v>
      </c>
      <c r="N184" s="226">
        <v>8774975</v>
      </c>
      <c r="O184" s="226">
        <f>256695639+115783217.83+24983-643666.04-146289.96+10077680-46216+800000+15000</f>
        <v>382560347.82999998</v>
      </c>
      <c r="P184" s="226">
        <f>E184+J184</f>
        <v>3229045765.6100001</v>
      </c>
      <c r="Q184" s="12"/>
      <c r="R184" s="12"/>
    </row>
    <row r="185" spans="1:18" ht="45.75" x14ac:dyDescent="0.2">
      <c r="A185" s="121"/>
      <c r="B185" s="122"/>
      <c r="C185" s="122"/>
      <c r="D185" s="122"/>
      <c r="E185" s="122"/>
      <c r="F185" s="122"/>
      <c r="G185" s="122"/>
      <c r="H185" s="122"/>
      <c r="I185" s="122"/>
      <c r="J185" s="122"/>
      <c r="K185" s="122"/>
      <c r="L185" s="122"/>
      <c r="M185" s="122"/>
      <c r="N185" s="122"/>
      <c r="O185" s="122"/>
      <c r="P185" s="122"/>
      <c r="Q185" s="12"/>
    </row>
    <row r="186" spans="1:18" ht="45.75" x14ac:dyDescent="0.65">
      <c r="A186" s="7"/>
      <c r="B186" s="7"/>
      <c r="C186" s="7"/>
      <c r="D186" s="423" t="s">
        <v>946</v>
      </c>
      <c r="E186" s="423"/>
      <c r="F186" s="423"/>
      <c r="G186" s="423"/>
      <c r="H186" s="423"/>
      <c r="I186" s="423"/>
      <c r="J186" s="423"/>
      <c r="K186" s="423"/>
      <c r="L186" s="423"/>
      <c r="M186" s="423"/>
      <c r="N186" s="423"/>
      <c r="O186" s="423"/>
      <c r="P186" s="423"/>
      <c r="Q186" s="13"/>
    </row>
    <row r="187" spans="1:18" ht="45.75" x14ac:dyDescent="0.2">
      <c r="E187" s="24"/>
      <c r="F187" s="3"/>
      <c r="J187" s="222"/>
      <c r="K187" s="222"/>
      <c r="O187" s="133"/>
      <c r="P187" s="19"/>
    </row>
    <row r="188" spans="1:18" ht="45.75" x14ac:dyDescent="0.65">
      <c r="D188" s="423" t="s">
        <v>231</v>
      </c>
      <c r="E188" s="423"/>
      <c r="F188" s="423"/>
      <c r="G188" s="423"/>
      <c r="H188" s="423"/>
      <c r="I188" s="423"/>
      <c r="J188" s="423"/>
      <c r="K188" s="423"/>
      <c r="L188" s="423"/>
      <c r="M188" s="423"/>
      <c r="N188" s="423"/>
      <c r="O188" s="423"/>
      <c r="P188" s="423"/>
      <c r="Q188" s="14"/>
    </row>
    <row r="189" spans="1:18" x14ac:dyDescent="0.2">
      <c r="E189" s="4"/>
      <c r="F189" s="3"/>
      <c r="J189" s="4"/>
      <c r="K189" s="4"/>
    </row>
    <row r="190" spans="1:18" x14ac:dyDescent="0.2">
      <c r="E190" s="4"/>
      <c r="F190" s="3"/>
      <c r="J190" s="4"/>
      <c r="K190" s="4"/>
    </row>
    <row r="191" spans="1:18" ht="99.75" customHeight="1" x14ac:dyDescent="0.2">
      <c r="E191" s="119" t="b">
        <f>E184=E182</f>
        <v>1</v>
      </c>
      <c r="F191" s="119" t="b">
        <f>F184=F182</f>
        <v>1</v>
      </c>
      <c r="G191" s="119" t="b">
        <f>G184=G182</f>
        <v>1</v>
      </c>
      <c r="H191" s="119" t="b">
        <f t="shared" ref="H191:O191" si="104">H184=H182</f>
        <v>1</v>
      </c>
      <c r="I191" s="119" t="b">
        <f>I184=I182</f>
        <v>1</v>
      </c>
      <c r="J191" s="119" t="b">
        <f>J184=J182</f>
        <v>1</v>
      </c>
      <c r="K191" s="119" t="b">
        <f>K184=K182</f>
        <v>1</v>
      </c>
      <c r="L191" s="119" t="b">
        <f t="shared" si="104"/>
        <v>1</v>
      </c>
      <c r="M191" s="119" t="b">
        <f t="shared" si="104"/>
        <v>1</v>
      </c>
      <c r="N191" s="119" t="b">
        <f t="shared" si="104"/>
        <v>1</v>
      </c>
      <c r="O191" s="119" t="b">
        <f t="shared" si="104"/>
        <v>1</v>
      </c>
      <c r="P191" s="119" t="b">
        <f>P184=P182</f>
        <v>1</v>
      </c>
    </row>
    <row r="192" spans="1:18" ht="60.75" x14ac:dyDescent="0.55000000000000004">
      <c r="E192" s="19"/>
      <c r="F192" s="12"/>
      <c r="G192" s="3"/>
      <c r="I192" s="115"/>
      <c r="J192" s="223"/>
      <c r="K192" s="223"/>
      <c r="L192" s="119">
        <f>L182-L184</f>
        <v>0</v>
      </c>
      <c r="M192" s="115"/>
      <c r="N192" s="115"/>
      <c r="O192" s="119">
        <f>O182-O184</f>
        <v>0</v>
      </c>
      <c r="P192" s="14" t="b">
        <f>E182+J182=P182</f>
        <v>1</v>
      </c>
    </row>
    <row r="193" spans="1:18" x14ac:dyDescent="0.2">
      <c r="E193" s="6"/>
      <c r="F193" s="184"/>
      <c r="G193" s="6"/>
      <c r="H193" s="6"/>
      <c r="I193" s="6"/>
      <c r="J193" s="4"/>
      <c r="K193" s="4"/>
    </row>
    <row r="194" spans="1:18" ht="45.75" x14ac:dyDescent="0.2">
      <c r="A194"/>
      <c r="B194"/>
      <c r="C194"/>
      <c r="D194" s="10"/>
      <c r="E194" s="152" t="b">
        <f>E182=F182</f>
        <v>1</v>
      </c>
      <c r="F194" s="133">
        <f>F180/P182*100</f>
        <v>4.7846952695888269E-2</v>
      </c>
      <c r="G194" s="133" t="s">
        <v>497</v>
      </c>
      <c r="I194" s="10"/>
      <c r="J194" s="152"/>
      <c r="K194" s="152"/>
      <c r="L194"/>
      <c r="M194"/>
      <c r="N194"/>
      <c r="O194"/>
      <c r="P194"/>
    </row>
    <row r="195" spans="1:18" ht="60.75" x14ac:dyDescent="0.2">
      <c r="D195" s="10"/>
      <c r="E195" s="152"/>
      <c r="F195" s="119">
        <f>F184-F182</f>
        <v>0</v>
      </c>
      <c r="G195" s="23"/>
      <c r="I195" s="10"/>
      <c r="J195" s="152"/>
      <c r="K195" s="152"/>
      <c r="P195" s="119"/>
      <c r="Q195" s="120"/>
      <c r="R195" s="119"/>
    </row>
    <row r="196" spans="1:18" ht="60.75" x14ac:dyDescent="0.2">
      <c r="A196"/>
      <c r="B196"/>
      <c r="C196"/>
      <c r="D196" s="10"/>
      <c r="E196" s="152"/>
      <c r="F196" s="133"/>
      <c r="G196" s="3"/>
      <c r="I196" s="10"/>
      <c r="J196" s="152"/>
      <c r="K196" s="152"/>
      <c r="L196"/>
      <c r="M196"/>
      <c r="N196"/>
      <c r="O196"/>
      <c r="P196" s="119"/>
      <c r="Q196" s="120"/>
      <c r="R196" s="119"/>
    </row>
    <row r="197" spans="1:18" ht="60.75" x14ac:dyDescent="0.2">
      <c r="D197" s="10"/>
      <c r="E197" s="152"/>
      <c r="F197" s="185"/>
      <c r="P197" s="119"/>
    </row>
    <row r="198" spans="1:18" ht="60.75" x14ac:dyDescent="0.2">
      <c r="A198"/>
      <c r="B198"/>
      <c r="C198"/>
      <c r="D198" s="10"/>
      <c r="E198" s="152"/>
      <c r="F198" s="133"/>
      <c r="G198" s="3"/>
      <c r="J198" s="4"/>
      <c r="K198" s="4"/>
      <c r="L198"/>
      <c r="M198"/>
      <c r="N198"/>
      <c r="O198"/>
      <c r="P198" s="119"/>
    </row>
    <row r="199" spans="1:18" ht="62.25" x14ac:dyDescent="0.8">
      <c r="A199"/>
      <c r="B199"/>
      <c r="C199"/>
      <c r="D199"/>
      <c r="E199" s="21"/>
      <c r="F199" s="133"/>
      <c r="J199" s="4"/>
      <c r="K199" s="4"/>
      <c r="L199"/>
      <c r="M199"/>
      <c r="N199"/>
      <c r="O199"/>
      <c r="P199" s="159"/>
    </row>
    <row r="200" spans="1:18" ht="45.75" x14ac:dyDescent="0.2">
      <c r="E200" s="22"/>
      <c r="F200" s="185"/>
    </row>
    <row r="201" spans="1:18" ht="45.75" x14ac:dyDescent="0.2">
      <c r="A201"/>
      <c r="B201"/>
      <c r="C201"/>
      <c r="D201"/>
      <c r="E201" s="21"/>
      <c r="F201" s="133"/>
      <c r="L201"/>
      <c r="M201"/>
      <c r="N201"/>
      <c r="O201"/>
      <c r="P201"/>
    </row>
    <row r="202" spans="1:18" ht="45.75" x14ac:dyDescent="0.2">
      <c r="E202" s="22"/>
      <c r="F202" s="185"/>
    </row>
    <row r="203" spans="1:18" ht="45.75" x14ac:dyDescent="0.2">
      <c r="E203" s="22"/>
      <c r="F203" s="185"/>
    </row>
    <row r="204" spans="1:18" ht="45.75" x14ac:dyDescent="0.2">
      <c r="E204" s="22"/>
      <c r="F204" s="185"/>
    </row>
    <row r="205" spans="1:18" ht="45.75" x14ac:dyDescent="0.2">
      <c r="A205"/>
      <c r="B205"/>
      <c r="C205"/>
      <c r="D205"/>
      <c r="E205" s="22"/>
      <c r="F205" s="185"/>
      <c r="G205"/>
      <c r="H205"/>
      <c r="I205"/>
      <c r="J205"/>
      <c r="K205"/>
      <c r="L205"/>
      <c r="M205"/>
      <c r="N205"/>
      <c r="O205"/>
      <c r="P205"/>
    </row>
    <row r="206" spans="1:18" ht="45.75" x14ac:dyDescent="0.2">
      <c r="A206"/>
      <c r="B206"/>
      <c r="C206"/>
      <c r="D206"/>
      <c r="E206" s="22"/>
      <c r="F206" s="185"/>
      <c r="G206"/>
      <c r="H206"/>
      <c r="I206"/>
      <c r="J206"/>
      <c r="K206"/>
      <c r="L206"/>
      <c r="M206"/>
      <c r="N206"/>
      <c r="O206"/>
      <c r="P206"/>
    </row>
    <row r="207" spans="1:18" ht="45.75" x14ac:dyDescent="0.2">
      <c r="A207"/>
      <c r="B207"/>
      <c r="C207"/>
      <c r="D207"/>
      <c r="E207" s="22"/>
      <c r="F207" s="185"/>
      <c r="G207"/>
      <c r="H207"/>
      <c r="I207"/>
      <c r="J207"/>
      <c r="K207"/>
      <c r="L207"/>
      <c r="M207"/>
      <c r="N207"/>
      <c r="O207"/>
      <c r="P207"/>
    </row>
    <row r="208" spans="1:18" ht="45.75" x14ac:dyDescent="0.2">
      <c r="A208"/>
      <c r="B208"/>
      <c r="C208"/>
      <c r="D208"/>
      <c r="E208" s="22"/>
      <c r="F208" s="185"/>
      <c r="G208"/>
      <c r="H208"/>
      <c r="I208"/>
      <c r="J208"/>
      <c r="K208"/>
      <c r="L208"/>
      <c r="M208"/>
      <c r="N208"/>
      <c r="O208"/>
      <c r="P208"/>
    </row>
  </sheetData>
  <mergeCells count="99">
    <mergeCell ref="A183:P183"/>
    <mergeCell ref="D186:P186"/>
    <mergeCell ref="D188:P188"/>
    <mergeCell ref="K142:K143"/>
    <mergeCell ref="L142:L143"/>
    <mergeCell ref="M142:M143"/>
    <mergeCell ref="N142:N143"/>
    <mergeCell ref="O142:O143"/>
    <mergeCell ref="P142:P143"/>
    <mergeCell ref="P96:P97"/>
    <mergeCell ref="A142:A143"/>
    <mergeCell ref="B142:B143"/>
    <mergeCell ref="C142:C143"/>
    <mergeCell ref="E142:E143"/>
    <mergeCell ref="F142:F143"/>
    <mergeCell ref="G142:G143"/>
    <mergeCell ref="H142:H143"/>
    <mergeCell ref="I142:I143"/>
    <mergeCell ref="J142:J143"/>
    <mergeCell ref="J96:J97"/>
    <mergeCell ref="K96:K97"/>
    <mergeCell ref="L96:L97"/>
    <mergeCell ref="M96:M97"/>
    <mergeCell ref="N96:N97"/>
    <mergeCell ref="O96:O97"/>
    <mergeCell ref="O89:O91"/>
    <mergeCell ref="P89:P91"/>
    <mergeCell ref="A96:A97"/>
    <mergeCell ref="B96:B97"/>
    <mergeCell ref="C96:C97"/>
    <mergeCell ref="E96:E97"/>
    <mergeCell ref="F96:F97"/>
    <mergeCell ref="G96:G97"/>
    <mergeCell ref="H96:H97"/>
    <mergeCell ref="I96:I97"/>
    <mergeCell ref="I89:I91"/>
    <mergeCell ref="J89:J91"/>
    <mergeCell ref="K89:K91"/>
    <mergeCell ref="L89:L91"/>
    <mergeCell ref="M89:M91"/>
    <mergeCell ref="N89:N91"/>
    <mergeCell ref="N78:N79"/>
    <mergeCell ref="O78:O79"/>
    <mergeCell ref="P78:P79"/>
    <mergeCell ref="A89:A91"/>
    <mergeCell ref="B89:B91"/>
    <mergeCell ref="C89:C91"/>
    <mergeCell ref="E89:E91"/>
    <mergeCell ref="F89:F91"/>
    <mergeCell ref="G89:G91"/>
    <mergeCell ref="H89:H91"/>
    <mergeCell ref="H78:H79"/>
    <mergeCell ref="I78:I79"/>
    <mergeCell ref="J78:J79"/>
    <mergeCell ref="K78:K79"/>
    <mergeCell ref="L78:L79"/>
    <mergeCell ref="M78:M79"/>
    <mergeCell ref="A78:A79"/>
    <mergeCell ref="B78:B79"/>
    <mergeCell ref="C78:C79"/>
    <mergeCell ref="E78:E79"/>
    <mergeCell ref="F78:F79"/>
    <mergeCell ref="G78:G79"/>
    <mergeCell ref="K19:K20"/>
    <mergeCell ref="L19:L20"/>
    <mergeCell ref="M19:M20"/>
    <mergeCell ref="N19:N20"/>
    <mergeCell ref="O19:O20"/>
    <mergeCell ref="P19:P20"/>
    <mergeCell ref="O10:O11"/>
    <mergeCell ref="A19:A20"/>
    <mergeCell ref="B19:B20"/>
    <mergeCell ref="C19:C20"/>
    <mergeCell ref="E19:E20"/>
    <mergeCell ref="F19:F20"/>
    <mergeCell ref="G19:G20"/>
    <mergeCell ref="H19:H20"/>
    <mergeCell ref="I19:I20"/>
    <mergeCell ref="J19:J20"/>
    <mergeCell ref="J9:O9"/>
    <mergeCell ref="P9:P11"/>
    <mergeCell ref="E10:E11"/>
    <mergeCell ref="F10:F11"/>
    <mergeCell ref="G10:H10"/>
    <mergeCell ref="I10:I11"/>
    <mergeCell ref="J10:J11"/>
    <mergeCell ref="K10:K11"/>
    <mergeCell ref="L10:L11"/>
    <mergeCell ref="M10:N10"/>
    <mergeCell ref="N2:Q2"/>
    <mergeCell ref="N3:Q3"/>
    <mergeCell ref="O4:P4"/>
    <mergeCell ref="A6:P6"/>
    <mergeCell ref="A7:P7"/>
    <mergeCell ref="A9:A11"/>
    <mergeCell ref="B9:B11"/>
    <mergeCell ref="C9:C11"/>
    <mergeCell ref="D9:D11"/>
    <mergeCell ref="E9:I9"/>
  </mergeCells>
  <conditionalFormatting sqref="Q155:R156">
    <cfRule type="iconSet" priority="6">
      <iconSet iconSet="3Arrows">
        <cfvo type="percent" val="0"/>
        <cfvo type="percent" val="33"/>
        <cfvo type="percent" val="67"/>
      </iconSet>
    </cfRule>
  </conditionalFormatting>
  <conditionalFormatting sqref="Q166:R167">
    <cfRule type="iconSet" priority="5">
      <iconSet iconSet="3Arrows">
        <cfvo type="percent" val="0"/>
        <cfvo type="percent" val="33"/>
        <cfvo type="percent" val="67"/>
      </iconSet>
    </cfRule>
  </conditionalFormatting>
  <conditionalFormatting sqref="Q178:R178 Q177">
    <cfRule type="iconSet" priority="4">
      <iconSet iconSet="3Arrows">
        <cfvo type="percent" val="0"/>
        <cfvo type="percent" val="33"/>
        <cfvo type="percent" val="67"/>
      </iconSet>
    </cfRule>
  </conditionalFormatting>
  <conditionalFormatting sqref="Q172:R173">
    <cfRule type="iconSet" priority="3">
      <iconSet iconSet="3Arrows">
        <cfvo type="percent" val="0"/>
        <cfvo type="percent" val="33"/>
        <cfvo type="percent" val="67"/>
      </iconSet>
    </cfRule>
  </conditionalFormatting>
  <conditionalFormatting sqref="R177">
    <cfRule type="iconSet" priority="2">
      <iconSet iconSet="3Arrows">
        <cfvo type="percent" val="0"/>
        <cfvo type="percent" val="33"/>
        <cfvo type="percent" val="67"/>
      </iconSet>
    </cfRule>
  </conditionalFormatting>
  <conditionalFormatting sqref="Q159:R159">
    <cfRule type="iconSet" priority="7">
      <iconSet iconSet="3Arrows">
        <cfvo type="percent" val="0"/>
        <cfvo type="percent" val="33"/>
        <cfvo type="percent" val="67"/>
      </iconSet>
    </cfRule>
  </conditionalFormatting>
  <conditionalFormatting sqref="R160:R164">
    <cfRule type="iconSet" priority="1">
      <iconSet iconSet="3Arrows">
        <cfvo type="percent" val="0"/>
        <cfvo type="percent" val="33"/>
        <cfvo type="percent" val="67"/>
      </iconSet>
    </cfRule>
  </conditionalFormatting>
  <pageMargins left="0.23622047244094491" right="0.27559055118110237" top="0.27559055118110237" bottom="0.15748031496062992" header="0.23622047244094491" footer="0.27559055118110237"/>
  <pageSetup paperSize="9" scale="15" fitToHeight="0" orientation="landscape" r:id="rId1"/>
  <headerFooter alignWithMargins="0">
    <oddFooter>&amp;C&amp;"Times New Roman Cyr,курсив"Сторінка &amp;P з &amp;N</oddFooter>
  </headerFooter>
  <rowBreaks count="2" manualBreakCount="2">
    <brk id="49" max="15" man="1"/>
    <brk id="70" max="1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A16BB-1A84-413B-9E34-6660BF82BD30}">
  <sheetPr>
    <pageSetUpPr fitToPage="1"/>
  </sheetPr>
  <dimension ref="A2:P194"/>
  <sheetViews>
    <sheetView tabSelected="1" view="pageBreakPreview" zoomScale="25" zoomScaleNormal="25" zoomScaleSheetLayoutView="25" zoomScalePageLayoutView="10" workbookViewId="0">
      <pane ySplit="12" topLeftCell="A177" activePane="bottomLeft" state="frozen"/>
      <selection activeCell="K153" sqref="K153"/>
      <selection pane="bottomLeft" activeCell="F178" sqref="F178"/>
    </sheetView>
  </sheetViews>
  <sheetFormatPr defaultRowHeight="12.75" x14ac:dyDescent="0.2"/>
  <cols>
    <col min="1" max="1" width="48" style="1" customWidth="1"/>
    <col min="2" max="2" width="52.5703125" style="1" customWidth="1"/>
    <col min="3" max="3" width="65.7109375" style="1" customWidth="1"/>
    <col min="4" max="4" width="106.28515625" style="1" customWidth="1"/>
    <col min="5" max="5" width="66.42578125" style="5" customWidth="1"/>
    <col min="6" max="6" width="58.5703125" style="1" customWidth="1"/>
    <col min="7" max="7" width="55.42578125" style="1" customWidth="1"/>
    <col min="8" max="8" width="48.140625" style="1" customWidth="1"/>
    <col min="9" max="9" width="41.85546875" style="1" customWidth="1"/>
    <col min="10" max="10" width="50.5703125" style="5" customWidth="1"/>
    <col min="11" max="11" width="52.5703125" style="5" customWidth="1"/>
    <col min="12" max="12" width="56.140625" style="1" customWidth="1"/>
    <col min="13" max="13" width="54.85546875" style="1" customWidth="1"/>
    <col min="14" max="14" width="45.28515625" style="1" bestFit="1" customWidth="1"/>
    <col min="15" max="15" width="56.140625" style="1" bestFit="1" customWidth="1"/>
    <col min="16" max="16" width="86.28515625" style="5" customWidth="1"/>
  </cols>
  <sheetData>
    <row r="2" spans="1:16" ht="45.75" x14ac:dyDescent="0.2">
      <c r="D2" s="7"/>
      <c r="E2" s="8"/>
      <c r="F2" s="9"/>
      <c r="G2" s="8"/>
      <c r="H2" s="8"/>
      <c r="I2" s="8"/>
      <c r="J2" s="8"/>
      <c r="K2" s="8"/>
      <c r="L2" s="8"/>
      <c r="M2" s="8"/>
      <c r="N2" s="408"/>
      <c r="O2" s="392"/>
      <c r="P2" s="392"/>
    </row>
    <row r="3" spans="1:16" ht="45.75" x14ac:dyDescent="0.2">
      <c r="A3" s="7"/>
      <c r="B3" s="7"/>
      <c r="C3" s="7"/>
      <c r="D3" s="7"/>
      <c r="E3" s="8"/>
      <c r="F3" s="9"/>
      <c r="G3" s="8"/>
      <c r="H3" s="8"/>
      <c r="I3" s="8"/>
      <c r="J3" s="8"/>
      <c r="K3" s="8"/>
      <c r="L3" s="8"/>
      <c r="M3" s="8"/>
      <c r="N3" s="408"/>
      <c r="O3" s="409"/>
      <c r="P3" s="409"/>
    </row>
    <row r="4" spans="1:16" ht="40.700000000000003" customHeight="1" x14ac:dyDescent="0.2">
      <c r="A4" s="7"/>
      <c r="B4" s="7"/>
      <c r="C4" s="7"/>
      <c r="D4" s="7"/>
      <c r="E4" s="8"/>
      <c r="F4" s="9"/>
      <c r="G4" s="8"/>
      <c r="H4" s="8"/>
      <c r="I4" s="8"/>
      <c r="J4" s="8"/>
      <c r="K4" s="8"/>
      <c r="L4" s="8"/>
      <c r="M4" s="8"/>
      <c r="N4" s="8"/>
      <c r="O4" s="408"/>
      <c r="P4" s="410"/>
    </row>
    <row r="5" spans="1:16" ht="45.75" hidden="1" x14ac:dyDescent="0.2">
      <c r="A5" s="7"/>
      <c r="B5" s="7"/>
      <c r="C5" s="7"/>
      <c r="D5" s="7"/>
      <c r="E5" s="8"/>
      <c r="F5" s="9"/>
      <c r="G5" s="8"/>
      <c r="H5" s="8"/>
      <c r="I5" s="8"/>
      <c r="J5" s="8"/>
      <c r="K5" s="8"/>
      <c r="L5" s="8"/>
      <c r="M5" s="8"/>
      <c r="N5" s="8"/>
      <c r="O5" s="7"/>
      <c r="P5" s="9"/>
    </row>
    <row r="6" spans="1:16" ht="45" x14ac:dyDescent="0.2">
      <c r="A6" s="412" t="s">
        <v>922</v>
      </c>
      <c r="B6" s="412"/>
      <c r="C6" s="412"/>
      <c r="D6" s="412"/>
      <c r="E6" s="412"/>
      <c r="F6" s="412"/>
      <c r="G6" s="412"/>
      <c r="H6" s="412"/>
      <c r="I6" s="412"/>
      <c r="J6" s="412"/>
      <c r="K6" s="412"/>
      <c r="L6" s="412"/>
      <c r="M6" s="412"/>
      <c r="N6" s="412"/>
      <c r="O6" s="412"/>
      <c r="P6" s="412"/>
    </row>
    <row r="7" spans="1:16" ht="45" x14ac:dyDescent="0.2">
      <c r="A7" s="412" t="s">
        <v>960</v>
      </c>
      <c r="B7" s="412"/>
      <c r="C7" s="412"/>
      <c r="D7" s="412"/>
      <c r="E7" s="412"/>
      <c r="F7" s="412"/>
      <c r="G7" s="412"/>
      <c r="H7" s="412"/>
      <c r="I7" s="412"/>
      <c r="J7" s="412"/>
      <c r="K7" s="412"/>
      <c r="L7" s="412"/>
      <c r="M7" s="412"/>
      <c r="N7" s="412"/>
      <c r="O7" s="412"/>
      <c r="P7" s="412"/>
    </row>
    <row r="8" spans="1:16" ht="53.45" customHeight="1" x14ac:dyDescent="0.2">
      <c r="A8" s="8"/>
      <c r="B8" s="8"/>
      <c r="C8" s="8"/>
      <c r="D8" s="8"/>
      <c r="E8" s="8"/>
      <c r="F8" s="9"/>
      <c r="G8" s="8"/>
      <c r="H8" s="8"/>
      <c r="I8" s="8"/>
      <c r="J8" s="8"/>
      <c r="K8" s="8"/>
      <c r="L8" s="8"/>
      <c r="M8" s="8"/>
      <c r="N8" s="8"/>
      <c r="O8" s="8"/>
      <c r="P8" s="10" t="s">
        <v>658</v>
      </c>
    </row>
    <row r="9" spans="1:16" ht="62.45" customHeight="1" x14ac:dyDescent="0.2">
      <c r="A9" s="429" t="s">
        <v>29</v>
      </c>
      <c r="B9" s="429" t="s">
        <v>661</v>
      </c>
      <c r="C9" s="429" t="s">
        <v>668</v>
      </c>
      <c r="D9" s="429" t="s">
        <v>662</v>
      </c>
      <c r="E9" s="411" t="s">
        <v>25</v>
      </c>
      <c r="F9" s="411"/>
      <c r="G9" s="411"/>
      <c r="H9" s="411"/>
      <c r="I9" s="411"/>
      <c r="J9" s="433" t="s">
        <v>84</v>
      </c>
      <c r="K9" s="434"/>
      <c r="L9" s="434"/>
      <c r="M9" s="434"/>
      <c r="N9" s="434"/>
      <c r="O9" s="435"/>
      <c r="P9" s="411" t="s">
        <v>24</v>
      </c>
    </row>
    <row r="10" spans="1:16" ht="255" customHeight="1" x14ac:dyDescent="0.2">
      <c r="A10" s="430"/>
      <c r="B10" s="432"/>
      <c r="C10" s="432"/>
      <c r="D10" s="430"/>
      <c r="E10" s="413" t="s">
        <v>654</v>
      </c>
      <c r="F10" s="413" t="s">
        <v>85</v>
      </c>
      <c r="G10" s="413" t="s">
        <v>26</v>
      </c>
      <c r="H10" s="413"/>
      <c r="I10" s="413" t="s">
        <v>87</v>
      </c>
      <c r="J10" s="413" t="s">
        <v>654</v>
      </c>
      <c r="K10" s="413" t="s">
        <v>655</v>
      </c>
      <c r="L10" s="413" t="s">
        <v>85</v>
      </c>
      <c r="M10" s="413" t="s">
        <v>26</v>
      </c>
      <c r="N10" s="413"/>
      <c r="O10" s="413" t="s">
        <v>87</v>
      </c>
      <c r="P10" s="411"/>
    </row>
    <row r="11" spans="1:16" ht="135" x14ac:dyDescent="0.2">
      <c r="A11" s="431"/>
      <c r="B11" s="431"/>
      <c r="C11" s="431"/>
      <c r="D11" s="431"/>
      <c r="E11" s="413"/>
      <c r="F11" s="413"/>
      <c r="G11" s="195" t="s">
        <v>86</v>
      </c>
      <c r="H11" s="195" t="s">
        <v>28</v>
      </c>
      <c r="I11" s="413"/>
      <c r="J11" s="413"/>
      <c r="K11" s="413"/>
      <c r="L11" s="413"/>
      <c r="M11" s="195" t="s">
        <v>86</v>
      </c>
      <c r="N11" s="195" t="s">
        <v>28</v>
      </c>
      <c r="O11" s="413"/>
      <c r="P11" s="411"/>
    </row>
    <row r="12" spans="1:16" s="2" customFormat="1" ht="111" customHeight="1" x14ac:dyDescent="0.2">
      <c r="A12" s="11" t="s">
        <v>4</v>
      </c>
      <c r="B12" s="11" t="s">
        <v>5</v>
      </c>
      <c r="C12" s="11" t="s">
        <v>27</v>
      </c>
      <c r="D12" s="11" t="s">
        <v>7</v>
      </c>
      <c r="E12" s="11" t="s">
        <v>671</v>
      </c>
      <c r="F12" s="11" t="s">
        <v>672</v>
      </c>
      <c r="G12" s="11" t="s">
        <v>673</v>
      </c>
      <c r="H12" s="11" t="s">
        <v>674</v>
      </c>
      <c r="I12" s="11" t="s">
        <v>675</v>
      </c>
      <c r="J12" s="11" t="s">
        <v>676</v>
      </c>
      <c r="K12" s="11" t="s">
        <v>677</v>
      </c>
      <c r="L12" s="11" t="s">
        <v>678</v>
      </c>
      <c r="M12" s="11" t="s">
        <v>679</v>
      </c>
      <c r="N12" s="11" t="s">
        <v>680</v>
      </c>
      <c r="O12" s="11" t="s">
        <v>681</v>
      </c>
      <c r="P12" s="11" t="s">
        <v>682</v>
      </c>
    </row>
    <row r="13" spans="1:16" s="2" customFormat="1" ht="135" x14ac:dyDescent="0.2">
      <c r="A13" s="296" t="s">
        <v>234</v>
      </c>
      <c r="B13" s="296"/>
      <c r="C13" s="296"/>
      <c r="D13" s="297" t="s">
        <v>236</v>
      </c>
      <c r="E13" s="298">
        <f>E14</f>
        <v>0</v>
      </c>
      <c r="F13" s="298">
        <f t="shared" ref="F13:N13" si="0">F14</f>
        <v>0</v>
      </c>
      <c r="G13" s="298">
        <f t="shared" si="0"/>
        <v>0</v>
      </c>
      <c r="H13" s="298">
        <f t="shared" si="0"/>
        <v>0</v>
      </c>
      <c r="I13" s="298">
        <f t="shared" si="0"/>
        <v>0</v>
      </c>
      <c r="J13" s="298">
        <f t="shared" si="0"/>
        <v>0</v>
      </c>
      <c r="K13" s="298">
        <f t="shared" si="0"/>
        <v>0</v>
      </c>
      <c r="L13" s="298">
        <f t="shared" si="0"/>
        <v>0</v>
      </c>
      <c r="M13" s="298">
        <f t="shared" si="0"/>
        <v>0</v>
      </c>
      <c r="N13" s="298">
        <f t="shared" si="0"/>
        <v>0</v>
      </c>
      <c r="O13" s="298">
        <f>O14</f>
        <v>0</v>
      </c>
      <c r="P13" s="298">
        <f t="shared" ref="P13" si="1">P14</f>
        <v>0</v>
      </c>
    </row>
    <row r="14" spans="1:16" s="2" customFormat="1" ht="135" x14ac:dyDescent="0.2">
      <c r="A14" s="299" t="s">
        <v>235</v>
      </c>
      <c r="B14" s="299"/>
      <c r="C14" s="299"/>
      <c r="D14" s="300" t="s">
        <v>237</v>
      </c>
      <c r="E14" s="301">
        <f>SUM(E15:E24)</f>
        <v>0</v>
      </c>
      <c r="F14" s="301">
        <f t="shared" ref="F14:I14" si="2">SUM(F15:F24)</f>
        <v>0</v>
      </c>
      <c r="G14" s="301">
        <f t="shared" si="2"/>
        <v>0</v>
      </c>
      <c r="H14" s="301">
        <f t="shared" si="2"/>
        <v>0</v>
      </c>
      <c r="I14" s="301">
        <f t="shared" si="2"/>
        <v>0</v>
      </c>
      <c r="J14" s="301">
        <f t="shared" ref="J14:J19" si="3">L14+O14</f>
        <v>0</v>
      </c>
      <c r="K14" s="301">
        <f t="shared" ref="K14:O14" si="4">SUM(K15:K24)</f>
        <v>0</v>
      </c>
      <c r="L14" s="301">
        <f t="shared" si="4"/>
        <v>0</v>
      </c>
      <c r="M14" s="301">
        <f t="shared" si="4"/>
        <v>0</v>
      </c>
      <c r="N14" s="301">
        <f t="shared" si="4"/>
        <v>0</v>
      </c>
      <c r="O14" s="301">
        <f t="shared" si="4"/>
        <v>0</v>
      </c>
      <c r="P14" s="301">
        <f>E14+J14</f>
        <v>0</v>
      </c>
    </row>
    <row r="15" spans="1:16" ht="320.25" x14ac:dyDescent="0.2">
      <c r="A15" s="270" t="s">
        <v>337</v>
      </c>
      <c r="B15" s="270" t="s">
        <v>338</v>
      </c>
      <c r="C15" s="270" t="s">
        <v>339</v>
      </c>
      <c r="D15" s="270" t="s">
        <v>336</v>
      </c>
      <c r="E15" s="225">
        <f>'dod3'!E15-'dod3 - до МВК'!E15</f>
        <v>0</v>
      </c>
      <c r="F15" s="225">
        <f>'dod3'!F15-'dod3 - до МВК'!F15</f>
        <v>0</v>
      </c>
      <c r="G15" s="225">
        <f>'dod3'!G15-'dod3 - до МВК'!G15</f>
        <v>0</v>
      </c>
      <c r="H15" s="225">
        <f>'dod3'!H15-'dod3 - до МВК'!H15</f>
        <v>0</v>
      </c>
      <c r="I15" s="225">
        <f>'dod3'!I15-'dod3 - до МВК'!I15</f>
        <v>0</v>
      </c>
      <c r="J15" s="225">
        <f>'dod3'!J15-'dod3 - до МВК'!J15</f>
        <v>0</v>
      </c>
      <c r="K15" s="225">
        <f>'dod3'!K15-'dod3 - до МВК'!K15</f>
        <v>0</v>
      </c>
      <c r="L15" s="225">
        <f>'dod3'!L15-'dod3 - до МВК'!L15</f>
        <v>0</v>
      </c>
      <c r="M15" s="225">
        <f>'dod3'!M15-'dod3 - до МВК'!M15</f>
        <v>0</v>
      </c>
      <c r="N15" s="225">
        <f>'dod3'!N15-'dod3 - до МВК'!N15</f>
        <v>0</v>
      </c>
      <c r="O15" s="225">
        <f>'dod3'!O15-'dod3 - до МВК'!O15</f>
        <v>0</v>
      </c>
      <c r="P15" s="225">
        <f>'dod3'!P15-'dod3 - до МВК'!P15</f>
        <v>0</v>
      </c>
    </row>
    <row r="16" spans="1:16" ht="91.5" x14ac:dyDescent="0.2">
      <c r="A16" s="270" t="s">
        <v>353</v>
      </c>
      <c r="B16" s="270" t="s">
        <v>71</v>
      </c>
      <c r="C16" s="270" t="s">
        <v>70</v>
      </c>
      <c r="D16" s="270" t="s">
        <v>354</v>
      </c>
      <c r="E16" s="225">
        <f>'dod3'!E16-'dod3 - до МВК'!E16</f>
        <v>0</v>
      </c>
      <c r="F16" s="225">
        <f>'dod3'!F16-'dod3 - до МВК'!F16</f>
        <v>0</v>
      </c>
      <c r="G16" s="225">
        <f>'dod3'!G16-'dod3 - до МВК'!G16</f>
        <v>0</v>
      </c>
      <c r="H16" s="225">
        <f>'dod3'!H16-'dod3 - до МВК'!H16</f>
        <v>0</v>
      </c>
      <c r="I16" s="225">
        <f>'dod3'!I16-'dod3 - до МВК'!I16</f>
        <v>0</v>
      </c>
      <c r="J16" s="225">
        <f>'dod3'!J16-'dod3 - до МВК'!J16</f>
        <v>0</v>
      </c>
      <c r="K16" s="225">
        <f>'dod3'!K16-'dod3 - до МВК'!K16</f>
        <v>0</v>
      </c>
      <c r="L16" s="225">
        <f>'dod3'!L16-'dod3 - до МВК'!L16</f>
        <v>0</v>
      </c>
      <c r="M16" s="225">
        <f>'dod3'!M16-'dod3 - до МВК'!M16</f>
        <v>0</v>
      </c>
      <c r="N16" s="225">
        <f>'dod3'!N16-'dod3 - до МВК'!N16</f>
        <v>0</v>
      </c>
      <c r="O16" s="225">
        <f>'dod3'!O16-'dod3 - до МВК'!O16</f>
        <v>0</v>
      </c>
      <c r="P16" s="225">
        <f>'dod3'!P16-'dod3 - до МВК'!P16</f>
        <v>0</v>
      </c>
    </row>
    <row r="17" spans="1:16" ht="91.5" x14ac:dyDescent="0.2">
      <c r="A17" s="270" t="s">
        <v>343</v>
      </c>
      <c r="B17" s="270" t="s">
        <v>344</v>
      </c>
      <c r="C17" s="270" t="s">
        <v>345</v>
      </c>
      <c r="D17" s="270" t="s">
        <v>342</v>
      </c>
      <c r="E17" s="225">
        <f>'dod3'!E17-'dod3 - до МВК'!E17</f>
        <v>0</v>
      </c>
      <c r="F17" s="225">
        <f>'dod3'!F17-'dod3 - до МВК'!F17</f>
        <v>0</v>
      </c>
      <c r="G17" s="225">
        <f>'dod3'!G17-'dod3 - до МВК'!G17</f>
        <v>0</v>
      </c>
      <c r="H17" s="225">
        <f>'dod3'!H17-'dod3 - до МВК'!H17</f>
        <v>0</v>
      </c>
      <c r="I17" s="225">
        <f>'dod3'!I17-'dod3 - до МВК'!I17</f>
        <v>0</v>
      </c>
      <c r="J17" s="225">
        <f>'dod3'!J17-'dod3 - до МВК'!J17</f>
        <v>0</v>
      </c>
      <c r="K17" s="225">
        <f>'dod3'!K17-'dod3 - до МВК'!K17</f>
        <v>0</v>
      </c>
      <c r="L17" s="225">
        <f>'dod3'!L17-'dod3 - до МВК'!L17</f>
        <v>0</v>
      </c>
      <c r="M17" s="225">
        <f>'dod3'!M17-'dod3 - до МВК'!M17</f>
        <v>0</v>
      </c>
      <c r="N17" s="225">
        <f>'dod3'!N17-'dod3 - до МВК'!N17</f>
        <v>0</v>
      </c>
      <c r="O17" s="225">
        <f>'dod3'!O17-'dod3 - до МВК'!O17</f>
        <v>0</v>
      </c>
      <c r="P17" s="225">
        <f>'dod3'!P17-'dod3 - до МВК'!P17</f>
        <v>0</v>
      </c>
    </row>
    <row r="18" spans="1:16" ht="137.25" x14ac:dyDescent="0.2">
      <c r="A18" s="270" t="s">
        <v>445</v>
      </c>
      <c r="B18" s="270" t="s">
        <v>446</v>
      </c>
      <c r="C18" s="270" t="s">
        <v>256</v>
      </c>
      <c r="D18" s="268" t="s">
        <v>444</v>
      </c>
      <c r="E18" s="225">
        <f>'dod3'!E18-'dod3 - до МВК'!E18</f>
        <v>0</v>
      </c>
      <c r="F18" s="225">
        <f>'dod3'!F18-'dod3 - до МВК'!F18</f>
        <v>0</v>
      </c>
      <c r="G18" s="225">
        <f>'dod3'!G18-'dod3 - до МВК'!G18</f>
        <v>0</v>
      </c>
      <c r="H18" s="225">
        <f>'dod3'!H18-'dod3 - до МВК'!H18</f>
        <v>0</v>
      </c>
      <c r="I18" s="225">
        <f>'dod3'!I18-'dod3 - до МВК'!I18</f>
        <v>0</v>
      </c>
      <c r="J18" s="225">
        <f>'dod3'!J18-'dod3 - до МВК'!J18</f>
        <v>0</v>
      </c>
      <c r="K18" s="225">
        <f>'dod3'!K18-'dod3 - до МВК'!K18</f>
        <v>0</v>
      </c>
      <c r="L18" s="225">
        <f>'dod3'!L18-'dod3 - до МВК'!L18</f>
        <v>0</v>
      </c>
      <c r="M18" s="225">
        <f>'dod3'!M18-'dod3 - до МВК'!M18</f>
        <v>0</v>
      </c>
      <c r="N18" s="225">
        <f>'dod3'!N18-'dod3 - до МВК'!N18</f>
        <v>0</v>
      </c>
      <c r="O18" s="225">
        <f>'dod3'!O18-'dod3 - до МВК'!O18</f>
        <v>0</v>
      </c>
      <c r="P18" s="225">
        <f>'dod3'!P18-'dod3 - до МВК'!P18</f>
        <v>0</v>
      </c>
    </row>
    <row r="19" spans="1:16" s="123" customFormat="1" ht="409.5" x14ac:dyDescent="0.2">
      <c r="A19" s="422" t="s">
        <v>539</v>
      </c>
      <c r="B19" s="422" t="s">
        <v>538</v>
      </c>
      <c r="C19" s="422" t="s">
        <v>256</v>
      </c>
      <c r="D19" s="231" t="s">
        <v>549</v>
      </c>
      <c r="E19" s="416">
        <f>'dod3'!E19-'dod3 - до МВК'!E19</f>
        <v>0</v>
      </c>
      <c r="F19" s="416">
        <f>'dod3'!F19-'dod3 - до МВК'!F19</f>
        <v>0</v>
      </c>
      <c r="G19" s="416">
        <f>'dod3'!G19-'dod3 - до МВК'!G19</f>
        <v>0</v>
      </c>
      <c r="H19" s="416">
        <f>'dod3'!H19-'dod3 - до МВК'!H19</f>
        <v>0</v>
      </c>
      <c r="I19" s="416">
        <f>'dod3'!I19-'dod3 - до МВК'!I19</f>
        <v>0</v>
      </c>
      <c r="J19" s="416">
        <f>'dod3'!J19-'dod3 - до МВК'!J19</f>
        <v>0</v>
      </c>
      <c r="K19" s="416">
        <f>'dod3'!K19-'dod3 - до МВК'!K19</f>
        <v>0</v>
      </c>
      <c r="L19" s="416">
        <f>'dod3'!L19-'dod3 - до МВК'!L19</f>
        <v>0</v>
      </c>
      <c r="M19" s="416">
        <f>'dod3'!M19-'dod3 - до МВК'!M19</f>
        <v>0</v>
      </c>
      <c r="N19" s="416">
        <f>'dod3'!N19-'dod3 - до МВК'!N19</f>
        <v>0</v>
      </c>
      <c r="O19" s="416">
        <f>'dod3'!O19-'dod3 - до МВК'!O19</f>
        <v>0</v>
      </c>
      <c r="P19" s="416">
        <f>'dod3'!P19-'dod3 - до МВК'!P19</f>
        <v>0</v>
      </c>
    </row>
    <row r="20" spans="1:16" s="123" customFormat="1" ht="137.25" x14ac:dyDescent="0.2">
      <c r="A20" s="403"/>
      <c r="B20" s="403"/>
      <c r="C20" s="403"/>
      <c r="D20" s="235" t="s">
        <v>550</v>
      </c>
      <c r="E20" s="403"/>
      <c r="F20" s="403"/>
      <c r="G20" s="403"/>
      <c r="H20" s="403"/>
      <c r="I20" s="403"/>
      <c r="J20" s="403"/>
      <c r="K20" s="403"/>
      <c r="L20" s="403"/>
      <c r="M20" s="403"/>
      <c r="N20" s="403"/>
      <c r="O20" s="403"/>
      <c r="P20" s="403"/>
    </row>
    <row r="21" spans="1:16" ht="91.5" x14ac:dyDescent="0.2">
      <c r="A21" s="270" t="s">
        <v>346</v>
      </c>
      <c r="B21" s="270" t="s">
        <v>347</v>
      </c>
      <c r="C21" s="270" t="s">
        <v>348</v>
      </c>
      <c r="D21" s="268" t="s">
        <v>349</v>
      </c>
      <c r="E21" s="225">
        <f>'dod3'!E21-'dod3 - до МВК'!E21</f>
        <v>0</v>
      </c>
      <c r="F21" s="225">
        <f>'dod3'!F21-'dod3 - до МВК'!F21</f>
        <v>0</v>
      </c>
      <c r="G21" s="225">
        <f>'dod3'!G21-'dod3 - до МВК'!G21</f>
        <v>0</v>
      </c>
      <c r="H21" s="225">
        <f>'dod3'!H21-'dod3 - до МВК'!H21</f>
        <v>0</v>
      </c>
      <c r="I21" s="225">
        <f>'dod3'!I21-'dod3 - до МВК'!I21</f>
        <v>0</v>
      </c>
      <c r="J21" s="225">
        <f>'dod3'!J21-'dod3 - до МВК'!J21</f>
        <v>0</v>
      </c>
      <c r="K21" s="225">
        <f>'dod3'!K21-'dod3 - до МВК'!K21</f>
        <v>0</v>
      </c>
      <c r="L21" s="225">
        <f>'dod3'!L21-'dod3 - до МВК'!L21</f>
        <v>0</v>
      </c>
      <c r="M21" s="225">
        <f>'dod3'!M21-'dod3 - до МВК'!M21</f>
        <v>0</v>
      </c>
      <c r="N21" s="225">
        <f>'dod3'!N21-'dod3 - до МВК'!N21</f>
        <v>0</v>
      </c>
      <c r="O21" s="225">
        <f>'dod3'!O21-'dod3 - до МВК'!O21</f>
        <v>0</v>
      </c>
      <c r="P21" s="225">
        <f>'dod3'!P21-'dod3 - до МВК'!P21</f>
        <v>0</v>
      </c>
    </row>
    <row r="22" spans="1:16" ht="274.5" x14ac:dyDescent="0.2">
      <c r="A22" s="270" t="s">
        <v>350</v>
      </c>
      <c r="B22" s="270" t="s">
        <v>351</v>
      </c>
      <c r="C22" s="270" t="s">
        <v>71</v>
      </c>
      <c r="D22" s="270" t="s">
        <v>352</v>
      </c>
      <c r="E22" s="225">
        <f>'dod3'!E22-'dod3 - до МВК'!E22</f>
        <v>0</v>
      </c>
      <c r="F22" s="225">
        <f>'dod3'!F22-'dod3 - до МВК'!F22</f>
        <v>0</v>
      </c>
      <c r="G22" s="225">
        <f>'dod3'!G22-'dod3 - до МВК'!G22</f>
        <v>0</v>
      </c>
      <c r="H22" s="225">
        <f>'dod3'!H22-'dod3 - до МВК'!H22</f>
        <v>0</v>
      </c>
      <c r="I22" s="225">
        <f>'dod3'!I22-'dod3 - до МВК'!I22</f>
        <v>0</v>
      </c>
      <c r="J22" s="225">
        <f>'dod3'!J22-'dod3 - до МВК'!J22</f>
        <v>0</v>
      </c>
      <c r="K22" s="225">
        <f>'dod3'!K22-'dod3 - до МВК'!K22</f>
        <v>0</v>
      </c>
      <c r="L22" s="225">
        <f>'dod3'!L22-'dod3 - до МВК'!L22</f>
        <v>0</v>
      </c>
      <c r="M22" s="225">
        <f>'dod3'!M22-'dod3 - до МВК'!M22</f>
        <v>0</v>
      </c>
      <c r="N22" s="225">
        <f>'dod3'!N22-'dod3 - до МВК'!N22</f>
        <v>0</v>
      </c>
      <c r="O22" s="225">
        <f>'dod3'!O22-'dod3 - до МВК'!O22</f>
        <v>0</v>
      </c>
      <c r="P22" s="225">
        <f>'dod3'!P22-'dod3 - до МВК'!P22</f>
        <v>0</v>
      </c>
    </row>
    <row r="23" spans="1:16" ht="91.5" x14ac:dyDescent="0.2">
      <c r="A23" s="270" t="s">
        <v>880</v>
      </c>
      <c r="B23" s="270" t="s">
        <v>601</v>
      </c>
      <c r="C23" s="270" t="s">
        <v>71</v>
      </c>
      <c r="D23" s="270" t="s">
        <v>602</v>
      </c>
      <c r="E23" s="225">
        <f>'dod3'!E23-'dod3 - до МВК'!E23</f>
        <v>0</v>
      </c>
      <c r="F23" s="225">
        <f>'dod3'!F23-'dod3 - до МВК'!F23</f>
        <v>0</v>
      </c>
      <c r="G23" s="225">
        <f>'dod3'!G23-'dod3 - до МВК'!G23</f>
        <v>0</v>
      </c>
      <c r="H23" s="225">
        <f>'dod3'!H23-'dod3 - до МВК'!H23</f>
        <v>0</v>
      </c>
      <c r="I23" s="225">
        <f>'dod3'!I23-'dod3 - до МВК'!I23</f>
        <v>0</v>
      </c>
      <c r="J23" s="225">
        <f>'dod3'!J23-'dod3 - до МВК'!J23</f>
        <v>0</v>
      </c>
      <c r="K23" s="225">
        <f>'dod3'!K23-'dod3 - до МВК'!K23</f>
        <v>0</v>
      </c>
      <c r="L23" s="225">
        <f>'dod3'!L23-'dod3 - до МВК'!L23</f>
        <v>0</v>
      </c>
      <c r="M23" s="225">
        <f>'dod3'!M23-'dod3 - до МВК'!M23</f>
        <v>0</v>
      </c>
      <c r="N23" s="225">
        <f>'dod3'!N23-'dod3 - до МВК'!N23</f>
        <v>0</v>
      </c>
      <c r="O23" s="225">
        <f>'dod3'!O23-'dod3 - до МВК'!O23</f>
        <v>0</v>
      </c>
      <c r="P23" s="225">
        <f>'dod3'!P23-'dod3 - до МВК'!P23</f>
        <v>0</v>
      </c>
    </row>
    <row r="24" spans="1:16" ht="228.75" x14ac:dyDescent="0.2">
      <c r="A24" s="270" t="s">
        <v>882</v>
      </c>
      <c r="B24" s="270" t="s">
        <v>883</v>
      </c>
      <c r="C24" s="270" t="s">
        <v>71</v>
      </c>
      <c r="D24" s="270" t="s">
        <v>881</v>
      </c>
      <c r="E24" s="225">
        <f>'dod3'!E24-'dod3 - до МВК'!E24</f>
        <v>0</v>
      </c>
      <c r="F24" s="225">
        <f>'dod3'!F24-'dod3 - до МВК'!F24</f>
        <v>0</v>
      </c>
      <c r="G24" s="225">
        <f>'dod3'!G24-'dod3 - до МВК'!G24</f>
        <v>0</v>
      </c>
      <c r="H24" s="225">
        <f>'dod3'!H24-'dod3 - до МВК'!H24</f>
        <v>0</v>
      </c>
      <c r="I24" s="225">
        <f>'dod3'!I24-'dod3 - до МВК'!I24</f>
        <v>0</v>
      </c>
      <c r="J24" s="225">
        <f>'dod3'!J24-'dod3 - до МВК'!J24</f>
        <v>0</v>
      </c>
      <c r="K24" s="225">
        <f>'dod3'!K24-'dod3 - до МВК'!K24</f>
        <v>0</v>
      </c>
      <c r="L24" s="225">
        <f>'dod3'!L24-'dod3 - до МВК'!L24</f>
        <v>0</v>
      </c>
      <c r="M24" s="225">
        <f>'dod3'!M24-'dod3 - до МВК'!M24</f>
        <v>0</v>
      </c>
      <c r="N24" s="225">
        <f>'dod3'!N24-'dod3 - до МВК'!N24</f>
        <v>0</v>
      </c>
      <c r="O24" s="225">
        <f>'dod3'!O24-'dod3 - до МВК'!O24</f>
        <v>0</v>
      </c>
      <c r="P24" s="225">
        <f>'dod3'!P24-'dod3 - до МВК'!P24</f>
        <v>0</v>
      </c>
    </row>
    <row r="25" spans="1:16" ht="135" x14ac:dyDescent="0.2">
      <c r="A25" s="296" t="s">
        <v>238</v>
      </c>
      <c r="B25" s="296"/>
      <c r="C25" s="296"/>
      <c r="D25" s="297" t="s">
        <v>0</v>
      </c>
      <c r="E25" s="298">
        <f>E26</f>
        <v>0</v>
      </c>
      <c r="F25" s="298">
        <f t="shared" ref="F25:G25" si="5">F26</f>
        <v>0</v>
      </c>
      <c r="G25" s="298">
        <f t="shared" si="5"/>
        <v>0</v>
      </c>
      <c r="H25" s="298">
        <f>H26</f>
        <v>0</v>
      </c>
      <c r="I25" s="298">
        <f t="shared" ref="I25" si="6">I26</f>
        <v>0</v>
      </c>
      <c r="J25" s="298">
        <f>J26</f>
        <v>0</v>
      </c>
      <c r="K25" s="298">
        <f>K26</f>
        <v>0</v>
      </c>
      <c r="L25" s="298">
        <f>L26</f>
        <v>0</v>
      </c>
      <c r="M25" s="298">
        <f t="shared" ref="M25" si="7">M26</f>
        <v>0</v>
      </c>
      <c r="N25" s="298">
        <f>N26</f>
        <v>0</v>
      </c>
      <c r="O25" s="298">
        <f>O26</f>
        <v>0</v>
      </c>
      <c r="P25" s="302">
        <f t="shared" ref="P25" si="8">P26</f>
        <v>0</v>
      </c>
    </row>
    <row r="26" spans="1:16" ht="135" x14ac:dyDescent="0.2">
      <c r="A26" s="299" t="s">
        <v>239</v>
      </c>
      <c r="B26" s="299"/>
      <c r="C26" s="299"/>
      <c r="D26" s="300" t="s">
        <v>1</v>
      </c>
      <c r="E26" s="301">
        <f>SUM(E27:E37)</f>
        <v>0</v>
      </c>
      <c r="F26" s="301">
        <f>SUM(F27:F37)</f>
        <v>0</v>
      </c>
      <c r="G26" s="301">
        <f>SUM(G27:G37)</f>
        <v>0</v>
      </c>
      <c r="H26" s="301">
        <f>SUM(H27:H37)</f>
        <v>0</v>
      </c>
      <c r="I26" s="301">
        <f>SUM(I27:I37)</f>
        <v>0</v>
      </c>
      <c r="J26" s="301">
        <f>L26+O26</f>
        <v>0</v>
      </c>
      <c r="K26" s="301">
        <f>SUM(K27:K37)</f>
        <v>0</v>
      </c>
      <c r="L26" s="301">
        <f>SUM(L27:L37)</f>
        <v>0</v>
      </c>
      <c r="M26" s="301">
        <f>SUM(M27:M37)</f>
        <v>0</v>
      </c>
      <c r="N26" s="301">
        <f>SUM(N27:N37)</f>
        <v>0</v>
      </c>
      <c r="O26" s="301">
        <f>SUM(O27:O37)</f>
        <v>0</v>
      </c>
      <c r="P26" s="301">
        <f t="shared" ref="P26:P37" si="9">E26+J26</f>
        <v>0</v>
      </c>
    </row>
    <row r="27" spans="1:16" ht="46.5" x14ac:dyDescent="0.2">
      <c r="A27" s="270" t="s">
        <v>294</v>
      </c>
      <c r="B27" s="270" t="s">
        <v>295</v>
      </c>
      <c r="C27" s="270" t="s">
        <v>297</v>
      </c>
      <c r="D27" s="270" t="s">
        <v>298</v>
      </c>
      <c r="E27" s="225">
        <f>'dod3'!E27-'dod3 - до МВК'!E27</f>
        <v>0</v>
      </c>
      <c r="F27" s="225">
        <f>'dod3'!F27-'dod3 - до МВК'!F27</f>
        <v>0</v>
      </c>
      <c r="G27" s="225">
        <f>'dod3'!G27-'dod3 - до МВК'!G27</f>
        <v>0</v>
      </c>
      <c r="H27" s="225">
        <f>'dod3'!H27-'dod3 - до МВК'!H27</f>
        <v>0</v>
      </c>
      <c r="I27" s="225">
        <f>'dod3'!I27-'dod3 - до МВК'!I27</f>
        <v>0</v>
      </c>
      <c r="J27" s="225">
        <f>'dod3'!J27-'dod3 - до МВК'!J27</f>
        <v>0</v>
      </c>
      <c r="K27" s="225">
        <f>'dod3'!K27-'dod3 - до МВК'!K27</f>
        <v>0</v>
      </c>
      <c r="L27" s="225">
        <f>'dod3'!L27-'dod3 - до МВК'!L27</f>
        <v>0</v>
      </c>
      <c r="M27" s="225">
        <f>'dod3'!M27-'dod3 - до МВК'!M27</f>
        <v>0</v>
      </c>
      <c r="N27" s="225">
        <f>'dod3'!N27-'dod3 - до МВК'!N27</f>
        <v>0</v>
      </c>
      <c r="O27" s="225">
        <f>'dod3'!O27-'dod3 - до МВК'!O27</f>
        <v>0</v>
      </c>
      <c r="P27" s="225">
        <f>'dod3'!P27-'dod3 - до МВК'!P27</f>
        <v>0</v>
      </c>
    </row>
    <row r="28" spans="1:16" ht="366" x14ac:dyDescent="0.2">
      <c r="A28" s="270" t="s">
        <v>300</v>
      </c>
      <c r="B28" s="270" t="s">
        <v>296</v>
      </c>
      <c r="C28" s="270" t="s">
        <v>301</v>
      </c>
      <c r="D28" s="270" t="s">
        <v>628</v>
      </c>
      <c r="E28" s="225">
        <f>'dod3'!E28-'dod3 - до МВК'!E28</f>
        <v>0</v>
      </c>
      <c r="F28" s="225">
        <f>'dod3'!F28-'dod3 - до МВК'!F28</f>
        <v>0</v>
      </c>
      <c r="G28" s="225">
        <f>'dod3'!G28-'dod3 - до МВК'!G28</f>
        <v>0</v>
      </c>
      <c r="H28" s="225">
        <f>'dod3'!H28-'dod3 - до МВК'!H28</f>
        <v>0</v>
      </c>
      <c r="I28" s="225">
        <f>'dod3'!I28-'dod3 - до МВК'!I28</f>
        <v>0</v>
      </c>
      <c r="J28" s="225">
        <f>'dod3'!J28-'dod3 - до МВК'!J28</f>
        <v>0</v>
      </c>
      <c r="K28" s="225">
        <f>'dod3'!K28-'dod3 - до МВК'!K28</f>
        <v>0</v>
      </c>
      <c r="L28" s="225">
        <f>'dod3'!L28-'dod3 - до МВК'!L28</f>
        <v>0</v>
      </c>
      <c r="M28" s="225">
        <f>'dod3'!M28-'dod3 - до МВК'!M28</f>
        <v>0</v>
      </c>
      <c r="N28" s="225">
        <f>'dod3'!N28-'dod3 - до МВК'!N28</f>
        <v>0</v>
      </c>
      <c r="O28" s="225">
        <f>'dod3'!O28-'dod3 - до МВК'!O28</f>
        <v>0</v>
      </c>
      <c r="P28" s="225">
        <f>'dod3'!P28-'dod3 - до МВК'!P28</f>
        <v>0</v>
      </c>
    </row>
    <row r="29" spans="1:16" ht="366" x14ac:dyDescent="0.2">
      <c r="A29" s="270" t="s">
        <v>304</v>
      </c>
      <c r="B29" s="270" t="s">
        <v>303</v>
      </c>
      <c r="C29" s="270" t="s">
        <v>305</v>
      </c>
      <c r="D29" s="270" t="s">
        <v>32</v>
      </c>
      <c r="E29" s="225">
        <f>'dod3'!E29-'dod3 - до МВК'!E29</f>
        <v>0</v>
      </c>
      <c r="F29" s="225">
        <f>'dod3'!F29-'dod3 - до МВК'!F29</f>
        <v>0</v>
      </c>
      <c r="G29" s="225">
        <f>'dod3'!G29-'dod3 - до МВК'!G29</f>
        <v>0</v>
      </c>
      <c r="H29" s="225">
        <f>'dod3'!H29-'dod3 - до МВК'!H29</f>
        <v>0</v>
      </c>
      <c r="I29" s="225">
        <f>'dod3'!I29-'dod3 - до МВК'!I29</f>
        <v>0</v>
      </c>
      <c r="J29" s="225">
        <f>'dod3'!J29-'dod3 - до МВК'!J29</f>
        <v>0</v>
      </c>
      <c r="K29" s="225">
        <f>'dod3'!K29-'dod3 - до МВК'!K29</f>
        <v>0</v>
      </c>
      <c r="L29" s="225">
        <f>'dod3'!L29-'dod3 - до МВК'!L29</f>
        <v>0</v>
      </c>
      <c r="M29" s="225">
        <f>'dod3'!M29-'dod3 - до МВК'!M29</f>
        <v>0</v>
      </c>
      <c r="N29" s="225">
        <f>'dod3'!N29-'dod3 - до МВК'!N29</f>
        <v>0</v>
      </c>
      <c r="O29" s="225">
        <f>'dod3'!O29-'dod3 - до МВК'!O29</f>
        <v>0</v>
      </c>
      <c r="P29" s="225">
        <f>'dod3'!P29-'dod3 - до МВК'!P29</f>
        <v>0</v>
      </c>
    </row>
    <row r="30" spans="1:16" ht="183" x14ac:dyDescent="0.2">
      <c r="A30" s="270" t="s">
        <v>306</v>
      </c>
      <c r="B30" s="270" t="s">
        <v>287</v>
      </c>
      <c r="C30" s="270" t="s">
        <v>275</v>
      </c>
      <c r="D30" s="270" t="s">
        <v>33</v>
      </c>
      <c r="E30" s="225">
        <f>'dod3'!E30-'dod3 - до МВК'!E30</f>
        <v>0</v>
      </c>
      <c r="F30" s="225">
        <f>'dod3'!F30-'dod3 - до МВК'!F30</f>
        <v>0</v>
      </c>
      <c r="G30" s="225">
        <f>'dod3'!G30-'dod3 - до МВК'!G30</f>
        <v>0</v>
      </c>
      <c r="H30" s="225">
        <f>'dod3'!H30-'dod3 - до МВК'!H30</f>
        <v>0</v>
      </c>
      <c r="I30" s="225">
        <f>'dod3'!I30-'dod3 - до МВК'!I30</f>
        <v>0</v>
      </c>
      <c r="J30" s="225">
        <f>'dod3'!J30-'dod3 - до МВК'!J30</f>
        <v>0</v>
      </c>
      <c r="K30" s="225">
        <f>'dod3'!K30-'dod3 - до МВК'!K30</f>
        <v>0</v>
      </c>
      <c r="L30" s="225">
        <f>'dod3'!L30-'dod3 - до МВК'!L30</f>
        <v>0</v>
      </c>
      <c r="M30" s="225">
        <f>'dod3'!M30-'dod3 - до МВК'!M30</f>
        <v>0</v>
      </c>
      <c r="N30" s="225">
        <f>'dod3'!N30-'dod3 - до МВК'!N30</f>
        <v>0</v>
      </c>
      <c r="O30" s="225">
        <f>'dod3'!O30-'dod3 - до МВК'!O30</f>
        <v>0</v>
      </c>
      <c r="P30" s="225">
        <f>'dod3'!P30-'dod3 - до МВК'!P30</f>
        <v>0</v>
      </c>
    </row>
    <row r="31" spans="1:16" ht="137.25" x14ac:dyDescent="0.2">
      <c r="A31" s="270" t="s">
        <v>307</v>
      </c>
      <c r="B31" s="270" t="s">
        <v>308</v>
      </c>
      <c r="C31" s="270" t="s">
        <v>309</v>
      </c>
      <c r="D31" s="270" t="s">
        <v>310</v>
      </c>
      <c r="E31" s="225">
        <f>'dod3'!E31-'dod3 - до МВК'!E31</f>
        <v>0</v>
      </c>
      <c r="F31" s="225">
        <f>'dod3'!F31-'dod3 - до МВК'!F31</f>
        <v>0</v>
      </c>
      <c r="G31" s="225">
        <f>'dod3'!G31-'dod3 - до МВК'!G31</f>
        <v>0</v>
      </c>
      <c r="H31" s="225">
        <f>'dod3'!H31-'dod3 - до МВК'!H31</f>
        <v>0</v>
      </c>
      <c r="I31" s="225">
        <f>'dod3'!I31-'dod3 - до МВК'!I31</f>
        <v>0</v>
      </c>
      <c r="J31" s="225">
        <f>'dod3'!J31-'dod3 - до МВК'!J31</f>
        <v>0</v>
      </c>
      <c r="K31" s="225">
        <f>'dod3'!K31-'dod3 - до МВК'!K31</f>
        <v>0</v>
      </c>
      <c r="L31" s="225">
        <f>'dod3'!L31-'dod3 - до МВК'!L31</f>
        <v>0</v>
      </c>
      <c r="M31" s="225">
        <f>'dod3'!M31-'dod3 - до МВК'!M31</f>
        <v>0</v>
      </c>
      <c r="N31" s="225">
        <f>'dod3'!N31-'dod3 - до МВК'!N31</f>
        <v>0</v>
      </c>
      <c r="O31" s="225">
        <f>'dod3'!O31-'dod3 - до МВК'!O31</f>
        <v>0</v>
      </c>
      <c r="P31" s="225">
        <f>'dod3'!P31-'dod3 - до МВК'!P31</f>
        <v>0</v>
      </c>
    </row>
    <row r="32" spans="1:16" ht="91.5" x14ac:dyDescent="0.2">
      <c r="A32" s="270" t="s">
        <v>312</v>
      </c>
      <c r="B32" s="270" t="s">
        <v>313</v>
      </c>
      <c r="C32" s="270" t="s">
        <v>314</v>
      </c>
      <c r="D32" s="270" t="s">
        <v>311</v>
      </c>
      <c r="E32" s="225">
        <f>'dod3'!E32-'dod3 - до МВК'!E32</f>
        <v>0</v>
      </c>
      <c r="F32" s="225">
        <f>'dod3'!F32-'dod3 - до МВК'!F32</f>
        <v>0</v>
      </c>
      <c r="G32" s="225">
        <f>'dod3'!G32-'dod3 - до МВК'!G32</f>
        <v>0</v>
      </c>
      <c r="H32" s="225">
        <f>'dod3'!H32-'dod3 - до МВК'!H32</f>
        <v>0</v>
      </c>
      <c r="I32" s="225">
        <f>'dod3'!I32-'dod3 - до МВК'!I32</f>
        <v>0</v>
      </c>
      <c r="J32" s="225">
        <f>'dod3'!J32-'dod3 - до МВК'!J32</f>
        <v>0</v>
      </c>
      <c r="K32" s="225">
        <f>'dod3'!K32-'dod3 - до МВК'!K32</f>
        <v>0</v>
      </c>
      <c r="L32" s="225">
        <f>'dod3'!L32-'dod3 - до МВК'!L32</f>
        <v>0</v>
      </c>
      <c r="M32" s="225">
        <f>'dod3'!M32-'dod3 - до МВК'!M32</f>
        <v>0</v>
      </c>
      <c r="N32" s="225">
        <f>'dod3'!N32-'dod3 - до МВК'!N32</f>
        <v>0</v>
      </c>
      <c r="O32" s="225">
        <f>'dod3'!O32-'dod3 - до МВК'!O32</f>
        <v>0</v>
      </c>
      <c r="P32" s="225">
        <f>'dod3'!P32-'dod3 - до МВК'!P32</f>
        <v>0</v>
      </c>
    </row>
    <row r="33" spans="1:16" s="123" customFormat="1" ht="91.5" x14ac:dyDescent="0.2">
      <c r="A33" s="268" t="s">
        <v>503</v>
      </c>
      <c r="B33" s="268" t="s">
        <v>504</v>
      </c>
      <c r="C33" s="268" t="s">
        <v>314</v>
      </c>
      <c r="D33" s="268" t="s">
        <v>502</v>
      </c>
      <c r="E33" s="225">
        <f>'dod3'!E33-'dod3 - до МВК'!E33</f>
        <v>0</v>
      </c>
      <c r="F33" s="225">
        <f>'dod3'!F33-'dod3 - до МВК'!F33</f>
        <v>0</v>
      </c>
      <c r="G33" s="225">
        <f>'dod3'!G33-'dod3 - до МВК'!G33</f>
        <v>0</v>
      </c>
      <c r="H33" s="225">
        <f>'dod3'!H33-'dod3 - до МВК'!H33</f>
        <v>0</v>
      </c>
      <c r="I33" s="225">
        <f>'dod3'!I33-'dod3 - до МВК'!I33</f>
        <v>0</v>
      </c>
      <c r="J33" s="225">
        <f>'dod3'!J33-'dod3 - до МВК'!J33</f>
        <v>0</v>
      </c>
      <c r="K33" s="225">
        <f>'dod3'!K33-'dod3 - до МВК'!K33</f>
        <v>0</v>
      </c>
      <c r="L33" s="225">
        <f>'dod3'!L33-'dod3 - до МВК'!L33</f>
        <v>0</v>
      </c>
      <c r="M33" s="225">
        <f>'dod3'!M33-'dod3 - до МВК'!M33</f>
        <v>0</v>
      </c>
      <c r="N33" s="225">
        <f>'dod3'!N33-'dod3 - до МВК'!N33</f>
        <v>0</v>
      </c>
      <c r="O33" s="225">
        <f>'dod3'!O33-'dod3 - до МВК'!O33</f>
        <v>0</v>
      </c>
      <c r="P33" s="225">
        <f>'dod3'!P33-'dod3 - до МВК'!P33</f>
        <v>0</v>
      </c>
    </row>
    <row r="34" spans="1:16" s="123" customFormat="1" ht="91.5" x14ac:dyDescent="0.2">
      <c r="A34" s="268" t="s">
        <v>536</v>
      </c>
      <c r="B34" s="268" t="s">
        <v>537</v>
      </c>
      <c r="C34" s="268" t="s">
        <v>314</v>
      </c>
      <c r="D34" s="270" t="s">
        <v>535</v>
      </c>
      <c r="E34" s="225">
        <f>'dod3'!E34-'dod3 - до МВК'!E34</f>
        <v>0</v>
      </c>
      <c r="F34" s="225">
        <f>'dod3'!F34-'dod3 - до МВК'!F34</f>
        <v>0</v>
      </c>
      <c r="G34" s="225">
        <f>'dod3'!G34-'dod3 - до МВК'!G34</f>
        <v>0</v>
      </c>
      <c r="H34" s="225">
        <f>'dod3'!H34-'dod3 - до МВК'!H34</f>
        <v>0</v>
      </c>
      <c r="I34" s="225">
        <f>'dod3'!I34-'dod3 - до МВК'!I34</f>
        <v>0</v>
      </c>
      <c r="J34" s="225">
        <f>'dod3'!J34-'dod3 - до МВК'!J34</f>
        <v>0</v>
      </c>
      <c r="K34" s="225">
        <f>'dod3'!K34-'dod3 - до МВК'!K34</f>
        <v>0</v>
      </c>
      <c r="L34" s="225">
        <f>'dod3'!L34-'dod3 - до МВК'!L34</f>
        <v>0</v>
      </c>
      <c r="M34" s="225">
        <f>'dod3'!M34-'dod3 - до МВК'!M34</f>
        <v>0</v>
      </c>
      <c r="N34" s="225">
        <f>'dod3'!N34-'dod3 - до МВК'!N34</f>
        <v>0</v>
      </c>
      <c r="O34" s="225">
        <f>'dod3'!O34-'dod3 - до МВК'!O34</f>
        <v>0</v>
      </c>
      <c r="P34" s="225">
        <f>'dod3'!P34-'dod3 - до МВК'!P34</f>
        <v>0</v>
      </c>
    </row>
    <row r="35" spans="1:16" s="123" customFormat="1" ht="91.5" x14ac:dyDescent="0.2">
      <c r="A35" s="268" t="s">
        <v>833</v>
      </c>
      <c r="B35" s="268" t="s">
        <v>834</v>
      </c>
      <c r="C35" s="268" t="s">
        <v>314</v>
      </c>
      <c r="D35" s="270" t="s">
        <v>835</v>
      </c>
      <c r="E35" s="225">
        <f>'dod3'!E35-'dod3 - до МВК'!E35</f>
        <v>0</v>
      </c>
      <c r="F35" s="225">
        <f>'dod3'!F35-'dod3 - до МВК'!F35</f>
        <v>0</v>
      </c>
      <c r="G35" s="225">
        <f>'dod3'!G35-'dod3 - до МВК'!G35</f>
        <v>0</v>
      </c>
      <c r="H35" s="225">
        <f>'dod3'!H35-'dod3 - до МВК'!H35</f>
        <v>0</v>
      </c>
      <c r="I35" s="225">
        <f>'dod3'!I35-'dod3 - до МВК'!I35</f>
        <v>0</v>
      </c>
      <c r="J35" s="225">
        <f>'dod3'!J35-'dod3 - до МВК'!J35</f>
        <v>0</v>
      </c>
      <c r="K35" s="225">
        <f>'dod3'!K35-'dod3 - до МВК'!K35</f>
        <v>0</v>
      </c>
      <c r="L35" s="225">
        <f>'dod3'!L35-'dod3 - до МВК'!L35</f>
        <v>0</v>
      </c>
      <c r="M35" s="225">
        <f>'dod3'!M35-'dod3 - до МВК'!M35</f>
        <v>0</v>
      </c>
      <c r="N35" s="225">
        <f>'dod3'!N35-'dod3 - до МВК'!N35</f>
        <v>0</v>
      </c>
      <c r="O35" s="225">
        <f>'dod3'!O35-'dod3 - до МВК'!O35</f>
        <v>0</v>
      </c>
      <c r="P35" s="225">
        <f>'dod3'!P35-'dod3 - до МВК'!P35</f>
        <v>0</v>
      </c>
    </row>
    <row r="36" spans="1:16" s="123" customFormat="1" ht="366" x14ac:dyDescent="0.2">
      <c r="A36" s="270" t="s">
        <v>837</v>
      </c>
      <c r="B36" s="270" t="s">
        <v>838</v>
      </c>
      <c r="C36" s="270" t="s">
        <v>279</v>
      </c>
      <c r="D36" s="270" t="s">
        <v>836</v>
      </c>
      <c r="E36" s="225">
        <f>'dod3'!E36-'dod3 - до МВК'!E36</f>
        <v>0</v>
      </c>
      <c r="F36" s="225">
        <f>'dod3'!F36-'dod3 - до МВК'!F36</f>
        <v>0</v>
      </c>
      <c r="G36" s="225">
        <f>'dod3'!G36-'dod3 - до МВК'!G36</f>
        <v>0</v>
      </c>
      <c r="H36" s="225">
        <f>'dod3'!H36-'dod3 - до МВК'!H36</f>
        <v>0</v>
      </c>
      <c r="I36" s="225">
        <f>'dod3'!I36-'dod3 - до МВК'!I36</f>
        <v>0</v>
      </c>
      <c r="J36" s="225">
        <f>'dod3'!J36-'dod3 - до МВК'!J36</f>
        <v>0</v>
      </c>
      <c r="K36" s="225">
        <f>'dod3'!K36-'dod3 - до МВК'!K36</f>
        <v>0</v>
      </c>
      <c r="L36" s="225">
        <f>'dod3'!L36-'dod3 - до МВК'!L36</f>
        <v>0</v>
      </c>
      <c r="M36" s="225">
        <f>'dod3'!M36-'dod3 - до МВК'!M36</f>
        <v>0</v>
      </c>
      <c r="N36" s="225">
        <f>'dod3'!N36-'dod3 - до МВК'!N36</f>
        <v>0</v>
      </c>
      <c r="O36" s="225">
        <f>'dod3'!O36-'dod3 - до МВК'!O36</f>
        <v>0</v>
      </c>
      <c r="P36" s="225">
        <f>'dod3'!P36-'dod3 - до МВК'!P36</f>
        <v>0</v>
      </c>
    </row>
    <row r="37" spans="1:16" s="123" customFormat="1" ht="46.5" x14ac:dyDescent="0.2">
      <c r="A37" s="270" t="s">
        <v>316</v>
      </c>
      <c r="B37" s="270" t="s">
        <v>317</v>
      </c>
      <c r="C37" s="270" t="s">
        <v>318</v>
      </c>
      <c r="D37" s="270" t="s">
        <v>67</v>
      </c>
      <c r="E37" s="225">
        <f>'dod3'!E37-'dod3 - до МВК'!E37</f>
        <v>0</v>
      </c>
      <c r="F37" s="225">
        <f>'dod3'!F37-'dod3 - до МВК'!F37</f>
        <v>0</v>
      </c>
      <c r="G37" s="225">
        <f>'dod3'!G37-'dod3 - до МВК'!G37</f>
        <v>0</v>
      </c>
      <c r="H37" s="225">
        <f>'dod3'!H37-'dod3 - до МВК'!H37</f>
        <v>0</v>
      </c>
      <c r="I37" s="225">
        <f>'dod3'!I37-'dod3 - до МВК'!I37</f>
        <v>0</v>
      </c>
      <c r="J37" s="225">
        <f>'dod3'!J37-'dod3 - до МВК'!J37</f>
        <v>0</v>
      </c>
      <c r="K37" s="225">
        <f>'dod3'!K37-'dod3 - до МВК'!K37</f>
        <v>0</v>
      </c>
      <c r="L37" s="225">
        <f>'dod3'!L37-'dod3 - до МВК'!L37</f>
        <v>0</v>
      </c>
      <c r="M37" s="225">
        <f>'dod3'!M37-'dod3 - до МВК'!M37</f>
        <v>0</v>
      </c>
      <c r="N37" s="225">
        <f>'dod3'!N37-'dod3 - до МВК'!N37</f>
        <v>0</v>
      </c>
      <c r="O37" s="225">
        <f>'dod3'!O37-'dod3 - до МВК'!O37</f>
        <v>0</v>
      </c>
      <c r="P37" s="225">
        <f>'dod3'!P37-'dod3 - до МВК'!P37</f>
        <v>0</v>
      </c>
    </row>
    <row r="38" spans="1:16" ht="135" x14ac:dyDescent="0.2">
      <c r="A38" s="303" t="s">
        <v>240</v>
      </c>
      <c r="B38" s="304"/>
      <c r="C38" s="304"/>
      <c r="D38" s="297" t="s">
        <v>36</v>
      </c>
      <c r="E38" s="298">
        <f>E39</f>
        <v>576000</v>
      </c>
      <c r="F38" s="298">
        <f t="shared" ref="F38:G38" si="10">F39</f>
        <v>576000</v>
      </c>
      <c r="G38" s="298">
        <f t="shared" si="10"/>
        <v>0</v>
      </c>
      <c r="H38" s="298">
        <f>H39</f>
        <v>0</v>
      </c>
      <c r="I38" s="298">
        <f t="shared" ref="I38" si="11">I39</f>
        <v>0</v>
      </c>
      <c r="J38" s="298">
        <f>J39</f>
        <v>0</v>
      </c>
      <c r="K38" s="298">
        <f>K39</f>
        <v>0</v>
      </c>
      <c r="L38" s="298">
        <f>L39</f>
        <v>0</v>
      </c>
      <c r="M38" s="298">
        <f t="shared" ref="M38" si="12">M39</f>
        <v>0</v>
      </c>
      <c r="N38" s="298">
        <f>N39</f>
        <v>0</v>
      </c>
      <c r="O38" s="298">
        <f>O39</f>
        <v>0</v>
      </c>
      <c r="P38" s="305">
        <f>P39</f>
        <v>576000</v>
      </c>
    </row>
    <row r="39" spans="1:16" ht="180" x14ac:dyDescent="0.2">
      <c r="A39" s="299" t="s">
        <v>241</v>
      </c>
      <c r="B39" s="299"/>
      <c r="C39" s="299"/>
      <c r="D39" s="300" t="s">
        <v>59</v>
      </c>
      <c r="E39" s="301">
        <f>SUM(E40:E51)</f>
        <v>576000</v>
      </c>
      <c r="F39" s="301">
        <f t="shared" ref="F39:H39" si="13">SUM(F40:F51)</f>
        <v>576000</v>
      </c>
      <c r="G39" s="301">
        <f t="shared" si="13"/>
        <v>0</v>
      </c>
      <c r="H39" s="301">
        <f t="shared" si="13"/>
        <v>0</v>
      </c>
      <c r="I39" s="301">
        <f>SUM(I40:I51)</f>
        <v>0</v>
      </c>
      <c r="J39" s="301">
        <f>L39+O39</f>
        <v>0</v>
      </c>
      <c r="K39" s="301">
        <f>SUM(K40:K51)</f>
        <v>0</v>
      </c>
      <c r="L39" s="301">
        <f t="shared" ref="L39:N39" si="14">SUM(L40:L51)</f>
        <v>0</v>
      </c>
      <c r="M39" s="301">
        <f t="shared" si="14"/>
        <v>0</v>
      </c>
      <c r="N39" s="301">
        <f t="shared" si="14"/>
        <v>0</v>
      </c>
      <c r="O39" s="301">
        <f>SUM(O40:O51)</f>
        <v>0</v>
      </c>
      <c r="P39" s="301">
        <f t="shared" ref="P39:P51" si="15">E39+J39</f>
        <v>576000</v>
      </c>
    </row>
    <row r="40" spans="1:16" ht="228.75" x14ac:dyDescent="0.2">
      <c r="A40" s="270" t="s">
        <v>727</v>
      </c>
      <c r="B40" s="270" t="s">
        <v>341</v>
      </c>
      <c r="C40" s="270" t="s">
        <v>339</v>
      </c>
      <c r="D40" s="270" t="s">
        <v>340</v>
      </c>
      <c r="E40" s="225">
        <f>'dod3'!E40-'dod3 - до МВК'!E40</f>
        <v>0</v>
      </c>
      <c r="F40" s="225">
        <f>'dod3'!F40-'dod3 - до МВК'!F40</f>
        <v>0</v>
      </c>
      <c r="G40" s="225">
        <f>'dod3'!G40-'dod3 - до МВК'!G40</f>
        <v>0</v>
      </c>
      <c r="H40" s="225">
        <f>'dod3'!H40-'dod3 - до МВК'!H40</f>
        <v>0</v>
      </c>
      <c r="I40" s="225">
        <f>'dod3'!I40-'dod3 - до МВК'!I40</f>
        <v>0</v>
      </c>
      <c r="J40" s="225">
        <f>'dod3'!J40-'dod3 - до МВК'!J40</f>
        <v>0</v>
      </c>
      <c r="K40" s="225">
        <f>'dod3'!K40-'dod3 - до МВК'!K40</f>
        <v>0</v>
      </c>
      <c r="L40" s="225">
        <f>'dod3'!L40-'dod3 - до МВК'!L40</f>
        <v>0</v>
      </c>
      <c r="M40" s="225">
        <f>'dod3'!M40-'dod3 - до МВК'!M40</f>
        <v>0</v>
      </c>
      <c r="N40" s="225">
        <f>'dod3'!N40-'dod3 - до МВК'!N40</f>
        <v>0</v>
      </c>
      <c r="O40" s="225">
        <f>'dod3'!O40-'dod3 - до МВК'!O40</f>
        <v>0</v>
      </c>
      <c r="P40" s="225">
        <f>'dod3'!P40-'dod3 - до МВК'!P40</f>
        <v>0</v>
      </c>
    </row>
    <row r="41" spans="1:16" ht="91.5" x14ac:dyDescent="0.2">
      <c r="A41" s="270" t="s">
        <v>319</v>
      </c>
      <c r="B41" s="270" t="s">
        <v>315</v>
      </c>
      <c r="C41" s="270" t="s">
        <v>320</v>
      </c>
      <c r="D41" s="270" t="s">
        <v>37</v>
      </c>
      <c r="E41" s="225">
        <f>'dod3'!E41-'dod3 - до МВК'!E41</f>
        <v>0</v>
      </c>
      <c r="F41" s="225">
        <f>'dod3'!F41-'dod3 - до МВК'!F41</f>
        <v>0</v>
      </c>
      <c r="G41" s="225">
        <f>'dod3'!G41-'dod3 - до МВК'!G41</f>
        <v>0</v>
      </c>
      <c r="H41" s="225">
        <f>'dod3'!H41-'dod3 - до МВК'!H41</f>
        <v>0</v>
      </c>
      <c r="I41" s="225">
        <f>'dod3'!I41-'dod3 - до МВК'!I41</f>
        <v>0</v>
      </c>
      <c r="J41" s="225">
        <f>'dod3'!J41-'dod3 - до МВК'!J41</f>
        <v>0</v>
      </c>
      <c r="K41" s="225">
        <f>'dod3'!K41-'dod3 - до МВК'!K41</f>
        <v>0</v>
      </c>
      <c r="L41" s="225">
        <f>'dod3'!L41-'dod3 - до МВК'!L41</f>
        <v>0</v>
      </c>
      <c r="M41" s="225">
        <f>'dod3'!M41-'dod3 - до МВК'!M41</f>
        <v>0</v>
      </c>
      <c r="N41" s="225">
        <f>'dod3'!N41-'dod3 - до МВК'!N41</f>
        <v>0</v>
      </c>
      <c r="O41" s="225">
        <f>'dod3'!O41-'dod3 - до МВК'!O41</f>
        <v>0</v>
      </c>
      <c r="P41" s="225">
        <f>'dod3'!P41-'dod3 - до МВК'!P41</f>
        <v>0</v>
      </c>
    </row>
    <row r="42" spans="1:16" ht="137.25" x14ac:dyDescent="0.2">
      <c r="A42" s="270" t="s">
        <v>321</v>
      </c>
      <c r="B42" s="270" t="s">
        <v>322</v>
      </c>
      <c r="C42" s="270" t="s">
        <v>323</v>
      </c>
      <c r="D42" s="270" t="s">
        <v>324</v>
      </c>
      <c r="E42" s="225">
        <f>'dod3'!E42-'dod3 - до МВК'!E42</f>
        <v>0</v>
      </c>
      <c r="F42" s="225">
        <f>'dod3'!F42-'dod3 - до МВК'!F42</f>
        <v>0</v>
      </c>
      <c r="G42" s="225">
        <f>'dod3'!G42-'dod3 - до МВК'!G42</f>
        <v>0</v>
      </c>
      <c r="H42" s="225">
        <f>'dod3'!H42-'dod3 - до МВК'!H42</f>
        <v>0</v>
      </c>
      <c r="I42" s="225">
        <f>'dod3'!I42-'dod3 - до МВК'!I42</f>
        <v>0</v>
      </c>
      <c r="J42" s="225">
        <f>'dod3'!J42-'dod3 - до МВК'!J42</f>
        <v>0</v>
      </c>
      <c r="K42" s="225">
        <f>'dod3'!K42-'dod3 - до МВК'!K42</f>
        <v>0</v>
      </c>
      <c r="L42" s="225">
        <f>'dod3'!L42-'dod3 - до МВК'!L42</f>
        <v>0</v>
      </c>
      <c r="M42" s="225">
        <f>'dod3'!M42-'dod3 - до МВК'!M42</f>
        <v>0</v>
      </c>
      <c r="N42" s="225">
        <f>'dod3'!N42-'dod3 - до МВК'!N42</f>
        <v>0</v>
      </c>
      <c r="O42" s="225">
        <f>'dod3'!O42-'dod3 - до МВК'!O42</f>
        <v>0</v>
      </c>
      <c r="P42" s="225">
        <f>'dod3'!P42-'dod3 - до МВК'!P42</f>
        <v>0</v>
      </c>
    </row>
    <row r="43" spans="1:16" ht="137.25" x14ac:dyDescent="0.2">
      <c r="A43" s="270" t="s">
        <v>325</v>
      </c>
      <c r="B43" s="270" t="s">
        <v>326</v>
      </c>
      <c r="C43" s="270" t="s">
        <v>327</v>
      </c>
      <c r="D43" s="270" t="s">
        <v>551</v>
      </c>
      <c r="E43" s="225">
        <f>'dod3'!E43-'dod3 - до МВК'!E43</f>
        <v>0</v>
      </c>
      <c r="F43" s="225">
        <f>'dod3'!F43-'dod3 - до МВК'!F43</f>
        <v>0</v>
      </c>
      <c r="G43" s="225">
        <f>'dod3'!G43-'dod3 - до МВК'!G43</f>
        <v>0</v>
      </c>
      <c r="H43" s="225">
        <f>'dod3'!H43-'dod3 - до МВК'!H43</f>
        <v>0</v>
      </c>
      <c r="I43" s="225">
        <f>'dod3'!I43-'dod3 - до МВК'!I43</f>
        <v>0</v>
      </c>
      <c r="J43" s="225">
        <f>'dod3'!J43-'dod3 - до МВК'!J43</f>
        <v>0</v>
      </c>
      <c r="K43" s="225">
        <f>'dod3'!K43-'dod3 - до МВК'!K43</f>
        <v>0</v>
      </c>
      <c r="L43" s="225">
        <f>'dod3'!L43-'dod3 - до МВК'!L43</f>
        <v>0</v>
      </c>
      <c r="M43" s="225">
        <f>'dod3'!M43-'dod3 - до МВК'!M43</f>
        <v>0</v>
      </c>
      <c r="N43" s="225">
        <f>'dod3'!N43-'dod3 - до МВК'!N43</f>
        <v>0</v>
      </c>
      <c r="O43" s="225">
        <f>'dod3'!O43-'dod3 - до МВК'!O43</f>
        <v>0</v>
      </c>
      <c r="P43" s="225">
        <f>'dod3'!P43-'dod3 - до МВК'!P43</f>
        <v>0</v>
      </c>
    </row>
    <row r="44" spans="1:16" ht="91.5" x14ac:dyDescent="0.2">
      <c r="A44" s="270" t="s">
        <v>328</v>
      </c>
      <c r="B44" s="270" t="s">
        <v>329</v>
      </c>
      <c r="C44" s="270" t="s">
        <v>330</v>
      </c>
      <c r="D44" s="270" t="s">
        <v>331</v>
      </c>
      <c r="E44" s="225">
        <f>'dod3'!E44-'dod3 - до МВК'!E44</f>
        <v>0</v>
      </c>
      <c r="F44" s="225">
        <f>'dod3'!F44-'dod3 - до МВК'!F44</f>
        <v>0</v>
      </c>
      <c r="G44" s="225">
        <f>'dod3'!G44-'dod3 - до МВК'!G44</f>
        <v>0</v>
      </c>
      <c r="H44" s="225">
        <f>'dod3'!H44-'dod3 - до МВК'!H44</f>
        <v>0</v>
      </c>
      <c r="I44" s="225">
        <f>'dod3'!I44-'dod3 - до МВК'!I44</f>
        <v>0</v>
      </c>
      <c r="J44" s="225">
        <f>'dod3'!J44-'dod3 - до МВК'!J44</f>
        <v>0</v>
      </c>
      <c r="K44" s="225">
        <f>'dod3'!K44-'dod3 - до МВК'!K44</f>
        <v>0</v>
      </c>
      <c r="L44" s="225">
        <f>'dod3'!L44-'dod3 - до МВК'!L44</f>
        <v>0</v>
      </c>
      <c r="M44" s="225">
        <f>'dod3'!M44-'dod3 - до МВК'!M44</f>
        <v>0</v>
      </c>
      <c r="N44" s="225">
        <f>'dod3'!N44-'dod3 - до МВК'!N44</f>
        <v>0</v>
      </c>
      <c r="O44" s="225">
        <f>'dod3'!O44-'dod3 - до МВК'!O44</f>
        <v>0</v>
      </c>
      <c r="P44" s="225">
        <f>'dod3'!P44-'dod3 - до МВК'!P44</f>
        <v>0</v>
      </c>
    </row>
    <row r="45" spans="1:16" ht="183" x14ac:dyDescent="0.2">
      <c r="A45" s="270" t="s">
        <v>332</v>
      </c>
      <c r="B45" s="268" t="s">
        <v>333</v>
      </c>
      <c r="C45" s="268" t="s">
        <v>552</v>
      </c>
      <c r="D45" s="270" t="s">
        <v>334</v>
      </c>
      <c r="E45" s="225">
        <f>'dod3'!E45-'dod3 - до МВК'!E45</f>
        <v>0</v>
      </c>
      <c r="F45" s="225">
        <f>'dod3'!F45-'dod3 - до МВК'!F45</f>
        <v>0</v>
      </c>
      <c r="G45" s="225">
        <f>'dod3'!G45-'dod3 - до МВК'!G45</f>
        <v>0</v>
      </c>
      <c r="H45" s="225">
        <f>'dod3'!H45-'dod3 - до МВК'!H45</f>
        <v>0</v>
      </c>
      <c r="I45" s="225">
        <f>'dod3'!I45-'dod3 - до МВК'!I45</f>
        <v>0</v>
      </c>
      <c r="J45" s="225">
        <f>'dod3'!J45-'dod3 - до МВК'!J45</f>
        <v>0</v>
      </c>
      <c r="K45" s="225">
        <f>'dod3'!K45-'dod3 - до МВК'!K45</f>
        <v>0</v>
      </c>
      <c r="L45" s="225">
        <f>'dod3'!L45-'dod3 - до МВК'!L45</f>
        <v>0</v>
      </c>
      <c r="M45" s="225">
        <f>'dod3'!M45-'dod3 - до МВК'!M45</f>
        <v>0</v>
      </c>
      <c r="N45" s="225">
        <f>'dod3'!N45-'dod3 - до МВК'!N45</f>
        <v>0</v>
      </c>
      <c r="O45" s="225">
        <f>'dod3'!O45-'dod3 - до МВК'!O45</f>
        <v>0</v>
      </c>
      <c r="P45" s="225">
        <f>'dod3'!P45-'dod3 - до МВК'!P45</f>
        <v>0</v>
      </c>
    </row>
    <row r="46" spans="1:16" ht="183" x14ac:dyDescent="0.2">
      <c r="A46" s="270" t="s">
        <v>591</v>
      </c>
      <c r="B46" s="270" t="s">
        <v>592</v>
      </c>
      <c r="C46" s="268" t="s">
        <v>335</v>
      </c>
      <c r="D46" s="215" t="s">
        <v>593</v>
      </c>
      <c r="E46" s="225">
        <f>'dod3'!E46-'dod3 - до МВК'!E46</f>
        <v>0</v>
      </c>
      <c r="F46" s="225">
        <f>'dod3'!F46-'dod3 - до МВК'!F46</f>
        <v>0</v>
      </c>
      <c r="G46" s="225">
        <f>'dod3'!G46-'dod3 - до МВК'!G46</f>
        <v>0</v>
      </c>
      <c r="H46" s="225">
        <f>'dod3'!H46-'dod3 - до МВК'!H46</f>
        <v>0</v>
      </c>
      <c r="I46" s="225">
        <f>'dod3'!I46-'dod3 - до МВК'!I46</f>
        <v>0</v>
      </c>
      <c r="J46" s="225">
        <f>'dod3'!J46-'dod3 - до МВК'!J46</f>
        <v>0</v>
      </c>
      <c r="K46" s="225">
        <f>'dod3'!K46-'dod3 - до МВК'!K46</f>
        <v>0</v>
      </c>
      <c r="L46" s="225">
        <f>'dod3'!L46-'dod3 - до МВК'!L46</f>
        <v>0</v>
      </c>
      <c r="M46" s="225">
        <f>'dod3'!M46-'dod3 - до МВК'!M46</f>
        <v>0</v>
      </c>
      <c r="N46" s="225">
        <f>'dod3'!N46-'dod3 - до МВК'!N46</f>
        <v>0</v>
      </c>
      <c r="O46" s="225">
        <f>'dod3'!O46-'dod3 - до МВК'!O46</f>
        <v>0</v>
      </c>
      <c r="P46" s="225">
        <f>'dod3'!P46-'dod3 - до МВК'!P46</f>
        <v>0</v>
      </c>
    </row>
    <row r="47" spans="1:16" ht="183" x14ac:dyDescent="0.2">
      <c r="A47" s="270" t="s">
        <v>596</v>
      </c>
      <c r="B47" s="270" t="s">
        <v>595</v>
      </c>
      <c r="C47" s="268" t="s">
        <v>335</v>
      </c>
      <c r="D47" s="215" t="s">
        <v>594</v>
      </c>
      <c r="E47" s="225">
        <f>'dod3'!E47-'dod3 - до МВК'!E47</f>
        <v>0</v>
      </c>
      <c r="F47" s="225">
        <f>'dod3'!F47-'dod3 - до МВК'!F47</f>
        <v>0</v>
      </c>
      <c r="G47" s="225">
        <f>'dod3'!G47-'dod3 - до МВК'!G47</f>
        <v>0</v>
      </c>
      <c r="H47" s="225">
        <f>'dod3'!H47-'dod3 - до МВК'!H47</f>
        <v>0</v>
      </c>
      <c r="I47" s="225">
        <f>'dod3'!I47-'dod3 - до МВК'!I47</f>
        <v>0</v>
      </c>
      <c r="J47" s="225">
        <f>'dod3'!J47-'dod3 - до МВК'!J47</f>
        <v>0</v>
      </c>
      <c r="K47" s="225">
        <f>'dod3'!K47-'dod3 - до МВК'!K47</f>
        <v>0</v>
      </c>
      <c r="L47" s="225">
        <f>'dod3'!L47-'dod3 - до МВК'!L47</f>
        <v>0</v>
      </c>
      <c r="M47" s="225">
        <f>'dod3'!M47-'dod3 - до МВК'!M47</f>
        <v>0</v>
      </c>
      <c r="N47" s="225">
        <f>'dod3'!N47-'dod3 - до МВК'!N47</f>
        <v>0</v>
      </c>
      <c r="O47" s="225">
        <f>'dod3'!O47-'dod3 - до МВК'!O47</f>
        <v>0</v>
      </c>
      <c r="P47" s="225">
        <f>'dod3'!P47-'dod3 - до МВК'!P47</f>
        <v>0</v>
      </c>
    </row>
    <row r="48" spans="1:16" s="123" customFormat="1" ht="137.25" x14ac:dyDescent="0.2">
      <c r="A48" s="270" t="s">
        <v>507</v>
      </c>
      <c r="B48" s="270" t="s">
        <v>509</v>
      </c>
      <c r="C48" s="268" t="s">
        <v>335</v>
      </c>
      <c r="D48" s="215" t="s">
        <v>505</v>
      </c>
      <c r="E48" s="225">
        <f>'dod3'!E48-'dod3 - до МВК'!E48</f>
        <v>0</v>
      </c>
      <c r="F48" s="225">
        <f>'dod3'!F48-'dod3 - до МВК'!F48</f>
        <v>0</v>
      </c>
      <c r="G48" s="225">
        <f>'dod3'!G48-'dod3 - до МВК'!G48</f>
        <v>0</v>
      </c>
      <c r="H48" s="225">
        <f>'dod3'!H48-'dod3 - до МВК'!H48</f>
        <v>0</v>
      </c>
      <c r="I48" s="225">
        <f>'dod3'!I48-'dod3 - до МВК'!I48</f>
        <v>0</v>
      </c>
      <c r="J48" s="225">
        <f>'dod3'!J48-'dod3 - до МВК'!J48</f>
        <v>0</v>
      </c>
      <c r="K48" s="225">
        <f>'dod3'!K48-'dod3 - до МВК'!K48</f>
        <v>0</v>
      </c>
      <c r="L48" s="225">
        <f>'dod3'!L48-'dod3 - до МВК'!L48</f>
        <v>0</v>
      </c>
      <c r="M48" s="225">
        <f>'dod3'!M48-'dod3 - до МВК'!M48</f>
        <v>0</v>
      </c>
      <c r="N48" s="225">
        <f>'dod3'!N48-'dod3 - до МВК'!N48</f>
        <v>0</v>
      </c>
      <c r="O48" s="225">
        <f>'dod3'!O48-'dod3 - до МВК'!O48</f>
        <v>0</v>
      </c>
      <c r="P48" s="225">
        <f>'dod3'!P48-'dod3 - до МВК'!P48</f>
        <v>0</v>
      </c>
    </row>
    <row r="49" spans="1:16" s="123" customFormat="1" ht="91.5" x14ac:dyDescent="0.2">
      <c r="A49" s="270" t="s">
        <v>508</v>
      </c>
      <c r="B49" s="270" t="s">
        <v>510</v>
      </c>
      <c r="C49" s="268" t="s">
        <v>335</v>
      </c>
      <c r="D49" s="215" t="s">
        <v>506</v>
      </c>
      <c r="E49" s="225">
        <f>'dod3'!E49-'dod3 - до МВК'!E49</f>
        <v>576000</v>
      </c>
      <c r="F49" s="225">
        <f>'dod3'!F49-'dod3 - до МВК'!F49</f>
        <v>576000</v>
      </c>
      <c r="G49" s="225">
        <f>'dod3'!G49-'dod3 - до МВК'!G49</f>
        <v>0</v>
      </c>
      <c r="H49" s="225">
        <f>'dod3'!H49-'dod3 - до МВК'!H49</f>
        <v>0</v>
      </c>
      <c r="I49" s="225">
        <f>'dod3'!I49-'dod3 - до МВК'!I49</f>
        <v>0</v>
      </c>
      <c r="J49" s="225">
        <f>'dod3'!J49-'dod3 - до МВК'!J49</f>
        <v>0</v>
      </c>
      <c r="K49" s="225">
        <f>'dod3'!K49-'dod3 - до МВК'!K49</f>
        <v>0</v>
      </c>
      <c r="L49" s="225">
        <f>'dod3'!L49-'dod3 - до МВК'!L49</f>
        <v>0</v>
      </c>
      <c r="M49" s="225">
        <f>'dod3'!M49-'dod3 - до МВК'!M49</f>
        <v>0</v>
      </c>
      <c r="N49" s="225">
        <f>'dod3'!N49-'dod3 - до МВК'!N49</f>
        <v>0</v>
      </c>
      <c r="O49" s="225">
        <f>'dod3'!O49-'dod3 - до МВК'!O49</f>
        <v>0</v>
      </c>
      <c r="P49" s="225">
        <f>'dod3'!P49-'dod3 - до МВК'!P49</f>
        <v>576000</v>
      </c>
    </row>
    <row r="50" spans="1:16" s="123" customFormat="1" ht="91.5" x14ac:dyDescent="0.2">
      <c r="A50" s="270" t="s">
        <v>904</v>
      </c>
      <c r="B50" s="270" t="s">
        <v>293</v>
      </c>
      <c r="C50" s="270" t="s">
        <v>256</v>
      </c>
      <c r="D50" s="270" t="s">
        <v>57</v>
      </c>
      <c r="E50" s="225">
        <f>'dod3'!E50-'dod3 - до МВК'!E50</f>
        <v>0</v>
      </c>
      <c r="F50" s="225">
        <f>'dod3'!F50-'dod3 - до МВК'!F50</f>
        <v>0</v>
      </c>
      <c r="G50" s="225">
        <f>'dod3'!G50-'dod3 - до МВК'!G50</f>
        <v>0</v>
      </c>
      <c r="H50" s="225">
        <f>'dod3'!H50-'dod3 - до МВК'!H50</f>
        <v>0</v>
      </c>
      <c r="I50" s="225">
        <f>'dod3'!I50-'dod3 - до МВК'!I50</f>
        <v>0</v>
      </c>
      <c r="J50" s="225">
        <f>'dod3'!J50-'dod3 - до МВК'!J50</f>
        <v>0</v>
      </c>
      <c r="K50" s="225">
        <f>'dod3'!K50-'dod3 - до МВК'!K50</f>
        <v>0</v>
      </c>
      <c r="L50" s="225">
        <f>'dod3'!L50-'dod3 - до МВК'!L50</f>
        <v>0</v>
      </c>
      <c r="M50" s="225">
        <f>'dod3'!M50-'dod3 - до МВК'!M50</f>
        <v>0</v>
      </c>
      <c r="N50" s="225">
        <f>'dod3'!N50-'dod3 - до МВК'!N50</f>
        <v>0</v>
      </c>
      <c r="O50" s="225">
        <f>'dod3'!O50-'dod3 - до МВК'!O50</f>
        <v>0</v>
      </c>
      <c r="P50" s="225">
        <f>'dod3'!P50-'dod3 - до МВК'!P50</f>
        <v>0</v>
      </c>
    </row>
    <row r="51" spans="1:16" s="123" customFormat="1" ht="91.5" x14ac:dyDescent="0.2">
      <c r="A51" s="270" t="s">
        <v>906</v>
      </c>
      <c r="B51" s="270" t="s">
        <v>601</v>
      </c>
      <c r="C51" s="270" t="s">
        <v>71</v>
      </c>
      <c r="D51" s="270" t="s">
        <v>602</v>
      </c>
      <c r="E51" s="225">
        <f>'dod3'!E51-'dod3 - до МВК'!E51</f>
        <v>0</v>
      </c>
      <c r="F51" s="225">
        <f>'dod3'!F51-'dod3 - до МВК'!F51</f>
        <v>0</v>
      </c>
      <c r="G51" s="225">
        <f>'dod3'!G51-'dod3 - до МВК'!G51</f>
        <v>0</v>
      </c>
      <c r="H51" s="225">
        <f>'dod3'!H51-'dod3 - до МВК'!H51</f>
        <v>0</v>
      </c>
      <c r="I51" s="225">
        <f>'dod3'!I51-'dod3 - до МВК'!I51</f>
        <v>0</v>
      </c>
      <c r="J51" s="225">
        <f>'dod3'!J51-'dod3 - до МВК'!J51</f>
        <v>0</v>
      </c>
      <c r="K51" s="225">
        <f>'dod3'!K51-'dod3 - до МВК'!K51</f>
        <v>0</v>
      </c>
      <c r="L51" s="225">
        <f>'dod3'!L51-'dod3 - до МВК'!L51</f>
        <v>0</v>
      </c>
      <c r="M51" s="225">
        <f>'dod3'!M51-'dod3 - до МВК'!M51</f>
        <v>0</v>
      </c>
      <c r="N51" s="225">
        <f>'dod3'!N51-'dod3 - до МВК'!N51</f>
        <v>0</v>
      </c>
      <c r="O51" s="225">
        <f>'dod3'!O51-'dod3 - до МВК'!O51</f>
        <v>0</v>
      </c>
      <c r="P51" s="225">
        <f>'dod3'!P51-'dod3 - до МВК'!P51</f>
        <v>0</v>
      </c>
    </row>
    <row r="52" spans="1:16" ht="225" x14ac:dyDescent="0.2">
      <c r="A52" s="296" t="s">
        <v>242</v>
      </c>
      <c r="B52" s="296"/>
      <c r="C52" s="296"/>
      <c r="D52" s="297" t="s">
        <v>60</v>
      </c>
      <c r="E52" s="298">
        <f>E53</f>
        <v>0</v>
      </c>
      <c r="F52" s="298">
        <f t="shared" ref="F52:G52" si="16">F53</f>
        <v>0</v>
      </c>
      <c r="G52" s="298">
        <f t="shared" si="16"/>
        <v>0</v>
      </c>
      <c r="H52" s="298">
        <f>H53</f>
        <v>0</v>
      </c>
      <c r="I52" s="298">
        <f t="shared" ref="I52" si="17">I53</f>
        <v>0</v>
      </c>
      <c r="J52" s="298">
        <f>J53</f>
        <v>0</v>
      </c>
      <c r="K52" s="298">
        <f>K53</f>
        <v>0</v>
      </c>
      <c r="L52" s="298">
        <f>L53</f>
        <v>0</v>
      </c>
      <c r="M52" s="298">
        <f t="shared" ref="M52" si="18">M53</f>
        <v>0</v>
      </c>
      <c r="N52" s="298">
        <f>N53</f>
        <v>0</v>
      </c>
      <c r="O52" s="298">
        <f>O53</f>
        <v>0</v>
      </c>
      <c r="P52" s="302">
        <f>P53</f>
        <v>0</v>
      </c>
    </row>
    <row r="53" spans="1:16" ht="225" x14ac:dyDescent="0.2">
      <c r="A53" s="299" t="s">
        <v>243</v>
      </c>
      <c r="B53" s="299"/>
      <c r="C53" s="299"/>
      <c r="D53" s="300" t="s">
        <v>61</v>
      </c>
      <c r="E53" s="301">
        <f>SUM(E54:E97)</f>
        <v>0</v>
      </c>
      <c r="F53" s="301">
        <f>SUM(F54:F97)</f>
        <v>0</v>
      </c>
      <c r="G53" s="301">
        <f>SUM(G54:G97)</f>
        <v>0</v>
      </c>
      <c r="H53" s="301">
        <f>SUM(H54:H97)</f>
        <v>0</v>
      </c>
      <c r="I53" s="301">
        <f>SUM(I54:I97)</f>
        <v>0</v>
      </c>
      <c r="J53" s="301">
        <f t="shared" ref="J53:J89" si="19">L53+O53</f>
        <v>0</v>
      </c>
      <c r="K53" s="301">
        <f>SUM(K54:K97)</f>
        <v>0</v>
      </c>
      <c r="L53" s="301">
        <f>SUM(L54:L97)</f>
        <v>0</v>
      </c>
      <c r="M53" s="301">
        <f>SUM(M54:M97)</f>
        <v>0</v>
      </c>
      <c r="N53" s="301">
        <f>SUM(N54:N97)</f>
        <v>0</v>
      </c>
      <c r="O53" s="301">
        <f>SUM(O54:O97)</f>
        <v>0</v>
      </c>
      <c r="P53" s="301">
        <f t="shared" ref="P53:P82" si="20">E53+J53</f>
        <v>0</v>
      </c>
    </row>
    <row r="54" spans="1:16" ht="228.75" x14ac:dyDescent="0.2">
      <c r="A54" s="270" t="s">
        <v>726</v>
      </c>
      <c r="B54" s="270" t="s">
        <v>341</v>
      </c>
      <c r="C54" s="270" t="s">
        <v>339</v>
      </c>
      <c r="D54" s="270" t="s">
        <v>340</v>
      </c>
      <c r="E54" s="225">
        <f>'dod3'!E54-'dod3 - до МВК'!E54</f>
        <v>0</v>
      </c>
      <c r="F54" s="225">
        <f>'dod3'!F54-'dod3 - до МВК'!F54</f>
        <v>0</v>
      </c>
      <c r="G54" s="225">
        <f>'dod3'!G54-'dod3 - до МВК'!G54</f>
        <v>0</v>
      </c>
      <c r="H54" s="225">
        <f>'dod3'!H54-'dod3 - до МВК'!H54</f>
        <v>0</v>
      </c>
      <c r="I54" s="225">
        <f>'dod3'!I54-'dod3 - до МВК'!I54</f>
        <v>0</v>
      </c>
      <c r="J54" s="225">
        <f>'dod3'!J54-'dod3 - до МВК'!J54</f>
        <v>0</v>
      </c>
      <c r="K54" s="225">
        <f>'dod3'!K54-'dod3 - до МВК'!K54</f>
        <v>0</v>
      </c>
      <c r="L54" s="225">
        <f>'dod3'!L54-'dod3 - до МВК'!L54</f>
        <v>0</v>
      </c>
      <c r="M54" s="225">
        <f>'dod3'!M54-'dod3 - до МВК'!M54</f>
        <v>0</v>
      </c>
      <c r="N54" s="225">
        <f>'dod3'!N54-'dod3 - до МВК'!N54</f>
        <v>0</v>
      </c>
      <c r="O54" s="225">
        <f>'dod3'!O54-'dod3 - до МВК'!O54</f>
        <v>0</v>
      </c>
      <c r="P54" s="225">
        <f>'dod3'!P54-'dod3 - до МВК'!P54</f>
        <v>0</v>
      </c>
    </row>
    <row r="55" spans="1:16" ht="183" x14ac:dyDescent="0.2">
      <c r="A55" s="268" t="s">
        <v>356</v>
      </c>
      <c r="B55" s="268" t="s">
        <v>357</v>
      </c>
      <c r="C55" s="268" t="s">
        <v>302</v>
      </c>
      <c r="D55" s="217" t="s">
        <v>355</v>
      </c>
      <c r="E55" s="225">
        <f>'dod3'!E55-'dod3 - до МВК'!E55</f>
        <v>0</v>
      </c>
      <c r="F55" s="225">
        <f>'dod3'!F55-'dod3 - до МВК'!F55</f>
        <v>0</v>
      </c>
      <c r="G55" s="225">
        <f>'dod3'!G55-'dod3 - до МВК'!G55</f>
        <v>0</v>
      </c>
      <c r="H55" s="225">
        <f>'dod3'!H55-'dod3 - до МВК'!H55</f>
        <v>0</v>
      </c>
      <c r="I55" s="225">
        <f>'dod3'!I55-'dod3 - до МВК'!I55</f>
        <v>0</v>
      </c>
      <c r="J55" s="225">
        <f>'dod3'!J55-'dod3 - до МВК'!J55</f>
        <v>0</v>
      </c>
      <c r="K55" s="225">
        <f>'dod3'!K55-'dod3 - до МВК'!K55</f>
        <v>0</v>
      </c>
      <c r="L55" s="225">
        <f>'dod3'!L55-'dod3 - до МВК'!L55</f>
        <v>0</v>
      </c>
      <c r="M55" s="225">
        <f>'dod3'!M55-'dod3 - до МВК'!M55</f>
        <v>0</v>
      </c>
      <c r="N55" s="225">
        <f>'dod3'!N55-'dod3 - до МВК'!N55</f>
        <v>0</v>
      </c>
      <c r="O55" s="225">
        <f>'dod3'!O55-'dod3 - до МВК'!O55</f>
        <v>0</v>
      </c>
      <c r="P55" s="225">
        <f>'dod3'!P55-'dod3 - до МВК'!P55</f>
        <v>0</v>
      </c>
    </row>
    <row r="56" spans="1:16" ht="183" x14ac:dyDescent="0.2">
      <c r="A56" s="218" t="s">
        <v>375</v>
      </c>
      <c r="B56" s="268" t="s">
        <v>376</v>
      </c>
      <c r="C56" s="268" t="s">
        <v>79</v>
      </c>
      <c r="D56" s="270" t="s">
        <v>8</v>
      </c>
      <c r="E56" s="225">
        <f>'dod3'!E56-'dod3 - до МВК'!E56</f>
        <v>0</v>
      </c>
      <c r="F56" s="225">
        <f>'dod3'!F56-'dod3 - до МВК'!F56</f>
        <v>0</v>
      </c>
      <c r="G56" s="225">
        <f>'dod3'!G56-'dod3 - до МВК'!G56</f>
        <v>0</v>
      </c>
      <c r="H56" s="225">
        <f>'dod3'!H56-'dod3 - до МВК'!H56</f>
        <v>0</v>
      </c>
      <c r="I56" s="225">
        <f>'dod3'!I56-'dod3 - до МВК'!I56</f>
        <v>0</v>
      </c>
      <c r="J56" s="225">
        <f>'dod3'!J56-'dod3 - до МВК'!J56</f>
        <v>0</v>
      </c>
      <c r="K56" s="225">
        <f>'dod3'!K56-'dod3 - до МВК'!K56</f>
        <v>0</v>
      </c>
      <c r="L56" s="225">
        <f>'dod3'!L56-'dod3 - до МВК'!L56</f>
        <v>0</v>
      </c>
      <c r="M56" s="225">
        <f>'dod3'!M56-'dod3 - до МВК'!M56</f>
        <v>0</v>
      </c>
      <c r="N56" s="225">
        <f>'dod3'!N56-'dod3 - до МВК'!N56</f>
        <v>0</v>
      </c>
      <c r="O56" s="225">
        <f>'dod3'!O56-'dod3 - до МВК'!O56</f>
        <v>0</v>
      </c>
      <c r="P56" s="225">
        <f>'dod3'!P56-'dod3 - до МВК'!P56</f>
        <v>0</v>
      </c>
    </row>
    <row r="57" spans="1:16" ht="274.5" x14ac:dyDescent="0.2">
      <c r="A57" s="270" t="s">
        <v>378</v>
      </c>
      <c r="B57" s="270" t="s">
        <v>379</v>
      </c>
      <c r="C57" s="270" t="s">
        <v>302</v>
      </c>
      <c r="D57" s="219" t="s">
        <v>377</v>
      </c>
      <c r="E57" s="225">
        <f>'dod3'!E57-'dod3 - до МВК'!E57</f>
        <v>0</v>
      </c>
      <c r="F57" s="225">
        <f>'dod3'!F57-'dod3 - до МВК'!F57</f>
        <v>0</v>
      </c>
      <c r="G57" s="225">
        <f>'dod3'!G57-'dod3 - до МВК'!G57</f>
        <v>0</v>
      </c>
      <c r="H57" s="225">
        <f>'dod3'!H57-'dod3 - до МВК'!H57</f>
        <v>0</v>
      </c>
      <c r="I57" s="225">
        <f>'dod3'!I57-'dod3 - до МВК'!I57</f>
        <v>0</v>
      </c>
      <c r="J57" s="225">
        <f>'dod3'!J57-'dod3 - до МВК'!J57</f>
        <v>0</v>
      </c>
      <c r="K57" s="225">
        <f>'dod3'!K57-'dod3 - до МВК'!K57</f>
        <v>0</v>
      </c>
      <c r="L57" s="225">
        <f>'dod3'!L57-'dod3 - до МВК'!L57</f>
        <v>0</v>
      </c>
      <c r="M57" s="225">
        <f>'dod3'!M57-'dod3 - до МВК'!M57</f>
        <v>0</v>
      </c>
      <c r="N57" s="225">
        <f>'dod3'!N57-'dod3 - до МВК'!N57</f>
        <v>0</v>
      </c>
      <c r="O57" s="225">
        <f>'dod3'!O57-'dod3 - до МВК'!O57</f>
        <v>0</v>
      </c>
      <c r="P57" s="225">
        <f>'dod3'!P57-'dod3 - до МВК'!P57</f>
        <v>0</v>
      </c>
    </row>
    <row r="58" spans="1:16" ht="228.75" x14ac:dyDescent="0.2">
      <c r="A58" s="270" t="s">
        <v>380</v>
      </c>
      <c r="B58" s="270" t="s">
        <v>381</v>
      </c>
      <c r="C58" s="219">
        <v>1060</v>
      </c>
      <c r="D58" s="220" t="s">
        <v>19</v>
      </c>
      <c r="E58" s="225">
        <f>'dod3'!E58-'dod3 - до МВК'!E58</f>
        <v>0</v>
      </c>
      <c r="F58" s="225">
        <f>'dod3'!F58-'dod3 - до МВК'!F58</f>
        <v>0</v>
      </c>
      <c r="G58" s="225">
        <f>'dod3'!G58-'dod3 - до МВК'!G58</f>
        <v>0</v>
      </c>
      <c r="H58" s="225">
        <f>'dod3'!H58-'dod3 - до МВК'!H58</f>
        <v>0</v>
      </c>
      <c r="I58" s="225">
        <f>'dod3'!I58-'dod3 - до МВК'!I58</f>
        <v>0</v>
      </c>
      <c r="J58" s="225">
        <f>'dod3'!J58-'dod3 - до МВК'!J58</f>
        <v>0</v>
      </c>
      <c r="K58" s="225">
        <f>'dod3'!K58-'dod3 - до МВК'!K58</f>
        <v>0</v>
      </c>
      <c r="L58" s="225">
        <f>'dod3'!L58-'dod3 - до МВК'!L58</f>
        <v>0</v>
      </c>
      <c r="M58" s="225">
        <f>'dod3'!M58-'dod3 - до МВК'!M58</f>
        <v>0</v>
      </c>
      <c r="N58" s="225">
        <f>'dod3'!N58-'dod3 - до МВК'!N58</f>
        <v>0</v>
      </c>
      <c r="O58" s="225">
        <f>'dod3'!O58-'dod3 - до МВК'!O58</f>
        <v>0</v>
      </c>
      <c r="P58" s="225">
        <f>'dod3'!P58-'dod3 - до МВК'!P58</f>
        <v>0</v>
      </c>
    </row>
    <row r="59" spans="1:16" s="123" customFormat="1" ht="137.25" x14ac:dyDescent="0.2">
      <c r="A59" s="268" t="s">
        <v>406</v>
      </c>
      <c r="B59" s="268" t="s">
        <v>407</v>
      </c>
      <c r="C59" s="268" t="s">
        <v>302</v>
      </c>
      <c r="D59" s="217" t="s">
        <v>408</v>
      </c>
      <c r="E59" s="225">
        <f>'dod3'!E59-'dod3 - до МВК'!E59</f>
        <v>0</v>
      </c>
      <c r="F59" s="225">
        <f>'dod3'!F59-'dod3 - до МВК'!F59</f>
        <v>0</v>
      </c>
      <c r="G59" s="225">
        <f>'dod3'!G59-'dod3 - до МВК'!G59</f>
        <v>0</v>
      </c>
      <c r="H59" s="225">
        <f>'dod3'!H59-'dod3 - до МВК'!H59</f>
        <v>0</v>
      </c>
      <c r="I59" s="225">
        <f>'dod3'!I59-'dod3 - до МВК'!I59</f>
        <v>0</v>
      </c>
      <c r="J59" s="225">
        <f>'dod3'!J59-'dod3 - до МВК'!J59</f>
        <v>0</v>
      </c>
      <c r="K59" s="225">
        <f>'dod3'!K59-'dod3 - до МВК'!K59</f>
        <v>0</v>
      </c>
      <c r="L59" s="225">
        <f>'dod3'!L59-'dod3 - до МВК'!L59</f>
        <v>0</v>
      </c>
      <c r="M59" s="225">
        <f>'dod3'!M59-'dod3 - до МВК'!M59</f>
        <v>0</v>
      </c>
      <c r="N59" s="225">
        <f>'dod3'!N59-'dod3 - до МВК'!N59</f>
        <v>0</v>
      </c>
      <c r="O59" s="225">
        <f>'dod3'!O59-'dod3 - до МВК'!O59</f>
        <v>0</v>
      </c>
      <c r="P59" s="225">
        <f>'dod3'!P59-'dod3 - до МВК'!P59</f>
        <v>0</v>
      </c>
    </row>
    <row r="60" spans="1:16" s="123" customFormat="1" ht="137.25" x14ac:dyDescent="0.2">
      <c r="A60" s="270" t="s">
        <v>409</v>
      </c>
      <c r="B60" s="270" t="s">
        <v>410</v>
      </c>
      <c r="C60" s="270" t="s">
        <v>303</v>
      </c>
      <c r="D60" s="270" t="s">
        <v>16</v>
      </c>
      <c r="E60" s="225">
        <f>'dod3'!E60-'dod3 - до МВК'!E60</f>
        <v>0</v>
      </c>
      <c r="F60" s="225">
        <f>'dod3'!F60-'dod3 - до МВК'!F60</f>
        <v>0</v>
      </c>
      <c r="G60" s="225">
        <f>'dod3'!G60-'dod3 - до МВК'!G60</f>
        <v>0</v>
      </c>
      <c r="H60" s="225">
        <f>'dod3'!H60-'dod3 - до МВК'!H60</f>
        <v>0</v>
      </c>
      <c r="I60" s="225">
        <f>'dod3'!I60-'dod3 - до МВК'!I60</f>
        <v>0</v>
      </c>
      <c r="J60" s="225">
        <f>'dod3'!J60-'dod3 - до МВК'!J60</f>
        <v>0</v>
      </c>
      <c r="K60" s="225">
        <f>'dod3'!K60-'dod3 - до МВК'!K60</f>
        <v>0</v>
      </c>
      <c r="L60" s="225">
        <f>'dod3'!L60-'dod3 - до МВК'!L60</f>
        <v>0</v>
      </c>
      <c r="M60" s="225">
        <f>'dod3'!M60-'dod3 - до МВК'!M60</f>
        <v>0</v>
      </c>
      <c r="N60" s="225">
        <f>'dod3'!N60-'dod3 - до МВК'!N60</f>
        <v>0</v>
      </c>
      <c r="O60" s="225">
        <f>'dod3'!O60-'dod3 - до МВК'!O60</f>
        <v>0</v>
      </c>
      <c r="P60" s="225">
        <f>'dod3'!P60-'dod3 - до МВК'!P60</f>
        <v>0</v>
      </c>
    </row>
    <row r="61" spans="1:16" s="123" customFormat="1" ht="183" x14ac:dyDescent="0.2">
      <c r="A61" s="270" t="s">
        <v>412</v>
      </c>
      <c r="B61" s="270" t="s">
        <v>413</v>
      </c>
      <c r="C61" s="270" t="s">
        <v>303</v>
      </c>
      <c r="D61" s="268" t="s">
        <v>17</v>
      </c>
      <c r="E61" s="225">
        <f>'dod3'!E61-'dod3 - до МВК'!E61</f>
        <v>0</v>
      </c>
      <c r="F61" s="225">
        <f>'dod3'!F61-'dod3 - до МВК'!F61</f>
        <v>0</v>
      </c>
      <c r="G61" s="225">
        <f>'dod3'!G61-'dod3 - до МВК'!G61</f>
        <v>0</v>
      </c>
      <c r="H61" s="225">
        <f>'dod3'!H61-'dod3 - до МВК'!H61</f>
        <v>0</v>
      </c>
      <c r="I61" s="225">
        <f>'dod3'!I61-'dod3 - до МВК'!I61</f>
        <v>0</v>
      </c>
      <c r="J61" s="225">
        <f>'dod3'!J61-'dod3 - до МВК'!J61</f>
        <v>0</v>
      </c>
      <c r="K61" s="225">
        <f>'dod3'!K61-'dod3 - до МВК'!K61</f>
        <v>0</v>
      </c>
      <c r="L61" s="225">
        <f>'dod3'!L61-'dod3 - до МВК'!L61</f>
        <v>0</v>
      </c>
      <c r="M61" s="225">
        <f>'dod3'!M61-'dod3 - до МВК'!M61</f>
        <v>0</v>
      </c>
      <c r="N61" s="225">
        <f>'dod3'!N61-'dod3 - до МВК'!N61</f>
        <v>0</v>
      </c>
      <c r="O61" s="225">
        <f>'dod3'!O61-'dod3 - до МВК'!O61</f>
        <v>0</v>
      </c>
      <c r="P61" s="225">
        <f>'dod3'!P61-'dod3 - до МВК'!P61</f>
        <v>0</v>
      </c>
    </row>
    <row r="62" spans="1:16" s="123" customFormat="1" ht="183" x14ac:dyDescent="0.2">
      <c r="A62" s="268" t="s">
        <v>414</v>
      </c>
      <c r="B62" s="268" t="s">
        <v>411</v>
      </c>
      <c r="C62" s="268" t="s">
        <v>303</v>
      </c>
      <c r="D62" s="268" t="s">
        <v>18</v>
      </c>
      <c r="E62" s="225">
        <f>'dod3'!E62-'dod3 - до МВК'!E62</f>
        <v>0</v>
      </c>
      <c r="F62" s="225">
        <f>'dod3'!F62-'dod3 - до МВК'!F62</f>
        <v>0</v>
      </c>
      <c r="G62" s="225">
        <f>'dod3'!G62-'dod3 - до МВК'!G62</f>
        <v>0</v>
      </c>
      <c r="H62" s="225">
        <f>'dod3'!H62-'dod3 - до МВК'!H62</f>
        <v>0</v>
      </c>
      <c r="I62" s="225">
        <f>'dod3'!I62-'dod3 - до МВК'!I62</f>
        <v>0</v>
      </c>
      <c r="J62" s="225">
        <f>'dod3'!J62-'dod3 - до МВК'!J62</f>
        <v>0</v>
      </c>
      <c r="K62" s="225">
        <f>'dod3'!K62-'dod3 - до МВК'!K62</f>
        <v>0</v>
      </c>
      <c r="L62" s="225">
        <f>'dod3'!L62-'dod3 - до МВК'!L62</f>
        <v>0</v>
      </c>
      <c r="M62" s="225">
        <f>'dod3'!M62-'dod3 - до МВК'!M62</f>
        <v>0</v>
      </c>
      <c r="N62" s="225">
        <f>'dod3'!N62-'dod3 - до МВК'!N62</f>
        <v>0</v>
      </c>
      <c r="O62" s="225">
        <f>'dod3'!O62-'dod3 - до МВК'!O62</f>
        <v>0</v>
      </c>
      <c r="P62" s="225">
        <f>'dod3'!P62-'dod3 - до МВК'!P62</f>
        <v>0</v>
      </c>
    </row>
    <row r="63" spans="1:16" s="123" customFormat="1" ht="183" x14ac:dyDescent="0.2">
      <c r="A63" s="268" t="s">
        <v>415</v>
      </c>
      <c r="B63" s="268" t="s">
        <v>416</v>
      </c>
      <c r="C63" s="268" t="s">
        <v>303</v>
      </c>
      <c r="D63" s="268" t="s">
        <v>21</v>
      </c>
      <c r="E63" s="225">
        <f>'dod3'!E63-'dod3 - до МВК'!E63</f>
        <v>0</v>
      </c>
      <c r="F63" s="225">
        <f>'dod3'!F63-'dod3 - до МВК'!F63</f>
        <v>0</v>
      </c>
      <c r="G63" s="225">
        <f>'dod3'!G63-'dod3 - до МВК'!G63</f>
        <v>0</v>
      </c>
      <c r="H63" s="225">
        <f>'dod3'!H63-'dod3 - до МВК'!H63</f>
        <v>0</v>
      </c>
      <c r="I63" s="225">
        <f>'dod3'!I63-'dod3 - до МВК'!I63</f>
        <v>0</v>
      </c>
      <c r="J63" s="225">
        <f>'dod3'!J63-'dod3 - до МВК'!J63</f>
        <v>0</v>
      </c>
      <c r="K63" s="225">
        <f>'dod3'!K63-'dod3 - до МВК'!K63</f>
        <v>0</v>
      </c>
      <c r="L63" s="225">
        <f>'dod3'!L63-'dod3 - до МВК'!L63</f>
        <v>0</v>
      </c>
      <c r="M63" s="225">
        <f>'dod3'!M63-'dod3 - до МВК'!M63</f>
        <v>0</v>
      </c>
      <c r="N63" s="225">
        <f>'dod3'!N63-'dod3 - до МВК'!N63</f>
        <v>0</v>
      </c>
      <c r="O63" s="225">
        <f>'dod3'!O63-'dod3 - до МВК'!O63</f>
        <v>0</v>
      </c>
      <c r="P63" s="225">
        <f>'dod3'!P63-'dod3 - до МВК'!P63</f>
        <v>0</v>
      </c>
    </row>
    <row r="64" spans="1:16" s="123" customFormat="1" ht="91.5" x14ac:dyDescent="0.2">
      <c r="A64" s="270" t="s">
        <v>366</v>
      </c>
      <c r="B64" s="270" t="s">
        <v>358</v>
      </c>
      <c r="C64" s="270" t="s">
        <v>279</v>
      </c>
      <c r="D64" s="270" t="s">
        <v>10</v>
      </c>
      <c r="E64" s="225">
        <f>'dod3'!E64-'dod3 - до МВК'!E64</f>
        <v>0</v>
      </c>
      <c r="F64" s="225">
        <f>'dod3'!F64-'dod3 - до МВК'!F64</f>
        <v>0</v>
      </c>
      <c r="G64" s="225">
        <f>'dod3'!G64-'dod3 - до МВК'!G64</f>
        <v>0</v>
      </c>
      <c r="H64" s="225">
        <f>'dod3'!H64-'dod3 - до МВК'!H64</f>
        <v>0</v>
      </c>
      <c r="I64" s="225">
        <f>'dod3'!I64-'dod3 - до МВК'!I64</f>
        <v>0</v>
      </c>
      <c r="J64" s="225">
        <f>'dod3'!J64-'dod3 - до МВК'!J64</f>
        <v>0</v>
      </c>
      <c r="K64" s="225">
        <f>'dod3'!K64-'dod3 - до МВК'!K64</f>
        <v>0</v>
      </c>
      <c r="L64" s="225">
        <f>'dod3'!L64-'dod3 - до МВК'!L64</f>
        <v>0</v>
      </c>
      <c r="M64" s="225">
        <f>'dod3'!M64-'dod3 - до МВК'!M64</f>
        <v>0</v>
      </c>
      <c r="N64" s="225">
        <f>'dod3'!N64-'dod3 - до МВК'!N64</f>
        <v>0</v>
      </c>
      <c r="O64" s="225">
        <f>'dod3'!O64-'dod3 - до МВК'!O64</f>
        <v>0</v>
      </c>
      <c r="P64" s="225">
        <f>'dod3'!P64-'dod3 - до МВК'!P64</f>
        <v>0</v>
      </c>
    </row>
    <row r="65" spans="1:16" s="123" customFormat="1" ht="91.5" x14ac:dyDescent="0.2">
      <c r="A65" s="270" t="s">
        <v>367</v>
      </c>
      <c r="B65" s="270" t="s">
        <v>359</v>
      </c>
      <c r="C65" s="270" t="s">
        <v>279</v>
      </c>
      <c r="D65" s="270" t="s">
        <v>365</v>
      </c>
      <c r="E65" s="225">
        <f>'dod3'!E65-'dod3 - до МВК'!E65</f>
        <v>0</v>
      </c>
      <c r="F65" s="225">
        <f>'dod3'!F65-'dod3 - до МВК'!F65</f>
        <v>0</v>
      </c>
      <c r="G65" s="225">
        <f>'dod3'!G65-'dod3 - до МВК'!G65</f>
        <v>0</v>
      </c>
      <c r="H65" s="225">
        <f>'dod3'!H65-'dod3 - до МВК'!H65</f>
        <v>0</v>
      </c>
      <c r="I65" s="225">
        <f>'dod3'!I65-'dod3 - до МВК'!I65</f>
        <v>0</v>
      </c>
      <c r="J65" s="225">
        <f>'dod3'!J65-'dod3 - до МВК'!J65</f>
        <v>0</v>
      </c>
      <c r="K65" s="225">
        <f>'dod3'!K65-'dod3 - до МВК'!K65</f>
        <v>0</v>
      </c>
      <c r="L65" s="225">
        <f>'dod3'!L65-'dod3 - до МВК'!L65</f>
        <v>0</v>
      </c>
      <c r="M65" s="225">
        <f>'dod3'!M65-'dod3 - до МВК'!M65</f>
        <v>0</v>
      </c>
      <c r="N65" s="225">
        <f>'dod3'!N65-'dod3 - до МВК'!N65</f>
        <v>0</v>
      </c>
      <c r="O65" s="225">
        <f>'dod3'!O65-'dod3 - до МВК'!O65</f>
        <v>0</v>
      </c>
      <c r="P65" s="225">
        <f>'dod3'!P65-'dod3 - до МВК'!P65</f>
        <v>0</v>
      </c>
    </row>
    <row r="66" spans="1:16" s="123" customFormat="1" ht="91.5" x14ac:dyDescent="0.2">
      <c r="A66" s="270" t="s">
        <v>368</v>
      </c>
      <c r="B66" s="270" t="s">
        <v>360</v>
      </c>
      <c r="C66" s="270" t="s">
        <v>279</v>
      </c>
      <c r="D66" s="270" t="s">
        <v>11</v>
      </c>
      <c r="E66" s="225">
        <f>'dod3'!E66-'dod3 - до МВК'!E66</f>
        <v>0</v>
      </c>
      <c r="F66" s="225">
        <f>'dod3'!F66-'dod3 - до МВК'!F66</f>
        <v>0</v>
      </c>
      <c r="G66" s="225">
        <f>'dod3'!G66-'dod3 - до МВК'!G66</f>
        <v>0</v>
      </c>
      <c r="H66" s="225">
        <f>'dod3'!H66-'dod3 - до МВК'!H66</f>
        <v>0</v>
      </c>
      <c r="I66" s="225">
        <f>'dod3'!I66-'dod3 - до МВК'!I66</f>
        <v>0</v>
      </c>
      <c r="J66" s="225">
        <f>'dod3'!J66-'dod3 - до МВК'!J66</f>
        <v>0</v>
      </c>
      <c r="K66" s="225">
        <f>'dod3'!K66-'dod3 - до МВК'!K66</f>
        <v>0</v>
      </c>
      <c r="L66" s="225">
        <f>'dod3'!L66-'dod3 - до МВК'!L66</f>
        <v>0</v>
      </c>
      <c r="M66" s="225">
        <f>'dod3'!M66-'dod3 - до МВК'!M66</f>
        <v>0</v>
      </c>
      <c r="N66" s="225">
        <f>'dod3'!N66-'dod3 - до МВК'!N66</f>
        <v>0</v>
      </c>
      <c r="O66" s="225">
        <f>'dod3'!O66-'dod3 - до МВК'!O66</f>
        <v>0</v>
      </c>
      <c r="P66" s="225">
        <f>'dod3'!P66-'dod3 - до МВК'!P66</f>
        <v>0</v>
      </c>
    </row>
    <row r="67" spans="1:16" s="123" customFormat="1" ht="137.25" x14ac:dyDescent="0.2">
      <c r="A67" s="270" t="s">
        <v>369</v>
      </c>
      <c r="B67" s="270" t="s">
        <v>361</v>
      </c>
      <c r="C67" s="270" t="s">
        <v>279</v>
      </c>
      <c r="D67" s="270" t="s">
        <v>12</v>
      </c>
      <c r="E67" s="225">
        <f>'dod3'!E67-'dod3 - до МВК'!E67</f>
        <v>0</v>
      </c>
      <c r="F67" s="225">
        <f>'dod3'!F67-'dod3 - до МВК'!F67</f>
        <v>0</v>
      </c>
      <c r="G67" s="225">
        <f>'dod3'!G67-'dod3 - до МВК'!G67</f>
        <v>0</v>
      </c>
      <c r="H67" s="225">
        <f>'dod3'!H67-'dod3 - до МВК'!H67</f>
        <v>0</v>
      </c>
      <c r="I67" s="225">
        <f>'dod3'!I67-'dod3 - до МВК'!I67</f>
        <v>0</v>
      </c>
      <c r="J67" s="225">
        <f>'dod3'!J67-'dod3 - до МВК'!J67</f>
        <v>0</v>
      </c>
      <c r="K67" s="225">
        <f>'dod3'!K67-'dod3 - до МВК'!K67</f>
        <v>0</v>
      </c>
      <c r="L67" s="225">
        <f>'dod3'!L67-'dod3 - до МВК'!L67</f>
        <v>0</v>
      </c>
      <c r="M67" s="225">
        <f>'dod3'!M67-'dod3 - до МВК'!M67</f>
        <v>0</v>
      </c>
      <c r="N67" s="225">
        <f>'dod3'!N67-'dod3 - до МВК'!N67</f>
        <v>0</v>
      </c>
      <c r="O67" s="225">
        <f>'dod3'!O67-'dod3 - до МВК'!O67</f>
        <v>0</v>
      </c>
      <c r="P67" s="225">
        <f>'dod3'!P67-'dod3 - до МВК'!P67</f>
        <v>0</v>
      </c>
    </row>
    <row r="68" spans="1:16" s="123" customFormat="1" ht="91.5" x14ac:dyDescent="0.2">
      <c r="A68" s="270" t="s">
        <v>370</v>
      </c>
      <c r="B68" s="270" t="s">
        <v>362</v>
      </c>
      <c r="C68" s="270" t="s">
        <v>279</v>
      </c>
      <c r="D68" s="270" t="s">
        <v>13</v>
      </c>
      <c r="E68" s="225">
        <f>'dod3'!E68-'dod3 - до МВК'!E68</f>
        <v>0</v>
      </c>
      <c r="F68" s="225">
        <f>'dod3'!F68-'dod3 - до МВК'!F68</f>
        <v>0</v>
      </c>
      <c r="G68" s="225">
        <f>'dod3'!G68-'dod3 - до МВК'!G68</f>
        <v>0</v>
      </c>
      <c r="H68" s="225">
        <f>'dod3'!H68-'dod3 - до МВК'!H68</f>
        <v>0</v>
      </c>
      <c r="I68" s="225">
        <f>'dod3'!I68-'dod3 - до МВК'!I68</f>
        <v>0</v>
      </c>
      <c r="J68" s="225">
        <f>'dod3'!J68-'dod3 - до МВК'!J68</f>
        <v>0</v>
      </c>
      <c r="K68" s="225">
        <f>'dod3'!K68-'dod3 - до МВК'!K68</f>
        <v>0</v>
      </c>
      <c r="L68" s="225">
        <f>'dod3'!L68-'dod3 - до МВК'!L68</f>
        <v>0</v>
      </c>
      <c r="M68" s="225">
        <f>'dod3'!M68-'dod3 - до МВК'!M68</f>
        <v>0</v>
      </c>
      <c r="N68" s="225">
        <f>'dod3'!N68-'dod3 - до МВК'!N68</f>
        <v>0</v>
      </c>
      <c r="O68" s="225">
        <f>'dod3'!O68-'dod3 - до МВК'!O68</f>
        <v>0</v>
      </c>
      <c r="P68" s="225">
        <f>'dod3'!P68-'dod3 - до МВК'!P68</f>
        <v>0</v>
      </c>
    </row>
    <row r="69" spans="1:16" s="123" customFormat="1" ht="91.5" x14ac:dyDescent="0.2">
      <c r="A69" s="270" t="s">
        <v>371</v>
      </c>
      <c r="B69" s="270" t="s">
        <v>363</v>
      </c>
      <c r="C69" s="270" t="s">
        <v>279</v>
      </c>
      <c r="D69" s="270" t="s">
        <v>14</v>
      </c>
      <c r="E69" s="225">
        <f>'dod3'!E69-'dod3 - до МВК'!E69</f>
        <v>0</v>
      </c>
      <c r="F69" s="225">
        <f>'dod3'!F69-'dod3 - до МВК'!F69</f>
        <v>0</v>
      </c>
      <c r="G69" s="225">
        <f>'dod3'!G69-'dod3 - до МВК'!G69</f>
        <v>0</v>
      </c>
      <c r="H69" s="225">
        <f>'dod3'!H69-'dod3 - до МВК'!H69</f>
        <v>0</v>
      </c>
      <c r="I69" s="225">
        <f>'dod3'!I69-'dod3 - до МВК'!I69</f>
        <v>0</v>
      </c>
      <c r="J69" s="225">
        <f>'dod3'!J69-'dod3 - до МВК'!J69</f>
        <v>0</v>
      </c>
      <c r="K69" s="225">
        <f>'dod3'!K69-'dod3 - до МВК'!K69</f>
        <v>0</v>
      </c>
      <c r="L69" s="225">
        <f>'dod3'!L69-'dod3 - до МВК'!L69</f>
        <v>0</v>
      </c>
      <c r="M69" s="225">
        <f>'dod3'!M69-'dod3 - до МВК'!M69</f>
        <v>0</v>
      </c>
      <c r="N69" s="225">
        <f>'dod3'!N69-'dod3 - до МВК'!N69</f>
        <v>0</v>
      </c>
      <c r="O69" s="225">
        <f>'dod3'!O69-'dod3 - до МВК'!O69</f>
        <v>0</v>
      </c>
      <c r="P69" s="225">
        <f>'dod3'!P69-'dod3 - до МВК'!P69</f>
        <v>0</v>
      </c>
    </row>
    <row r="70" spans="1:16" s="123" customFormat="1" ht="137.25" x14ac:dyDescent="0.2">
      <c r="A70" s="270" t="s">
        <v>372</v>
      </c>
      <c r="B70" s="270" t="s">
        <v>364</v>
      </c>
      <c r="C70" s="270" t="s">
        <v>279</v>
      </c>
      <c r="D70" s="270" t="s">
        <v>15</v>
      </c>
      <c r="E70" s="225">
        <f>'dod3'!E70-'dod3 - до МВК'!E70</f>
        <v>0</v>
      </c>
      <c r="F70" s="225">
        <f>'dod3'!F70-'dod3 - до МВК'!F70</f>
        <v>0</v>
      </c>
      <c r="G70" s="225">
        <f>'dod3'!G70-'dod3 - до МВК'!G70</f>
        <v>0</v>
      </c>
      <c r="H70" s="225">
        <f>'dod3'!H70-'dod3 - до МВК'!H70</f>
        <v>0</v>
      </c>
      <c r="I70" s="225">
        <f>'dod3'!I70-'dod3 - до МВК'!I70</f>
        <v>0</v>
      </c>
      <c r="J70" s="225">
        <f>'dod3'!J70-'dod3 - до МВК'!J70</f>
        <v>0</v>
      </c>
      <c r="K70" s="225">
        <f>'dod3'!K70-'dod3 - до МВК'!K70</f>
        <v>0</v>
      </c>
      <c r="L70" s="225">
        <f>'dod3'!L70-'dod3 - до МВК'!L70</f>
        <v>0</v>
      </c>
      <c r="M70" s="225">
        <f>'dod3'!M70-'dod3 - до МВК'!M70</f>
        <v>0</v>
      </c>
      <c r="N70" s="225">
        <f>'dod3'!N70-'dod3 - до МВК'!N70</f>
        <v>0</v>
      </c>
      <c r="O70" s="225">
        <f>'dod3'!O70-'dod3 - до МВК'!O70</f>
        <v>0</v>
      </c>
      <c r="P70" s="225">
        <f>'dod3'!P70-'dod3 - до МВК'!P70</f>
        <v>0</v>
      </c>
    </row>
    <row r="71" spans="1:16" s="123" customFormat="1" ht="137.25" x14ac:dyDescent="0.2">
      <c r="A71" s="270" t="s">
        <v>929</v>
      </c>
      <c r="B71" s="270" t="s">
        <v>931</v>
      </c>
      <c r="C71" s="270" t="s">
        <v>279</v>
      </c>
      <c r="D71" s="270" t="s">
        <v>930</v>
      </c>
      <c r="E71" s="225">
        <f>'dod3'!E71-'dod3 - до МВК'!E71</f>
        <v>0</v>
      </c>
      <c r="F71" s="225">
        <f>'dod3'!F71-'dod3 - до МВК'!F71</f>
        <v>0</v>
      </c>
      <c r="G71" s="225">
        <f>'dod3'!G71-'dod3 - до МВК'!G71</f>
        <v>0</v>
      </c>
      <c r="H71" s="225">
        <f>'dod3'!H71-'dod3 - до МВК'!H71</f>
        <v>0</v>
      </c>
      <c r="I71" s="225">
        <f>'dod3'!I71-'dod3 - до МВК'!I71</f>
        <v>0</v>
      </c>
      <c r="J71" s="225">
        <f>'dod3'!J71-'dod3 - до МВК'!J71</f>
        <v>0</v>
      </c>
      <c r="K71" s="225">
        <f>'dod3'!K71-'dod3 - до МВК'!K71</f>
        <v>0</v>
      </c>
      <c r="L71" s="225">
        <f>'dod3'!L71-'dod3 - до МВК'!L71</f>
        <v>0</v>
      </c>
      <c r="M71" s="225">
        <f>'dod3'!M71-'dod3 - до МВК'!M71</f>
        <v>0</v>
      </c>
      <c r="N71" s="225">
        <f>'dod3'!N71-'dod3 - до МВК'!N71</f>
        <v>0</v>
      </c>
      <c r="O71" s="225">
        <f>'dod3'!O71-'dod3 - до МВК'!O71</f>
        <v>0</v>
      </c>
      <c r="P71" s="225">
        <f>'dod3'!P71-'dod3 - до МВК'!P71</f>
        <v>0</v>
      </c>
    </row>
    <row r="72" spans="1:16" ht="183" x14ac:dyDescent="0.2">
      <c r="A72" s="270" t="s">
        <v>382</v>
      </c>
      <c r="B72" s="270" t="s">
        <v>373</v>
      </c>
      <c r="C72" s="270" t="s">
        <v>303</v>
      </c>
      <c r="D72" s="270" t="s">
        <v>9</v>
      </c>
      <c r="E72" s="225">
        <f>'dod3'!E72-'dod3 - до МВК'!E72</f>
        <v>0</v>
      </c>
      <c r="F72" s="225">
        <f>'dod3'!F72-'dod3 - до МВК'!F72</f>
        <v>0</v>
      </c>
      <c r="G72" s="225">
        <f>'dod3'!G72-'dod3 - до МВК'!G72</f>
        <v>0</v>
      </c>
      <c r="H72" s="225">
        <f>'dod3'!H72-'dod3 - до МВК'!H72</f>
        <v>0</v>
      </c>
      <c r="I72" s="225">
        <f>'dod3'!I72-'dod3 - до МВК'!I72</f>
        <v>0</v>
      </c>
      <c r="J72" s="225">
        <f>'dod3'!J72-'dod3 - до МВК'!J72</f>
        <v>0</v>
      </c>
      <c r="K72" s="225">
        <f>'dod3'!K72-'dod3 - до МВК'!K72</f>
        <v>0</v>
      </c>
      <c r="L72" s="225">
        <f>'dod3'!L72-'dod3 - до МВК'!L72</f>
        <v>0</v>
      </c>
      <c r="M72" s="225">
        <f>'dod3'!M72-'dod3 - до МВК'!M72</f>
        <v>0</v>
      </c>
      <c r="N72" s="225">
        <f>'dod3'!N72-'dod3 - до МВК'!N72</f>
        <v>0</v>
      </c>
      <c r="O72" s="225">
        <f>'dod3'!O72-'dod3 - до МВК'!O72</f>
        <v>0</v>
      </c>
      <c r="P72" s="225">
        <f>'dod3'!P72-'dod3 - до МВК'!P72</f>
        <v>0</v>
      </c>
    </row>
    <row r="73" spans="1:16" s="123" customFormat="1" ht="183" x14ac:dyDescent="0.2">
      <c r="A73" s="270" t="s">
        <v>556</v>
      </c>
      <c r="B73" s="270" t="s">
        <v>557</v>
      </c>
      <c r="C73" s="270" t="s">
        <v>295</v>
      </c>
      <c r="D73" s="270" t="s">
        <v>555</v>
      </c>
      <c r="E73" s="225">
        <f>'dod3'!E73-'dod3 - до МВК'!E73</f>
        <v>0</v>
      </c>
      <c r="F73" s="225">
        <f>'dod3'!F73-'dod3 - до МВК'!F73</f>
        <v>0</v>
      </c>
      <c r="G73" s="225">
        <f>'dod3'!G73-'dod3 - до МВК'!G73</f>
        <v>0</v>
      </c>
      <c r="H73" s="225">
        <f>'dod3'!H73-'dod3 - до МВК'!H73</f>
        <v>0</v>
      </c>
      <c r="I73" s="225">
        <f>'dod3'!I73-'dod3 - до МВК'!I73</f>
        <v>0</v>
      </c>
      <c r="J73" s="225">
        <f>'dod3'!J73-'dod3 - до МВК'!J73</f>
        <v>0</v>
      </c>
      <c r="K73" s="225">
        <f>'dod3'!K73-'dod3 - до МВК'!K73</f>
        <v>0</v>
      </c>
      <c r="L73" s="225">
        <f>'dod3'!L73-'dod3 - до МВК'!L73</f>
        <v>0</v>
      </c>
      <c r="M73" s="225">
        <f>'dod3'!M73-'dod3 - до МВК'!M73</f>
        <v>0</v>
      </c>
      <c r="N73" s="225">
        <f>'dod3'!N73-'dod3 - до МВК'!N73</f>
        <v>0</v>
      </c>
      <c r="O73" s="225">
        <f>'dod3'!O73-'dod3 - до МВК'!O73</f>
        <v>0</v>
      </c>
      <c r="P73" s="225">
        <f>'dod3'!P73-'dod3 - до МВК'!P73</f>
        <v>0</v>
      </c>
    </row>
    <row r="74" spans="1:16" s="123" customFormat="1" ht="228.75" x14ac:dyDescent="0.2">
      <c r="A74" s="270" t="s">
        <v>615</v>
      </c>
      <c r="B74" s="270" t="s">
        <v>616</v>
      </c>
      <c r="C74" s="270" t="s">
        <v>295</v>
      </c>
      <c r="D74" s="270" t="s">
        <v>617</v>
      </c>
      <c r="E74" s="225">
        <f>'dod3'!E74-'dod3 - до МВК'!E74</f>
        <v>0</v>
      </c>
      <c r="F74" s="225">
        <f>'dod3'!F74-'dod3 - до МВК'!F74</f>
        <v>0</v>
      </c>
      <c r="G74" s="225">
        <f>'dod3'!G74-'dod3 - до МВК'!G74</f>
        <v>0</v>
      </c>
      <c r="H74" s="225">
        <f>'dod3'!H74-'dod3 - до МВК'!H74</f>
        <v>0</v>
      </c>
      <c r="I74" s="225">
        <f>'dod3'!I74-'dod3 - до МВК'!I74</f>
        <v>0</v>
      </c>
      <c r="J74" s="225">
        <f>'dod3'!J74-'dod3 - до МВК'!J74</f>
        <v>0</v>
      </c>
      <c r="K74" s="225">
        <f>'dod3'!K74-'dod3 - до МВК'!K74</f>
        <v>0</v>
      </c>
      <c r="L74" s="225">
        <f>'dod3'!L74-'dod3 - до МВК'!L74</f>
        <v>0</v>
      </c>
      <c r="M74" s="225">
        <f>'dod3'!M74-'dod3 - до МВК'!M74</f>
        <v>0</v>
      </c>
      <c r="N74" s="225">
        <f>'dod3'!N74-'dod3 - до МВК'!N74</f>
        <v>0</v>
      </c>
      <c r="O74" s="225">
        <f>'dod3'!O74-'dod3 - до МВК'!O74</f>
        <v>0</v>
      </c>
      <c r="P74" s="225">
        <f>'dod3'!P74-'dod3 - до МВК'!P74</f>
        <v>0</v>
      </c>
    </row>
    <row r="75" spans="1:16" s="123" customFormat="1" ht="183" x14ac:dyDescent="0.2">
      <c r="A75" s="270" t="s">
        <v>553</v>
      </c>
      <c r="B75" s="270" t="s">
        <v>554</v>
      </c>
      <c r="C75" s="270" t="s">
        <v>295</v>
      </c>
      <c r="D75" s="270" t="s">
        <v>511</v>
      </c>
      <c r="E75" s="225">
        <f>'dod3'!E75-'dod3 - до МВК'!E75</f>
        <v>0</v>
      </c>
      <c r="F75" s="225">
        <f>'dod3'!F75-'dod3 - до МВК'!F75</f>
        <v>0</v>
      </c>
      <c r="G75" s="225">
        <f>'dod3'!G75-'dod3 - до МВК'!G75</f>
        <v>0</v>
      </c>
      <c r="H75" s="225">
        <f>'dod3'!H75-'dod3 - до МВК'!H75</f>
        <v>0</v>
      </c>
      <c r="I75" s="225">
        <f>'dod3'!I75-'dod3 - до МВК'!I75</f>
        <v>0</v>
      </c>
      <c r="J75" s="225">
        <f>'dod3'!J75-'dod3 - до МВК'!J75</f>
        <v>0</v>
      </c>
      <c r="K75" s="225">
        <f>'dod3'!K75-'dod3 - до МВК'!K75</f>
        <v>0</v>
      </c>
      <c r="L75" s="225">
        <f>'dod3'!L75-'dod3 - до МВК'!L75</f>
        <v>0</v>
      </c>
      <c r="M75" s="225">
        <f>'dod3'!M75-'dod3 - до МВК'!M75</f>
        <v>0</v>
      </c>
      <c r="N75" s="225">
        <f>'dod3'!N75-'dod3 - до МВК'!N75</f>
        <v>0</v>
      </c>
      <c r="O75" s="225">
        <f>'dod3'!O75-'dod3 - до МВК'!O75</f>
        <v>0</v>
      </c>
      <c r="P75" s="225">
        <f>'dod3'!P75-'dod3 - до МВК'!P75</f>
        <v>0</v>
      </c>
    </row>
    <row r="76" spans="1:16" s="123" customFormat="1" ht="274.5" x14ac:dyDescent="0.2">
      <c r="A76" s="270" t="s">
        <v>560</v>
      </c>
      <c r="B76" s="270" t="s">
        <v>561</v>
      </c>
      <c r="C76" s="270" t="s">
        <v>279</v>
      </c>
      <c r="D76" s="270" t="s">
        <v>562</v>
      </c>
      <c r="E76" s="225">
        <f>'dod3'!E76-'dod3 - до МВК'!E76</f>
        <v>0</v>
      </c>
      <c r="F76" s="225">
        <f>'dod3'!F76-'dod3 - до МВК'!F76</f>
        <v>0</v>
      </c>
      <c r="G76" s="225">
        <f>'dod3'!G76-'dod3 - до МВК'!G76</f>
        <v>0</v>
      </c>
      <c r="H76" s="225">
        <f>'dod3'!H76-'dod3 - до МВК'!H76</f>
        <v>0</v>
      </c>
      <c r="I76" s="225">
        <f>'dod3'!I76-'dod3 - до МВК'!I76</f>
        <v>0</v>
      </c>
      <c r="J76" s="225">
        <f>'dod3'!J76-'dod3 - до МВК'!J76</f>
        <v>0</v>
      </c>
      <c r="K76" s="225">
        <f>'dod3'!K76-'dod3 - до МВК'!K76</f>
        <v>0</v>
      </c>
      <c r="L76" s="225">
        <f>'dod3'!L76-'dod3 - до МВК'!L76</f>
        <v>0</v>
      </c>
      <c r="M76" s="225">
        <f>'dod3'!M76-'dod3 - до МВК'!M76</f>
        <v>0</v>
      </c>
      <c r="N76" s="225">
        <f>'dod3'!N76-'dod3 - до МВК'!N76</f>
        <v>0</v>
      </c>
      <c r="O76" s="225">
        <f>'dod3'!O76-'dod3 - до МВК'!O76</f>
        <v>0</v>
      </c>
      <c r="P76" s="225">
        <f>'dod3'!P76-'dod3 - до МВК'!P76</f>
        <v>0</v>
      </c>
    </row>
    <row r="77" spans="1:16" s="123" customFormat="1" ht="320.25" x14ac:dyDescent="0.2">
      <c r="A77" s="270" t="s">
        <v>558</v>
      </c>
      <c r="B77" s="270" t="s">
        <v>559</v>
      </c>
      <c r="C77" s="270" t="s">
        <v>295</v>
      </c>
      <c r="D77" s="270" t="s">
        <v>563</v>
      </c>
      <c r="E77" s="225">
        <f>'dod3'!E77-'dod3 - до МВК'!E77</f>
        <v>0</v>
      </c>
      <c r="F77" s="225">
        <f>'dod3'!F77-'dod3 - до МВК'!F77</f>
        <v>0</v>
      </c>
      <c r="G77" s="225">
        <f>'dod3'!G77-'dod3 - до МВК'!G77</f>
        <v>0</v>
      </c>
      <c r="H77" s="225">
        <f>'dod3'!H77-'dod3 - до МВК'!H77</f>
        <v>0</v>
      </c>
      <c r="I77" s="225">
        <f>'dod3'!I77-'dod3 - до МВК'!I77</f>
        <v>0</v>
      </c>
      <c r="J77" s="225">
        <f>'dod3'!J77-'dod3 - до МВК'!J77</f>
        <v>0</v>
      </c>
      <c r="K77" s="225">
        <f>'dod3'!K77-'dod3 - до МВК'!K77</f>
        <v>0</v>
      </c>
      <c r="L77" s="225">
        <f>'dod3'!L77-'dod3 - до МВК'!L77</f>
        <v>0</v>
      </c>
      <c r="M77" s="225">
        <f>'dod3'!M77-'dod3 - до МВК'!M77</f>
        <v>0</v>
      </c>
      <c r="N77" s="225">
        <f>'dod3'!N77-'dod3 - до МВК'!N77</f>
        <v>0</v>
      </c>
      <c r="O77" s="225">
        <f>'dod3'!O77-'dod3 - до МВК'!O77</f>
        <v>0</v>
      </c>
      <c r="P77" s="225">
        <f>'dod3'!P77-'dod3 - до МВК'!P77</f>
        <v>0</v>
      </c>
    </row>
    <row r="78" spans="1:16" s="123" customFormat="1" ht="364.7" customHeight="1" x14ac:dyDescent="0.65">
      <c r="A78" s="422" t="s">
        <v>911</v>
      </c>
      <c r="B78" s="422" t="s">
        <v>912</v>
      </c>
      <c r="C78" s="422" t="s">
        <v>279</v>
      </c>
      <c r="D78" s="382" t="s">
        <v>913</v>
      </c>
      <c r="E78" s="416">
        <f>'dod3'!E78-'dod3 - до МВК'!E78</f>
        <v>0</v>
      </c>
      <c r="F78" s="416">
        <f>'dod3'!F78-'dod3 - до МВК'!F78</f>
        <v>0</v>
      </c>
      <c r="G78" s="416">
        <f>'dod3'!G78-'dod3 - до МВК'!G78</f>
        <v>0</v>
      </c>
      <c r="H78" s="416">
        <f>'dod3'!H78-'dod3 - до МВК'!H78</f>
        <v>0</v>
      </c>
      <c r="I78" s="416">
        <f>'dod3'!I78-'dod3 - до МВК'!I78</f>
        <v>0</v>
      </c>
      <c r="J78" s="416">
        <f>'dod3'!J78-'dod3 - до МВК'!J78</f>
        <v>0</v>
      </c>
      <c r="K78" s="416">
        <f>'dod3'!K78-'dod3 - до МВК'!K78</f>
        <v>0</v>
      </c>
      <c r="L78" s="416">
        <f>'dod3'!L78-'dod3 - до МВК'!L78</f>
        <v>0</v>
      </c>
      <c r="M78" s="416">
        <f>'dod3'!M78-'dod3 - до МВК'!M78</f>
        <v>0</v>
      </c>
      <c r="N78" s="416">
        <f>'dod3'!N78-'dod3 - до МВК'!N78</f>
        <v>0</v>
      </c>
      <c r="O78" s="416">
        <f>'dod3'!O78-'dod3 - до МВК'!O78</f>
        <v>0</v>
      </c>
      <c r="P78" s="416">
        <f>'dod3'!P78-'dod3 - до МВК'!P78</f>
        <v>0</v>
      </c>
    </row>
    <row r="79" spans="1:16" s="123" customFormat="1" ht="334.5" customHeight="1" x14ac:dyDescent="0.2">
      <c r="A79" s="403"/>
      <c r="B79" s="403"/>
      <c r="C79" s="403"/>
      <c r="D79" s="216" t="s">
        <v>914</v>
      </c>
      <c r="E79" s="403"/>
      <c r="F79" s="403"/>
      <c r="G79" s="403"/>
      <c r="H79" s="403"/>
      <c r="I79" s="403"/>
      <c r="J79" s="403"/>
      <c r="K79" s="403"/>
      <c r="L79" s="403"/>
      <c r="M79" s="403"/>
      <c r="N79" s="403"/>
      <c r="O79" s="403"/>
      <c r="P79" s="403"/>
    </row>
    <row r="80" spans="1:16" ht="163.5" customHeight="1" x14ac:dyDescent="0.2">
      <c r="A80" s="270" t="s">
        <v>383</v>
      </c>
      <c r="B80" s="270" t="s">
        <v>374</v>
      </c>
      <c r="C80" s="270" t="s">
        <v>302</v>
      </c>
      <c r="D80" s="270" t="s">
        <v>512</v>
      </c>
      <c r="E80" s="225">
        <f>'dod3'!E80-'dod3 - до МВК'!E80</f>
        <v>0</v>
      </c>
      <c r="F80" s="225">
        <f>'dod3'!F80-'dod3 - до МВК'!F80</f>
        <v>0</v>
      </c>
      <c r="G80" s="225">
        <f>'dod3'!G80-'dod3 - до МВК'!G80</f>
        <v>0</v>
      </c>
      <c r="H80" s="225">
        <f>'dod3'!H80-'dod3 - до МВК'!H80</f>
        <v>0</v>
      </c>
      <c r="I80" s="225">
        <f>'dod3'!I80-'dod3 - до МВК'!I80</f>
        <v>0</v>
      </c>
      <c r="J80" s="225">
        <f>'dod3'!J80-'dod3 - до МВК'!J80</f>
        <v>0</v>
      </c>
      <c r="K80" s="225">
        <f>'dod3'!K80-'dod3 - до МВК'!K80</f>
        <v>0</v>
      </c>
      <c r="L80" s="225">
        <f>'dod3'!L80-'dod3 - до МВК'!L80</f>
        <v>0</v>
      </c>
      <c r="M80" s="225">
        <f>'dod3'!M80-'dod3 - до МВК'!M80</f>
        <v>0</v>
      </c>
      <c r="N80" s="225">
        <f>'dod3'!N80-'dod3 - до МВК'!N80</f>
        <v>0</v>
      </c>
      <c r="O80" s="225">
        <f>'dod3'!O80-'dod3 - до МВК'!O80</f>
        <v>0</v>
      </c>
      <c r="P80" s="225">
        <f>'dod3'!P80-'dod3 - до МВК'!P80</f>
        <v>0</v>
      </c>
    </row>
    <row r="81" spans="1:16" ht="301.7" customHeight="1" x14ac:dyDescent="0.2">
      <c r="A81" s="270" t="s">
        <v>404</v>
      </c>
      <c r="B81" s="270" t="s">
        <v>402</v>
      </c>
      <c r="C81" s="270" t="s">
        <v>296</v>
      </c>
      <c r="D81" s="270" t="s">
        <v>35</v>
      </c>
      <c r="E81" s="225">
        <f>'dod3'!E81-'dod3 - до МВК'!E81</f>
        <v>0</v>
      </c>
      <c r="F81" s="225">
        <f>'dod3'!F81-'dod3 - до МВК'!F81</f>
        <v>0</v>
      </c>
      <c r="G81" s="225">
        <f>'dod3'!G81-'dod3 - до МВК'!G81</f>
        <v>0</v>
      </c>
      <c r="H81" s="225">
        <f>'dod3'!H81-'dod3 - до МВК'!H81</f>
        <v>0</v>
      </c>
      <c r="I81" s="225">
        <f>'dod3'!I81-'dod3 - до МВК'!I81</f>
        <v>0</v>
      </c>
      <c r="J81" s="225">
        <f>'dod3'!J81-'dod3 - до МВК'!J81</f>
        <v>0</v>
      </c>
      <c r="K81" s="225">
        <f>'dod3'!K81-'dod3 - до МВК'!K81</f>
        <v>0</v>
      </c>
      <c r="L81" s="225">
        <f>'dod3'!L81-'dod3 - до МВК'!L81</f>
        <v>0</v>
      </c>
      <c r="M81" s="225">
        <f>'dod3'!M81-'dod3 - до МВК'!M81</f>
        <v>0</v>
      </c>
      <c r="N81" s="225">
        <f>'dod3'!N81-'dod3 - до МВК'!N81</f>
        <v>0</v>
      </c>
      <c r="O81" s="225">
        <f>'dod3'!O81-'dod3 - до МВК'!O81</f>
        <v>0</v>
      </c>
      <c r="P81" s="225">
        <f>'dod3'!P81-'dod3 - до МВК'!P81</f>
        <v>0</v>
      </c>
    </row>
    <row r="82" spans="1:16" ht="137.25" x14ac:dyDescent="0.2">
      <c r="A82" s="270" t="s">
        <v>405</v>
      </c>
      <c r="B82" s="270" t="s">
        <v>403</v>
      </c>
      <c r="C82" s="270" t="s">
        <v>295</v>
      </c>
      <c r="D82" s="270" t="s">
        <v>513</v>
      </c>
      <c r="E82" s="225">
        <f>'dod3'!E82-'dod3 - до МВК'!E82</f>
        <v>0</v>
      </c>
      <c r="F82" s="225">
        <f>'dod3'!F82-'dod3 - до МВК'!F82</f>
        <v>0</v>
      </c>
      <c r="G82" s="225">
        <f>'dod3'!G82-'dod3 - до МВК'!G82</f>
        <v>0</v>
      </c>
      <c r="H82" s="225">
        <f>'dod3'!H82-'dod3 - до МВК'!H82</f>
        <v>0</v>
      </c>
      <c r="I82" s="225">
        <f>'dod3'!I82-'dod3 - до МВК'!I82</f>
        <v>0</v>
      </c>
      <c r="J82" s="225">
        <f>'dod3'!J82-'dod3 - до МВК'!J82</f>
        <v>0</v>
      </c>
      <c r="K82" s="225">
        <f>'dod3'!K82-'dod3 - до МВК'!K82</f>
        <v>0</v>
      </c>
      <c r="L82" s="225">
        <f>'dod3'!L82-'dod3 - до МВК'!L82</f>
        <v>0</v>
      </c>
      <c r="M82" s="225">
        <f>'dod3'!M82-'dod3 - до МВК'!M82</f>
        <v>0</v>
      </c>
      <c r="N82" s="225">
        <f>'dod3'!N82-'dod3 - до МВК'!N82</f>
        <v>0</v>
      </c>
      <c r="O82" s="225">
        <f>'dod3'!O82-'dod3 - до МВК'!O82</f>
        <v>0</v>
      </c>
      <c r="P82" s="225">
        <f>'dod3'!P82-'dod3 - до МВК'!P82</f>
        <v>0</v>
      </c>
    </row>
    <row r="83" spans="1:16" ht="409.5" x14ac:dyDescent="0.2">
      <c r="A83" s="270" t="s">
        <v>400</v>
      </c>
      <c r="B83" s="270" t="s">
        <v>401</v>
      </c>
      <c r="C83" s="270" t="s">
        <v>295</v>
      </c>
      <c r="D83" s="270" t="s">
        <v>514</v>
      </c>
      <c r="E83" s="225">
        <f>'dod3'!E83-'dod3 - до МВК'!E83</f>
        <v>0</v>
      </c>
      <c r="F83" s="225">
        <f>'dod3'!F83-'dod3 - до МВК'!F83</f>
        <v>0</v>
      </c>
      <c r="G83" s="225">
        <f>'dod3'!G83-'dod3 - до МВК'!G83</f>
        <v>0</v>
      </c>
      <c r="H83" s="225">
        <f>'dod3'!H83-'dod3 - до МВК'!H83</f>
        <v>0</v>
      </c>
      <c r="I83" s="225">
        <f>'dod3'!I83-'dod3 - до МВК'!I83</f>
        <v>0</v>
      </c>
      <c r="J83" s="225">
        <f>'dod3'!J83-'dod3 - до МВК'!J83</f>
        <v>0</v>
      </c>
      <c r="K83" s="225">
        <f>'dod3'!K83-'dod3 - до МВК'!K83</f>
        <v>0</v>
      </c>
      <c r="L83" s="225">
        <f>'dod3'!L83-'dod3 - до МВК'!L83</f>
        <v>0</v>
      </c>
      <c r="M83" s="225">
        <f>'dod3'!M83-'dod3 - до МВК'!M83</f>
        <v>0</v>
      </c>
      <c r="N83" s="225">
        <f>'dod3'!N83-'dod3 - до МВК'!N83</f>
        <v>0</v>
      </c>
      <c r="O83" s="225">
        <f>'dod3'!O83-'dod3 - до МВК'!O83</f>
        <v>0</v>
      </c>
      <c r="P83" s="225">
        <f>'dod3'!P83-'dod3 - до МВК'!P83</f>
        <v>0</v>
      </c>
    </row>
    <row r="84" spans="1:16" ht="274.5" x14ac:dyDescent="0.2">
      <c r="A84" s="270" t="s">
        <v>515</v>
      </c>
      <c r="B84" s="270" t="s">
        <v>516</v>
      </c>
      <c r="C84" s="270" t="s">
        <v>295</v>
      </c>
      <c r="D84" s="270" t="s">
        <v>564</v>
      </c>
      <c r="E84" s="225">
        <f>'dod3'!E84-'dod3 - до МВК'!E84</f>
        <v>0</v>
      </c>
      <c r="F84" s="225">
        <f>'dod3'!F84-'dod3 - до МВК'!F84</f>
        <v>0</v>
      </c>
      <c r="G84" s="225">
        <f>'dod3'!G84-'dod3 - до МВК'!G84</f>
        <v>0</v>
      </c>
      <c r="H84" s="225">
        <f>'dod3'!H84-'dod3 - до МВК'!H84</f>
        <v>0</v>
      </c>
      <c r="I84" s="225">
        <f>'dod3'!I84-'dod3 - до МВК'!I84</f>
        <v>0</v>
      </c>
      <c r="J84" s="225">
        <f>'dod3'!J84-'dod3 - до МВК'!J84</f>
        <v>0</v>
      </c>
      <c r="K84" s="225">
        <f>'dod3'!K84-'dod3 - до МВК'!K84</f>
        <v>0</v>
      </c>
      <c r="L84" s="225">
        <f>'dod3'!L84-'dod3 - до МВК'!L84</f>
        <v>0</v>
      </c>
      <c r="M84" s="225">
        <f>'dod3'!M84-'dod3 - до МВК'!M84</f>
        <v>0</v>
      </c>
      <c r="N84" s="225">
        <f>'dod3'!N84-'dod3 - до МВК'!N84</f>
        <v>0</v>
      </c>
      <c r="O84" s="225">
        <f>'dod3'!O84-'dod3 - до МВК'!O84</f>
        <v>0</v>
      </c>
      <c r="P84" s="225">
        <f>'dod3'!P84-'dod3 - до МВК'!P84</f>
        <v>0</v>
      </c>
    </row>
    <row r="85" spans="1:16" ht="112.7" customHeight="1" x14ac:dyDescent="0.2">
      <c r="A85" s="270" t="s">
        <v>517</v>
      </c>
      <c r="B85" s="270" t="s">
        <v>518</v>
      </c>
      <c r="C85" s="270" t="s">
        <v>295</v>
      </c>
      <c r="D85" s="270" t="s">
        <v>565</v>
      </c>
      <c r="E85" s="225">
        <f>'dod3'!E85-'dod3 - до МВК'!E85</f>
        <v>0</v>
      </c>
      <c r="F85" s="225">
        <f>'dod3'!F85-'dod3 - до МВК'!F85</f>
        <v>0</v>
      </c>
      <c r="G85" s="225">
        <f>'dod3'!G85-'dod3 - до МВК'!G85</f>
        <v>0</v>
      </c>
      <c r="H85" s="225">
        <f>'dod3'!H85-'dod3 - до МВК'!H85</f>
        <v>0</v>
      </c>
      <c r="I85" s="225">
        <f>'dod3'!I85-'dod3 - до МВК'!I85</f>
        <v>0</v>
      </c>
      <c r="J85" s="225">
        <f>'dod3'!J85-'dod3 - до МВК'!J85</f>
        <v>0</v>
      </c>
      <c r="K85" s="225">
        <f>'dod3'!K85-'dod3 - до МВК'!K85</f>
        <v>0</v>
      </c>
      <c r="L85" s="225">
        <f>'dod3'!L85-'dod3 - до МВК'!L85</f>
        <v>0</v>
      </c>
      <c r="M85" s="225">
        <f>'dod3'!M85-'dod3 - до МВК'!M85</f>
        <v>0</v>
      </c>
      <c r="N85" s="225">
        <f>'dod3'!N85-'dod3 - до МВК'!N85</f>
        <v>0</v>
      </c>
      <c r="O85" s="225">
        <f>'dod3'!O85-'dod3 - до МВК'!O85</f>
        <v>0</v>
      </c>
      <c r="P85" s="225">
        <f>'dod3'!P85-'dod3 - до МВК'!P85</f>
        <v>0</v>
      </c>
    </row>
    <row r="86" spans="1:16" ht="366" x14ac:dyDescent="0.2">
      <c r="A86" s="270" t="s">
        <v>568</v>
      </c>
      <c r="B86" s="270" t="s">
        <v>567</v>
      </c>
      <c r="C86" s="270" t="s">
        <v>79</v>
      </c>
      <c r="D86" s="270" t="s">
        <v>566</v>
      </c>
      <c r="E86" s="225">
        <f>'dod3'!E86-'dod3 - до МВК'!E86</f>
        <v>0</v>
      </c>
      <c r="F86" s="225">
        <f>'dod3'!F86-'dod3 - до МВК'!F86</f>
        <v>0</v>
      </c>
      <c r="G86" s="225">
        <f>'dod3'!G86-'dod3 - до МВК'!G86</f>
        <v>0</v>
      </c>
      <c r="H86" s="225">
        <f>'dod3'!H86-'dod3 - до МВК'!H86</f>
        <v>0</v>
      </c>
      <c r="I86" s="225">
        <f>'dod3'!I86-'dod3 - до МВК'!I86</f>
        <v>0</v>
      </c>
      <c r="J86" s="225">
        <f>'dod3'!J86-'dod3 - до МВК'!J86</f>
        <v>0</v>
      </c>
      <c r="K86" s="225">
        <f>'dod3'!K86-'dod3 - до МВК'!K86</f>
        <v>0</v>
      </c>
      <c r="L86" s="225">
        <f>'dod3'!L86-'dod3 - до МВК'!L86</f>
        <v>0</v>
      </c>
      <c r="M86" s="225">
        <f>'dod3'!M86-'dod3 - до МВК'!M86</f>
        <v>0</v>
      </c>
      <c r="N86" s="225">
        <f>'dod3'!N86-'dod3 - до МВК'!N86</f>
        <v>0</v>
      </c>
      <c r="O86" s="225">
        <f>'dod3'!O86-'dod3 - до МВК'!O86</f>
        <v>0</v>
      </c>
      <c r="P86" s="225">
        <f>'dod3'!P86-'dod3 - до МВК'!P86</f>
        <v>0</v>
      </c>
    </row>
    <row r="87" spans="1:16" ht="228.75" x14ac:dyDescent="0.2">
      <c r="A87" s="270" t="s">
        <v>519</v>
      </c>
      <c r="B87" s="270" t="s">
        <v>520</v>
      </c>
      <c r="C87" s="270" t="s">
        <v>302</v>
      </c>
      <c r="D87" s="270" t="s">
        <v>569</v>
      </c>
      <c r="E87" s="225">
        <f>'dod3'!E87-'dod3 - до МВК'!E87</f>
        <v>0</v>
      </c>
      <c r="F87" s="225">
        <f>'dod3'!F87-'dod3 - до МВК'!F87</f>
        <v>0</v>
      </c>
      <c r="G87" s="225">
        <f>'dod3'!G87-'dod3 - до МВК'!G87</f>
        <v>0</v>
      </c>
      <c r="H87" s="225">
        <f>'dod3'!H87-'dod3 - до МВК'!H87</f>
        <v>0</v>
      </c>
      <c r="I87" s="225">
        <f>'dod3'!I87-'dod3 - до МВК'!I87</f>
        <v>0</v>
      </c>
      <c r="J87" s="225">
        <f>'dod3'!J87-'dod3 - до МВК'!J87</f>
        <v>0</v>
      </c>
      <c r="K87" s="225">
        <f>'dod3'!K87-'dod3 - до МВК'!K87</f>
        <v>0</v>
      </c>
      <c r="L87" s="225">
        <f>'dod3'!L87-'dod3 - до МВК'!L87</f>
        <v>0</v>
      </c>
      <c r="M87" s="225">
        <f>'dod3'!M87-'dod3 - до МВК'!M87</f>
        <v>0</v>
      </c>
      <c r="N87" s="225">
        <f>'dod3'!N87-'dod3 - до МВК'!N87</f>
        <v>0</v>
      </c>
      <c r="O87" s="225">
        <f>'dod3'!O87-'dod3 - до МВК'!O87</f>
        <v>0</v>
      </c>
      <c r="P87" s="225">
        <f>'dod3'!P87-'dod3 - до МВК'!P87</f>
        <v>0</v>
      </c>
    </row>
    <row r="88" spans="1:16" ht="91.5" x14ac:dyDescent="0.2">
      <c r="A88" s="270" t="s">
        <v>796</v>
      </c>
      <c r="B88" s="270" t="s">
        <v>632</v>
      </c>
      <c r="C88" s="270" t="s">
        <v>633</v>
      </c>
      <c r="D88" s="270" t="s">
        <v>631</v>
      </c>
      <c r="E88" s="225">
        <f>'dod3'!E88-'dod3 - до МВК'!E88</f>
        <v>0</v>
      </c>
      <c r="F88" s="225">
        <f>'dod3'!F88-'dod3 - до МВК'!F88</f>
        <v>0</v>
      </c>
      <c r="G88" s="225">
        <f>'dod3'!G88-'dod3 - до МВК'!G88</f>
        <v>0</v>
      </c>
      <c r="H88" s="225">
        <f>'dod3'!H88-'dod3 - до МВК'!H88</f>
        <v>0</v>
      </c>
      <c r="I88" s="225">
        <f>'dod3'!I88-'dod3 - до МВК'!I88</f>
        <v>0</v>
      </c>
      <c r="J88" s="225">
        <f>'dod3'!J88-'dod3 - до МВК'!J88</f>
        <v>0</v>
      </c>
      <c r="K88" s="225">
        <f>'dod3'!K88-'dod3 - до МВК'!K88</f>
        <v>0</v>
      </c>
      <c r="L88" s="225">
        <f>'dod3'!L88-'dod3 - до МВК'!L88</f>
        <v>0</v>
      </c>
      <c r="M88" s="225">
        <f>'dod3'!M88-'dod3 - до МВК'!M88</f>
        <v>0</v>
      </c>
      <c r="N88" s="225">
        <f>'dod3'!N88-'dod3 - до МВК'!N88</f>
        <v>0</v>
      </c>
      <c r="O88" s="225">
        <f>'dod3'!O88-'dod3 - до МВК'!O88</f>
        <v>0</v>
      </c>
      <c r="P88" s="225">
        <f>'dod3'!P88-'dod3 - до МВК'!P88</f>
        <v>0</v>
      </c>
    </row>
    <row r="89" spans="1:16" ht="409.5" x14ac:dyDescent="0.2">
      <c r="A89" s="422" t="s">
        <v>399</v>
      </c>
      <c r="B89" s="422" t="s">
        <v>286</v>
      </c>
      <c r="C89" s="422" t="s">
        <v>279</v>
      </c>
      <c r="D89" s="214" t="s">
        <v>521</v>
      </c>
      <c r="E89" s="416">
        <f>'dod3'!E89-'dod3 - до МВК'!E89</f>
        <v>0</v>
      </c>
      <c r="F89" s="416">
        <f>'dod3'!F89-'dod3 - до МВК'!F89</f>
        <v>0</v>
      </c>
      <c r="G89" s="416">
        <f>'dod3'!G89-'dod3 - до МВК'!G89</f>
        <v>0</v>
      </c>
      <c r="H89" s="416">
        <f>'dod3'!H89-'dod3 - до МВК'!H89</f>
        <v>0</v>
      </c>
      <c r="I89" s="416">
        <f>'dod3'!I89-'dod3 - до МВК'!I89</f>
        <v>0</v>
      </c>
      <c r="J89" s="416">
        <f>'dod3'!J89-'dod3 - до МВК'!J89</f>
        <v>0</v>
      </c>
      <c r="K89" s="416">
        <f>'dod3'!K89-'dod3 - до МВК'!K89</f>
        <v>0</v>
      </c>
      <c r="L89" s="416">
        <f>'dod3'!L89-'dod3 - до МВК'!L89</f>
        <v>0</v>
      </c>
      <c r="M89" s="416">
        <f>'dod3'!M89-'dod3 - до МВК'!M89</f>
        <v>0</v>
      </c>
      <c r="N89" s="416">
        <f>'dod3'!N89-'dod3 - до МВК'!N89</f>
        <v>0</v>
      </c>
      <c r="O89" s="416">
        <f>'dod3'!O89-'dod3 - до МВК'!O89</f>
        <v>0</v>
      </c>
      <c r="P89" s="416">
        <f>'dod3'!P89-'dod3 - до МВК'!P89</f>
        <v>0</v>
      </c>
    </row>
    <row r="90" spans="1:16" ht="327.75" customHeight="1" x14ac:dyDescent="0.2">
      <c r="A90" s="417"/>
      <c r="B90" s="417"/>
      <c r="C90" s="417"/>
      <c r="D90" s="216" t="s">
        <v>811</v>
      </c>
      <c r="E90" s="417"/>
      <c r="F90" s="417"/>
      <c r="G90" s="417"/>
      <c r="H90" s="417"/>
      <c r="I90" s="417"/>
      <c r="J90" s="417"/>
      <c r="K90" s="417"/>
      <c r="L90" s="417"/>
      <c r="M90" s="417"/>
      <c r="N90" s="417"/>
      <c r="O90" s="417"/>
      <c r="P90" s="417"/>
    </row>
    <row r="91" spans="1:16" ht="91.5" x14ac:dyDescent="0.2">
      <c r="A91" s="403"/>
      <c r="B91" s="403"/>
      <c r="C91" s="403"/>
      <c r="D91" s="216" t="s">
        <v>812</v>
      </c>
      <c r="E91" s="403"/>
      <c r="F91" s="403"/>
      <c r="G91" s="403"/>
      <c r="H91" s="403"/>
      <c r="I91" s="403"/>
      <c r="J91" s="403"/>
      <c r="K91" s="403"/>
      <c r="L91" s="403"/>
      <c r="M91" s="403"/>
      <c r="N91" s="403"/>
      <c r="O91" s="403"/>
      <c r="P91" s="403"/>
    </row>
    <row r="92" spans="1:16" ht="183" x14ac:dyDescent="0.2">
      <c r="A92" s="270" t="s">
        <v>523</v>
      </c>
      <c r="B92" s="270" t="s">
        <v>525</v>
      </c>
      <c r="C92" s="270" t="s">
        <v>287</v>
      </c>
      <c r="D92" s="215" t="s">
        <v>527</v>
      </c>
      <c r="E92" s="225">
        <f>'dod3'!E92-'dod3 - до МВК'!E92</f>
        <v>0</v>
      </c>
      <c r="F92" s="225">
        <f>'dod3'!F92-'dod3 - до МВК'!F92</f>
        <v>0</v>
      </c>
      <c r="G92" s="225">
        <f>'dod3'!G92-'dod3 - до МВК'!G92</f>
        <v>0</v>
      </c>
      <c r="H92" s="225">
        <f>'dod3'!H92-'dod3 - до МВК'!H92</f>
        <v>0</v>
      </c>
      <c r="I92" s="225">
        <f>'dod3'!I92-'dod3 - до МВК'!I92</f>
        <v>0</v>
      </c>
      <c r="J92" s="225">
        <f>'dod3'!J92-'dod3 - до МВК'!J92</f>
        <v>0</v>
      </c>
      <c r="K92" s="225">
        <f>'dod3'!K92-'dod3 - до МВК'!K92</f>
        <v>0</v>
      </c>
      <c r="L92" s="225">
        <f>'dod3'!L92-'dod3 - до МВК'!L92</f>
        <v>0</v>
      </c>
      <c r="M92" s="225">
        <f>'dod3'!M92-'dod3 - до МВК'!M92</f>
        <v>0</v>
      </c>
      <c r="N92" s="225">
        <f>'dod3'!N92-'dod3 - до МВК'!N92</f>
        <v>0</v>
      </c>
      <c r="O92" s="225">
        <f>'dod3'!O92-'dod3 - до МВК'!O92</f>
        <v>0</v>
      </c>
      <c r="P92" s="225">
        <f>'dod3'!P92-'dod3 - до МВК'!P92</f>
        <v>0</v>
      </c>
    </row>
    <row r="93" spans="1:16" ht="137.25" x14ac:dyDescent="0.2">
      <c r="A93" s="270" t="s">
        <v>524</v>
      </c>
      <c r="B93" s="270" t="s">
        <v>526</v>
      </c>
      <c r="C93" s="270" t="s">
        <v>287</v>
      </c>
      <c r="D93" s="215" t="s">
        <v>528</v>
      </c>
      <c r="E93" s="225">
        <f>'dod3'!E93-'dod3 - до МВК'!E93</f>
        <v>0</v>
      </c>
      <c r="F93" s="225">
        <f>'dod3'!F93-'dod3 - до МВК'!F93</f>
        <v>0</v>
      </c>
      <c r="G93" s="225">
        <f>'dod3'!G93-'dod3 - до МВК'!G93</f>
        <v>0</v>
      </c>
      <c r="H93" s="225">
        <f>'dod3'!H93-'dod3 - до МВК'!H93</f>
        <v>0</v>
      </c>
      <c r="I93" s="225">
        <f>'dod3'!I93-'dod3 - до МВК'!I93</f>
        <v>0</v>
      </c>
      <c r="J93" s="225">
        <f>'dod3'!J93-'dod3 - до МВК'!J93</f>
        <v>0</v>
      </c>
      <c r="K93" s="225">
        <f>'dod3'!K93-'dod3 - до МВК'!K93</f>
        <v>0</v>
      </c>
      <c r="L93" s="225">
        <f>'dod3'!L93-'dod3 - до МВК'!L93</f>
        <v>0</v>
      </c>
      <c r="M93" s="225">
        <f>'dod3'!M93-'dod3 - до МВК'!M93</f>
        <v>0</v>
      </c>
      <c r="N93" s="225">
        <f>'dod3'!N93-'dod3 - до МВК'!N93</f>
        <v>0</v>
      </c>
      <c r="O93" s="225">
        <f>'dod3'!O93-'dod3 - до МВК'!O93</f>
        <v>0</v>
      </c>
      <c r="P93" s="225">
        <f>'dod3'!P93-'dod3 - до МВК'!P93</f>
        <v>0</v>
      </c>
    </row>
    <row r="94" spans="1:16" ht="137.25" x14ac:dyDescent="0.2">
      <c r="A94" s="270" t="s">
        <v>608</v>
      </c>
      <c r="B94" s="270" t="s">
        <v>606</v>
      </c>
      <c r="C94" s="270" t="s">
        <v>542</v>
      </c>
      <c r="D94" s="215" t="s">
        <v>607</v>
      </c>
      <c r="E94" s="225">
        <f>'dod3'!E94-'dod3 - до МВК'!E94</f>
        <v>0</v>
      </c>
      <c r="F94" s="225">
        <f>'dod3'!F94-'dod3 - до МВК'!F94</f>
        <v>0</v>
      </c>
      <c r="G94" s="225">
        <f>'dod3'!G94-'dod3 - до МВК'!G94</f>
        <v>0</v>
      </c>
      <c r="H94" s="225">
        <f>'dod3'!H94-'dod3 - до МВК'!H94</f>
        <v>0</v>
      </c>
      <c r="I94" s="225">
        <f>'dod3'!I94-'dod3 - до МВК'!I94</f>
        <v>0</v>
      </c>
      <c r="J94" s="225">
        <f>'dod3'!J94-'dod3 - до МВК'!J94</f>
        <v>0</v>
      </c>
      <c r="K94" s="225">
        <f>'dod3'!K94-'dod3 - до МВК'!K94</f>
        <v>0</v>
      </c>
      <c r="L94" s="225">
        <f>'dod3'!L94-'dod3 - до МВК'!L94</f>
        <v>0</v>
      </c>
      <c r="M94" s="225">
        <f>'dod3'!M94-'dod3 - до МВК'!M94</f>
        <v>0</v>
      </c>
      <c r="N94" s="225">
        <f>'dod3'!N94-'dod3 - до МВК'!N94</f>
        <v>0</v>
      </c>
      <c r="O94" s="225">
        <f>'dod3'!O94-'dod3 - до МВК'!O94</f>
        <v>0</v>
      </c>
      <c r="P94" s="225">
        <f>'dod3'!P94-'dod3 - до МВК'!P94</f>
        <v>0</v>
      </c>
    </row>
    <row r="95" spans="1:16" ht="91.5" x14ac:dyDescent="0.2">
      <c r="A95" s="270" t="s">
        <v>708</v>
      </c>
      <c r="B95" s="270" t="s">
        <v>709</v>
      </c>
      <c r="C95" s="270" t="s">
        <v>450</v>
      </c>
      <c r="D95" s="215" t="s">
        <v>710</v>
      </c>
      <c r="E95" s="225">
        <f>'dod3'!E95-'dod3 - до МВК'!E95</f>
        <v>0</v>
      </c>
      <c r="F95" s="225">
        <f>'dod3'!F95-'dod3 - до МВК'!F95</f>
        <v>0</v>
      </c>
      <c r="G95" s="225">
        <f>'dod3'!G95-'dod3 - до МВК'!G95</f>
        <v>0</v>
      </c>
      <c r="H95" s="225">
        <f>'dod3'!H95-'dod3 - до МВК'!H95</f>
        <v>0</v>
      </c>
      <c r="I95" s="225">
        <f>'dod3'!I95-'dod3 - до МВК'!I95</f>
        <v>0</v>
      </c>
      <c r="J95" s="225">
        <f>'dod3'!J95-'dod3 - до МВК'!J95</f>
        <v>0</v>
      </c>
      <c r="K95" s="225">
        <f>'dod3'!K95-'dod3 - до МВК'!K95</f>
        <v>0</v>
      </c>
      <c r="L95" s="225">
        <f>'dod3'!L95-'dod3 - до МВК'!L95</f>
        <v>0</v>
      </c>
      <c r="M95" s="225">
        <f>'dod3'!M95-'dod3 - до МВК'!M95</f>
        <v>0</v>
      </c>
      <c r="N95" s="225">
        <f>'dod3'!N95-'dod3 - до МВК'!N95</f>
        <v>0</v>
      </c>
      <c r="O95" s="225">
        <f>'dod3'!O95-'dod3 - до МВК'!O95</f>
        <v>0</v>
      </c>
      <c r="P95" s="225">
        <f>'dod3'!P95-'dod3 - до МВК'!P95</f>
        <v>0</v>
      </c>
    </row>
    <row r="96" spans="1:16" ht="409.5" x14ac:dyDescent="0.2">
      <c r="A96" s="422" t="s">
        <v>749</v>
      </c>
      <c r="B96" s="422" t="s">
        <v>538</v>
      </c>
      <c r="C96" s="422" t="s">
        <v>256</v>
      </c>
      <c r="D96" s="231" t="s">
        <v>549</v>
      </c>
      <c r="E96" s="416">
        <f>'dod3'!E96-'dod3 - до МВК'!E96</f>
        <v>0</v>
      </c>
      <c r="F96" s="416">
        <f>'dod3'!F96-'dod3 - до МВК'!F96</f>
        <v>0</v>
      </c>
      <c r="G96" s="416">
        <f>'dod3'!G96-'dod3 - до МВК'!G96</f>
        <v>0</v>
      </c>
      <c r="H96" s="416">
        <f>'dod3'!H96-'dod3 - до МВК'!H96</f>
        <v>0</v>
      </c>
      <c r="I96" s="416">
        <f>'dod3'!I96-'dod3 - до МВК'!I96</f>
        <v>0</v>
      </c>
      <c r="J96" s="416">
        <f>'dod3'!J96-'dod3 - до МВК'!J96</f>
        <v>0</v>
      </c>
      <c r="K96" s="416">
        <f>'dod3'!K96-'dod3 - до МВК'!K96</f>
        <v>0</v>
      </c>
      <c r="L96" s="416">
        <f>'dod3'!L96-'dod3 - до МВК'!L96</f>
        <v>0</v>
      </c>
      <c r="M96" s="416">
        <f>'dod3'!M96-'dod3 - до МВК'!M96</f>
        <v>0</v>
      </c>
      <c r="N96" s="416">
        <f>'dod3'!N96-'dod3 - до МВК'!N96</f>
        <v>0</v>
      </c>
      <c r="O96" s="416">
        <f>'dod3'!O96-'dod3 - до МВК'!O96</f>
        <v>0</v>
      </c>
      <c r="P96" s="416">
        <f>'dod3'!P96-'dod3 - до МВК'!P96</f>
        <v>0</v>
      </c>
    </row>
    <row r="97" spans="1:16" ht="137.25" x14ac:dyDescent="0.2">
      <c r="A97" s="403"/>
      <c r="B97" s="403"/>
      <c r="C97" s="403"/>
      <c r="D97" s="235" t="s">
        <v>550</v>
      </c>
      <c r="E97" s="403"/>
      <c r="F97" s="403"/>
      <c r="G97" s="403"/>
      <c r="H97" s="403"/>
      <c r="I97" s="403"/>
      <c r="J97" s="403"/>
      <c r="K97" s="403"/>
      <c r="L97" s="403"/>
      <c r="M97" s="403"/>
      <c r="N97" s="403"/>
      <c r="O97" s="403"/>
      <c r="P97" s="403"/>
    </row>
    <row r="98" spans="1:16" ht="180" x14ac:dyDescent="0.2">
      <c r="A98" s="306">
        <v>1000000</v>
      </c>
      <c r="B98" s="306"/>
      <c r="C98" s="306"/>
      <c r="D98" s="296" t="s">
        <v>43</v>
      </c>
      <c r="E98" s="298">
        <f>E99</f>
        <v>0</v>
      </c>
      <c r="F98" s="298">
        <f t="shared" ref="F98:G98" si="21">F99</f>
        <v>0</v>
      </c>
      <c r="G98" s="298">
        <f t="shared" si="21"/>
        <v>0</v>
      </c>
      <c r="H98" s="298">
        <f>H99</f>
        <v>0</v>
      </c>
      <c r="I98" s="298">
        <f t="shared" ref="I98" si="22">I99</f>
        <v>0</v>
      </c>
      <c r="J98" s="298">
        <f>J99</f>
        <v>0</v>
      </c>
      <c r="K98" s="298">
        <f>K99</f>
        <v>0</v>
      </c>
      <c r="L98" s="298">
        <f>L99</f>
        <v>0</v>
      </c>
      <c r="M98" s="298">
        <f t="shared" ref="M98" si="23">M99</f>
        <v>0</v>
      </c>
      <c r="N98" s="298">
        <f>N99</f>
        <v>0</v>
      </c>
      <c r="O98" s="298">
        <f>O99</f>
        <v>0</v>
      </c>
      <c r="P98" s="302">
        <f t="shared" ref="P98" si="24">P99</f>
        <v>0</v>
      </c>
    </row>
    <row r="99" spans="1:16" ht="180" x14ac:dyDescent="0.2">
      <c r="A99" s="307">
        <v>1010000</v>
      </c>
      <c r="B99" s="307"/>
      <c r="C99" s="307"/>
      <c r="D99" s="299" t="s">
        <v>62</v>
      </c>
      <c r="E99" s="301">
        <f>F99</f>
        <v>0</v>
      </c>
      <c r="F99" s="301">
        <f>SUM(F100:F107)</f>
        <v>0</v>
      </c>
      <c r="G99" s="301">
        <f t="shared" ref="G99:I99" si="25">SUM(G100:G107)</f>
        <v>0</v>
      </c>
      <c r="H99" s="301">
        <f t="shared" si="25"/>
        <v>0</v>
      </c>
      <c r="I99" s="301">
        <f t="shared" si="25"/>
        <v>0</v>
      </c>
      <c r="J99" s="301">
        <f t="shared" ref="J99:J107" si="26">L99+O99</f>
        <v>0</v>
      </c>
      <c r="K99" s="301">
        <f t="shared" ref="K99:O99" si="27">SUM(K100:K107)</f>
        <v>0</v>
      </c>
      <c r="L99" s="301">
        <f t="shared" si="27"/>
        <v>0</v>
      </c>
      <c r="M99" s="301">
        <f t="shared" si="27"/>
        <v>0</v>
      </c>
      <c r="N99" s="301">
        <f t="shared" si="27"/>
        <v>0</v>
      </c>
      <c r="O99" s="301">
        <f t="shared" si="27"/>
        <v>0</v>
      </c>
      <c r="P99" s="301">
        <f t="shared" ref="P99:P106" si="28">E99+J99</f>
        <v>0</v>
      </c>
    </row>
    <row r="100" spans="1:16" ht="274.5" x14ac:dyDescent="0.2">
      <c r="A100" s="270" t="s">
        <v>34</v>
      </c>
      <c r="B100" s="270" t="s">
        <v>274</v>
      </c>
      <c r="C100" s="270" t="s">
        <v>275</v>
      </c>
      <c r="D100" s="270" t="s">
        <v>273</v>
      </c>
      <c r="E100" s="225">
        <f>'dod3'!E100-'dod3 - до МВК'!E100</f>
        <v>0</v>
      </c>
      <c r="F100" s="225">
        <f>'dod3'!F100-'dod3 - до МВК'!F100</f>
        <v>0</v>
      </c>
      <c r="G100" s="225">
        <f>'dod3'!G100-'dod3 - до МВК'!G100</f>
        <v>0</v>
      </c>
      <c r="H100" s="225">
        <f>'dod3'!H100-'dod3 - до МВК'!H100</f>
        <v>0</v>
      </c>
      <c r="I100" s="225">
        <f>'dod3'!I100-'dod3 - до МВК'!I100</f>
        <v>0</v>
      </c>
      <c r="J100" s="225">
        <f>'dod3'!J100-'dod3 - до МВК'!J100</f>
        <v>0</v>
      </c>
      <c r="K100" s="225">
        <f>'dod3'!K100-'dod3 - до МВК'!K100</f>
        <v>0</v>
      </c>
      <c r="L100" s="225">
        <f>'dod3'!L100-'dod3 - до МВК'!L100</f>
        <v>0</v>
      </c>
      <c r="M100" s="225">
        <f>'dod3'!M100-'dod3 - до МВК'!M100</f>
        <v>0</v>
      </c>
      <c r="N100" s="225">
        <f>'dod3'!N100-'dod3 - до МВК'!N100</f>
        <v>0</v>
      </c>
      <c r="O100" s="225">
        <f>'dod3'!O100-'dod3 - до МВК'!O100</f>
        <v>0</v>
      </c>
      <c r="P100" s="225">
        <f>'dod3'!P100-'dod3 - до МВК'!P100</f>
        <v>0</v>
      </c>
    </row>
    <row r="101" spans="1:16" ht="46.5" x14ac:dyDescent="0.2">
      <c r="A101" s="270" t="s">
        <v>257</v>
      </c>
      <c r="B101" s="270" t="s">
        <v>258</v>
      </c>
      <c r="C101" s="270" t="s">
        <v>261</v>
      </c>
      <c r="D101" s="270" t="s">
        <v>262</v>
      </c>
      <c r="E101" s="225">
        <f>'dod3'!E101-'dod3 - до МВК'!E101</f>
        <v>0</v>
      </c>
      <c r="F101" s="225">
        <f>'dod3'!F101-'dod3 - до МВК'!F101</f>
        <v>0</v>
      </c>
      <c r="G101" s="225">
        <f>'dod3'!G101-'dod3 - до МВК'!G101</f>
        <v>0</v>
      </c>
      <c r="H101" s="225">
        <f>'dod3'!H101-'dod3 - до МВК'!H101</f>
        <v>0</v>
      </c>
      <c r="I101" s="225">
        <f>'dod3'!I101-'dod3 - до МВК'!I101</f>
        <v>0</v>
      </c>
      <c r="J101" s="225">
        <f>'dod3'!J101-'dod3 - до МВК'!J101</f>
        <v>0</v>
      </c>
      <c r="K101" s="225">
        <f>'dod3'!K101-'dod3 - до МВК'!K101</f>
        <v>0</v>
      </c>
      <c r="L101" s="225">
        <f>'dod3'!L101-'dod3 - до МВК'!L101</f>
        <v>0</v>
      </c>
      <c r="M101" s="225">
        <f>'dod3'!M101-'dod3 - до МВК'!M101</f>
        <v>0</v>
      </c>
      <c r="N101" s="225">
        <f>'dod3'!N101-'dod3 - до МВК'!N101</f>
        <v>0</v>
      </c>
      <c r="O101" s="225">
        <f>'dod3'!O101-'dod3 - до МВК'!O101</f>
        <v>0</v>
      </c>
      <c r="P101" s="225">
        <f>'dod3'!P101-'dod3 - до МВК'!P101</f>
        <v>0</v>
      </c>
    </row>
    <row r="102" spans="1:16" ht="91.5" x14ac:dyDescent="0.2">
      <c r="A102" s="270" t="s">
        <v>263</v>
      </c>
      <c r="B102" s="270" t="s">
        <v>264</v>
      </c>
      <c r="C102" s="270" t="s">
        <v>265</v>
      </c>
      <c r="D102" s="270" t="s">
        <v>266</v>
      </c>
      <c r="E102" s="225">
        <f>'dod3'!E102-'dod3 - до МВК'!E102</f>
        <v>0</v>
      </c>
      <c r="F102" s="225">
        <f>'dod3'!F102-'dod3 - до МВК'!F102</f>
        <v>0</v>
      </c>
      <c r="G102" s="225">
        <f>'dod3'!G102-'dod3 - до МВК'!G102</f>
        <v>0</v>
      </c>
      <c r="H102" s="225">
        <f>'dod3'!H102-'dod3 - до МВК'!H102</f>
        <v>0</v>
      </c>
      <c r="I102" s="225">
        <f>'dod3'!I102-'dod3 - до МВК'!I102</f>
        <v>0</v>
      </c>
      <c r="J102" s="225">
        <f>'dod3'!J102-'dod3 - до МВК'!J102</f>
        <v>0</v>
      </c>
      <c r="K102" s="225">
        <f>'dod3'!K102-'dod3 - до МВК'!K102</f>
        <v>0</v>
      </c>
      <c r="L102" s="225">
        <f>'dod3'!L102-'dod3 - до МВК'!L102</f>
        <v>0</v>
      </c>
      <c r="M102" s="225">
        <f>'dod3'!M102-'dod3 - до МВК'!M102</f>
        <v>0</v>
      </c>
      <c r="N102" s="225">
        <f>'dod3'!N102-'dod3 - до МВК'!N102</f>
        <v>0</v>
      </c>
      <c r="O102" s="225">
        <f>'dod3'!O102-'dod3 - до МВК'!O102</f>
        <v>0</v>
      </c>
      <c r="P102" s="225">
        <f>'dod3'!P102-'dod3 - до МВК'!P102</f>
        <v>0</v>
      </c>
    </row>
    <row r="103" spans="1:16" ht="91.5" x14ac:dyDescent="0.2">
      <c r="A103" s="270" t="s">
        <v>267</v>
      </c>
      <c r="B103" s="270" t="s">
        <v>268</v>
      </c>
      <c r="C103" s="270" t="s">
        <v>265</v>
      </c>
      <c r="D103" s="270" t="s">
        <v>269</v>
      </c>
      <c r="E103" s="225">
        <f>'dod3'!E103-'dod3 - до МВК'!E103</f>
        <v>0</v>
      </c>
      <c r="F103" s="225">
        <f>'dod3'!F103-'dod3 - до МВК'!F103</f>
        <v>0</v>
      </c>
      <c r="G103" s="225">
        <f>'dod3'!G103-'dod3 - до МВК'!G103</f>
        <v>0</v>
      </c>
      <c r="H103" s="225">
        <f>'dod3'!H103-'dod3 - до МВК'!H103</f>
        <v>0</v>
      </c>
      <c r="I103" s="225">
        <f>'dod3'!I103-'dod3 - до МВК'!I103</f>
        <v>0</v>
      </c>
      <c r="J103" s="225">
        <f>'dod3'!J103-'dod3 - до МВК'!J103</f>
        <v>0</v>
      </c>
      <c r="K103" s="225">
        <f>'dod3'!K103-'dod3 - до МВК'!K103</f>
        <v>0</v>
      </c>
      <c r="L103" s="225">
        <f>'dod3'!L103-'dod3 - до МВК'!L103</f>
        <v>0</v>
      </c>
      <c r="M103" s="225">
        <f>'dod3'!M103-'dod3 - до МВК'!M103</f>
        <v>0</v>
      </c>
      <c r="N103" s="225">
        <f>'dod3'!N103-'dod3 - до МВК'!N103</f>
        <v>0</v>
      </c>
      <c r="O103" s="225">
        <f>'dod3'!O103-'dod3 - до МВК'!O103</f>
        <v>0</v>
      </c>
      <c r="P103" s="225">
        <f>'dod3'!P103-'dod3 - до МВК'!P103</f>
        <v>0</v>
      </c>
    </row>
    <row r="104" spans="1:16" ht="183" x14ac:dyDescent="0.2">
      <c r="A104" s="270" t="s">
        <v>270</v>
      </c>
      <c r="B104" s="270" t="s">
        <v>259</v>
      </c>
      <c r="C104" s="270" t="s">
        <v>271</v>
      </c>
      <c r="D104" s="270" t="s">
        <v>272</v>
      </c>
      <c r="E104" s="225">
        <f>'dod3'!E104-'dod3 - до МВК'!E104</f>
        <v>0</v>
      </c>
      <c r="F104" s="225">
        <f>'dod3'!F104-'dod3 - до МВК'!F104</f>
        <v>0</v>
      </c>
      <c r="G104" s="225">
        <f>'dod3'!G104-'dod3 - до МВК'!G104</f>
        <v>0</v>
      </c>
      <c r="H104" s="225">
        <f>'dod3'!H104-'dod3 - до МВК'!H104</f>
        <v>0</v>
      </c>
      <c r="I104" s="225">
        <f>'dod3'!I104-'dod3 - до МВК'!I104</f>
        <v>0</v>
      </c>
      <c r="J104" s="225">
        <f>'dod3'!J104-'dod3 - до МВК'!J104</f>
        <v>0</v>
      </c>
      <c r="K104" s="225">
        <f>'dod3'!K104-'dod3 - до МВК'!K104</f>
        <v>0</v>
      </c>
      <c r="L104" s="225">
        <f>'dod3'!L104-'dod3 - до МВК'!L104</f>
        <v>0</v>
      </c>
      <c r="M104" s="225">
        <f>'dod3'!M104-'dod3 - до МВК'!M104</f>
        <v>0</v>
      </c>
      <c r="N104" s="225">
        <f>'dod3'!N104-'dod3 - до МВК'!N104</f>
        <v>0</v>
      </c>
      <c r="O104" s="225">
        <f>'dod3'!O104-'dod3 - до МВК'!O104</f>
        <v>0</v>
      </c>
      <c r="P104" s="225">
        <f>'dod3'!P104-'dod3 - до МВК'!P104</f>
        <v>0</v>
      </c>
    </row>
    <row r="105" spans="1:16" ht="137.25" x14ac:dyDescent="0.2">
      <c r="A105" s="270" t="s">
        <v>530</v>
      </c>
      <c r="B105" s="270" t="s">
        <v>531</v>
      </c>
      <c r="C105" s="270" t="s">
        <v>276</v>
      </c>
      <c r="D105" s="270" t="s">
        <v>529</v>
      </c>
      <c r="E105" s="225">
        <f>'dod3'!E105-'dod3 - до МВК'!E105</f>
        <v>0</v>
      </c>
      <c r="F105" s="225">
        <f>'dod3'!F105-'dod3 - до МВК'!F105</f>
        <v>0</v>
      </c>
      <c r="G105" s="225">
        <f>'dod3'!G105-'dod3 - до МВК'!G105</f>
        <v>0</v>
      </c>
      <c r="H105" s="225">
        <f>'dod3'!H105-'dod3 - до МВК'!H105</f>
        <v>0</v>
      </c>
      <c r="I105" s="225">
        <f>'dod3'!I105-'dod3 - до МВК'!I105</f>
        <v>0</v>
      </c>
      <c r="J105" s="225">
        <f>'dod3'!J105-'dod3 - до МВК'!J105</f>
        <v>0</v>
      </c>
      <c r="K105" s="225">
        <f>'dod3'!K105-'dod3 - до МВК'!K105</f>
        <v>0</v>
      </c>
      <c r="L105" s="225">
        <f>'dod3'!L105-'dod3 - до МВК'!L105</f>
        <v>0</v>
      </c>
      <c r="M105" s="225">
        <f>'dod3'!M105-'dod3 - до МВК'!M105</f>
        <v>0</v>
      </c>
      <c r="N105" s="225">
        <f>'dod3'!N105-'dod3 - до МВК'!N105</f>
        <v>0</v>
      </c>
      <c r="O105" s="225">
        <f>'dod3'!O105-'dod3 - до МВК'!O105</f>
        <v>0</v>
      </c>
      <c r="P105" s="225">
        <f>'dod3'!P105-'dod3 - до МВК'!P105</f>
        <v>0</v>
      </c>
    </row>
    <row r="106" spans="1:16" ht="91.5" x14ac:dyDescent="0.2">
      <c r="A106" s="270" t="s">
        <v>532</v>
      </c>
      <c r="B106" s="270" t="s">
        <v>533</v>
      </c>
      <c r="C106" s="270" t="s">
        <v>276</v>
      </c>
      <c r="D106" s="270" t="s">
        <v>534</v>
      </c>
      <c r="E106" s="225">
        <f>'dod3'!E106-'dod3 - до МВК'!E106</f>
        <v>0</v>
      </c>
      <c r="F106" s="225">
        <f>'dod3'!F106-'dod3 - до МВК'!F106</f>
        <v>0</v>
      </c>
      <c r="G106" s="225">
        <f>'dod3'!G106-'dod3 - до МВК'!G106</f>
        <v>0</v>
      </c>
      <c r="H106" s="225">
        <f>'dod3'!H106-'dod3 - до МВК'!H106</f>
        <v>0</v>
      </c>
      <c r="I106" s="225">
        <f>'dod3'!I106-'dod3 - до МВК'!I106</f>
        <v>0</v>
      </c>
      <c r="J106" s="225">
        <f>'dod3'!J106-'dod3 - до МВК'!J106</f>
        <v>0</v>
      </c>
      <c r="K106" s="225">
        <f>'dod3'!K106-'dod3 - до МВК'!K106</f>
        <v>0</v>
      </c>
      <c r="L106" s="225">
        <f>'dod3'!L106-'dod3 - до МВК'!L106</f>
        <v>0</v>
      </c>
      <c r="M106" s="225">
        <f>'dod3'!M106-'dod3 - до МВК'!M106</f>
        <v>0</v>
      </c>
      <c r="N106" s="225">
        <f>'dod3'!N106-'dod3 - до МВК'!N106</f>
        <v>0</v>
      </c>
      <c r="O106" s="225">
        <f>'dod3'!O106-'dod3 - до МВК'!O106</f>
        <v>0</v>
      </c>
      <c r="P106" s="225">
        <f>'dod3'!P106-'dod3 - до МВК'!P106</f>
        <v>0</v>
      </c>
    </row>
    <row r="107" spans="1:16" ht="91.5" x14ac:dyDescent="0.2">
      <c r="A107" s="270" t="s">
        <v>868</v>
      </c>
      <c r="B107" s="270" t="s">
        <v>293</v>
      </c>
      <c r="C107" s="270" t="s">
        <v>256</v>
      </c>
      <c r="D107" s="270" t="s">
        <v>57</v>
      </c>
      <c r="E107" s="225">
        <f>'dod3'!E107-'dod3 - до МВК'!E107</f>
        <v>0</v>
      </c>
      <c r="F107" s="225">
        <f>'dod3'!F107-'dod3 - до МВК'!F107</f>
        <v>0</v>
      </c>
      <c r="G107" s="225">
        <f>'dod3'!G107-'dod3 - до МВК'!G107</f>
        <v>0</v>
      </c>
      <c r="H107" s="225">
        <f>'dod3'!H107-'dod3 - до МВК'!H107</f>
        <v>0</v>
      </c>
      <c r="I107" s="225">
        <f>'dod3'!I107-'dod3 - до МВК'!I107</f>
        <v>0</v>
      </c>
      <c r="J107" s="225">
        <f>'dod3'!J107-'dod3 - до МВК'!J107</f>
        <v>0</v>
      </c>
      <c r="K107" s="225">
        <f>'dod3'!K107-'dod3 - до МВК'!K107</f>
        <v>0</v>
      </c>
      <c r="L107" s="225">
        <f>'dod3'!L107-'dod3 - до МВК'!L107</f>
        <v>0</v>
      </c>
      <c r="M107" s="225">
        <f>'dod3'!M107-'dod3 - до МВК'!M107</f>
        <v>0</v>
      </c>
      <c r="N107" s="225">
        <f>'dod3'!N107-'dod3 - до МВК'!N107</f>
        <v>0</v>
      </c>
      <c r="O107" s="225">
        <f>'dod3'!O107-'dod3 - до МВК'!O107</f>
        <v>0</v>
      </c>
      <c r="P107" s="225">
        <f>'dod3'!P107-'dod3 - до МВК'!P107</f>
        <v>0</v>
      </c>
    </row>
    <row r="108" spans="1:16" ht="135" x14ac:dyDescent="0.2">
      <c r="A108" s="296" t="s">
        <v>40</v>
      </c>
      <c r="B108" s="296"/>
      <c r="C108" s="296"/>
      <c r="D108" s="296" t="s">
        <v>41</v>
      </c>
      <c r="E108" s="298">
        <f>E109</f>
        <v>0</v>
      </c>
      <c r="F108" s="298">
        <f t="shared" ref="F108:G108" si="29">F109</f>
        <v>0</v>
      </c>
      <c r="G108" s="298">
        <f t="shared" si="29"/>
        <v>0</v>
      </c>
      <c r="H108" s="298">
        <f>H109</f>
        <v>0</v>
      </c>
      <c r="I108" s="298">
        <f t="shared" ref="I108" si="30">I109</f>
        <v>0</v>
      </c>
      <c r="J108" s="298">
        <f>J109</f>
        <v>0</v>
      </c>
      <c r="K108" s="298">
        <f>K109</f>
        <v>0</v>
      </c>
      <c r="L108" s="298">
        <f>L109</f>
        <v>0</v>
      </c>
      <c r="M108" s="298">
        <f t="shared" ref="M108" si="31">M109</f>
        <v>0</v>
      </c>
      <c r="N108" s="298">
        <f>N109</f>
        <v>0</v>
      </c>
      <c r="O108" s="298">
        <f>O109</f>
        <v>0</v>
      </c>
      <c r="P108" s="302">
        <f t="shared" ref="P108" si="32">P109</f>
        <v>0</v>
      </c>
    </row>
    <row r="109" spans="1:16" ht="135" x14ac:dyDescent="0.2">
      <c r="A109" s="299" t="s">
        <v>39</v>
      </c>
      <c r="B109" s="299"/>
      <c r="C109" s="299"/>
      <c r="D109" s="299" t="s">
        <v>58</v>
      </c>
      <c r="E109" s="301">
        <f>SUM(E110:E123)</f>
        <v>0</v>
      </c>
      <c r="F109" s="301">
        <f t="shared" ref="F109:I109" si="33">SUM(F110:F123)</f>
        <v>0</v>
      </c>
      <c r="G109" s="301">
        <f t="shared" si="33"/>
        <v>0</v>
      </c>
      <c r="H109" s="301">
        <f t="shared" si="33"/>
        <v>0</v>
      </c>
      <c r="I109" s="301">
        <f t="shared" si="33"/>
        <v>0</v>
      </c>
      <c r="J109" s="301">
        <f t="shared" ref="J109:J122" si="34">L109+O109</f>
        <v>0</v>
      </c>
      <c r="K109" s="301">
        <f t="shared" ref="K109:N109" si="35">SUM(K110:K123)</f>
        <v>0</v>
      </c>
      <c r="L109" s="301">
        <f t="shared" si="35"/>
        <v>0</v>
      </c>
      <c r="M109" s="301">
        <f t="shared" si="35"/>
        <v>0</v>
      </c>
      <c r="N109" s="301">
        <f t="shared" si="35"/>
        <v>0</v>
      </c>
      <c r="O109" s="301">
        <f>SUM(O110:O123)</f>
        <v>0</v>
      </c>
      <c r="P109" s="301">
        <f>E109+J109</f>
        <v>0</v>
      </c>
    </row>
    <row r="110" spans="1:16" ht="137.25" x14ac:dyDescent="0.2">
      <c r="A110" s="270" t="s">
        <v>277</v>
      </c>
      <c r="B110" s="270" t="s">
        <v>278</v>
      </c>
      <c r="C110" s="270" t="s">
        <v>279</v>
      </c>
      <c r="D110" s="270" t="s">
        <v>280</v>
      </c>
      <c r="E110" s="225">
        <f>'dod3'!E110-'dod3 - до МВК'!E110</f>
        <v>0</v>
      </c>
      <c r="F110" s="225">
        <f>'dod3'!F110-'dod3 - до МВК'!F110</f>
        <v>0</v>
      </c>
      <c r="G110" s="225">
        <f>'dod3'!G110-'dod3 - до МВК'!G110</f>
        <v>0</v>
      </c>
      <c r="H110" s="225">
        <f>'dod3'!H110-'dod3 - до МВК'!H110</f>
        <v>0</v>
      </c>
      <c r="I110" s="225">
        <f>'dod3'!I110-'dod3 - до МВК'!I110</f>
        <v>0</v>
      </c>
      <c r="J110" s="225">
        <f>'dod3'!J110-'dod3 - до МВК'!J110</f>
        <v>0</v>
      </c>
      <c r="K110" s="225">
        <f>'dod3'!K110-'dod3 - до МВК'!K110</f>
        <v>0</v>
      </c>
      <c r="L110" s="225">
        <f>'dod3'!L110-'dod3 - до МВК'!L110</f>
        <v>0</v>
      </c>
      <c r="M110" s="225">
        <f>'dod3'!M110-'dod3 - до МВК'!M110</f>
        <v>0</v>
      </c>
      <c r="N110" s="225">
        <f>'dod3'!N110-'dod3 - до МВК'!N110</f>
        <v>0</v>
      </c>
      <c r="O110" s="225">
        <f>'dod3'!O110-'dod3 - до МВК'!O110</f>
        <v>0</v>
      </c>
      <c r="P110" s="225">
        <f>'dod3'!P110-'dod3 - до МВК'!P110</f>
        <v>0</v>
      </c>
    </row>
    <row r="111" spans="1:16" ht="228.75" x14ac:dyDescent="0.2">
      <c r="A111" s="270" t="s">
        <v>72</v>
      </c>
      <c r="B111" s="270" t="s">
        <v>260</v>
      </c>
      <c r="C111" s="270" t="s">
        <v>279</v>
      </c>
      <c r="D111" s="270" t="s">
        <v>22</v>
      </c>
      <c r="E111" s="225">
        <f>'dod3'!E111-'dod3 - до МВК'!E111</f>
        <v>0</v>
      </c>
      <c r="F111" s="225">
        <f>'dod3'!F111-'dod3 - до МВК'!F111</f>
        <v>0</v>
      </c>
      <c r="G111" s="225">
        <f>'dod3'!G111-'dod3 - до МВК'!G111</f>
        <v>0</v>
      </c>
      <c r="H111" s="225">
        <f>'dod3'!H111-'dod3 - до МВК'!H111</f>
        <v>0</v>
      </c>
      <c r="I111" s="225">
        <f>'dod3'!I111-'dod3 - до МВК'!I111</f>
        <v>0</v>
      </c>
      <c r="J111" s="225">
        <f>'dod3'!J111-'dod3 - до МВК'!J111</f>
        <v>0</v>
      </c>
      <c r="K111" s="225">
        <f>'dod3'!K111-'dod3 - до МВК'!K111</f>
        <v>0</v>
      </c>
      <c r="L111" s="225">
        <f>'dod3'!L111-'dod3 - до МВК'!L111</f>
        <v>0</v>
      </c>
      <c r="M111" s="225">
        <f>'dod3'!M111-'dod3 - до МВК'!M111</f>
        <v>0</v>
      </c>
      <c r="N111" s="225">
        <f>'dod3'!N111-'dod3 - до МВК'!N111</f>
        <v>0</v>
      </c>
      <c r="O111" s="225">
        <f>'dod3'!O111-'dod3 - до МВК'!O111</f>
        <v>0</v>
      </c>
      <c r="P111" s="225">
        <f>'dod3'!P111-'dod3 - до МВК'!P111</f>
        <v>0</v>
      </c>
    </row>
    <row r="112" spans="1:16" ht="91.5" x14ac:dyDescent="0.2">
      <c r="A112" s="270" t="s">
        <v>284</v>
      </c>
      <c r="B112" s="270" t="s">
        <v>285</v>
      </c>
      <c r="C112" s="270" t="s">
        <v>279</v>
      </c>
      <c r="D112" s="270" t="s">
        <v>23</v>
      </c>
      <c r="E112" s="225">
        <f>'dod3'!E112-'dod3 - до МВК'!E112</f>
        <v>0</v>
      </c>
      <c r="F112" s="225">
        <f>'dod3'!F112-'dod3 - до МВК'!F112</f>
        <v>0</v>
      </c>
      <c r="G112" s="225">
        <f>'dod3'!G112-'dod3 - до МВК'!G112</f>
        <v>0</v>
      </c>
      <c r="H112" s="225">
        <f>'dod3'!H112-'dod3 - до МВК'!H112</f>
        <v>0</v>
      </c>
      <c r="I112" s="225">
        <f>'dod3'!I112-'dod3 - до МВК'!I112</f>
        <v>0</v>
      </c>
      <c r="J112" s="225">
        <f>'dod3'!J112-'dod3 - до МВК'!J112</f>
        <v>0</v>
      </c>
      <c r="K112" s="225">
        <f>'dod3'!K112-'dod3 - до МВК'!K112</f>
        <v>0</v>
      </c>
      <c r="L112" s="225">
        <f>'dod3'!L112-'dod3 - до МВК'!L112</f>
        <v>0</v>
      </c>
      <c r="M112" s="225">
        <f>'dod3'!M112-'dod3 - до МВК'!M112</f>
        <v>0</v>
      </c>
      <c r="N112" s="225">
        <f>'dod3'!N112-'dod3 - до МВК'!N112</f>
        <v>0</v>
      </c>
      <c r="O112" s="225">
        <f>'dod3'!O112-'dod3 - до МВК'!O112</f>
        <v>0</v>
      </c>
      <c r="P112" s="225">
        <f>'dod3'!P112-'dod3 - до МВК'!P112</f>
        <v>0</v>
      </c>
    </row>
    <row r="113" spans="1:16" ht="91.5" x14ac:dyDescent="0.2">
      <c r="A113" s="270" t="s">
        <v>574</v>
      </c>
      <c r="B113" s="270" t="s">
        <v>575</v>
      </c>
      <c r="C113" s="270" t="s">
        <v>279</v>
      </c>
      <c r="D113" s="270" t="s">
        <v>576</v>
      </c>
      <c r="E113" s="225">
        <f>'dod3'!E113-'dod3 - до МВК'!E113</f>
        <v>0</v>
      </c>
      <c r="F113" s="225">
        <f>'dod3'!F113-'dod3 - до МВК'!F113</f>
        <v>0</v>
      </c>
      <c r="G113" s="225">
        <f>'dod3'!G113-'dod3 - до МВК'!G113</f>
        <v>0</v>
      </c>
      <c r="H113" s="225">
        <f>'dod3'!H113-'dod3 - до МВК'!H113</f>
        <v>0</v>
      </c>
      <c r="I113" s="225">
        <f>'dod3'!I113-'dod3 - до МВК'!I113</f>
        <v>0</v>
      </c>
      <c r="J113" s="225">
        <f>'dod3'!J113-'dod3 - до МВК'!J113</f>
        <v>0</v>
      </c>
      <c r="K113" s="225">
        <f>'dod3'!K113-'dod3 - до МВК'!K113</f>
        <v>0</v>
      </c>
      <c r="L113" s="225">
        <f>'dod3'!L113-'dod3 - до МВК'!L113</f>
        <v>0</v>
      </c>
      <c r="M113" s="225">
        <f>'dod3'!M113-'dod3 - до МВК'!M113</f>
        <v>0</v>
      </c>
      <c r="N113" s="225">
        <f>'dod3'!N113-'dod3 - до МВК'!N113</f>
        <v>0</v>
      </c>
      <c r="O113" s="225">
        <f>'dod3'!O113-'dod3 - до МВК'!O113</f>
        <v>0</v>
      </c>
      <c r="P113" s="225">
        <f>'dod3'!P113-'dod3 - до МВК'!P113</f>
        <v>0</v>
      </c>
    </row>
    <row r="114" spans="1:16" ht="137.25" x14ac:dyDescent="0.2">
      <c r="A114" s="270" t="s">
        <v>73</v>
      </c>
      <c r="B114" s="270" t="s">
        <v>281</v>
      </c>
      <c r="C114" s="270" t="s">
        <v>291</v>
      </c>
      <c r="D114" s="270" t="s">
        <v>74</v>
      </c>
      <c r="E114" s="225">
        <f>'dod3'!E114-'dod3 - до МВК'!E114</f>
        <v>0</v>
      </c>
      <c r="F114" s="225">
        <f>'dod3'!F114-'dod3 - до МВК'!F114</f>
        <v>0</v>
      </c>
      <c r="G114" s="225">
        <f>'dod3'!G114-'dod3 - до МВК'!G114</f>
        <v>0</v>
      </c>
      <c r="H114" s="225">
        <f>'dod3'!H114-'dod3 - до МВК'!H114</f>
        <v>0</v>
      </c>
      <c r="I114" s="225">
        <f>'dod3'!I114-'dod3 - до МВК'!I114</f>
        <v>0</v>
      </c>
      <c r="J114" s="225">
        <f>'dod3'!J114-'dod3 - до МВК'!J114</f>
        <v>0</v>
      </c>
      <c r="K114" s="225">
        <f>'dod3'!K114-'dod3 - до МВК'!K114</f>
        <v>0</v>
      </c>
      <c r="L114" s="225">
        <f>'dod3'!L114-'dod3 - до МВК'!L114</f>
        <v>0</v>
      </c>
      <c r="M114" s="225">
        <f>'dod3'!M114-'dod3 - до МВК'!M114</f>
        <v>0</v>
      </c>
      <c r="N114" s="225">
        <f>'dod3'!N114-'dod3 - до МВК'!N114</f>
        <v>0</v>
      </c>
      <c r="O114" s="225">
        <f>'dod3'!O114-'dod3 - до МВК'!O114</f>
        <v>0</v>
      </c>
      <c r="P114" s="225">
        <f>'dod3'!P114-'dod3 - до МВК'!P114</f>
        <v>0</v>
      </c>
    </row>
    <row r="115" spans="1:16" ht="137.25" x14ac:dyDescent="0.2">
      <c r="A115" s="270" t="s">
        <v>75</v>
      </c>
      <c r="B115" s="270" t="s">
        <v>282</v>
      </c>
      <c r="C115" s="270" t="s">
        <v>291</v>
      </c>
      <c r="D115" s="270" t="s">
        <v>6</v>
      </c>
      <c r="E115" s="225">
        <f>'dod3'!E115-'dod3 - до МВК'!E115</f>
        <v>0</v>
      </c>
      <c r="F115" s="225">
        <f>'dod3'!F115-'dod3 - до МВК'!F115</f>
        <v>0</v>
      </c>
      <c r="G115" s="225">
        <f>'dod3'!G115-'dod3 - до МВК'!G115</f>
        <v>0</v>
      </c>
      <c r="H115" s="225">
        <f>'dod3'!H115-'dod3 - до МВК'!H115</f>
        <v>0</v>
      </c>
      <c r="I115" s="225">
        <f>'dod3'!I115-'dod3 - до МВК'!I115</f>
        <v>0</v>
      </c>
      <c r="J115" s="225">
        <f>'dod3'!J115-'dod3 - до МВК'!J115</f>
        <v>0</v>
      </c>
      <c r="K115" s="225">
        <f>'dod3'!K115-'dod3 - до МВК'!K115</f>
        <v>0</v>
      </c>
      <c r="L115" s="225">
        <f>'dod3'!L115-'dod3 - до МВК'!L115</f>
        <v>0</v>
      </c>
      <c r="M115" s="225">
        <f>'dod3'!M115-'dod3 - до МВК'!M115</f>
        <v>0</v>
      </c>
      <c r="N115" s="225">
        <f>'dod3'!N115-'dod3 - до МВК'!N115</f>
        <v>0</v>
      </c>
      <c r="O115" s="225">
        <f>'dod3'!O115-'dod3 - до МВК'!O115</f>
        <v>0</v>
      </c>
      <c r="P115" s="225">
        <f>'dod3'!P115-'dod3 - до МВК'!P115</f>
        <v>0</v>
      </c>
    </row>
    <row r="116" spans="1:16" ht="183" x14ac:dyDescent="0.2">
      <c r="A116" s="270" t="s">
        <v>76</v>
      </c>
      <c r="B116" s="270" t="s">
        <v>283</v>
      </c>
      <c r="C116" s="270" t="s">
        <v>291</v>
      </c>
      <c r="D116" s="270" t="s">
        <v>570</v>
      </c>
      <c r="E116" s="225">
        <f>'dod3'!E116-'dod3 - до МВК'!E116</f>
        <v>0</v>
      </c>
      <c r="F116" s="225">
        <f>'dod3'!F116-'dod3 - до МВК'!F116</f>
        <v>0</v>
      </c>
      <c r="G116" s="225">
        <f>'dod3'!G116-'dod3 - до МВК'!G116</f>
        <v>0</v>
      </c>
      <c r="H116" s="225">
        <f>'dod3'!H116-'dod3 - до МВК'!H116</f>
        <v>0</v>
      </c>
      <c r="I116" s="225">
        <f>'dod3'!I116-'dod3 - до МВК'!I116</f>
        <v>0</v>
      </c>
      <c r="J116" s="225">
        <f>'dod3'!J116-'dod3 - до МВК'!J116</f>
        <v>0</v>
      </c>
      <c r="K116" s="225">
        <f>'dod3'!K116-'dod3 - до МВК'!K116</f>
        <v>0</v>
      </c>
      <c r="L116" s="225">
        <f>'dod3'!L116-'dod3 - до МВК'!L116</f>
        <v>0</v>
      </c>
      <c r="M116" s="225">
        <f>'dod3'!M116-'dod3 - до МВК'!M116</f>
        <v>0</v>
      </c>
      <c r="N116" s="225">
        <f>'dod3'!N116-'dod3 - до МВК'!N116</f>
        <v>0</v>
      </c>
      <c r="O116" s="225">
        <f>'dod3'!O116-'dod3 - до МВК'!O116</f>
        <v>0</v>
      </c>
      <c r="P116" s="225">
        <f>'dod3'!P116-'dod3 - до МВК'!P116</f>
        <v>0</v>
      </c>
    </row>
    <row r="117" spans="1:16" ht="183" x14ac:dyDescent="0.2">
      <c r="A117" s="270" t="s">
        <v>49</v>
      </c>
      <c r="B117" s="270" t="s">
        <v>288</v>
      </c>
      <c r="C117" s="270" t="s">
        <v>291</v>
      </c>
      <c r="D117" s="270" t="s">
        <v>77</v>
      </c>
      <c r="E117" s="225">
        <f>'dod3'!E117-'dod3 - до МВК'!E117</f>
        <v>0</v>
      </c>
      <c r="F117" s="225">
        <f>'dod3'!F117-'dod3 - до МВК'!F117</f>
        <v>0</v>
      </c>
      <c r="G117" s="225">
        <f>'dod3'!G117-'dod3 - до МВК'!G117</f>
        <v>0</v>
      </c>
      <c r="H117" s="225">
        <f>'dod3'!H117-'dod3 - до МВК'!H117</f>
        <v>0</v>
      </c>
      <c r="I117" s="225">
        <f>'dod3'!I117-'dod3 - до МВК'!I117</f>
        <v>0</v>
      </c>
      <c r="J117" s="225">
        <f>'dod3'!J117-'dod3 - до МВК'!J117</f>
        <v>0</v>
      </c>
      <c r="K117" s="225">
        <f>'dod3'!K117-'dod3 - до МВК'!K117</f>
        <v>0</v>
      </c>
      <c r="L117" s="225">
        <f>'dod3'!L117-'dod3 - до МВК'!L117</f>
        <v>0</v>
      </c>
      <c r="M117" s="225">
        <f>'dod3'!M117-'dod3 - до МВК'!M117</f>
        <v>0</v>
      </c>
      <c r="N117" s="225">
        <f>'dod3'!N117-'dod3 - до МВК'!N117</f>
        <v>0</v>
      </c>
      <c r="O117" s="225">
        <f>'dod3'!O117-'dod3 - до МВК'!O117</f>
        <v>0</v>
      </c>
      <c r="P117" s="225">
        <f>'dod3'!P117-'dod3 - до МВК'!P117</f>
        <v>0</v>
      </c>
    </row>
    <row r="118" spans="1:16" ht="183" x14ac:dyDescent="0.2">
      <c r="A118" s="270" t="s">
        <v>50</v>
      </c>
      <c r="B118" s="270" t="s">
        <v>289</v>
      </c>
      <c r="C118" s="270" t="s">
        <v>291</v>
      </c>
      <c r="D118" s="270" t="s">
        <v>78</v>
      </c>
      <c r="E118" s="225">
        <f>'dod3'!E118-'dod3 - до МВК'!E118</f>
        <v>0</v>
      </c>
      <c r="F118" s="225">
        <f>'dod3'!F118-'dod3 - до МВК'!F118</f>
        <v>0</v>
      </c>
      <c r="G118" s="225">
        <f>'dod3'!G118-'dod3 - до МВК'!G118</f>
        <v>0</v>
      </c>
      <c r="H118" s="225">
        <f>'dod3'!H118-'dod3 - до МВК'!H118</f>
        <v>0</v>
      </c>
      <c r="I118" s="225">
        <f>'dod3'!I118-'dod3 - до МВК'!I118</f>
        <v>0</v>
      </c>
      <c r="J118" s="225">
        <f>'dod3'!J118-'dod3 - до МВК'!J118</f>
        <v>0</v>
      </c>
      <c r="K118" s="225">
        <f>'dod3'!K118-'dod3 - до МВК'!K118</f>
        <v>0</v>
      </c>
      <c r="L118" s="225">
        <f>'dod3'!L118-'dod3 - до МВК'!L118</f>
        <v>0</v>
      </c>
      <c r="M118" s="225">
        <f>'dod3'!M118-'dod3 - до МВК'!M118</f>
        <v>0</v>
      </c>
      <c r="N118" s="225">
        <f>'dod3'!N118-'dod3 - до МВК'!N118</f>
        <v>0</v>
      </c>
      <c r="O118" s="225">
        <f>'dod3'!O118-'dod3 - до МВК'!O118</f>
        <v>0</v>
      </c>
      <c r="P118" s="225">
        <f>'dod3'!P118-'dod3 - до МВК'!P118</f>
        <v>0</v>
      </c>
    </row>
    <row r="119" spans="1:16" ht="320.25" x14ac:dyDescent="0.2">
      <c r="A119" s="270" t="s">
        <v>917</v>
      </c>
      <c r="B119" s="270" t="s">
        <v>918</v>
      </c>
      <c r="C119" s="270" t="s">
        <v>291</v>
      </c>
      <c r="D119" s="270" t="s">
        <v>919</v>
      </c>
      <c r="E119" s="225">
        <f>'dod3'!E119-'dod3 - до МВК'!E119</f>
        <v>0</v>
      </c>
      <c r="F119" s="225">
        <f>'dod3'!F119-'dod3 - до МВК'!F119</f>
        <v>0</v>
      </c>
      <c r="G119" s="225">
        <f>'dod3'!G119-'dod3 - до МВК'!G119</f>
        <v>0</v>
      </c>
      <c r="H119" s="225">
        <f>'dod3'!H119-'dod3 - до МВК'!H119</f>
        <v>0</v>
      </c>
      <c r="I119" s="225">
        <f>'dod3'!I119-'dod3 - до МВК'!I119</f>
        <v>0</v>
      </c>
      <c r="J119" s="225">
        <f>'dod3'!J119-'dod3 - до МВК'!J119</f>
        <v>0</v>
      </c>
      <c r="K119" s="225">
        <f>'dod3'!K119-'dod3 - до МВК'!K119</f>
        <v>0</v>
      </c>
      <c r="L119" s="225">
        <f>'dod3'!L119-'dod3 - до МВК'!L119</f>
        <v>0</v>
      </c>
      <c r="M119" s="225">
        <f>'dod3'!M119-'dod3 - до МВК'!M119</f>
        <v>0</v>
      </c>
      <c r="N119" s="225">
        <f>'dod3'!N119-'dod3 - до МВК'!N119</f>
        <v>0</v>
      </c>
      <c r="O119" s="225">
        <f>'dod3'!O119-'dod3 - до МВК'!O119</f>
        <v>0</v>
      </c>
      <c r="P119" s="225">
        <f>'dod3'!P119-'dod3 - до МВК'!P119</f>
        <v>0</v>
      </c>
    </row>
    <row r="120" spans="1:16" ht="274.5" x14ac:dyDescent="0.2">
      <c r="A120" s="204" t="s">
        <v>51</v>
      </c>
      <c r="B120" s="204" t="s">
        <v>290</v>
      </c>
      <c r="C120" s="204" t="s">
        <v>291</v>
      </c>
      <c r="D120" s="270" t="s">
        <v>52</v>
      </c>
      <c r="E120" s="225">
        <f>'dod3'!E120-'dod3 - до МВК'!E120</f>
        <v>0</v>
      </c>
      <c r="F120" s="225">
        <f>'dod3'!F120-'dod3 - до МВК'!F120</f>
        <v>0</v>
      </c>
      <c r="G120" s="225">
        <f>'dod3'!G120-'dod3 - до МВК'!G120</f>
        <v>0</v>
      </c>
      <c r="H120" s="225">
        <f>'dod3'!H120-'dod3 - до МВК'!H120</f>
        <v>0</v>
      </c>
      <c r="I120" s="225">
        <f>'dod3'!I120-'dod3 - до МВК'!I120</f>
        <v>0</v>
      </c>
      <c r="J120" s="225">
        <f>'dod3'!J120-'dod3 - до МВК'!J120</f>
        <v>0</v>
      </c>
      <c r="K120" s="225">
        <f>'dod3'!K120-'dod3 - до МВК'!K120</f>
        <v>0</v>
      </c>
      <c r="L120" s="225">
        <f>'dod3'!L120-'dod3 - до МВК'!L120</f>
        <v>0</v>
      </c>
      <c r="M120" s="225">
        <f>'dod3'!M120-'dod3 - до МВК'!M120</f>
        <v>0</v>
      </c>
      <c r="N120" s="225">
        <f>'dod3'!N120-'dod3 - до МВК'!N120</f>
        <v>0</v>
      </c>
      <c r="O120" s="225">
        <f>'dod3'!O120-'dod3 - до МВК'!O120</f>
        <v>0</v>
      </c>
      <c r="P120" s="225">
        <f>'dod3'!P120-'dod3 - до МВК'!P120</f>
        <v>0</v>
      </c>
    </row>
    <row r="121" spans="1:16" ht="91.5" x14ac:dyDescent="0.2">
      <c r="A121" s="204" t="s">
        <v>53</v>
      </c>
      <c r="B121" s="204" t="s">
        <v>292</v>
      </c>
      <c r="C121" s="204" t="s">
        <v>291</v>
      </c>
      <c r="D121" s="270" t="s">
        <v>54</v>
      </c>
      <c r="E121" s="225">
        <f>'dod3'!E121-'dod3 - до МВК'!E121</f>
        <v>0</v>
      </c>
      <c r="F121" s="225">
        <f>'dod3'!F121-'dod3 - до МВК'!F121</f>
        <v>0</v>
      </c>
      <c r="G121" s="225">
        <f>'dod3'!G121-'dod3 - до МВК'!G121</f>
        <v>0</v>
      </c>
      <c r="H121" s="225">
        <f>'dod3'!H121-'dod3 - до МВК'!H121</f>
        <v>0</v>
      </c>
      <c r="I121" s="225">
        <f>'dod3'!I121-'dod3 - до МВК'!I121</f>
        <v>0</v>
      </c>
      <c r="J121" s="225">
        <f>'dod3'!J121-'dod3 - до МВК'!J121</f>
        <v>0</v>
      </c>
      <c r="K121" s="225">
        <f>'dod3'!K121-'dod3 - до МВК'!K121</f>
        <v>0</v>
      </c>
      <c r="L121" s="225">
        <f>'dod3'!L121-'dod3 - до МВК'!L121</f>
        <v>0</v>
      </c>
      <c r="M121" s="225">
        <f>'dod3'!M121-'dod3 - до МВК'!M121</f>
        <v>0</v>
      </c>
      <c r="N121" s="225">
        <f>'dod3'!N121-'dod3 - до МВК'!N121</f>
        <v>0</v>
      </c>
      <c r="O121" s="225">
        <f>'dod3'!O121-'dod3 - до МВК'!O121</f>
        <v>0</v>
      </c>
      <c r="P121" s="225">
        <f>'dod3'!P121-'dod3 - до МВК'!P121</f>
        <v>0</v>
      </c>
    </row>
    <row r="122" spans="1:16" ht="274.5" x14ac:dyDescent="0.2">
      <c r="A122" s="204" t="s">
        <v>544</v>
      </c>
      <c r="B122" s="204" t="s">
        <v>543</v>
      </c>
      <c r="C122" s="204" t="s">
        <v>542</v>
      </c>
      <c r="D122" s="270" t="s">
        <v>541</v>
      </c>
      <c r="E122" s="225">
        <f>'dod3'!E122-'dod3 - до МВК'!E122</f>
        <v>0</v>
      </c>
      <c r="F122" s="225">
        <f>'dod3'!F122-'dod3 - до МВК'!F122</f>
        <v>0</v>
      </c>
      <c r="G122" s="225">
        <f>'dod3'!G122-'dod3 - до МВК'!G122</f>
        <v>0</v>
      </c>
      <c r="H122" s="225">
        <f>'dod3'!H122-'dod3 - до МВК'!H122</f>
        <v>0</v>
      </c>
      <c r="I122" s="225">
        <f>'dod3'!I122-'dod3 - до МВК'!I122</f>
        <v>0</v>
      </c>
      <c r="J122" s="225">
        <f>'dod3'!J122-'dod3 - до МВК'!J122</f>
        <v>0</v>
      </c>
      <c r="K122" s="225">
        <f>'dod3'!K122-'dod3 - до МВК'!K122</f>
        <v>0</v>
      </c>
      <c r="L122" s="225">
        <f>'dod3'!L122-'dod3 - до МВК'!L122</f>
        <v>0</v>
      </c>
      <c r="M122" s="225">
        <f>'dod3'!M122-'dod3 - до МВК'!M122</f>
        <v>0</v>
      </c>
      <c r="N122" s="225">
        <f>'dod3'!N122-'dod3 - до МВК'!N122</f>
        <v>0</v>
      </c>
      <c r="O122" s="225">
        <f>'dod3'!O122-'dod3 - до МВК'!O122</f>
        <v>0</v>
      </c>
      <c r="P122" s="225">
        <f>'dod3'!P122-'dod3 - до МВК'!P122</f>
        <v>0</v>
      </c>
    </row>
    <row r="123" spans="1:16" ht="91.5" x14ac:dyDescent="0.2">
      <c r="A123" s="270" t="s">
        <v>920</v>
      </c>
      <c r="B123" s="270" t="s">
        <v>293</v>
      </c>
      <c r="C123" s="270" t="s">
        <v>256</v>
      </c>
      <c r="D123" s="270" t="s">
        <v>57</v>
      </c>
      <c r="E123" s="225">
        <f>'dod3'!E123-'dod3 - до МВК'!E123</f>
        <v>0</v>
      </c>
      <c r="F123" s="225">
        <f>'dod3'!F123-'dod3 - до МВК'!F123</f>
        <v>0</v>
      </c>
      <c r="G123" s="225">
        <f>'dod3'!G123-'dod3 - до МВК'!G123</f>
        <v>0</v>
      </c>
      <c r="H123" s="225">
        <f>'dod3'!H123-'dod3 - до МВК'!H123</f>
        <v>0</v>
      </c>
      <c r="I123" s="225">
        <f>'dod3'!I123-'dod3 - до МВК'!I123</f>
        <v>0</v>
      </c>
      <c r="J123" s="225">
        <f>'dod3'!J123-'dod3 - до МВК'!J123</f>
        <v>0</v>
      </c>
      <c r="K123" s="225">
        <f>'dod3'!K123-'dod3 - до МВК'!K123</f>
        <v>0</v>
      </c>
      <c r="L123" s="225">
        <f>'dod3'!L123-'dod3 - до МВК'!L123</f>
        <v>0</v>
      </c>
      <c r="M123" s="225">
        <f>'dod3'!M123-'dod3 - до МВК'!M123</f>
        <v>0</v>
      </c>
      <c r="N123" s="225">
        <f>'dod3'!N123-'dod3 - до МВК'!N123</f>
        <v>0</v>
      </c>
      <c r="O123" s="225">
        <f>'dod3'!O123-'dod3 - до МВК'!O123</f>
        <v>0</v>
      </c>
      <c r="P123" s="225">
        <f>'dod3'!P123-'dod3 - до МВК'!P123</f>
        <v>0</v>
      </c>
    </row>
    <row r="124" spans="1:16" ht="180" x14ac:dyDescent="0.2">
      <c r="A124" s="296" t="s">
        <v>244</v>
      </c>
      <c r="B124" s="296"/>
      <c r="C124" s="296"/>
      <c r="D124" s="296" t="s">
        <v>42</v>
      </c>
      <c r="E124" s="298">
        <f>E125</f>
        <v>0</v>
      </c>
      <c r="F124" s="298">
        <f t="shared" ref="F124:G124" si="36">F125</f>
        <v>0</v>
      </c>
      <c r="G124" s="298">
        <f t="shared" si="36"/>
        <v>0</v>
      </c>
      <c r="H124" s="298">
        <f>H125</f>
        <v>0</v>
      </c>
      <c r="I124" s="298">
        <f t="shared" ref="I124" si="37">I125</f>
        <v>0</v>
      </c>
      <c r="J124" s="298">
        <f>J125</f>
        <v>0</v>
      </c>
      <c r="K124" s="298">
        <f>K125</f>
        <v>0</v>
      </c>
      <c r="L124" s="298">
        <f>L125</f>
        <v>0</v>
      </c>
      <c r="M124" s="298">
        <f t="shared" ref="M124" si="38">M125</f>
        <v>0</v>
      </c>
      <c r="N124" s="298">
        <f>N125</f>
        <v>0</v>
      </c>
      <c r="O124" s="298">
        <f>O125</f>
        <v>0</v>
      </c>
      <c r="P124" s="302">
        <f t="shared" ref="P124" si="39">P125</f>
        <v>0</v>
      </c>
    </row>
    <row r="125" spans="1:16" ht="180" x14ac:dyDescent="0.2">
      <c r="A125" s="299" t="s">
        <v>245</v>
      </c>
      <c r="B125" s="299"/>
      <c r="C125" s="299"/>
      <c r="D125" s="299" t="s">
        <v>63</v>
      </c>
      <c r="E125" s="301">
        <f>SUM(E126:E144)</f>
        <v>0</v>
      </c>
      <c r="F125" s="301">
        <f>SUM(F126:F144)</f>
        <v>0</v>
      </c>
      <c r="G125" s="301">
        <f>SUM(G126:G144)</f>
        <v>0</v>
      </c>
      <c r="H125" s="301">
        <f>SUM(H126:H144)</f>
        <v>0</v>
      </c>
      <c r="I125" s="301">
        <f>SUM(I126:I144)</f>
        <v>0</v>
      </c>
      <c r="J125" s="301">
        <f t="shared" ref="J125:J142" si="40">L125+O125</f>
        <v>0</v>
      </c>
      <c r="K125" s="301">
        <f>SUM(K126:K144)</f>
        <v>0</v>
      </c>
      <c r="L125" s="301">
        <f>SUM(L126:L144)</f>
        <v>0</v>
      </c>
      <c r="M125" s="301">
        <f>SUM(M126:M144)</f>
        <v>0</v>
      </c>
      <c r="N125" s="301">
        <f>SUM(N126:N144)</f>
        <v>0</v>
      </c>
      <c r="O125" s="301">
        <f>SUM(O126:O144)</f>
        <v>0</v>
      </c>
      <c r="P125" s="301">
        <f>E125+J125</f>
        <v>0</v>
      </c>
    </row>
    <row r="126" spans="1:16" ht="228.75" x14ac:dyDescent="0.2">
      <c r="A126" s="270" t="s">
        <v>743</v>
      </c>
      <c r="B126" s="270" t="s">
        <v>341</v>
      </c>
      <c r="C126" s="270" t="s">
        <v>339</v>
      </c>
      <c r="D126" s="270" t="s">
        <v>340</v>
      </c>
      <c r="E126" s="225">
        <f>'dod3'!E126-'dod3 - до МВК'!E126</f>
        <v>0</v>
      </c>
      <c r="F126" s="225">
        <f>'dod3'!F126-'dod3 - до МВК'!F126</f>
        <v>0</v>
      </c>
      <c r="G126" s="225">
        <f>'dod3'!G126-'dod3 - до МВК'!G126</f>
        <v>0</v>
      </c>
      <c r="H126" s="225">
        <f>'dod3'!H126-'dod3 - до МВК'!H126</f>
        <v>0</v>
      </c>
      <c r="I126" s="225">
        <f>'dod3'!I126-'dod3 - до МВК'!I126</f>
        <v>0</v>
      </c>
      <c r="J126" s="225">
        <f>'dod3'!J126-'dod3 - до МВК'!J126</f>
        <v>0</v>
      </c>
      <c r="K126" s="225">
        <f>'dod3'!K126-'dod3 - до МВК'!K126</f>
        <v>0</v>
      </c>
      <c r="L126" s="225">
        <f>'dod3'!L126-'dod3 - до МВК'!L126</f>
        <v>0</v>
      </c>
      <c r="M126" s="225">
        <f>'dod3'!M126-'dod3 - до МВК'!M126</f>
        <v>0</v>
      </c>
      <c r="N126" s="225">
        <f>'dod3'!N126-'dod3 - до МВК'!N126</f>
        <v>0</v>
      </c>
      <c r="O126" s="225">
        <f>'dod3'!O126-'dod3 - до МВК'!O126</f>
        <v>0</v>
      </c>
      <c r="P126" s="225">
        <f>'dod3'!P126-'dod3 - до МВК'!P126</f>
        <v>0</v>
      </c>
    </row>
    <row r="127" spans="1:16" ht="91.5" x14ac:dyDescent="0.2">
      <c r="A127" s="270" t="s">
        <v>843</v>
      </c>
      <c r="B127" s="270" t="s">
        <v>71</v>
      </c>
      <c r="C127" s="270" t="s">
        <v>70</v>
      </c>
      <c r="D127" s="270" t="s">
        <v>354</v>
      </c>
      <c r="E127" s="225">
        <f>'dod3'!E127-'dod3 - до МВК'!E127</f>
        <v>0</v>
      </c>
      <c r="F127" s="225">
        <f>'dod3'!F127-'dod3 - до МВК'!F127</f>
        <v>0</v>
      </c>
      <c r="G127" s="225">
        <f>'dod3'!G127-'dod3 - до МВК'!G127</f>
        <v>0</v>
      </c>
      <c r="H127" s="225">
        <f>'dod3'!H127-'dod3 - до МВК'!H127</f>
        <v>0</v>
      </c>
      <c r="I127" s="225">
        <f>'dod3'!I127-'dod3 - до МВК'!I127</f>
        <v>0</v>
      </c>
      <c r="J127" s="225">
        <f>'dod3'!J127-'dod3 - до МВК'!J127</f>
        <v>0</v>
      </c>
      <c r="K127" s="225">
        <f>'dod3'!K127-'dod3 - до МВК'!K127</f>
        <v>0</v>
      </c>
      <c r="L127" s="225">
        <f>'dod3'!L127-'dod3 - до МВК'!L127</f>
        <v>0</v>
      </c>
      <c r="M127" s="225">
        <f>'dod3'!M127-'dod3 - до МВК'!M127</f>
        <v>0</v>
      </c>
      <c r="N127" s="225">
        <f>'dod3'!N127-'dod3 - до МВК'!N127</f>
        <v>0</v>
      </c>
      <c r="O127" s="225">
        <f>'dod3'!O127-'dod3 - до МВК'!O127</f>
        <v>0</v>
      </c>
      <c r="P127" s="225">
        <f>'dod3'!P127-'dod3 - до МВК'!P127</f>
        <v>0</v>
      </c>
    </row>
    <row r="128" spans="1:16" ht="137.25" x14ac:dyDescent="0.2">
      <c r="A128" s="270" t="s">
        <v>417</v>
      </c>
      <c r="B128" s="270" t="s">
        <v>418</v>
      </c>
      <c r="C128" s="270" t="s">
        <v>542</v>
      </c>
      <c r="D128" s="270" t="s">
        <v>419</v>
      </c>
      <c r="E128" s="225">
        <f>'dod3'!E128-'dod3 - до МВК'!E128</f>
        <v>0</v>
      </c>
      <c r="F128" s="225">
        <f>'dod3'!F128-'dod3 - до МВК'!F128</f>
        <v>0</v>
      </c>
      <c r="G128" s="225">
        <f>'dod3'!G128-'dod3 - до МВК'!G128</f>
        <v>0</v>
      </c>
      <c r="H128" s="225">
        <f>'dod3'!H128-'dod3 - до МВК'!H128</f>
        <v>0</v>
      </c>
      <c r="I128" s="225">
        <f>'dod3'!I128-'dod3 - до МВК'!I128</f>
        <v>0</v>
      </c>
      <c r="J128" s="225">
        <f>'dod3'!J128-'dod3 - до МВК'!J128</f>
        <v>0</v>
      </c>
      <c r="K128" s="225">
        <f>'dod3'!K128-'dod3 - до МВК'!K128</f>
        <v>0</v>
      </c>
      <c r="L128" s="225">
        <f>'dod3'!L128-'dod3 - до МВК'!L128</f>
        <v>0</v>
      </c>
      <c r="M128" s="225">
        <f>'dod3'!M128-'dod3 - до МВК'!M128</f>
        <v>0</v>
      </c>
      <c r="N128" s="225">
        <f>'dod3'!N128-'dod3 - до МВК'!N128</f>
        <v>0</v>
      </c>
      <c r="O128" s="225">
        <f>'dod3'!O128-'dod3 - до МВК'!O128</f>
        <v>0</v>
      </c>
      <c r="P128" s="225">
        <f>'dod3'!P128-'dod3 - до МВК'!P128</f>
        <v>0</v>
      </c>
    </row>
    <row r="129" spans="1:16" ht="183" x14ac:dyDescent="0.2">
      <c r="A129" s="270" t="s">
        <v>641</v>
      </c>
      <c r="B129" s="270" t="s">
        <v>642</v>
      </c>
      <c r="C129" s="270" t="s">
        <v>420</v>
      </c>
      <c r="D129" s="270" t="s">
        <v>643</v>
      </c>
      <c r="E129" s="225">
        <f>'dod3'!E129-'dod3 - до МВК'!E129</f>
        <v>0</v>
      </c>
      <c r="F129" s="225">
        <f>'dod3'!F129-'dod3 - до МВК'!F129</f>
        <v>0</v>
      </c>
      <c r="G129" s="225">
        <f>'dod3'!G129-'dod3 - до МВК'!G129</f>
        <v>0</v>
      </c>
      <c r="H129" s="225">
        <f>'dod3'!H129-'dod3 - до МВК'!H129</f>
        <v>0</v>
      </c>
      <c r="I129" s="225">
        <f>'dod3'!I129-'dod3 - до МВК'!I129</f>
        <v>0</v>
      </c>
      <c r="J129" s="225">
        <f>'dod3'!J129-'dod3 - до МВК'!J129</f>
        <v>0</v>
      </c>
      <c r="K129" s="225">
        <f>'dod3'!K129-'dod3 - до МВК'!K129</f>
        <v>0</v>
      </c>
      <c r="L129" s="225">
        <f>'dod3'!L129-'dod3 - до МВК'!L129</f>
        <v>0</v>
      </c>
      <c r="M129" s="225">
        <f>'dod3'!M129-'dod3 - до МВК'!M129</f>
        <v>0</v>
      </c>
      <c r="N129" s="225">
        <f>'dod3'!N129-'dod3 - до МВК'!N129</f>
        <v>0</v>
      </c>
      <c r="O129" s="225">
        <f>'dod3'!O129-'dod3 - до МВК'!O129</f>
        <v>0</v>
      </c>
      <c r="P129" s="225">
        <f>'dod3'!P129-'dod3 - до МВК'!P129</f>
        <v>0</v>
      </c>
    </row>
    <row r="130" spans="1:16" ht="137.25" x14ac:dyDescent="0.2">
      <c r="A130" s="270" t="s">
        <v>424</v>
      </c>
      <c r="B130" s="270" t="s">
        <v>425</v>
      </c>
      <c r="C130" s="270" t="s">
        <v>420</v>
      </c>
      <c r="D130" s="270" t="s">
        <v>426</v>
      </c>
      <c r="E130" s="225">
        <f>'dod3'!E130-'dod3 - до МВК'!E130</f>
        <v>0</v>
      </c>
      <c r="F130" s="225">
        <f>'dod3'!F130-'dod3 - до МВК'!F130</f>
        <v>0</v>
      </c>
      <c r="G130" s="225">
        <f>'dod3'!G130-'dod3 - до МВК'!G130</f>
        <v>0</v>
      </c>
      <c r="H130" s="225">
        <f>'dod3'!H130-'dod3 - до МВК'!H130</f>
        <v>0</v>
      </c>
      <c r="I130" s="225">
        <f>'dod3'!I130-'dod3 - до МВК'!I130</f>
        <v>0</v>
      </c>
      <c r="J130" s="225">
        <f>'dod3'!J130-'dod3 - до МВК'!J130</f>
        <v>0</v>
      </c>
      <c r="K130" s="225">
        <f>'dod3'!K130-'dod3 - до МВК'!K130</f>
        <v>0</v>
      </c>
      <c r="L130" s="225">
        <f>'dod3'!L130-'dod3 - до МВК'!L130</f>
        <v>0</v>
      </c>
      <c r="M130" s="225">
        <f>'dod3'!M130-'dod3 - до МВК'!M130</f>
        <v>0</v>
      </c>
      <c r="N130" s="225">
        <f>'dod3'!N130-'dod3 - до МВК'!N130</f>
        <v>0</v>
      </c>
      <c r="O130" s="225">
        <f>'dod3'!O130-'dod3 - до МВК'!O130</f>
        <v>0</v>
      </c>
      <c r="P130" s="225">
        <f>'dod3'!P130-'dod3 - до МВК'!P130</f>
        <v>0</v>
      </c>
    </row>
    <row r="131" spans="1:16" ht="137.25" x14ac:dyDescent="0.2">
      <c r="A131" s="270" t="s">
        <v>447</v>
      </c>
      <c r="B131" s="270" t="s">
        <v>448</v>
      </c>
      <c r="C131" s="270" t="s">
        <v>420</v>
      </c>
      <c r="D131" s="270" t="s">
        <v>449</v>
      </c>
      <c r="E131" s="225">
        <f>'dod3'!E131-'dod3 - до МВК'!E131</f>
        <v>0</v>
      </c>
      <c r="F131" s="225">
        <f>'dod3'!F131-'dod3 - до МВК'!F131</f>
        <v>0</v>
      </c>
      <c r="G131" s="225">
        <f>'dod3'!G131-'dod3 - до МВК'!G131</f>
        <v>0</v>
      </c>
      <c r="H131" s="225">
        <f>'dod3'!H131-'dod3 - до МВК'!H131</f>
        <v>0</v>
      </c>
      <c r="I131" s="225">
        <f>'dod3'!I131-'dod3 - до МВК'!I131</f>
        <v>0</v>
      </c>
      <c r="J131" s="225">
        <f>'dod3'!J131-'dod3 - до МВК'!J131</f>
        <v>0</v>
      </c>
      <c r="K131" s="225">
        <f>'dod3'!K131-'dod3 - до МВК'!K131</f>
        <v>0</v>
      </c>
      <c r="L131" s="225">
        <f>'dod3'!L131-'dod3 - до МВК'!L131</f>
        <v>0</v>
      </c>
      <c r="M131" s="225">
        <f>'dod3'!M131-'dod3 - до МВК'!M131</f>
        <v>0</v>
      </c>
      <c r="N131" s="225">
        <f>'dod3'!N131-'dod3 - до МВК'!N131</f>
        <v>0</v>
      </c>
      <c r="O131" s="225">
        <f>'dod3'!O131-'dod3 - до МВК'!O131</f>
        <v>0</v>
      </c>
      <c r="P131" s="225">
        <f>'dod3'!P131-'dod3 - до МВК'!P131</f>
        <v>0</v>
      </c>
    </row>
    <row r="132" spans="1:16" ht="183" x14ac:dyDescent="0.2">
      <c r="A132" s="270" t="s">
        <v>421</v>
      </c>
      <c r="B132" s="270" t="s">
        <v>422</v>
      </c>
      <c r="C132" s="270" t="s">
        <v>420</v>
      </c>
      <c r="D132" s="270" t="s">
        <v>423</v>
      </c>
      <c r="E132" s="225">
        <f>'dod3'!E132-'dod3 - до МВК'!E132</f>
        <v>0</v>
      </c>
      <c r="F132" s="225">
        <f>'dod3'!F132-'dod3 - до МВК'!F132</f>
        <v>0</v>
      </c>
      <c r="G132" s="225">
        <f>'dod3'!G132-'dod3 - до МВК'!G132</f>
        <v>0</v>
      </c>
      <c r="H132" s="225">
        <f>'dod3'!H132-'dod3 - до МВК'!H132</f>
        <v>0</v>
      </c>
      <c r="I132" s="225">
        <f>'dod3'!I132-'dod3 - до МВК'!I132</f>
        <v>0</v>
      </c>
      <c r="J132" s="225">
        <f>'dod3'!J132-'dod3 - до МВК'!J132</f>
        <v>0</v>
      </c>
      <c r="K132" s="225">
        <f>'dod3'!K132-'dod3 - до МВК'!K132</f>
        <v>0</v>
      </c>
      <c r="L132" s="225">
        <f>'dod3'!L132-'dod3 - до МВК'!L132</f>
        <v>0</v>
      </c>
      <c r="M132" s="225">
        <f>'dod3'!M132-'dod3 - до МВК'!M132</f>
        <v>0</v>
      </c>
      <c r="N132" s="225">
        <f>'dod3'!N132-'dod3 - до МВК'!N132</f>
        <v>0</v>
      </c>
      <c r="O132" s="225">
        <f>'dod3'!O132-'dod3 - до МВК'!O132</f>
        <v>0</v>
      </c>
      <c r="P132" s="225">
        <f>'dod3'!P132-'dod3 - до МВК'!P132</f>
        <v>0</v>
      </c>
    </row>
    <row r="133" spans="1:16" ht="228.75" x14ac:dyDescent="0.2">
      <c r="A133" s="270" t="s">
        <v>441</v>
      </c>
      <c r="B133" s="270" t="s">
        <v>442</v>
      </c>
      <c r="C133" s="270" t="s">
        <v>420</v>
      </c>
      <c r="D133" s="270" t="s">
        <v>443</v>
      </c>
      <c r="E133" s="225">
        <f>'dod3'!E133-'dod3 - до МВК'!E133</f>
        <v>0</v>
      </c>
      <c r="F133" s="225">
        <f>'dod3'!F133-'dod3 - до МВК'!F133</f>
        <v>0</v>
      </c>
      <c r="G133" s="225">
        <f>'dod3'!G133-'dod3 - до МВК'!G133</f>
        <v>0</v>
      </c>
      <c r="H133" s="225">
        <f>'dod3'!H133-'dod3 - до МВК'!H133</f>
        <v>0</v>
      </c>
      <c r="I133" s="225">
        <f>'dod3'!I133-'dod3 - до МВК'!I133</f>
        <v>0</v>
      </c>
      <c r="J133" s="225">
        <f>'dod3'!J133-'dod3 - до МВК'!J133</f>
        <v>0</v>
      </c>
      <c r="K133" s="225">
        <f>'dod3'!K133-'dod3 - до МВК'!K133</f>
        <v>0</v>
      </c>
      <c r="L133" s="225">
        <f>'dod3'!L133-'dod3 - до МВК'!L133</f>
        <v>0</v>
      </c>
      <c r="M133" s="225">
        <f>'dod3'!M133-'dod3 - до МВК'!M133</f>
        <v>0</v>
      </c>
      <c r="N133" s="225">
        <f>'dod3'!N133-'dod3 - до МВК'!N133</f>
        <v>0</v>
      </c>
      <c r="O133" s="225">
        <f>'dod3'!O133-'dod3 - до МВК'!O133</f>
        <v>0</v>
      </c>
      <c r="P133" s="225">
        <f>'dod3'!P133-'dod3 - до МВК'!P133</f>
        <v>0</v>
      </c>
    </row>
    <row r="134" spans="1:16" ht="91.5" x14ac:dyDescent="0.2">
      <c r="A134" s="270" t="s">
        <v>427</v>
      </c>
      <c r="B134" s="270" t="s">
        <v>428</v>
      </c>
      <c r="C134" s="270" t="s">
        <v>420</v>
      </c>
      <c r="D134" s="270" t="s">
        <v>429</v>
      </c>
      <c r="E134" s="225">
        <f>'dod3'!E134-'dod3 - до МВК'!E134</f>
        <v>0</v>
      </c>
      <c r="F134" s="225">
        <f>'dod3'!F134-'dod3 - до МВК'!F134</f>
        <v>0</v>
      </c>
      <c r="G134" s="225">
        <f>'dod3'!G134-'dod3 - до МВК'!G134</f>
        <v>0</v>
      </c>
      <c r="H134" s="225">
        <f>'dod3'!H134-'dod3 - до МВК'!H134</f>
        <v>0</v>
      </c>
      <c r="I134" s="225">
        <f>'dod3'!I134-'dod3 - до МВК'!I134</f>
        <v>0</v>
      </c>
      <c r="J134" s="225">
        <f>'dod3'!J134-'dod3 - до МВК'!J134</f>
        <v>0</v>
      </c>
      <c r="K134" s="225">
        <f>'dod3'!K134-'dod3 - до МВК'!K134</f>
        <v>0</v>
      </c>
      <c r="L134" s="225">
        <f>'dod3'!L134-'dod3 - до МВК'!L134</f>
        <v>0</v>
      </c>
      <c r="M134" s="225">
        <f>'dod3'!M134-'dod3 - до МВК'!M134</f>
        <v>0</v>
      </c>
      <c r="N134" s="225">
        <f>'dod3'!N134-'dod3 - до МВК'!N134</f>
        <v>0</v>
      </c>
      <c r="O134" s="225">
        <f>'dod3'!O134-'dod3 - до МВК'!O134</f>
        <v>0</v>
      </c>
      <c r="P134" s="225">
        <f>'dod3'!P134-'dod3 - до МВК'!P134</f>
        <v>0</v>
      </c>
    </row>
    <row r="135" spans="1:16" ht="92.25" x14ac:dyDescent="0.2">
      <c r="A135" s="270" t="s">
        <v>451</v>
      </c>
      <c r="B135" s="270" t="s">
        <v>452</v>
      </c>
      <c r="C135" s="270" t="s">
        <v>450</v>
      </c>
      <c r="D135" s="270" t="s">
        <v>453</v>
      </c>
      <c r="E135" s="225">
        <f>'dod3'!E135-'dod3 - до МВК'!E135</f>
        <v>0</v>
      </c>
      <c r="F135" s="225">
        <f>'dod3'!F135-'dod3 - до МВК'!F135</f>
        <v>0</v>
      </c>
      <c r="G135" s="225">
        <f>'dod3'!G135-'dod3 - до МВК'!G135</f>
        <v>0</v>
      </c>
      <c r="H135" s="225">
        <f>'dod3'!H135-'dod3 - до МВК'!H135</f>
        <v>0</v>
      </c>
      <c r="I135" s="225">
        <f>'dod3'!I135-'dod3 - до МВК'!I135</f>
        <v>0</v>
      </c>
      <c r="J135" s="225">
        <f>'dod3'!J135-'dod3 - до МВК'!J135</f>
        <v>0</v>
      </c>
      <c r="K135" s="225">
        <f>'dod3'!K135-'dod3 - до МВК'!K135</f>
        <v>0</v>
      </c>
      <c r="L135" s="225">
        <f>'dod3'!L135-'dod3 - до МВК'!L135</f>
        <v>0</v>
      </c>
      <c r="M135" s="225">
        <f>'dod3'!M135-'dod3 - до МВК'!M135</f>
        <v>0</v>
      </c>
      <c r="N135" s="225">
        <f>'dod3'!N135-'dod3 - до МВК'!N135</f>
        <v>0</v>
      </c>
      <c r="O135" s="225">
        <f>'dod3'!O135-'dod3 - до МВК'!O135</f>
        <v>0</v>
      </c>
      <c r="P135" s="225">
        <f>'dod3'!P135-'dod3 - до МВК'!P135</f>
        <v>0</v>
      </c>
    </row>
    <row r="136" spans="1:16" ht="137.25" x14ac:dyDescent="0.2">
      <c r="A136" s="270" t="s">
        <v>870</v>
      </c>
      <c r="B136" s="270" t="s">
        <v>572</v>
      </c>
      <c r="C136" s="270" t="s">
        <v>256</v>
      </c>
      <c r="D136" s="270" t="s">
        <v>398</v>
      </c>
      <c r="E136" s="225">
        <f>'dod3'!E136-'dod3 - до МВК'!E136</f>
        <v>0</v>
      </c>
      <c r="F136" s="225">
        <f>'dod3'!F136-'dod3 - до МВК'!F136</f>
        <v>0</v>
      </c>
      <c r="G136" s="225">
        <f>'dod3'!G136-'dod3 - до МВК'!G136</f>
        <v>0</v>
      </c>
      <c r="H136" s="225">
        <f>'dod3'!H136-'dod3 - до МВК'!H136</f>
        <v>0</v>
      </c>
      <c r="I136" s="225">
        <f>'dod3'!I136-'dod3 - до МВК'!I136</f>
        <v>0</v>
      </c>
      <c r="J136" s="225">
        <f>'dod3'!J136-'dod3 - до МВК'!J136</f>
        <v>0</v>
      </c>
      <c r="K136" s="225">
        <f>'dod3'!K136-'dod3 - до МВК'!K136</f>
        <v>0</v>
      </c>
      <c r="L136" s="225">
        <f>'dod3'!L136-'dod3 - до МВК'!L136</f>
        <v>0</v>
      </c>
      <c r="M136" s="225">
        <f>'dod3'!M136-'dod3 - до МВК'!M136</f>
        <v>0</v>
      </c>
      <c r="N136" s="225">
        <f>'dod3'!N136-'dod3 - до МВК'!N136</f>
        <v>0</v>
      </c>
      <c r="O136" s="225">
        <f>'dod3'!O136-'dod3 - до МВК'!O136</f>
        <v>0</v>
      </c>
      <c r="P136" s="225">
        <f>'dod3'!P136-'dod3 - до МВК'!P136</f>
        <v>0</v>
      </c>
    </row>
    <row r="137" spans="1:16" ht="91.5" x14ac:dyDescent="0.2">
      <c r="A137" s="270" t="s">
        <v>722</v>
      </c>
      <c r="B137" s="270" t="s">
        <v>723</v>
      </c>
      <c r="C137" s="270" t="s">
        <v>724</v>
      </c>
      <c r="D137" s="270" t="s">
        <v>725</v>
      </c>
      <c r="E137" s="225">
        <f>'dod3'!E137-'dod3 - до МВК'!E137</f>
        <v>0</v>
      </c>
      <c r="F137" s="225">
        <f>'dod3'!F137-'dod3 - до МВК'!F137</f>
        <v>0</v>
      </c>
      <c r="G137" s="225">
        <f>'dod3'!G137-'dod3 - до МВК'!G137</f>
        <v>0</v>
      </c>
      <c r="H137" s="225">
        <f>'dod3'!H137-'dod3 - до МВК'!H137</f>
        <v>0</v>
      </c>
      <c r="I137" s="225">
        <f>'dod3'!I137-'dod3 - до МВК'!I137</f>
        <v>0</v>
      </c>
      <c r="J137" s="225">
        <f>'dod3'!J137-'dod3 - до МВК'!J137</f>
        <v>0</v>
      </c>
      <c r="K137" s="225">
        <f>'dod3'!K137-'dod3 - до МВК'!K137</f>
        <v>0</v>
      </c>
      <c r="L137" s="225">
        <f>'dod3'!L137-'dod3 - до МВК'!L137</f>
        <v>0</v>
      </c>
      <c r="M137" s="225">
        <f>'dod3'!M137-'dod3 - до МВК'!M137</f>
        <v>0</v>
      </c>
      <c r="N137" s="225">
        <f>'dod3'!N137-'dod3 - до МВК'!N137</f>
        <v>0</v>
      </c>
      <c r="O137" s="225">
        <f>'dod3'!O137-'dod3 - до МВК'!O137</f>
        <v>0</v>
      </c>
      <c r="P137" s="225">
        <f>'dod3'!P137-'dod3 - до МВК'!P137</f>
        <v>0</v>
      </c>
    </row>
    <row r="138" spans="1:16" ht="91.5" x14ac:dyDescent="0.2">
      <c r="A138" s="270" t="s">
        <v>430</v>
      </c>
      <c r="B138" s="270" t="s">
        <v>431</v>
      </c>
      <c r="C138" s="270" t="s">
        <v>433</v>
      </c>
      <c r="D138" s="270" t="s">
        <v>432</v>
      </c>
      <c r="E138" s="225">
        <f>'dod3'!E138-'dod3 - до МВК'!E138</f>
        <v>0</v>
      </c>
      <c r="F138" s="225">
        <f>'dod3'!F138-'dod3 - до МВК'!F138</f>
        <v>0</v>
      </c>
      <c r="G138" s="225">
        <f>'dod3'!G138-'dod3 - до МВК'!G138</f>
        <v>0</v>
      </c>
      <c r="H138" s="225">
        <f>'dod3'!H138-'dod3 - до МВК'!H138</f>
        <v>0</v>
      </c>
      <c r="I138" s="225">
        <f>'dod3'!I138-'dod3 - до МВК'!I138</f>
        <v>0</v>
      </c>
      <c r="J138" s="225">
        <f>'dod3'!J138-'dod3 - до МВК'!J138</f>
        <v>0</v>
      </c>
      <c r="K138" s="225">
        <f>'dod3'!K138-'dod3 - до МВК'!K138</f>
        <v>0</v>
      </c>
      <c r="L138" s="225">
        <f>'dod3'!L138-'dod3 - до МВК'!L138</f>
        <v>0</v>
      </c>
      <c r="M138" s="225">
        <f>'dod3'!M138-'dod3 - до МВК'!M138</f>
        <v>0</v>
      </c>
      <c r="N138" s="225">
        <f>'dod3'!N138-'dod3 - до МВК'!N138</f>
        <v>0</v>
      </c>
      <c r="O138" s="225">
        <f>'dod3'!O138-'dod3 - до МВК'!O138</f>
        <v>0</v>
      </c>
      <c r="P138" s="225">
        <f>'dod3'!P138-'dod3 - до МВК'!P138</f>
        <v>0</v>
      </c>
    </row>
    <row r="139" spans="1:16" ht="228.75" x14ac:dyDescent="0.2">
      <c r="A139" s="270" t="s">
        <v>434</v>
      </c>
      <c r="B139" s="270" t="s">
        <v>435</v>
      </c>
      <c r="C139" s="270" t="s">
        <v>437</v>
      </c>
      <c r="D139" s="270" t="s">
        <v>436</v>
      </c>
      <c r="E139" s="225">
        <f>'dod3'!E139-'dod3 - до МВК'!E139</f>
        <v>0</v>
      </c>
      <c r="F139" s="225">
        <f>'dod3'!F139-'dod3 - до МВК'!F139</f>
        <v>0</v>
      </c>
      <c r="G139" s="225">
        <f>'dod3'!G139-'dod3 - до МВК'!G139</f>
        <v>0</v>
      </c>
      <c r="H139" s="225">
        <f>'dod3'!H139-'dod3 - до МВК'!H139</f>
        <v>0</v>
      </c>
      <c r="I139" s="225">
        <f>'dod3'!I139-'dod3 - до МВК'!I139</f>
        <v>0</v>
      </c>
      <c r="J139" s="225">
        <f>'dod3'!J139-'dod3 - до МВК'!J139</f>
        <v>-372000</v>
      </c>
      <c r="K139" s="225">
        <f>'dod3'!K139-'dod3 - до МВК'!K139</f>
        <v>-372000</v>
      </c>
      <c r="L139" s="225">
        <f>'dod3'!L139-'dod3 - до МВК'!L139</f>
        <v>0</v>
      </c>
      <c r="M139" s="225">
        <f>'dod3'!M139-'dod3 - до МВК'!M139</f>
        <v>0</v>
      </c>
      <c r="N139" s="225">
        <f>'dod3'!N139-'dod3 - до МВК'!N139</f>
        <v>0</v>
      </c>
      <c r="O139" s="225">
        <f>'dod3'!O139-'dod3 - до МВК'!O139</f>
        <v>-372000</v>
      </c>
      <c r="P139" s="225">
        <f>'dod3'!P139-'dod3 - до МВК'!P139</f>
        <v>-372000</v>
      </c>
    </row>
    <row r="140" spans="1:16" ht="46.5" x14ac:dyDescent="0.2">
      <c r="A140" s="270" t="s">
        <v>438</v>
      </c>
      <c r="B140" s="270" t="s">
        <v>317</v>
      </c>
      <c r="C140" s="270" t="s">
        <v>318</v>
      </c>
      <c r="D140" s="270" t="s">
        <v>67</v>
      </c>
      <c r="E140" s="225">
        <f>'dod3'!E140-'dod3 - до МВК'!E140</f>
        <v>0</v>
      </c>
      <c r="F140" s="225">
        <f>'dod3'!F140-'dod3 - до МВК'!F140</f>
        <v>0</v>
      </c>
      <c r="G140" s="225">
        <f>'dod3'!G140-'dod3 - до МВК'!G140</f>
        <v>0</v>
      </c>
      <c r="H140" s="225">
        <f>'dod3'!H140-'dod3 - до МВК'!H140</f>
        <v>0</v>
      </c>
      <c r="I140" s="225">
        <f>'dod3'!I140-'dod3 - до МВК'!I140</f>
        <v>0</v>
      </c>
      <c r="J140" s="225">
        <f>'dod3'!J140-'dod3 - до МВК'!J140</f>
        <v>0</v>
      </c>
      <c r="K140" s="225">
        <f>'dod3'!K140-'dod3 - до МВК'!K140</f>
        <v>0</v>
      </c>
      <c r="L140" s="225">
        <f>'dod3'!L140-'dod3 - до МВК'!L140</f>
        <v>0</v>
      </c>
      <c r="M140" s="225">
        <f>'dod3'!M140-'dod3 - до МВК'!M140</f>
        <v>0</v>
      </c>
      <c r="N140" s="225">
        <f>'dod3'!N140-'dod3 - до МВК'!N140</f>
        <v>0</v>
      </c>
      <c r="O140" s="225">
        <f>'dod3'!O140-'dod3 - до МВК'!O140</f>
        <v>0</v>
      </c>
      <c r="P140" s="225">
        <f>'dod3'!P140-'dod3 - до МВК'!P140</f>
        <v>0</v>
      </c>
    </row>
    <row r="141" spans="1:16" ht="91.5" x14ac:dyDescent="0.2">
      <c r="A141" s="270" t="s">
        <v>455</v>
      </c>
      <c r="B141" s="270" t="s">
        <v>293</v>
      </c>
      <c r="C141" s="270" t="s">
        <v>256</v>
      </c>
      <c r="D141" s="270" t="s">
        <v>57</v>
      </c>
      <c r="E141" s="225">
        <f>'dod3'!E141-'dod3 - до МВК'!E141</f>
        <v>0</v>
      </c>
      <c r="F141" s="225">
        <f>'dod3'!F141-'dod3 - до МВК'!F141</f>
        <v>0</v>
      </c>
      <c r="G141" s="225">
        <f>'dod3'!G141-'dod3 - до МВК'!G141</f>
        <v>0</v>
      </c>
      <c r="H141" s="225">
        <f>'dod3'!H141-'dod3 - до МВК'!H141</f>
        <v>0</v>
      </c>
      <c r="I141" s="225">
        <f>'dod3'!I141-'dod3 - до МВК'!I141</f>
        <v>0</v>
      </c>
      <c r="J141" s="225">
        <f>'dod3'!J141-'dod3 - до МВК'!J141</f>
        <v>372000</v>
      </c>
      <c r="K141" s="225">
        <f>'dod3'!K141-'dod3 - до МВК'!K141</f>
        <v>372000</v>
      </c>
      <c r="L141" s="225">
        <f>'dod3'!L141-'dod3 - до МВК'!L141</f>
        <v>0</v>
      </c>
      <c r="M141" s="225">
        <f>'dod3'!M141-'dod3 - до МВК'!M141</f>
        <v>0</v>
      </c>
      <c r="N141" s="225">
        <f>'dod3'!N141-'dod3 - до МВК'!N141</f>
        <v>0</v>
      </c>
      <c r="O141" s="225">
        <f>'dod3'!O141-'dod3 - до МВК'!O141</f>
        <v>372000</v>
      </c>
      <c r="P141" s="225">
        <f>'dod3'!P141-'dod3 - до МВК'!P141</f>
        <v>372000</v>
      </c>
    </row>
    <row r="142" spans="1:16" ht="409.5" x14ac:dyDescent="0.2">
      <c r="A142" s="422" t="s">
        <v>750</v>
      </c>
      <c r="B142" s="422" t="s">
        <v>538</v>
      </c>
      <c r="C142" s="422" t="s">
        <v>256</v>
      </c>
      <c r="D142" s="231" t="s">
        <v>549</v>
      </c>
      <c r="E142" s="416">
        <f>'dod3'!E142-'dod3 - до МВК'!E142</f>
        <v>0</v>
      </c>
      <c r="F142" s="416">
        <f>'dod3'!F142-'dod3 - до МВК'!F142</f>
        <v>0</v>
      </c>
      <c r="G142" s="416">
        <f>'dod3'!G142-'dod3 - до МВК'!G142</f>
        <v>0</v>
      </c>
      <c r="H142" s="416">
        <f>'dod3'!H142-'dod3 - до МВК'!H142</f>
        <v>0</v>
      </c>
      <c r="I142" s="416">
        <f>'dod3'!I142-'dod3 - до МВК'!I142</f>
        <v>0</v>
      </c>
      <c r="J142" s="416">
        <f>'dod3'!J142-'dod3 - до МВК'!J142</f>
        <v>0</v>
      </c>
      <c r="K142" s="416">
        <f>'dod3'!K142-'dod3 - до МВК'!K142</f>
        <v>0</v>
      </c>
      <c r="L142" s="416">
        <f>'dod3'!L142-'dod3 - до МВК'!L142</f>
        <v>0</v>
      </c>
      <c r="M142" s="416">
        <f>'dod3'!M142-'dod3 - до МВК'!M142</f>
        <v>0</v>
      </c>
      <c r="N142" s="416">
        <f>'dod3'!N142-'dod3 - до МВК'!N142</f>
        <v>0</v>
      </c>
      <c r="O142" s="416">
        <f>'dod3'!O142-'dod3 - до МВК'!O142</f>
        <v>0</v>
      </c>
      <c r="P142" s="416">
        <f>'dod3'!P142-'dod3 - до МВК'!P142</f>
        <v>0</v>
      </c>
    </row>
    <row r="143" spans="1:16" ht="137.25" x14ac:dyDescent="0.2">
      <c r="A143" s="428"/>
      <c r="B143" s="428"/>
      <c r="C143" s="428"/>
      <c r="D143" s="235" t="s">
        <v>550</v>
      </c>
      <c r="E143" s="403"/>
      <c r="F143" s="403"/>
      <c r="G143" s="403"/>
      <c r="H143" s="403"/>
      <c r="I143" s="403"/>
      <c r="J143" s="403"/>
      <c r="K143" s="403"/>
      <c r="L143" s="403"/>
      <c r="M143" s="403"/>
      <c r="N143" s="403"/>
      <c r="O143" s="403"/>
      <c r="P143" s="403"/>
    </row>
    <row r="144" spans="1:16" ht="91.5" x14ac:dyDescent="0.2">
      <c r="A144" s="270" t="s">
        <v>385</v>
      </c>
      <c r="B144" s="270" t="s">
        <v>386</v>
      </c>
      <c r="C144" s="270" t="s">
        <v>387</v>
      </c>
      <c r="D144" s="270" t="s">
        <v>384</v>
      </c>
      <c r="E144" s="225">
        <f>'dod3'!E144-'dod3 - до МВК'!E144</f>
        <v>0</v>
      </c>
      <c r="F144" s="225">
        <f>'dod3'!F144-'dod3 - до МВК'!F144</f>
        <v>0</v>
      </c>
      <c r="G144" s="225">
        <f>'dod3'!G144-'dod3 - до МВК'!G144</f>
        <v>0</v>
      </c>
      <c r="H144" s="225">
        <f>'dod3'!H144-'dod3 - до МВК'!H144</f>
        <v>0</v>
      </c>
      <c r="I144" s="225">
        <f>'dod3'!I144-'dod3 - до МВК'!I144</f>
        <v>0</v>
      </c>
      <c r="J144" s="225">
        <f>'dod3'!J144-'dod3 - до МВК'!J144</f>
        <v>0</v>
      </c>
      <c r="K144" s="225">
        <f>'dod3'!K144-'dod3 - до МВК'!K144</f>
        <v>0</v>
      </c>
      <c r="L144" s="225">
        <f>'dod3'!L144-'dod3 - до МВК'!L144</f>
        <v>0</v>
      </c>
      <c r="M144" s="225">
        <f>'dod3'!M144-'dod3 - до МВК'!M144</f>
        <v>0</v>
      </c>
      <c r="N144" s="225">
        <f>'dod3'!N144-'dod3 - до МВК'!N144</f>
        <v>0</v>
      </c>
      <c r="O144" s="225">
        <f>'dod3'!O144-'dod3 - до МВК'!O144</f>
        <v>0</v>
      </c>
      <c r="P144" s="225">
        <f>'dod3'!P144-'dod3 - до МВК'!P144</f>
        <v>0</v>
      </c>
    </row>
    <row r="145" spans="1:16" ht="315" x14ac:dyDescent="0.2">
      <c r="A145" s="296" t="s">
        <v>44</v>
      </c>
      <c r="B145" s="296"/>
      <c r="C145" s="296"/>
      <c r="D145" s="296" t="s">
        <v>635</v>
      </c>
      <c r="E145" s="298">
        <f>E146</f>
        <v>0</v>
      </c>
      <c r="F145" s="298">
        <f t="shared" ref="F145:G145" si="41">F146</f>
        <v>0</v>
      </c>
      <c r="G145" s="298">
        <f t="shared" si="41"/>
        <v>0</v>
      </c>
      <c r="H145" s="298">
        <f>H146</f>
        <v>0</v>
      </c>
      <c r="I145" s="298">
        <f t="shared" ref="I145" si="42">I146</f>
        <v>0</v>
      </c>
      <c r="J145" s="298">
        <f>J146</f>
        <v>0</v>
      </c>
      <c r="K145" s="298">
        <f>K146</f>
        <v>0</v>
      </c>
      <c r="L145" s="298">
        <f>L146</f>
        <v>0</v>
      </c>
      <c r="M145" s="298">
        <f t="shared" ref="M145" si="43">M146</f>
        <v>0</v>
      </c>
      <c r="N145" s="298">
        <f>N146</f>
        <v>0</v>
      </c>
      <c r="O145" s="298">
        <f>O146</f>
        <v>0</v>
      </c>
      <c r="P145" s="302">
        <f t="shared" ref="P145" si="44">P146</f>
        <v>0</v>
      </c>
    </row>
    <row r="146" spans="1:16" ht="270" x14ac:dyDescent="0.2">
      <c r="A146" s="299" t="s">
        <v>45</v>
      </c>
      <c r="B146" s="299"/>
      <c r="C146" s="299"/>
      <c r="D146" s="299" t="s">
        <v>634</v>
      </c>
      <c r="E146" s="301">
        <f>SUM(E147:E153)</f>
        <v>0</v>
      </c>
      <c r="F146" s="301">
        <f t="shared" ref="F146:O146" si="45">SUM(F147:F153)</f>
        <v>0</v>
      </c>
      <c r="G146" s="301">
        <f t="shared" si="45"/>
        <v>0</v>
      </c>
      <c r="H146" s="301">
        <f t="shared" si="45"/>
        <v>0</v>
      </c>
      <c r="I146" s="301">
        <f t="shared" si="45"/>
        <v>0</v>
      </c>
      <c r="J146" s="301">
        <f t="shared" ref="J146:J153" si="46">L146+O146</f>
        <v>0</v>
      </c>
      <c r="K146" s="301">
        <f t="shared" si="45"/>
        <v>0</v>
      </c>
      <c r="L146" s="301">
        <f t="shared" si="45"/>
        <v>0</v>
      </c>
      <c r="M146" s="301">
        <f t="shared" si="45"/>
        <v>0</v>
      </c>
      <c r="N146" s="301">
        <f t="shared" si="45"/>
        <v>0</v>
      </c>
      <c r="O146" s="301">
        <f t="shared" si="45"/>
        <v>0</v>
      </c>
      <c r="P146" s="301">
        <f t="shared" ref="P146:P153" si="47">E146+J146</f>
        <v>0</v>
      </c>
    </row>
    <row r="147" spans="1:16" ht="228.75" x14ac:dyDescent="0.2">
      <c r="A147" s="270" t="s">
        <v>739</v>
      </c>
      <c r="B147" s="270" t="s">
        <v>341</v>
      </c>
      <c r="C147" s="270" t="s">
        <v>339</v>
      </c>
      <c r="D147" s="270" t="s">
        <v>340</v>
      </c>
      <c r="E147" s="225">
        <f>'dod3'!E147-'dod3 - до МВК'!E147</f>
        <v>0</v>
      </c>
      <c r="F147" s="225">
        <f>'dod3'!F147-'dod3 - до МВК'!F147</f>
        <v>0</v>
      </c>
      <c r="G147" s="225">
        <f>'dod3'!G147-'dod3 - до МВК'!G147</f>
        <v>0</v>
      </c>
      <c r="H147" s="225">
        <f>'dod3'!H147-'dod3 - до МВК'!H147</f>
        <v>0</v>
      </c>
      <c r="I147" s="225">
        <f>'dod3'!I147-'dod3 - до МВК'!I147</f>
        <v>0</v>
      </c>
      <c r="J147" s="225">
        <f>'dod3'!J147-'dod3 - до МВК'!J147</f>
        <v>0</v>
      </c>
      <c r="K147" s="225">
        <f>'dod3'!K147-'dod3 - до МВК'!K147</f>
        <v>0</v>
      </c>
      <c r="L147" s="225">
        <f>'dod3'!L147-'dod3 - до МВК'!L147</f>
        <v>0</v>
      </c>
      <c r="M147" s="225">
        <f>'dod3'!M147-'dod3 - до МВК'!M147</f>
        <v>0</v>
      </c>
      <c r="N147" s="225">
        <f>'dod3'!N147-'dod3 - до МВК'!N147</f>
        <v>0</v>
      </c>
      <c r="O147" s="225">
        <f>'dod3'!O147-'dod3 - до МВК'!O147</f>
        <v>0</v>
      </c>
      <c r="P147" s="225">
        <f>'dod3'!P147-'dod3 - до МВК'!P147</f>
        <v>0</v>
      </c>
    </row>
    <row r="148" spans="1:16" ht="91.5" x14ac:dyDescent="0.2">
      <c r="A148" s="270" t="s">
        <v>840</v>
      </c>
      <c r="B148" s="270" t="s">
        <v>71</v>
      </c>
      <c r="C148" s="270" t="s">
        <v>70</v>
      </c>
      <c r="D148" s="270" t="s">
        <v>354</v>
      </c>
      <c r="E148" s="225">
        <f>'dod3'!E148-'dod3 - до МВК'!E148</f>
        <v>0</v>
      </c>
      <c r="F148" s="225">
        <f>'dod3'!F148-'dod3 - до МВК'!F148</f>
        <v>0</v>
      </c>
      <c r="G148" s="225">
        <f>'dod3'!G148-'dod3 - до МВК'!G148</f>
        <v>0</v>
      </c>
      <c r="H148" s="225">
        <f>'dod3'!H148-'dod3 - до МВК'!H148</f>
        <v>0</v>
      </c>
      <c r="I148" s="225">
        <f>'dod3'!I148-'dod3 - до МВК'!I148</f>
        <v>0</v>
      </c>
      <c r="J148" s="225">
        <f>'dod3'!J148-'dod3 - до МВК'!J148</f>
        <v>0</v>
      </c>
      <c r="K148" s="225">
        <f>'dod3'!K148-'dod3 - до МВК'!K148</f>
        <v>0</v>
      </c>
      <c r="L148" s="225">
        <f>'dod3'!L148-'dod3 - до МВК'!L148</f>
        <v>0</v>
      </c>
      <c r="M148" s="225">
        <f>'dod3'!M148-'dod3 - до МВК'!M148</f>
        <v>0</v>
      </c>
      <c r="N148" s="225">
        <f>'dod3'!N148-'dod3 - до МВК'!N148</f>
        <v>0</v>
      </c>
      <c r="O148" s="225">
        <f>'dod3'!O148-'dod3 - до МВК'!O148</f>
        <v>0</v>
      </c>
      <c r="P148" s="225">
        <f>'dod3'!P148-'dod3 - до МВК'!P148</f>
        <v>0</v>
      </c>
    </row>
    <row r="149" spans="1:16" ht="320.25" x14ac:dyDescent="0.2">
      <c r="A149" s="270" t="s">
        <v>846</v>
      </c>
      <c r="B149" s="270" t="s">
        <v>848</v>
      </c>
      <c r="C149" s="270" t="s">
        <v>291</v>
      </c>
      <c r="D149" s="270" t="s">
        <v>847</v>
      </c>
      <c r="E149" s="225">
        <f>'dod3'!E149-'dod3 - до МВК'!E149</f>
        <v>0</v>
      </c>
      <c r="F149" s="225">
        <f>'dod3'!F149-'dod3 - до МВК'!F149</f>
        <v>0</v>
      </c>
      <c r="G149" s="225">
        <f>'dod3'!G149-'dod3 - до МВК'!G149</f>
        <v>0</v>
      </c>
      <c r="H149" s="225">
        <f>'dod3'!H149-'dod3 - до МВК'!H149</f>
        <v>0</v>
      </c>
      <c r="I149" s="225">
        <f>'dod3'!I149-'dod3 - до МВК'!I149</f>
        <v>0</v>
      </c>
      <c r="J149" s="225">
        <f>'dod3'!J149-'dod3 - до МВК'!J149</f>
        <v>0</v>
      </c>
      <c r="K149" s="225">
        <f>'dod3'!K149-'dod3 - до МВК'!K149</f>
        <v>0</v>
      </c>
      <c r="L149" s="225">
        <f>'dod3'!L149-'dod3 - до МВК'!L149</f>
        <v>0</v>
      </c>
      <c r="M149" s="225">
        <f>'dod3'!M149-'dod3 - до МВК'!M149</f>
        <v>0</v>
      </c>
      <c r="N149" s="225">
        <f>'dod3'!N149-'dod3 - до МВК'!N149</f>
        <v>0</v>
      </c>
      <c r="O149" s="225">
        <f>'dod3'!O149-'dod3 - до МВК'!O149</f>
        <v>0</v>
      </c>
      <c r="P149" s="225">
        <f>'dod3'!P149-'dod3 - до МВК'!P149</f>
        <v>0</v>
      </c>
    </row>
    <row r="150" spans="1:16" ht="91.5" x14ac:dyDescent="0.2">
      <c r="A150" s="270" t="s">
        <v>469</v>
      </c>
      <c r="B150" s="270" t="s">
        <v>470</v>
      </c>
      <c r="C150" s="270" t="s">
        <v>450</v>
      </c>
      <c r="D150" s="270" t="s">
        <v>468</v>
      </c>
      <c r="E150" s="225">
        <f>'dod3'!E150-'dod3 - до МВК'!E150</f>
        <v>0</v>
      </c>
      <c r="F150" s="225">
        <f>'dod3'!F150-'dod3 - до МВК'!F150</f>
        <v>0</v>
      </c>
      <c r="G150" s="225">
        <f>'dod3'!G150-'dod3 - до МВК'!G150</f>
        <v>0</v>
      </c>
      <c r="H150" s="225">
        <f>'dod3'!H150-'dod3 - до МВК'!H150</f>
        <v>0</v>
      </c>
      <c r="I150" s="225">
        <f>'dod3'!I150-'dod3 - до МВК'!I150</f>
        <v>0</v>
      </c>
      <c r="J150" s="225">
        <f>'dod3'!J150-'dod3 - до МВК'!J150</f>
        <v>0</v>
      </c>
      <c r="K150" s="225">
        <f>'dod3'!K150-'dod3 - до МВК'!K150</f>
        <v>0</v>
      </c>
      <c r="L150" s="225">
        <f>'dod3'!L150-'dod3 - до МВК'!L150</f>
        <v>0</v>
      </c>
      <c r="M150" s="225">
        <f>'dod3'!M150-'dod3 - до МВК'!M150</f>
        <v>0</v>
      </c>
      <c r="N150" s="225">
        <f>'dod3'!N150-'dod3 - до МВК'!N150</f>
        <v>0</v>
      </c>
      <c r="O150" s="225">
        <f>'dod3'!O150-'dod3 - до МВК'!O150</f>
        <v>0</v>
      </c>
      <c r="P150" s="225">
        <f>'dod3'!P150-'dod3 - до МВК'!P150</f>
        <v>0</v>
      </c>
    </row>
    <row r="151" spans="1:16" ht="137.25" x14ac:dyDescent="0.2">
      <c r="A151" s="270" t="s">
        <v>471</v>
      </c>
      <c r="B151" s="270" t="s">
        <v>472</v>
      </c>
      <c r="C151" s="270" t="s">
        <v>450</v>
      </c>
      <c r="D151" s="270" t="s">
        <v>473</v>
      </c>
      <c r="E151" s="225">
        <f>'dod3'!E151-'dod3 - до МВК'!E151</f>
        <v>0</v>
      </c>
      <c r="F151" s="225">
        <f>'dod3'!F151-'dod3 - до МВК'!F151</f>
        <v>0</v>
      </c>
      <c r="G151" s="225">
        <f>'dod3'!G151-'dod3 - до МВК'!G151</f>
        <v>0</v>
      </c>
      <c r="H151" s="225">
        <f>'dod3'!H151-'dod3 - до МВК'!H151</f>
        <v>0</v>
      </c>
      <c r="I151" s="225">
        <f>'dod3'!I151-'dod3 - до МВК'!I151</f>
        <v>0</v>
      </c>
      <c r="J151" s="225">
        <f>'dod3'!J151-'dod3 - до МВК'!J151</f>
        <v>0</v>
      </c>
      <c r="K151" s="225">
        <f>'dod3'!K151-'dod3 - до МВК'!K151</f>
        <v>0</v>
      </c>
      <c r="L151" s="225">
        <f>'dod3'!L151-'dod3 - до МВК'!L151</f>
        <v>0</v>
      </c>
      <c r="M151" s="225">
        <f>'dod3'!M151-'dod3 - до МВК'!M151</f>
        <v>0</v>
      </c>
      <c r="N151" s="225">
        <f>'dod3'!N151-'dod3 - до МВК'!N151</f>
        <v>0</v>
      </c>
      <c r="O151" s="225">
        <f>'dod3'!O151-'dod3 - до МВК'!O151</f>
        <v>0</v>
      </c>
      <c r="P151" s="225">
        <f>'dod3'!P151-'dod3 - до МВК'!P151</f>
        <v>0</v>
      </c>
    </row>
    <row r="152" spans="1:16" ht="91.5" x14ac:dyDescent="0.2">
      <c r="A152" s="270" t="s">
        <v>475</v>
      </c>
      <c r="B152" s="270" t="s">
        <v>476</v>
      </c>
      <c r="C152" s="270" t="s">
        <v>450</v>
      </c>
      <c r="D152" s="270" t="s">
        <v>853</v>
      </c>
      <c r="E152" s="225">
        <f>'dod3'!E152-'dod3 - до МВК'!E152</f>
        <v>0</v>
      </c>
      <c r="F152" s="225">
        <f>'dod3'!F152-'dod3 - до МВК'!F152</f>
        <v>0</v>
      </c>
      <c r="G152" s="225">
        <f>'dod3'!G152-'dod3 - до МВК'!G152</f>
        <v>0</v>
      </c>
      <c r="H152" s="225">
        <f>'dod3'!H152-'dod3 - до МВК'!H152</f>
        <v>0</v>
      </c>
      <c r="I152" s="225">
        <f>'dod3'!I152-'dod3 - до МВК'!I152</f>
        <v>0</v>
      </c>
      <c r="J152" s="225">
        <f>'dod3'!J152-'dod3 - до МВК'!J152</f>
        <v>0</v>
      </c>
      <c r="K152" s="225">
        <f>'dod3'!K152-'dod3 - до МВК'!K152</f>
        <v>0</v>
      </c>
      <c r="L152" s="225">
        <f>'dod3'!L152-'dod3 - до МВК'!L152</f>
        <v>0</v>
      </c>
      <c r="M152" s="225">
        <f>'dod3'!M152-'dod3 - до МВК'!M152</f>
        <v>0</v>
      </c>
      <c r="N152" s="225">
        <f>'dod3'!N152-'dod3 - до МВК'!N152</f>
        <v>0</v>
      </c>
      <c r="O152" s="225">
        <f>'dod3'!O152-'dod3 - до МВК'!O152</f>
        <v>0</v>
      </c>
      <c r="P152" s="225">
        <f>'dod3'!P152-'dod3 - до МВК'!P152</f>
        <v>0</v>
      </c>
    </row>
    <row r="153" spans="1:16" ht="137.25" x14ac:dyDescent="0.2">
      <c r="A153" s="270" t="s">
        <v>845</v>
      </c>
      <c r="B153" s="270" t="s">
        <v>572</v>
      </c>
      <c r="C153" s="270" t="s">
        <v>256</v>
      </c>
      <c r="D153" s="270" t="s">
        <v>398</v>
      </c>
      <c r="E153" s="225">
        <f>'dod3'!E153-'dod3 - до МВК'!E153</f>
        <v>0</v>
      </c>
      <c r="F153" s="225">
        <f>'dod3'!F153-'dod3 - до МВК'!F153</f>
        <v>0</v>
      </c>
      <c r="G153" s="225">
        <f>'dod3'!G153-'dod3 - до МВК'!G153</f>
        <v>0</v>
      </c>
      <c r="H153" s="225">
        <f>'dod3'!H153-'dod3 - до МВК'!H153</f>
        <v>0</v>
      </c>
      <c r="I153" s="225">
        <f>'dod3'!I153-'dod3 - до МВК'!I153</f>
        <v>0</v>
      </c>
      <c r="J153" s="225">
        <f>'dod3'!J153-'dod3 - до МВК'!J153</f>
        <v>0</v>
      </c>
      <c r="K153" s="225">
        <f>'dod3'!K153-'dod3 - до МВК'!K153</f>
        <v>0</v>
      </c>
      <c r="L153" s="225">
        <f>'dod3'!L153-'dod3 - до МВК'!L153</f>
        <v>0</v>
      </c>
      <c r="M153" s="225">
        <f>'dod3'!M153-'dod3 - до МВК'!M153</f>
        <v>0</v>
      </c>
      <c r="N153" s="225">
        <f>'dod3'!N153-'dod3 - до МВК'!N153</f>
        <v>0</v>
      </c>
      <c r="O153" s="225">
        <f>'dod3'!O153-'dod3 - до МВК'!O153</f>
        <v>0</v>
      </c>
      <c r="P153" s="225">
        <f>'dod3'!P153-'dod3 - до МВК'!P153</f>
        <v>0</v>
      </c>
    </row>
    <row r="154" spans="1:16" ht="270" x14ac:dyDescent="0.2">
      <c r="A154" s="296" t="s">
        <v>246</v>
      </c>
      <c r="B154" s="296"/>
      <c r="C154" s="296"/>
      <c r="D154" s="296" t="s">
        <v>46</v>
      </c>
      <c r="E154" s="298">
        <f>E155</f>
        <v>0</v>
      </c>
      <c r="F154" s="298">
        <f t="shared" ref="F154:G154" si="48">F155</f>
        <v>0</v>
      </c>
      <c r="G154" s="298">
        <f t="shared" si="48"/>
        <v>0</v>
      </c>
      <c r="H154" s="298">
        <f>H155</f>
        <v>0</v>
      </c>
      <c r="I154" s="298">
        <f t="shared" ref="I154" si="49">I155</f>
        <v>0</v>
      </c>
      <c r="J154" s="298">
        <f>J155</f>
        <v>0</v>
      </c>
      <c r="K154" s="298">
        <f>K155</f>
        <v>0</v>
      </c>
      <c r="L154" s="298">
        <f>L155</f>
        <v>0</v>
      </c>
      <c r="M154" s="298">
        <f t="shared" ref="M154" si="50">M155</f>
        <v>0</v>
      </c>
      <c r="N154" s="298">
        <f>N155</f>
        <v>0</v>
      </c>
      <c r="O154" s="298">
        <f>O155</f>
        <v>0</v>
      </c>
      <c r="P154" s="302">
        <f t="shared" ref="P154" si="51">P155</f>
        <v>0</v>
      </c>
    </row>
    <row r="155" spans="1:16" ht="270" x14ac:dyDescent="0.2">
      <c r="A155" s="299" t="s">
        <v>247</v>
      </c>
      <c r="B155" s="299"/>
      <c r="C155" s="299"/>
      <c r="D155" s="299" t="s">
        <v>64</v>
      </c>
      <c r="E155" s="301">
        <f>SUM(E156:E157)</f>
        <v>0</v>
      </c>
      <c r="F155" s="301">
        <f t="shared" ref="F155:O155" si="52">SUM(F156:F157)</f>
        <v>0</v>
      </c>
      <c r="G155" s="301">
        <f t="shared" si="52"/>
        <v>0</v>
      </c>
      <c r="H155" s="301">
        <f t="shared" si="52"/>
        <v>0</v>
      </c>
      <c r="I155" s="301">
        <f t="shared" si="52"/>
        <v>0</v>
      </c>
      <c r="J155" s="301">
        <f>L155+O155</f>
        <v>0</v>
      </c>
      <c r="K155" s="301">
        <f t="shared" si="52"/>
        <v>0</v>
      </c>
      <c r="L155" s="301">
        <f t="shared" si="52"/>
        <v>0</v>
      </c>
      <c r="M155" s="301">
        <f t="shared" si="52"/>
        <v>0</v>
      </c>
      <c r="N155" s="301">
        <f t="shared" si="52"/>
        <v>0</v>
      </c>
      <c r="O155" s="301">
        <f t="shared" si="52"/>
        <v>0</v>
      </c>
      <c r="P155" s="301">
        <f>E155+J155</f>
        <v>0</v>
      </c>
    </row>
    <row r="156" spans="1:16" ht="228.75" x14ac:dyDescent="0.2">
      <c r="A156" s="270" t="s">
        <v>741</v>
      </c>
      <c r="B156" s="270" t="s">
        <v>341</v>
      </c>
      <c r="C156" s="270" t="s">
        <v>339</v>
      </c>
      <c r="D156" s="270" t="s">
        <v>340</v>
      </c>
      <c r="E156" s="225">
        <f>'dod3'!E156-'dod3 - до МВК'!E156</f>
        <v>0</v>
      </c>
      <c r="F156" s="225">
        <f>'dod3'!F156-'dod3 - до МВК'!F156</f>
        <v>0</v>
      </c>
      <c r="G156" s="225">
        <f>'dod3'!G156-'dod3 - до МВК'!G156</f>
        <v>0</v>
      </c>
      <c r="H156" s="225">
        <f>'dod3'!H156-'dod3 - до МВК'!H156</f>
        <v>0</v>
      </c>
      <c r="I156" s="225">
        <f>'dod3'!I156-'dod3 - до МВК'!I156</f>
        <v>0</v>
      </c>
      <c r="J156" s="225">
        <f>'dod3'!J156-'dod3 - до МВК'!J156</f>
        <v>0</v>
      </c>
      <c r="K156" s="225">
        <f>'dod3'!K156-'dod3 - до МВК'!K156</f>
        <v>0</v>
      </c>
      <c r="L156" s="225">
        <f>'dod3'!L156-'dod3 - до МВК'!L156</f>
        <v>0</v>
      </c>
      <c r="M156" s="225">
        <f>'dod3'!M156-'dod3 - до МВК'!M156</f>
        <v>0</v>
      </c>
      <c r="N156" s="225">
        <f>'dod3'!N156-'dod3 - до МВК'!N156</f>
        <v>0</v>
      </c>
      <c r="O156" s="225">
        <f>'dod3'!O156-'dod3 - до МВК'!O156</f>
        <v>0</v>
      </c>
      <c r="P156" s="225">
        <f>'dod3'!P156-'dod3 - до МВК'!P156</f>
        <v>0</v>
      </c>
    </row>
    <row r="157" spans="1:16" ht="137.25" x14ac:dyDescent="0.2">
      <c r="A157" s="270" t="s">
        <v>460</v>
      </c>
      <c r="B157" s="270" t="s">
        <v>461</v>
      </c>
      <c r="C157" s="270" t="s">
        <v>450</v>
      </c>
      <c r="D157" s="270" t="s">
        <v>462</v>
      </c>
      <c r="E157" s="225">
        <f>'dod3'!E157-'dod3 - до МВК'!E157</f>
        <v>0</v>
      </c>
      <c r="F157" s="225">
        <f>'dod3'!F157-'dod3 - до МВК'!F157</f>
        <v>0</v>
      </c>
      <c r="G157" s="225">
        <f>'dod3'!G157-'dod3 - до МВК'!G157</f>
        <v>0</v>
      </c>
      <c r="H157" s="225">
        <f>'dod3'!H157-'dod3 - до МВК'!H157</f>
        <v>0</v>
      </c>
      <c r="I157" s="225">
        <f>'dod3'!I157-'dod3 - до МВК'!I157</f>
        <v>0</v>
      </c>
      <c r="J157" s="225">
        <f>'dod3'!J157-'dod3 - до МВК'!J157</f>
        <v>0</v>
      </c>
      <c r="K157" s="225">
        <f>'dod3'!K157-'dod3 - до МВК'!K157</f>
        <v>0</v>
      </c>
      <c r="L157" s="225">
        <f>'dod3'!L157-'dod3 - до МВК'!L157</f>
        <v>0</v>
      </c>
      <c r="M157" s="225">
        <f>'dod3'!M157-'dod3 - до МВК'!M157</f>
        <v>0</v>
      </c>
      <c r="N157" s="225">
        <f>'dod3'!N157-'dod3 - до МВК'!N157</f>
        <v>0</v>
      </c>
      <c r="O157" s="225">
        <f>'dod3'!O157-'dod3 - до МВК'!O157</f>
        <v>0</v>
      </c>
      <c r="P157" s="225">
        <f>'dod3'!P157-'dod3 - до МВК'!P157</f>
        <v>0</v>
      </c>
    </row>
    <row r="158" spans="1:16" ht="135" x14ac:dyDescent="0.2">
      <c r="A158" s="296" t="s">
        <v>252</v>
      </c>
      <c r="B158" s="296"/>
      <c r="C158" s="296"/>
      <c r="D158" s="296" t="s">
        <v>577</v>
      </c>
      <c r="E158" s="298">
        <f>E159</f>
        <v>0</v>
      </c>
      <c r="F158" s="298">
        <f t="shared" ref="F158:G158" si="53">F159</f>
        <v>0</v>
      </c>
      <c r="G158" s="298">
        <f t="shared" si="53"/>
        <v>0</v>
      </c>
      <c r="H158" s="298">
        <f>H159</f>
        <v>0</v>
      </c>
      <c r="I158" s="298">
        <f t="shared" ref="I158" si="54">I159</f>
        <v>0</v>
      </c>
      <c r="J158" s="298">
        <f>J159</f>
        <v>0</v>
      </c>
      <c r="K158" s="298">
        <f>K159</f>
        <v>0</v>
      </c>
      <c r="L158" s="298">
        <f>L159</f>
        <v>0</v>
      </c>
      <c r="M158" s="298">
        <f t="shared" ref="M158" si="55">M159</f>
        <v>0</v>
      </c>
      <c r="N158" s="298">
        <f>N159</f>
        <v>0</v>
      </c>
      <c r="O158" s="298">
        <f>O159</f>
        <v>0</v>
      </c>
      <c r="P158" s="302">
        <f t="shared" ref="P158" si="56">P159</f>
        <v>0</v>
      </c>
    </row>
    <row r="159" spans="1:16" ht="135" x14ac:dyDescent="0.2">
      <c r="A159" s="299" t="s">
        <v>253</v>
      </c>
      <c r="B159" s="299"/>
      <c r="C159" s="299"/>
      <c r="D159" s="299" t="s">
        <v>578</v>
      </c>
      <c r="E159" s="301">
        <f>SUM(E160:E164)</f>
        <v>0</v>
      </c>
      <c r="F159" s="301">
        <f t="shared" ref="F159:O159" si="57">SUM(F160:F164)</f>
        <v>0</v>
      </c>
      <c r="G159" s="301">
        <f t="shared" si="57"/>
        <v>0</v>
      </c>
      <c r="H159" s="301">
        <f t="shared" si="57"/>
        <v>0</v>
      </c>
      <c r="I159" s="301">
        <f t="shared" si="57"/>
        <v>0</v>
      </c>
      <c r="J159" s="301">
        <f t="shared" ref="J159:J164" si="58">L159+O159</f>
        <v>0</v>
      </c>
      <c r="K159" s="301">
        <f t="shared" si="57"/>
        <v>0</v>
      </c>
      <c r="L159" s="301">
        <f t="shared" si="57"/>
        <v>0</v>
      </c>
      <c r="M159" s="301">
        <f t="shared" si="57"/>
        <v>0</v>
      </c>
      <c r="N159" s="301">
        <f t="shared" si="57"/>
        <v>0</v>
      </c>
      <c r="O159" s="301">
        <f t="shared" si="57"/>
        <v>0</v>
      </c>
      <c r="P159" s="301">
        <f t="shared" ref="P159:P164" si="59">E159+J159</f>
        <v>0</v>
      </c>
    </row>
    <row r="160" spans="1:16" ht="137.25" hidden="1" x14ac:dyDescent="0.2">
      <c r="A160" s="270" t="s">
        <v>571</v>
      </c>
      <c r="B160" s="270" t="s">
        <v>572</v>
      </c>
      <c r="C160" s="270" t="s">
        <v>256</v>
      </c>
      <c r="D160" s="270" t="s">
        <v>398</v>
      </c>
      <c r="E160" s="271">
        <f>F160</f>
        <v>0</v>
      </c>
      <c r="F160" s="225"/>
      <c r="G160" s="225"/>
      <c r="H160" s="225"/>
      <c r="I160" s="225"/>
      <c r="J160" s="271">
        <f t="shared" si="58"/>
        <v>0</v>
      </c>
      <c r="K160" s="225">
        <f>(2000000)-2000000</f>
        <v>0</v>
      </c>
      <c r="L160" s="225"/>
      <c r="M160" s="225"/>
      <c r="N160" s="225"/>
      <c r="O160" s="243">
        <f>K160</f>
        <v>0</v>
      </c>
      <c r="P160" s="271">
        <f t="shared" si="59"/>
        <v>0</v>
      </c>
    </row>
    <row r="161" spans="1:16" ht="91.5" x14ac:dyDescent="0.2">
      <c r="A161" s="270" t="s">
        <v>396</v>
      </c>
      <c r="B161" s="270" t="s">
        <v>397</v>
      </c>
      <c r="C161" s="270" t="s">
        <v>395</v>
      </c>
      <c r="D161" s="270" t="s">
        <v>394</v>
      </c>
      <c r="E161" s="225">
        <f>'dod3'!E161-'dod3 - до МВК'!E161</f>
        <v>0</v>
      </c>
      <c r="F161" s="225">
        <f>'dod3'!F161-'dod3 - до МВК'!F161</f>
        <v>0</v>
      </c>
      <c r="G161" s="225">
        <f>'dod3'!G161-'dod3 - до МВК'!G161</f>
        <v>0</v>
      </c>
      <c r="H161" s="225">
        <f>'dod3'!H161-'dod3 - до МВК'!H161</f>
        <v>0</v>
      </c>
      <c r="I161" s="225">
        <f>'dod3'!I161-'dod3 - до МВК'!I161</f>
        <v>0</v>
      </c>
      <c r="J161" s="225">
        <f>'dod3'!J161-'dod3 - до МВК'!J161</f>
        <v>0</v>
      </c>
      <c r="K161" s="225">
        <f>'dod3'!K161-'dod3 - до МВК'!K161</f>
        <v>0</v>
      </c>
      <c r="L161" s="225">
        <f>'dod3'!L161-'dod3 - до МВК'!L161</f>
        <v>0</v>
      </c>
      <c r="M161" s="225">
        <f>'dod3'!M161-'dod3 - до МВК'!M161</f>
        <v>0</v>
      </c>
      <c r="N161" s="225">
        <f>'dod3'!N161-'dod3 - до МВК'!N161</f>
        <v>0</v>
      </c>
      <c r="O161" s="225">
        <f>'dod3'!O161-'dod3 - до МВК'!O161</f>
        <v>0</v>
      </c>
      <c r="P161" s="225">
        <f>'dod3'!P161-'dod3 - до МВК'!P161</f>
        <v>0</v>
      </c>
    </row>
    <row r="162" spans="1:16" ht="137.25" x14ac:dyDescent="0.2">
      <c r="A162" s="270" t="s">
        <v>388</v>
      </c>
      <c r="B162" s="270" t="s">
        <v>390</v>
      </c>
      <c r="C162" s="270" t="s">
        <v>318</v>
      </c>
      <c r="D162" s="270" t="s">
        <v>389</v>
      </c>
      <c r="E162" s="225">
        <f>'dod3'!E162-'dod3 - до МВК'!E162</f>
        <v>0</v>
      </c>
      <c r="F162" s="225">
        <f>'dod3'!F162-'dod3 - до МВК'!F162</f>
        <v>0</v>
      </c>
      <c r="G162" s="225">
        <f>'dod3'!G162-'dod3 - до МВК'!G162</f>
        <v>0</v>
      </c>
      <c r="H162" s="225">
        <f>'dod3'!H162-'dod3 - до МВК'!H162</f>
        <v>0</v>
      </c>
      <c r="I162" s="225">
        <f>'dod3'!I162-'dod3 - до МВК'!I162</f>
        <v>0</v>
      </c>
      <c r="J162" s="225">
        <f>'dod3'!J162-'dod3 - до МВК'!J162</f>
        <v>0</v>
      </c>
      <c r="K162" s="225">
        <f>'dod3'!K162-'dod3 - до МВК'!K162</f>
        <v>0</v>
      </c>
      <c r="L162" s="225">
        <f>'dod3'!L162-'dod3 - до МВК'!L162</f>
        <v>0</v>
      </c>
      <c r="M162" s="225">
        <f>'dod3'!M162-'dod3 - до МВК'!M162</f>
        <v>0</v>
      </c>
      <c r="N162" s="225">
        <f>'dod3'!N162-'dod3 - до МВК'!N162</f>
        <v>0</v>
      </c>
      <c r="O162" s="225">
        <f>'dod3'!O162-'dod3 - до МВК'!O162</f>
        <v>0</v>
      </c>
      <c r="P162" s="225">
        <f>'dod3'!P162-'dod3 - до МВК'!P162</f>
        <v>0</v>
      </c>
    </row>
    <row r="163" spans="1:16" ht="91.5" x14ac:dyDescent="0.2">
      <c r="A163" s="270" t="s">
        <v>392</v>
      </c>
      <c r="B163" s="270" t="s">
        <v>393</v>
      </c>
      <c r="C163" s="270" t="s">
        <v>256</v>
      </c>
      <c r="D163" s="270" t="s">
        <v>391</v>
      </c>
      <c r="E163" s="225">
        <f>'dod3'!E163-'dod3 - до МВК'!E163</f>
        <v>0</v>
      </c>
      <c r="F163" s="225">
        <f>'dod3'!F163-'dod3 - до МВК'!F163</f>
        <v>0</v>
      </c>
      <c r="G163" s="225">
        <f>'dod3'!G163-'dod3 - до МВК'!G163</f>
        <v>0</v>
      </c>
      <c r="H163" s="225">
        <f>'dod3'!H163-'dod3 - до МВК'!H163</f>
        <v>0</v>
      </c>
      <c r="I163" s="225">
        <f>'dod3'!I163-'dod3 - до МВК'!I163</f>
        <v>0</v>
      </c>
      <c r="J163" s="225">
        <f>'dod3'!J163-'dod3 - до МВК'!J163</f>
        <v>0</v>
      </c>
      <c r="K163" s="225">
        <f>'dod3'!K163-'dod3 - до МВК'!K163</f>
        <v>0</v>
      </c>
      <c r="L163" s="225">
        <f>'dod3'!L163-'dod3 - до МВК'!L163</f>
        <v>0</v>
      </c>
      <c r="M163" s="225">
        <f>'dod3'!M163-'dod3 - до МВК'!M163</f>
        <v>0</v>
      </c>
      <c r="N163" s="225">
        <f>'dod3'!N163-'dod3 - до МВК'!N163</f>
        <v>0</v>
      </c>
      <c r="O163" s="225">
        <f>'dod3'!O163-'dod3 - до МВК'!O163</f>
        <v>0</v>
      </c>
      <c r="P163" s="225">
        <f>'dod3'!P163-'dod3 - до МВК'!P163</f>
        <v>0</v>
      </c>
    </row>
    <row r="164" spans="1:16" ht="91.5" x14ac:dyDescent="0.2">
      <c r="A164" s="270" t="s">
        <v>932</v>
      </c>
      <c r="B164" s="270" t="s">
        <v>601</v>
      </c>
      <c r="C164" s="270" t="s">
        <v>71</v>
      </c>
      <c r="D164" s="270" t="s">
        <v>602</v>
      </c>
      <c r="E164" s="225">
        <f>'dod3'!E164-'dod3 - до МВК'!E164</f>
        <v>0</v>
      </c>
      <c r="F164" s="225">
        <f>'dod3'!F164-'dod3 - до МВК'!F164</f>
        <v>0</v>
      </c>
      <c r="G164" s="225">
        <f>'dod3'!G164-'dod3 - до МВК'!G164</f>
        <v>0</v>
      </c>
      <c r="H164" s="225">
        <f>'dod3'!H164-'dod3 - до МВК'!H164</f>
        <v>0</v>
      </c>
      <c r="I164" s="225">
        <f>'dod3'!I164-'dod3 - до МВК'!I164</f>
        <v>0</v>
      </c>
      <c r="J164" s="225">
        <f>'dod3'!J164-'dod3 - до МВК'!J164</f>
        <v>0</v>
      </c>
      <c r="K164" s="225">
        <f>'dod3'!K164-'dod3 - до МВК'!K164</f>
        <v>0</v>
      </c>
      <c r="L164" s="225">
        <f>'dod3'!L164-'dod3 - до МВК'!L164</f>
        <v>0</v>
      </c>
      <c r="M164" s="225">
        <f>'dod3'!M164-'dod3 - до МВК'!M164</f>
        <v>0</v>
      </c>
      <c r="N164" s="225">
        <f>'dod3'!N164-'dod3 - до МВК'!N164</f>
        <v>0</v>
      </c>
      <c r="O164" s="225">
        <f>'dod3'!O164-'dod3 - до МВК'!O164</f>
        <v>0</v>
      </c>
      <c r="P164" s="225">
        <f>'dod3'!P164-'dod3 - до МВК'!P164</f>
        <v>0</v>
      </c>
    </row>
    <row r="165" spans="1:16" ht="180" x14ac:dyDescent="0.2">
      <c r="A165" s="296" t="s">
        <v>250</v>
      </c>
      <c r="B165" s="296"/>
      <c r="C165" s="296"/>
      <c r="D165" s="296" t="s">
        <v>47</v>
      </c>
      <c r="E165" s="298">
        <f>E166</f>
        <v>0</v>
      </c>
      <c r="F165" s="298">
        <f t="shared" ref="F165:G165" si="60">F166</f>
        <v>0</v>
      </c>
      <c r="G165" s="298">
        <f t="shared" si="60"/>
        <v>0</v>
      </c>
      <c r="H165" s="298">
        <f>H166</f>
        <v>0</v>
      </c>
      <c r="I165" s="298">
        <f t="shared" ref="I165" si="61">I166</f>
        <v>0</v>
      </c>
      <c r="J165" s="298">
        <f>J166</f>
        <v>0</v>
      </c>
      <c r="K165" s="298">
        <f>K166</f>
        <v>0</v>
      </c>
      <c r="L165" s="298">
        <f>L166</f>
        <v>0</v>
      </c>
      <c r="M165" s="298">
        <f t="shared" ref="M165" si="62">M166</f>
        <v>0</v>
      </c>
      <c r="N165" s="298">
        <f>N166</f>
        <v>0</v>
      </c>
      <c r="O165" s="298">
        <f>O166</f>
        <v>0</v>
      </c>
      <c r="P165" s="302">
        <f t="shared" ref="P165" si="63">P166</f>
        <v>0</v>
      </c>
    </row>
    <row r="166" spans="1:16" ht="180" x14ac:dyDescent="0.2">
      <c r="A166" s="299" t="s">
        <v>251</v>
      </c>
      <c r="B166" s="299"/>
      <c r="C166" s="299"/>
      <c r="D166" s="299" t="s">
        <v>65</v>
      </c>
      <c r="E166" s="301">
        <f t="shared" ref="E166:N166" si="64">SUM(E167:E170)</f>
        <v>0</v>
      </c>
      <c r="F166" s="301">
        <f t="shared" si="64"/>
        <v>0</v>
      </c>
      <c r="G166" s="301">
        <f t="shared" si="64"/>
        <v>0</v>
      </c>
      <c r="H166" s="301">
        <f t="shared" si="64"/>
        <v>0</v>
      </c>
      <c r="I166" s="301">
        <f t="shared" si="64"/>
        <v>0</v>
      </c>
      <c r="J166" s="301">
        <f>L166+O166</f>
        <v>0</v>
      </c>
      <c r="K166" s="301">
        <f t="shared" si="64"/>
        <v>0</v>
      </c>
      <c r="L166" s="301">
        <f t="shared" si="64"/>
        <v>0</v>
      </c>
      <c r="M166" s="301">
        <f t="shared" si="64"/>
        <v>0</v>
      </c>
      <c r="N166" s="301">
        <f t="shared" si="64"/>
        <v>0</v>
      </c>
      <c r="O166" s="301">
        <f>SUM(O167:O170)</f>
        <v>0</v>
      </c>
      <c r="P166" s="301">
        <f>E166+J166</f>
        <v>0</v>
      </c>
    </row>
    <row r="167" spans="1:16" ht="228.75" x14ac:dyDescent="0.2">
      <c r="A167" s="270" t="s">
        <v>744</v>
      </c>
      <c r="B167" s="270" t="s">
        <v>341</v>
      </c>
      <c r="C167" s="270" t="s">
        <v>339</v>
      </c>
      <c r="D167" s="270" t="s">
        <v>340</v>
      </c>
      <c r="E167" s="225">
        <f>'dod3'!E167-'dod3 - до МВК'!E167</f>
        <v>0</v>
      </c>
      <c r="F167" s="225">
        <f>'dod3'!F167-'dod3 - до МВК'!F167</f>
        <v>0</v>
      </c>
      <c r="G167" s="225">
        <f>'dod3'!G167-'dod3 - до МВК'!G167</f>
        <v>0</v>
      </c>
      <c r="H167" s="225">
        <f>'dod3'!H167-'dod3 - до МВК'!H167</f>
        <v>0</v>
      </c>
      <c r="I167" s="225">
        <f>'dod3'!I167-'dod3 - до МВК'!I167</f>
        <v>0</v>
      </c>
      <c r="J167" s="225">
        <f>'dod3'!J167-'dod3 - до МВК'!J167</f>
        <v>0</v>
      </c>
      <c r="K167" s="225">
        <f>'dod3'!K167-'dod3 - до МВК'!K167</f>
        <v>0</v>
      </c>
      <c r="L167" s="225">
        <f>'dod3'!L167-'dod3 - до МВК'!L167</f>
        <v>0</v>
      </c>
      <c r="M167" s="225">
        <f>'dod3'!M167-'dod3 - до МВК'!M167</f>
        <v>0</v>
      </c>
      <c r="N167" s="225">
        <f>'dod3'!N167-'dod3 - до МВК'!N167</f>
        <v>0</v>
      </c>
      <c r="O167" s="225">
        <f>'dod3'!O167-'dod3 - до МВК'!O167</f>
        <v>0</v>
      </c>
      <c r="P167" s="225">
        <f>'dod3'!P167-'dod3 - до МВК'!P167</f>
        <v>0</v>
      </c>
    </row>
    <row r="168" spans="1:16" ht="137.25" x14ac:dyDescent="0.2">
      <c r="A168" s="270" t="s">
        <v>463</v>
      </c>
      <c r="B168" s="270" t="s">
        <v>464</v>
      </c>
      <c r="C168" s="270" t="s">
        <v>81</v>
      </c>
      <c r="D168" s="270" t="s">
        <v>82</v>
      </c>
      <c r="E168" s="225">
        <f>'dod3'!E168-'dod3 - до МВК'!E168</f>
        <v>0</v>
      </c>
      <c r="F168" s="225">
        <f>'dod3'!F168-'dod3 - до МВК'!F168</f>
        <v>0</v>
      </c>
      <c r="G168" s="225">
        <f>'dod3'!G168-'dod3 - до МВК'!G168</f>
        <v>0</v>
      </c>
      <c r="H168" s="225">
        <f>'dod3'!H168-'dod3 - до МВК'!H168</f>
        <v>0</v>
      </c>
      <c r="I168" s="225">
        <f>'dod3'!I168-'dod3 - до МВК'!I168</f>
        <v>0</v>
      </c>
      <c r="J168" s="225">
        <f>'dod3'!J168-'dod3 - до МВК'!J168</f>
        <v>0</v>
      </c>
      <c r="K168" s="225">
        <f>'dod3'!K168-'dod3 - до МВК'!K168</f>
        <v>0</v>
      </c>
      <c r="L168" s="225">
        <f>'dod3'!L168-'dod3 - до МВК'!L168</f>
        <v>0</v>
      </c>
      <c r="M168" s="225">
        <f>'dod3'!M168-'dod3 - до МВК'!M168</f>
        <v>0</v>
      </c>
      <c r="N168" s="225">
        <f>'dod3'!N168-'dod3 - до МВК'!N168</f>
        <v>0</v>
      </c>
      <c r="O168" s="225">
        <f>'dod3'!O168-'dod3 - до МВК'!O168</f>
        <v>0</v>
      </c>
      <c r="P168" s="225">
        <f>'dod3'!P168-'dod3 - до МВК'!P168</f>
        <v>0</v>
      </c>
    </row>
    <row r="169" spans="1:16" ht="91.5" x14ac:dyDescent="0.2">
      <c r="A169" s="270" t="s">
        <v>830</v>
      </c>
      <c r="B169" s="270" t="s">
        <v>831</v>
      </c>
      <c r="C169" s="270" t="s">
        <v>855</v>
      </c>
      <c r="D169" s="270" t="s">
        <v>854</v>
      </c>
      <c r="E169" s="225">
        <f>'dod3'!E169-'dod3 - до МВК'!E169</f>
        <v>0</v>
      </c>
      <c r="F169" s="225">
        <f>'dod3'!F169-'dod3 - до МВК'!F169</f>
        <v>0</v>
      </c>
      <c r="G169" s="225">
        <f>'dod3'!G169-'dod3 - до МВК'!G169</f>
        <v>0</v>
      </c>
      <c r="H169" s="225">
        <f>'dod3'!H169-'dod3 - до МВК'!H169</f>
        <v>0</v>
      </c>
      <c r="I169" s="225">
        <f>'dod3'!I169-'dod3 - до МВК'!I169</f>
        <v>0</v>
      </c>
      <c r="J169" s="225">
        <f>'dod3'!J169-'dod3 - до МВК'!J169</f>
        <v>0</v>
      </c>
      <c r="K169" s="225">
        <f>'dod3'!K169-'dod3 - до МВК'!K169</f>
        <v>0</v>
      </c>
      <c r="L169" s="225">
        <f>'dod3'!L169-'dod3 - до МВК'!L169</f>
        <v>0</v>
      </c>
      <c r="M169" s="225">
        <f>'dod3'!M169-'dod3 - до МВК'!M169</f>
        <v>0</v>
      </c>
      <c r="N169" s="225">
        <f>'dod3'!N169-'dod3 - до МВК'!N169</f>
        <v>0</v>
      </c>
      <c r="O169" s="225">
        <f>'dod3'!O169-'dod3 - до МВК'!O169</f>
        <v>0</v>
      </c>
      <c r="P169" s="225">
        <f>'dod3'!P169-'dod3 - до МВК'!P169</f>
        <v>0</v>
      </c>
    </row>
    <row r="170" spans="1:16" ht="137.25" x14ac:dyDescent="0.2">
      <c r="A170" s="270" t="s">
        <v>465</v>
      </c>
      <c r="B170" s="270" t="s">
        <v>466</v>
      </c>
      <c r="C170" s="270" t="s">
        <v>83</v>
      </c>
      <c r="D170" s="270" t="s">
        <v>467</v>
      </c>
      <c r="E170" s="225">
        <f>'dod3'!E170-'dod3 - до МВК'!E170</f>
        <v>0</v>
      </c>
      <c r="F170" s="225">
        <f>'dod3'!F170-'dod3 - до МВК'!F170</f>
        <v>0</v>
      </c>
      <c r="G170" s="225">
        <f>'dod3'!G170-'dod3 - до МВК'!G170</f>
        <v>0</v>
      </c>
      <c r="H170" s="225">
        <f>'dod3'!H170-'dod3 - до МВК'!H170</f>
        <v>0</v>
      </c>
      <c r="I170" s="225">
        <f>'dod3'!I170-'dod3 - до МВК'!I170</f>
        <v>0</v>
      </c>
      <c r="J170" s="225">
        <f>'dod3'!J170-'dod3 - до МВК'!J170</f>
        <v>0</v>
      </c>
      <c r="K170" s="225">
        <f>'dod3'!K170-'dod3 - до МВК'!K170</f>
        <v>0</v>
      </c>
      <c r="L170" s="225">
        <f>'dod3'!L170-'dod3 - до МВК'!L170</f>
        <v>0</v>
      </c>
      <c r="M170" s="225">
        <f>'dod3'!M170-'dod3 - до МВК'!M170</f>
        <v>0</v>
      </c>
      <c r="N170" s="225">
        <f>'dod3'!N170-'dod3 - до МВК'!N170</f>
        <v>0</v>
      </c>
      <c r="O170" s="225">
        <f>'dod3'!O170-'dod3 - до МВК'!O170</f>
        <v>0</v>
      </c>
      <c r="P170" s="225">
        <f>'dod3'!P170-'dod3 - до МВК'!P170</f>
        <v>0</v>
      </c>
    </row>
    <row r="171" spans="1:16" ht="315" x14ac:dyDescent="0.2">
      <c r="A171" s="296" t="s">
        <v>248</v>
      </c>
      <c r="B171" s="296"/>
      <c r="C171" s="296"/>
      <c r="D171" s="296" t="s">
        <v>579</v>
      </c>
      <c r="E171" s="298">
        <f>E172</f>
        <v>0</v>
      </c>
      <c r="F171" s="298">
        <f t="shared" ref="F171:G171" si="65">F172</f>
        <v>0</v>
      </c>
      <c r="G171" s="298">
        <f t="shared" si="65"/>
        <v>0</v>
      </c>
      <c r="H171" s="298">
        <f>H172</f>
        <v>0</v>
      </c>
      <c r="I171" s="298">
        <f t="shared" ref="I171" si="66">I172</f>
        <v>0</v>
      </c>
      <c r="J171" s="298">
        <f>J172</f>
        <v>0</v>
      </c>
      <c r="K171" s="298">
        <f>K172</f>
        <v>0</v>
      </c>
      <c r="L171" s="298">
        <f>L172</f>
        <v>0</v>
      </c>
      <c r="M171" s="298">
        <f t="shared" ref="M171" si="67">M172</f>
        <v>0</v>
      </c>
      <c r="N171" s="298">
        <f>N172</f>
        <v>0</v>
      </c>
      <c r="O171" s="298">
        <f>O172</f>
        <v>0</v>
      </c>
      <c r="P171" s="302">
        <f t="shared" ref="P171" si="68">P172</f>
        <v>0</v>
      </c>
    </row>
    <row r="172" spans="1:16" ht="315" x14ac:dyDescent="0.2">
      <c r="A172" s="299" t="s">
        <v>249</v>
      </c>
      <c r="B172" s="299"/>
      <c r="C172" s="299"/>
      <c r="D172" s="299" t="s">
        <v>580</v>
      </c>
      <c r="E172" s="301">
        <f>SUM(E173:E175)</f>
        <v>0</v>
      </c>
      <c r="F172" s="301">
        <f t="shared" ref="F172:N172" si="69">SUM(F173:F175)</f>
        <v>0</v>
      </c>
      <c r="G172" s="301">
        <f t="shared" si="69"/>
        <v>0</v>
      </c>
      <c r="H172" s="301">
        <f t="shared" si="69"/>
        <v>0</v>
      </c>
      <c r="I172" s="301">
        <f t="shared" si="69"/>
        <v>0</v>
      </c>
      <c r="J172" s="301">
        <f>L172+O172</f>
        <v>0</v>
      </c>
      <c r="K172" s="301">
        <f t="shared" si="69"/>
        <v>0</v>
      </c>
      <c r="L172" s="301">
        <f t="shared" si="69"/>
        <v>0</v>
      </c>
      <c r="M172" s="301">
        <f t="shared" si="69"/>
        <v>0</v>
      </c>
      <c r="N172" s="301">
        <f t="shared" si="69"/>
        <v>0</v>
      </c>
      <c r="O172" s="301">
        <f>SUM(O173:O175)</f>
        <v>0</v>
      </c>
      <c r="P172" s="301">
        <f>E172+J172</f>
        <v>0</v>
      </c>
    </row>
    <row r="173" spans="1:16" ht="228.75" x14ac:dyDescent="0.2">
      <c r="A173" s="270" t="s">
        <v>740</v>
      </c>
      <c r="B173" s="270" t="s">
        <v>341</v>
      </c>
      <c r="C173" s="270" t="s">
        <v>339</v>
      </c>
      <c r="D173" s="270" t="s">
        <v>340</v>
      </c>
      <c r="E173" s="225">
        <f>'dod3'!E173-'dod3 - до МВК'!E173</f>
        <v>0</v>
      </c>
      <c r="F173" s="225">
        <f>'dod3'!F173-'dod3 - до МВК'!F173</f>
        <v>0</v>
      </c>
      <c r="G173" s="225">
        <f>'dod3'!G173-'dod3 - до МВК'!G173</f>
        <v>0</v>
      </c>
      <c r="H173" s="225">
        <f>'dod3'!H173-'dod3 - до МВК'!H173</f>
        <v>0</v>
      </c>
      <c r="I173" s="225">
        <f>'dod3'!I173-'dod3 - до МВК'!I173</f>
        <v>0</v>
      </c>
      <c r="J173" s="225">
        <f>'dod3'!J173-'dod3 - до МВК'!J173</f>
        <v>0</v>
      </c>
      <c r="K173" s="225">
        <f>'dod3'!K173-'dod3 - до МВК'!K173</f>
        <v>0</v>
      </c>
      <c r="L173" s="225">
        <f>'dod3'!L173-'dod3 - до МВК'!L173</f>
        <v>0</v>
      </c>
      <c r="M173" s="225">
        <f>'dod3'!M173-'dod3 - до МВК'!M173</f>
        <v>0</v>
      </c>
      <c r="N173" s="225">
        <f>'dod3'!N173-'dod3 - до МВК'!N173</f>
        <v>0</v>
      </c>
      <c r="O173" s="225">
        <f>'dod3'!O173-'dod3 - до МВК'!O173</f>
        <v>0</v>
      </c>
      <c r="P173" s="225">
        <f>'dod3'!P173-'dod3 - до МВК'!P173</f>
        <v>0</v>
      </c>
    </row>
    <row r="174" spans="1:16" ht="91.5" x14ac:dyDescent="0.2">
      <c r="A174" s="270" t="s">
        <v>457</v>
      </c>
      <c r="B174" s="270" t="s">
        <v>458</v>
      </c>
      <c r="C174" s="270" t="s">
        <v>459</v>
      </c>
      <c r="D174" s="270" t="s">
        <v>456</v>
      </c>
      <c r="E174" s="225">
        <f>'dod3'!E174-'dod3 - до МВК'!E174</f>
        <v>0</v>
      </c>
      <c r="F174" s="225">
        <f>'dod3'!F174-'dod3 - до МВК'!F174</f>
        <v>0</v>
      </c>
      <c r="G174" s="225">
        <f>'dod3'!G174-'dod3 - до МВК'!G174</f>
        <v>0</v>
      </c>
      <c r="H174" s="225">
        <f>'dod3'!H174-'dod3 - до МВК'!H174</f>
        <v>0</v>
      </c>
      <c r="I174" s="225">
        <f>'dod3'!I174-'dod3 - до МВК'!I174</f>
        <v>0</v>
      </c>
      <c r="J174" s="225">
        <f>'dod3'!J174-'dod3 - до МВК'!J174</f>
        <v>0</v>
      </c>
      <c r="K174" s="225">
        <f>'dod3'!K174-'dod3 - до МВК'!K174</f>
        <v>0</v>
      </c>
      <c r="L174" s="225">
        <f>'dod3'!L174-'dod3 - до МВК'!L174</f>
        <v>0</v>
      </c>
      <c r="M174" s="225">
        <f>'dod3'!M174-'dod3 - до МВК'!M174</f>
        <v>0</v>
      </c>
      <c r="N174" s="225">
        <f>'dod3'!N174-'dod3 - до МВК'!N174</f>
        <v>0</v>
      </c>
      <c r="O174" s="225">
        <f>'dod3'!O174-'dod3 - до МВК'!O174</f>
        <v>0</v>
      </c>
      <c r="P174" s="225">
        <f>'dod3'!P174-'dod3 - до МВК'!P174</f>
        <v>0</v>
      </c>
    </row>
    <row r="175" spans="1:16" ht="137.25" x14ac:dyDescent="0.2">
      <c r="A175" s="270" t="s">
        <v>610</v>
      </c>
      <c r="B175" s="270" t="s">
        <v>611</v>
      </c>
      <c r="C175" s="270" t="s">
        <v>256</v>
      </c>
      <c r="D175" s="270" t="s">
        <v>612</v>
      </c>
      <c r="E175" s="225">
        <f>'dod3'!E175-'dod3 - до МВК'!E175</f>
        <v>0</v>
      </c>
      <c r="F175" s="225">
        <f>'dod3'!F175-'dod3 - до МВК'!F175</f>
        <v>0</v>
      </c>
      <c r="G175" s="225">
        <f>'dod3'!G175-'dod3 - до МВК'!G175</f>
        <v>0</v>
      </c>
      <c r="H175" s="225">
        <f>'dod3'!H175-'dod3 - до МВК'!H175</f>
        <v>0</v>
      </c>
      <c r="I175" s="225">
        <f>'dod3'!I175-'dod3 - до МВК'!I175</f>
        <v>0</v>
      </c>
      <c r="J175" s="225">
        <f>'dod3'!J175-'dod3 - до МВК'!J175</f>
        <v>0</v>
      </c>
      <c r="K175" s="225">
        <f>'dod3'!K175-'dod3 - до МВК'!K175</f>
        <v>0</v>
      </c>
      <c r="L175" s="225">
        <f>'dod3'!L175-'dod3 - до МВК'!L175</f>
        <v>0</v>
      </c>
      <c r="M175" s="225">
        <f>'dod3'!M175-'dod3 - до МВК'!M175</f>
        <v>0</v>
      </c>
      <c r="N175" s="225">
        <f>'dod3'!N175-'dod3 - до МВК'!N175</f>
        <v>0</v>
      </c>
      <c r="O175" s="225">
        <f>'dod3'!O175-'dod3 - до МВК'!O175</f>
        <v>0</v>
      </c>
      <c r="P175" s="225">
        <f>'dod3'!P175-'dod3 - до МВК'!P175</f>
        <v>0</v>
      </c>
    </row>
    <row r="176" spans="1:16" ht="135" x14ac:dyDescent="0.2">
      <c r="A176" s="296" t="s">
        <v>254</v>
      </c>
      <c r="B176" s="296"/>
      <c r="C176" s="296"/>
      <c r="D176" s="296" t="s">
        <v>48</v>
      </c>
      <c r="E176" s="298">
        <f>E177</f>
        <v>-576000</v>
      </c>
      <c r="F176" s="298">
        <f t="shared" ref="F176:G176" si="70">F177</f>
        <v>-576000</v>
      </c>
      <c r="G176" s="298">
        <f t="shared" si="70"/>
        <v>0</v>
      </c>
      <c r="H176" s="298">
        <f>H177</f>
        <v>0</v>
      </c>
      <c r="I176" s="298">
        <f t="shared" ref="I176" si="71">I177</f>
        <v>0</v>
      </c>
      <c r="J176" s="298">
        <f>J177</f>
        <v>0</v>
      </c>
      <c r="K176" s="298">
        <f>K177</f>
        <v>0</v>
      </c>
      <c r="L176" s="298">
        <f>L177</f>
        <v>0</v>
      </c>
      <c r="M176" s="298">
        <f t="shared" ref="M176" si="72">M177</f>
        <v>0</v>
      </c>
      <c r="N176" s="298">
        <f>N177</f>
        <v>0</v>
      </c>
      <c r="O176" s="298">
        <f>O177</f>
        <v>0</v>
      </c>
      <c r="P176" s="302">
        <f t="shared" ref="P176" si="73">P177</f>
        <v>-576000</v>
      </c>
    </row>
    <row r="177" spans="1:16" ht="135" x14ac:dyDescent="0.2">
      <c r="A177" s="299" t="s">
        <v>255</v>
      </c>
      <c r="B177" s="299"/>
      <c r="C177" s="299"/>
      <c r="D177" s="299" t="s">
        <v>66</v>
      </c>
      <c r="E177" s="301">
        <f>SUM(E178:E181)</f>
        <v>-576000</v>
      </c>
      <c r="F177" s="301">
        <f t="shared" ref="F177:N177" si="74">SUM(F178:F181)</f>
        <v>-576000</v>
      </c>
      <c r="G177" s="301">
        <f t="shared" si="74"/>
        <v>0</v>
      </c>
      <c r="H177" s="301">
        <f t="shared" si="74"/>
        <v>0</v>
      </c>
      <c r="I177" s="301">
        <f t="shared" si="74"/>
        <v>0</v>
      </c>
      <c r="J177" s="301">
        <f>L177+O177</f>
        <v>0</v>
      </c>
      <c r="K177" s="301">
        <f>SUM(K178:K181)</f>
        <v>0</v>
      </c>
      <c r="L177" s="301">
        <f t="shared" si="74"/>
        <v>0</v>
      </c>
      <c r="M177" s="301">
        <f t="shared" si="74"/>
        <v>0</v>
      </c>
      <c r="N177" s="301">
        <f t="shared" si="74"/>
        <v>0</v>
      </c>
      <c r="O177" s="301">
        <f>SUM(O178:O181)</f>
        <v>0</v>
      </c>
      <c r="P177" s="301">
        <f>E177+J177</f>
        <v>-576000</v>
      </c>
    </row>
    <row r="178" spans="1:16" ht="228.75" x14ac:dyDescent="0.2">
      <c r="A178" s="270" t="s">
        <v>742</v>
      </c>
      <c r="B178" s="270" t="s">
        <v>341</v>
      </c>
      <c r="C178" s="270" t="s">
        <v>339</v>
      </c>
      <c r="D178" s="270" t="s">
        <v>340</v>
      </c>
      <c r="E178" s="225">
        <f>'dod3'!E178-'dod3 - до МВК'!E178</f>
        <v>0</v>
      </c>
      <c r="F178" s="225">
        <f>'dod3'!F178-'dod3 - до МВК'!F178</f>
        <v>0</v>
      </c>
      <c r="G178" s="225">
        <f>'dod3'!G178-'dod3 - до МВК'!G178</f>
        <v>0</v>
      </c>
      <c r="H178" s="225">
        <f>'dod3'!H178-'dod3 - до МВК'!H178</f>
        <v>0</v>
      </c>
      <c r="I178" s="225">
        <f>'dod3'!I178-'dod3 - до МВК'!I178</f>
        <v>0</v>
      </c>
      <c r="J178" s="225">
        <f>'dod3'!J178-'dod3 - до МВК'!J178</f>
        <v>0</v>
      </c>
      <c r="K178" s="225">
        <f>'dod3'!K178-'dod3 - до МВК'!K178</f>
        <v>0</v>
      </c>
      <c r="L178" s="225">
        <f>'dod3'!L178-'dod3 - до МВК'!L178</f>
        <v>0</v>
      </c>
      <c r="M178" s="225">
        <f>'dod3'!M178-'dod3 - до МВК'!M178</f>
        <v>0</v>
      </c>
      <c r="N178" s="225">
        <f>'dod3'!N178-'dod3 - до МВК'!N178</f>
        <v>0</v>
      </c>
      <c r="O178" s="225">
        <f>'dod3'!O178-'dod3 - до МВК'!O178</f>
        <v>0</v>
      </c>
      <c r="P178" s="225">
        <f>'dod3'!P178-'dod3 - до МВК'!P178</f>
        <v>0</v>
      </c>
    </row>
    <row r="179" spans="1:16" ht="91.5" x14ac:dyDescent="0.2">
      <c r="A179" s="219">
        <v>3718600</v>
      </c>
      <c r="B179" s="219">
        <v>8600</v>
      </c>
      <c r="C179" s="270" t="s">
        <v>589</v>
      </c>
      <c r="D179" s="219" t="s">
        <v>590</v>
      </c>
      <c r="E179" s="225">
        <f>'dod3'!E179-'dod3 - до МВК'!E179</f>
        <v>0</v>
      </c>
      <c r="F179" s="225">
        <f>'dod3'!F179-'dod3 - до МВК'!F179</f>
        <v>0</v>
      </c>
      <c r="G179" s="225">
        <f>'dod3'!G179-'dod3 - до МВК'!G179</f>
        <v>0</v>
      </c>
      <c r="H179" s="225">
        <f>'dod3'!H179-'dod3 - до МВК'!H179</f>
        <v>0</v>
      </c>
      <c r="I179" s="225">
        <f>'dod3'!I179-'dod3 - до МВК'!I179</f>
        <v>0</v>
      </c>
      <c r="J179" s="225">
        <f>'dod3'!J179-'dod3 - до МВК'!J179</f>
        <v>0</v>
      </c>
      <c r="K179" s="225">
        <f>'dod3'!K179-'dod3 - до МВК'!K179</f>
        <v>0</v>
      </c>
      <c r="L179" s="225">
        <f>'dod3'!L179-'dod3 - до МВК'!L179</f>
        <v>0</v>
      </c>
      <c r="M179" s="225">
        <f>'dod3'!M179-'dod3 - до МВК'!M179</f>
        <v>0</v>
      </c>
      <c r="N179" s="225">
        <f>'dod3'!N179-'dod3 - до МВК'!N179</f>
        <v>0</v>
      </c>
      <c r="O179" s="225">
        <f>'dod3'!O179-'dod3 - до МВК'!O179</f>
        <v>0</v>
      </c>
      <c r="P179" s="225">
        <f>'dod3'!P179-'dod3 - до МВК'!P179</f>
        <v>0</v>
      </c>
    </row>
    <row r="180" spans="1:16" ht="69" customHeight="1" x14ac:dyDescent="0.2">
      <c r="A180" s="219">
        <v>3718700</v>
      </c>
      <c r="B180" s="219">
        <v>8700</v>
      </c>
      <c r="C180" s="270" t="s">
        <v>70</v>
      </c>
      <c r="D180" s="215" t="s">
        <v>68</v>
      </c>
      <c r="E180" s="225">
        <f>'dod3'!E180-'dod3 - до МВК'!E180</f>
        <v>-576000</v>
      </c>
      <c r="F180" s="225">
        <f>'dod3'!F180-'dod3 - до МВК'!F180</f>
        <v>-576000</v>
      </c>
      <c r="G180" s="225">
        <f>'dod3'!G180-'dod3 - до МВК'!G180</f>
        <v>0</v>
      </c>
      <c r="H180" s="225">
        <f>'dod3'!H180-'dod3 - до МВК'!H180</f>
        <v>0</v>
      </c>
      <c r="I180" s="225">
        <f>'dod3'!I180-'dod3 - до МВК'!I180</f>
        <v>0</v>
      </c>
      <c r="J180" s="225">
        <f>'dod3'!J180-'dod3 - до МВК'!J180</f>
        <v>0</v>
      </c>
      <c r="K180" s="225">
        <f>'dod3'!K180-'dod3 - до МВК'!K180</f>
        <v>0</v>
      </c>
      <c r="L180" s="225">
        <f>'dod3'!L180-'dod3 - до МВК'!L180</f>
        <v>0</v>
      </c>
      <c r="M180" s="225">
        <f>'dod3'!M180-'dod3 - до МВК'!M180</f>
        <v>0</v>
      </c>
      <c r="N180" s="225">
        <f>'dod3'!N180-'dod3 - до МВК'!N180</f>
        <v>0</v>
      </c>
      <c r="O180" s="225">
        <f>'dod3'!O180-'dod3 - до МВК'!O180</f>
        <v>0</v>
      </c>
      <c r="P180" s="225">
        <f>'dod3'!P180-'dod3 - до МВК'!P180</f>
        <v>-576000</v>
      </c>
    </row>
    <row r="181" spans="1:16" ht="65.25" customHeight="1" x14ac:dyDescent="0.2">
      <c r="A181" s="219">
        <v>3719110</v>
      </c>
      <c r="B181" s="219">
        <v>9110</v>
      </c>
      <c r="C181" s="270" t="s">
        <v>71</v>
      </c>
      <c r="D181" s="215" t="s">
        <v>69</v>
      </c>
      <c r="E181" s="225">
        <f>'dod3'!E181-'dod3 - до МВК'!E181</f>
        <v>0</v>
      </c>
      <c r="F181" s="225">
        <f>'dod3'!F181-'dod3 - до МВК'!F181</f>
        <v>0</v>
      </c>
      <c r="G181" s="225">
        <f>'dod3'!G181-'dod3 - до МВК'!G181</f>
        <v>0</v>
      </c>
      <c r="H181" s="225">
        <f>'dod3'!H181-'dod3 - до МВК'!H181</f>
        <v>0</v>
      </c>
      <c r="I181" s="225">
        <f>'dod3'!I181-'dod3 - до МВК'!I181</f>
        <v>0</v>
      </c>
      <c r="J181" s="225">
        <f>'dod3'!J181-'dod3 - до МВК'!J181</f>
        <v>0</v>
      </c>
      <c r="K181" s="225">
        <f>'dod3'!K181-'dod3 - до МВК'!K181</f>
        <v>0</v>
      </c>
      <c r="L181" s="225">
        <f>'dod3'!L181-'dod3 - до МВК'!L181</f>
        <v>0</v>
      </c>
      <c r="M181" s="225">
        <f>'dod3'!M181-'dod3 - до МВК'!M181</f>
        <v>0</v>
      </c>
      <c r="N181" s="225">
        <f>'dod3'!N181-'dod3 - до МВК'!N181</f>
        <v>0</v>
      </c>
      <c r="O181" s="225">
        <f>'dod3'!O181-'dod3 - до МВК'!O181</f>
        <v>0</v>
      </c>
      <c r="P181" s="225">
        <f>'dod3'!P181-'dod3 - до МВК'!P181</f>
        <v>0</v>
      </c>
    </row>
    <row r="182" spans="1:16" ht="81.75" customHeight="1" x14ac:dyDescent="0.2">
      <c r="A182" s="188" t="s">
        <v>651</v>
      </c>
      <c r="B182" s="188" t="s">
        <v>651</v>
      </c>
      <c r="C182" s="188" t="s">
        <v>651</v>
      </c>
      <c r="D182" s="189" t="s">
        <v>669</v>
      </c>
      <c r="E182" s="143">
        <f>E14+E26+E109+E39+E53+E99+E125+E146+E155+E177+E159+E166+E172</f>
        <v>0</v>
      </c>
      <c r="F182" s="143">
        <f>F14+F26+F109+F39+F52+F99+F125+F146+F155+F177+F159+F166+F172</f>
        <v>0</v>
      </c>
      <c r="G182" s="143">
        <f t="shared" ref="G182:O182" si="75">G14+G26+G109+G39+G53+G99+G125+G146+G155+G177+G159+G166+G172</f>
        <v>0</v>
      </c>
      <c r="H182" s="143">
        <f t="shared" si="75"/>
        <v>0</v>
      </c>
      <c r="I182" s="143">
        <f t="shared" si="75"/>
        <v>0</v>
      </c>
      <c r="J182" s="143">
        <f t="shared" si="75"/>
        <v>0</v>
      </c>
      <c r="K182" s="143">
        <f t="shared" si="75"/>
        <v>0</v>
      </c>
      <c r="L182" s="143">
        <f t="shared" si="75"/>
        <v>0</v>
      </c>
      <c r="M182" s="143">
        <f t="shared" si="75"/>
        <v>0</v>
      </c>
      <c r="N182" s="143">
        <f t="shared" si="75"/>
        <v>0</v>
      </c>
      <c r="O182" s="143">
        <f t="shared" si="75"/>
        <v>0</v>
      </c>
      <c r="P182" s="143">
        <f>P14+P26+P109+P39+P52+P99+P125+P146+P155+P177+P159+P166+P172</f>
        <v>0</v>
      </c>
    </row>
    <row r="183" spans="1:16" ht="60.75" x14ac:dyDescent="0.2">
      <c r="D183" s="10"/>
      <c r="E183" s="152"/>
      <c r="F183" s="185"/>
      <c r="P183" s="119"/>
    </row>
    <row r="184" spans="1:16" ht="60.75" x14ac:dyDescent="0.2">
      <c r="A184"/>
      <c r="B184"/>
      <c r="C184"/>
      <c r="D184" s="10"/>
      <c r="E184" s="152"/>
      <c r="F184" s="133"/>
      <c r="G184" s="3"/>
      <c r="J184" s="4"/>
      <c r="K184" s="4"/>
      <c r="L184"/>
      <c r="M184"/>
      <c r="N184"/>
      <c r="O184"/>
      <c r="P184" s="119"/>
    </row>
    <row r="185" spans="1:16" ht="62.25" x14ac:dyDescent="0.8">
      <c r="A185"/>
      <c r="B185"/>
      <c r="C185"/>
      <c r="D185"/>
      <c r="E185" s="21"/>
      <c r="F185" s="133"/>
      <c r="J185" s="4"/>
      <c r="K185" s="4"/>
      <c r="L185"/>
      <c r="M185"/>
      <c r="N185"/>
      <c r="O185"/>
      <c r="P185" s="159"/>
    </row>
    <row r="186" spans="1:16" ht="45.75" x14ac:dyDescent="0.2">
      <c r="E186" s="22"/>
      <c r="F186" s="185"/>
    </row>
    <row r="187" spans="1:16" ht="45.75" x14ac:dyDescent="0.2">
      <c r="A187"/>
      <c r="B187"/>
      <c r="C187"/>
      <c r="D187"/>
      <c r="E187" s="21"/>
      <c r="F187" s="133"/>
      <c r="L187"/>
      <c r="M187"/>
      <c r="N187"/>
      <c r="O187"/>
      <c r="P187"/>
    </row>
    <row r="188" spans="1:16" ht="45.75" x14ac:dyDescent="0.2">
      <c r="E188" s="22"/>
      <c r="F188" s="185"/>
    </row>
    <row r="189" spans="1:16" ht="45.75" x14ac:dyDescent="0.2">
      <c r="E189" s="22"/>
      <c r="F189" s="185"/>
    </row>
    <row r="190" spans="1:16" ht="45.75" x14ac:dyDescent="0.2">
      <c r="E190" s="22"/>
      <c r="F190" s="185"/>
    </row>
    <row r="191" spans="1:16" ht="45.75" x14ac:dyDescent="0.2">
      <c r="A191"/>
      <c r="B191"/>
      <c r="C191"/>
      <c r="D191"/>
      <c r="E191" s="22"/>
      <c r="F191" s="185"/>
      <c r="G191"/>
      <c r="H191"/>
      <c r="I191"/>
      <c r="J191"/>
      <c r="K191"/>
      <c r="L191"/>
      <c r="M191"/>
      <c r="N191"/>
      <c r="O191"/>
      <c r="P191"/>
    </row>
    <row r="192" spans="1:16" ht="45.75" x14ac:dyDescent="0.2">
      <c r="A192"/>
      <c r="B192"/>
      <c r="C192"/>
      <c r="D192"/>
      <c r="E192" s="22"/>
      <c r="F192" s="185"/>
      <c r="G192"/>
      <c r="H192"/>
      <c r="I192"/>
      <c r="J192"/>
      <c r="K192"/>
      <c r="L192"/>
      <c r="M192"/>
      <c r="N192"/>
      <c r="O192"/>
      <c r="P192"/>
    </row>
    <row r="193" spans="1:16" ht="45.75" x14ac:dyDescent="0.2">
      <c r="A193"/>
      <c r="B193"/>
      <c r="C193"/>
      <c r="D193"/>
      <c r="E193" s="22"/>
      <c r="F193" s="185"/>
      <c r="G193"/>
      <c r="H193"/>
      <c r="I193"/>
      <c r="J193"/>
      <c r="K193"/>
      <c r="L193"/>
      <c r="M193"/>
      <c r="N193"/>
      <c r="O193"/>
      <c r="P193"/>
    </row>
    <row r="194" spans="1:16" ht="45.75" x14ac:dyDescent="0.2">
      <c r="A194"/>
      <c r="B194"/>
      <c r="C194"/>
      <c r="D194"/>
      <c r="E194" s="22"/>
      <c r="F194" s="185"/>
      <c r="G194"/>
      <c r="H194"/>
      <c r="I194"/>
      <c r="J194"/>
      <c r="K194"/>
      <c r="L194"/>
      <c r="M194"/>
      <c r="N194"/>
      <c r="O194"/>
      <c r="P194"/>
    </row>
  </sheetData>
  <mergeCells count="96">
    <mergeCell ref="K142:K143"/>
    <mergeCell ref="L142:L143"/>
    <mergeCell ref="M142:M143"/>
    <mergeCell ref="N142:N143"/>
    <mergeCell ref="O142:O143"/>
    <mergeCell ref="P142:P143"/>
    <mergeCell ref="P96:P97"/>
    <mergeCell ref="A142:A143"/>
    <mergeCell ref="B142:B143"/>
    <mergeCell ref="C142:C143"/>
    <mergeCell ref="E142:E143"/>
    <mergeCell ref="F142:F143"/>
    <mergeCell ref="G142:G143"/>
    <mergeCell ref="H142:H143"/>
    <mergeCell ref="I142:I143"/>
    <mergeCell ref="J142:J143"/>
    <mergeCell ref="J96:J97"/>
    <mergeCell ref="K96:K97"/>
    <mergeCell ref="L96:L97"/>
    <mergeCell ref="M96:M97"/>
    <mergeCell ref="N96:N97"/>
    <mergeCell ref="O96:O97"/>
    <mergeCell ref="O89:O91"/>
    <mergeCell ref="P89:P91"/>
    <mergeCell ref="A96:A97"/>
    <mergeCell ref="B96:B97"/>
    <mergeCell ref="C96:C97"/>
    <mergeCell ref="E96:E97"/>
    <mergeCell ref="F96:F97"/>
    <mergeCell ref="G96:G97"/>
    <mergeCell ref="H96:H97"/>
    <mergeCell ref="I96:I97"/>
    <mergeCell ref="I89:I91"/>
    <mergeCell ref="J89:J91"/>
    <mergeCell ref="K89:K91"/>
    <mergeCell ref="L89:L91"/>
    <mergeCell ref="M89:M91"/>
    <mergeCell ref="N89:N91"/>
    <mergeCell ref="N78:N79"/>
    <mergeCell ref="O78:O79"/>
    <mergeCell ref="P78:P79"/>
    <mergeCell ref="A89:A91"/>
    <mergeCell ref="B89:B91"/>
    <mergeCell ref="C89:C91"/>
    <mergeCell ref="E89:E91"/>
    <mergeCell ref="F89:F91"/>
    <mergeCell ref="G89:G91"/>
    <mergeCell ref="H89:H91"/>
    <mergeCell ref="H78:H79"/>
    <mergeCell ref="I78:I79"/>
    <mergeCell ref="J78:J79"/>
    <mergeCell ref="K78:K79"/>
    <mergeCell ref="L78:L79"/>
    <mergeCell ref="M78:M79"/>
    <mergeCell ref="A78:A79"/>
    <mergeCell ref="B78:B79"/>
    <mergeCell ref="C78:C79"/>
    <mergeCell ref="E78:E79"/>
    <mergeCell ref="F78:F79"/>
    <mergeCell ref="G78:G79"/>
    <mergeCell ref="K19:K20"/>
    <mergeCell ref="L19:L20"/>
    <mergeCell ref="M19:M20"/>
    <mergeCell ref="N19:N20"/>
    <mergeCell ref="O19:O20"/>
    <mergeCell ref="P19:P20"/>
    <mergeCell ref="O10:O11"/>
    <mergeCell ref="A19:A20"/>
    <mergeCell ref="B19:B20"/>
    <mergeCell ref="C19:C20"/>
    <mergeCell ref="E19:E20"/>
    <mergeCell ref="F19:F20"/>
    <mergeCell ref="G19:G20"/>
    <mergeCell ref="H19:H20"/>
    <mergeCell ref="I19:I20"/>
    <mergeCell ref="J19:J20"/>
    <mergeCell ref="J9:O9"/>
    <mergeCell ref="P9:P11"/>
    <mergeCell ref="E10:E11"/>
    <mergeCell ref="F10:F11"/>
    <mergeCell ref="G10:H10"/>
    <mergeCell ref="I10:I11"/>
    <mergeCell ref="J10:J11"/>
    <mergeCell ref="K10:K11"/>
    <mergeCell ref="L10:L11"/>
    <mergeCell ref="M10:N10"/>
    <mergeCell ref="N2:P2"/>
    <mergeCell ref="N3:P3"/>
    <mergeCell ref="O4:P4"/>
    <mergeCell ref="A6:P6"/>
    <mergeCell ref="A7:P7"/>
    <mergeCell ref="A9:A11"/>
    <mergeCell ref="B9:B11"/>
    <mergeCell ref="C9:C11"/>
    <mergeCell ref="D9:D11"/>
    <mergeCell ref="E9:I9"/>
  </mergeCells>
  <pageMargins left="0.23622047244094491" right="0.27559055118110237" top="0.27559055118110237" bottom="0.15748031496062992" header="0.23622047244094491" footer="0.27559055118110237"/>
  <pageSetup paperSize="9" scale="15" fitToHeight="0" orientation="landscape" r:id="rId1"/>
  <headerFooter alignWithMargins="0">
    <oddFooter>&amp;C&amp;"Times New Roman Cyr,курсив"Сторінка &amp;P з &amp;N</oddFooter>
  </headerFooter>
  <rowBreaks count="2" manualBreakCount="2">
    <brk id="49" max="15" man="1"/>
    <brk id="70"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9"/>
  <sheetViews>
    <sheetView view="pageBreakPreview" topLeftCell="A9" zoomScaleSheetLayoutView="100" workbookViewId="0">
      <selection activeCell="F36" sqref="F36"/>
    </sheetView>
  </sheetViews>
  <sheetFormatPr defaultColWidth="9.140625" defaultRowHeight="12.75" x14ac:dyDescent="0.2"/>
  <cols>
    <col min="1" max="1" width="9.7109375" style="245" customWidth="1"/>
    <col min="2" max="3" width="22.140625" style="245" customWidth="1"/>
    <col min="4" max="4" width="14.140625" style="245" customWidth="1"/>
    <col min="5" max="5" width="14" style="245" customWidth="1"/>
    <col min="6" max="6" width="15.42578125" style="245" customWidth="1"/>
    <col min="7" max="7" width="15.140625" style="245" customWidth="1"/>
    <col min="8" max="8" width="16.42578125" style="245" customWidth="1"/>
    <col min="9" max="9" width="8.28515625" style="245" customWidth="1"/>
    <col min="10" max="10" width="9.140625" style="245"/>
    <col min="11" max="11" width="9.7109375" style="245" customWidth="1"/>
    <col min="12" max="12" width="9.140625" style="245"/>
    <col min="13" max="13" width="8.140625" style="245" customWidth="1"/>
    <col min="14" max="16384" width="9.140625" style="245"/>
  </cols>
  <sheetData>
    <row r="1" spans="1:17" x14ac:dyDescent="0.2">
      <c r="F1" s="80" t="s">
        <v>172</v>
      </c>
    </row>
    <row r="2" spans="1:17" x14ac:dyDescent="0.2">
      <c r="F2" s="80" t="s">
        <v>173</v>
      </c>
    </row>
    <row r="3" spans="1:17" x14ac:dyDescent="0.2">
      <c r="F3" s="80" t="s">
        <v>174</v>
      </c>
    </row>
    <row r="5" spans="1:17" ht="18.75" x14ac:dyDescent="0.3">
      <c r="A5" s="400" t="s">
        <v>656</v>
      </c>
      <c r="B5" s="400"/>
      <c r="C5" s="400"/>
      <c r="D5" s="400"/>
      <c r="E5" s="400"/>
      <c r="F5" s="400"/>
    </row>
    <row r="6" spans="1:17" ht="18.75" x14ac:dyDescent="0.3">
      <c r="A6" s="241"/>
      <c r="B6" s="241"/>
      <c r="C6" s="241"/>
      <c r="D6" s="241"/>
      <c r="E6" s="241"/>
      <c r="F6" s="241"/>
    </row>
    <row r="7" spans="1:17" x14ac:dyDescent="0.2">
      <c r="F7" s="183" t="s">
        <v>658</v>
      </c>
    </row>
    <row r="8" spans="1:17" x14ac:dyDescent="0.2">
      <c r="A8" s="401" t="s">
        <v>94</v>
      </c>
      <c r="B8" s="401" t="s">
        <v>648</v>
      </c>
      <c r="C8" s="401" t="s">
        <v>653</v>
      </c>
      <c r="D8" s="402" t="s">
        <v>25</v>
      </c>
      <c r="E8" s="401" t="s">
        <v>84</v>
      </c>
      <c r="F8" s="401"/>
    </row>
    <row r="9" spans="1:17" ht="35.450000000000003" customHeight="1" x14ac:dyDescent="0.2">
      <c r="A9" s="401"/>
      <c r="B9" s="401"/>
      <c r="C9" s="401"/>
      <c r="D9" s="403"/>
      <c r="E9" s="242" t="s">
        <v>654</v>
      </c>
      <c r="F9" s="242" t="s">
        <v>655</v>
      </c>
    </row>
    <row r="10" spans="1:17" x14ac:dyDescent="0.2">
      <c r="A10" s="81">
        <v>1</v>
      </c>
      <c r="B10" s="81">
        <v>2</v>
      </c>
      <c r="C10" s="81">
        <v>3</v>
      </c>
      <c r="D10" s="81">
        <v>4</v>
      </c>
      <c r="E10" s="81">
        <v>5</v>
      </c>
      <c r="F10" s="81">
        <v>6</v>
      </c>
    </row>
    <row r="11" spans="1:17" ht="23.25" customHeight="1" x14ac:dyDescent="0.2">
      <c r="A11" s="395" t="s">
        <v>649</v>
      </c>
      <c r="B11" s="396"/>
      <c r="C11" s="81"/>
      <c r="D11" s="81"/>
      <c r="E11" s="82"/>
      <c r="F11" s="82"/>
    </row>
    <row r="12" spans="1:17" x14ac:dyDescent="0.2">
      <c r="A12" s="83" t="s">
        <v>175</v>
      </c>
      <c r="B12" s="83" t="s">
        <v>176</v>
      </c>
      <c r="C12" s="83">
        <f>D12+E12</f>
        <v>85903475.610000014</v>
      </c>
      <c r="D12" s="83">
        <f>D13+D15</f>
        <v>-186744328.96000004</v>
      </c>
      <c r="E12" s="83">
        <f>E13+E15</f>
        <v>272647804.57000005</v>
      </c>
      <c r="F12" s="83">
        <f>F13+F15</f>
        <v>271578852.09000003</v>
      </c>
      <c r="G12" s="246"/>
      <c r="H12" s="246"/>
      <c r="I12" s="246"/>
      <c r="J12" s="246"/>
      <c r="K12" s="246"/>
      <c r="L12" s="246"/>
      <c r="M12" s="246"/>
      <c r="N12" s="246"/>
      <c r="O12" s="246"/>
      <c r="P12" s="246"/>
      <c r="Q12" s="246"/>
    </row>
    <row r="13" spans="1:17" ht="16.5" customHeight="1" x14ac:dyDescent="0.2">
      <c r="A13" s="84" t="s">
        <v>177</v>
      </c>
      <c r="B13" s="84" t="s">
        <v>178</v>
      </c>
      <c r="C13" s="247">
        <f>D13+E13</f>
        <v>85903475.609999999</v>
      </c>
      <c r="D13" s="247">
        <v>82864310.260000005</v>
      </c>
      <c r="E13" s="247">
        <v>3039165.35</v>
      </c>
      <c r="F13" s="247">
        <v>1970212.87</v>
      </c>
      <c r="G13" s="246"/>
      <c r="H13" s="246"/>
      <c r="I13" s="246"/>
      <c r="J13" s="246"/>
      <c r="K13" s="246"/>
      <c r="L13" s="246"/>
      <c r="M13" s="246"/>
      <c r="N13" s="246"/>
      <c r="O13" s="246"/>
      <c r="P13" s="246"/>
      <c r="Q13" s="246"/>
    </row>
    <row r="14" spans="1:17" ht="18.75" hidden="1" customHeight="1" x14ac:dyDescent="0.2">
      <c r="A14" s="84">
        <v>208200</v>
      </c>
      <c r="B14" s="84" t="s">
        <v>179</v>
      </c>
      <c r="C14" s="247">
        <f>D14+E14</f>
        <v>0</v>
      </c>
      <c r="D14" s="247"/>
      <c r="E14" s="247"/>
      <c r="F14" s="83"/>
      <c r="G14" s="246"/>
      <c r="H14" s="246"/>
      <c r="I14" s="246"/>
      <c r="J14" s="246"/>
      <c r="K14" s="246"/>
      <c r="L14" s="246"/>
      <c r="M14" s="246"/>
      <c r="N14" s="246"/>
      <c r="O14" s="246"/>
      <c r="P14" s="246"/>
      <c r="Q14" s="246"/>
    </row>
    <row r="15" spans="1:17" ht="51" x14ac:dyDescent="0.2">
      <c r="A15" s="84">
        <v>208400</v>
      </c>
      <c r="B15" s="85" t="s">
        <v>180</v>
      </c>
      <c r="C15" s="83">
        <f>D15+E15</f>
        <v>0</v>
      </c>
      <c r="D15" s="83">
        <v>-269608639.22000003</v>
      </c>
      <c r="E15" s="83">
        <v>269608639.22000003</v>
      </c>
      <c r="F15" s="83">
        <v>269608639.22000003</v>
      </c>
      <c r="G15" s="246"/>
      <c r="H15" s="246"/>
      <c r="I15" s="246"/>
      <c r="J15" s="246"/>
      <c r="K15" s="246"/>
      <c r="L15" s="246"/>
      <c r="M15" s="246"/>
      <c r="N15" s="246"/>
      <c r="O15" s="246"/>
      <c r="P15" s="246"/>
      <c r="Q15" s="246"/>
    </row>
    <row r="16" spans="1:17" x14ac:dyDescent="0.2">
      <c r="A16" s="136">
        <v>300000</v>
      </c>
      <c r="B16" s="114" t="s">
        <v>581</v>
      </c>
      <c r="C16" s="83">
        <v>-2128333</v>
      </c>
      <c r="D16" s="83">
        <v>0</v>
      </c>
      <c r="E16" s="83">
        <v>-2128333</v>
      </c>
      <c r="F16" s="83">
        <v>-2128333</v>
      </c>
      <c r="G16" s="246"/>
      <c r="H16" s="246"/>
      <c r="I16" s="246"/>
      <c r="J16" s="246"/>
      <c r="K16" s="246"/>
      <c r="L16" s="246"/>
      <c r="M16" s="246"/>
      <c r="N16" s="246"/>
      <c r="O16" s="246"/>
      <c r="P16" s="246"/>
      <c r="Q16" s="246"/>
    </row>
    <row r="17" spans="1:17" ht="38.25" x14ac:dyDescent="0.2">
      <c r="A17" s="136">
        <v>301000</v>
      </c>
      <c r="B17" s="114" t="s">
        <v>582</v>
      </c>
      <c r="C17" s="83">
        <v>-2128333</v>
      </c>
      <c r="D17" s="83">
        <v>0</v>
      </c>
      <c r="E17" s="83">
        <v>-2128333</v>
      </c>
      <c r="F17" s="83">
        <v>-2128333</v>
      </c>
      <c r="G17" s="246"/>
      <c r="H17" s="246"/>
      <c r="I17" s="246"/>
      <c r="J17" s="246"/>
      <c r="K17" s="246"/>
      <c r="L17" s="246"/>
      <c r="M17" s="246"/>
      <c r="N17" s="246"/>
      <c r="O17" s="246"/>
      <c r="P17" s="246"/>
      <c r="Q17" s="246"/>
    </row>
    <row r="18" spans="1:17" x14ac:dyDescent="0.2">
      <c r="A18" s="84">
        <v>301100</v>
      </c>
      <c r="B18" s="85" t="s">
        <v>583</v>
      </c>
      <c r="C18" s="83">
        <v>1183975</v>
      </c>
      <c r="D18" s="83"/>
      <c r="E18" s="83">
        <v>1183975</v>
      </c>
      <c r="F18" s="83">
        <v>1183975</v>
      </c>
      <c r="G18" s="246"/>
      <c r="H18" s="246"/>
      <c r="I18" s="246"/>
      <c r="J18" s="246"/>
      <c r="K18" s="246"/>
      <c r="L18" s="246"/>
      <c r="M18" s="246"/>
      <c r="N18" s="246"/>
      <c r="O18" s="246"/>
      <c r="P18" s="246"/>
      <c r="Q18" s="246"/>
    </row>
    <row r="19" spans="1:17" x14ac:dyDescent="0.2">
      <c r="A19" s="84">
        <v>301200</v>
      </c>
      <c r="B19" s="85" t="s">
        <v>584</v>
      </c>
      <c r="C19" s="83">
        <v>-3312308</v>
      </c>
      <c r="D19" s="83"/>
      <c r="E19" s="83">
        <v>-3312308</v>
      </c>
      <c r="F19" s="83">
        <v>-3312308</v>
      </c>
      <c r="G19" s="246"/>
      <c r="H19" s="246"/>
      <c r="I19" s="246"/>
      <c r="J19" s="246"/>
      <c r="K19" s="246"/>
      <c r="L19" s="246"/>
      <c r="M19" s="246"/>
      <c r="N19" s="246"/>
      <c r="O19" s="246"/>
      <c r="P19" s="246"/>
      <c r="Q19" s="246"/>
    </row>
    <row r="20" spans="1:17" x14ac:dyDescent="0.2">
      <c r="A20" s="136" t="s">
        <v>651</v>
      </c>
      <c r="B20" s="114" t="s">
        <v>650</v>
      </c>
      <c r="C20" s="83"/>
      <c r="D20" s="83"/>
      <c r="E20" s="83">
        <v>-2128333</v>
      </c>
      <c r="F20" s="83">
        <v>-2128333</v>
      </c>
      <c r="G20" s="246"/>
      <c r="H20" s="246"/>
      <c r="I20" s="246"/>
      <c r="J20" s="246"/>
      <c r="K20" s="246"/>
      <c r="L20" s="246"/>
      <c r="M20" s="246"/>
      <c r="N20" s="246"/>
      <c r="O20" s="246"/>
      <c r="P20" s="246"/>
      <c r="Q20" s="246"/>
    </row>
    <row r="21" spans="1:17" ht="35.450000000000003" customHeight="1" x14ac:dyDescent="0.2">
      <c r="A21" s="395" t="s">
        <v>652</v>
      </c>
      <c r="B21" s="397"/>
      <c r="C21" s="83"/>
      <c r="D21" s="83"/>
      <c r="E21" s="83"/>
      <c r="F21" s="83"/>
      <c r="G21" s="246"/>
      <c r="H21" s="246"/>
      <c r="I21" s="246"/>
      <c r="J21" s="246"/>
      <c r="K21" s="246"/>
      <c r="L21" s="246"/>
      <c r="M21" s="246"/>
      <c r="N21" s="246"/>
      <c r="O21" s="246"/>
      <c r="P21" s="246"/>
      <c r="Q21" s="246"/>
    </row>
    <row r="22" spans="1:17" ht="25.5" x14ac:dyDescent="0.2">
      <c r="A22" s="136">
        <v>400000</v>
      </c>
      <c r="B22" s="114" t="s">
        <v>181</v>
      </c>
      <c r="C22" s="83">
        <v>-2128333</v>
      </c>
      <c r="D22" s="83"/>
      <c r="E22" s="83">
        <v>-2128333</v>
      </c>
      <c r="F22" s="83">
        <v>-2128333</v>
      </c>
      <c r="G22" s="246"/>
      <c r="H22" s="246"/>
      <c r="I22" s="246"/>
      <c r="J22" s="246"/>
      <c r="K22" s="246"/>
      <c r="L22" s="246"/>
      <c r="M22" s="246"/>
      <c r="N22" s="246"/>
      <c r="O22" s="246"/>
      <c r="P22" s="246"/>
      <c r="Q22" s="246"/>
    </row>
    <row r="23" spans="1:17" x14ac:dyDescent="0.2">
      <c r="A23" s="136">
        <v>401000</v>
      </c>
      <c r="B23" s="114" t="s">
        <v>182</v>
      </c>
      <c r="C23" s="83">
        <v>1183975</v>
      </c>
      <c r="D23" s="83"/>
      <c r="E23" s="83">
        <v>1183975</v>
      </c>
      <c r="F23" s="83">
        <v>1183975</v>
      </c>
      <c r="G23" s="246"/>
      <c r="H23" s="246"/>
      <c r="I23" s="246"/>
      <c r="J23" s="246"/>
      <c r="K23" s="246"/>
      <c r="L23" s="246"/>
      <c r="M23" s="246"/>
      <c r="N23" s="246"/>
      <c r="O23" s="246"/>
      <c r="P23" s="246"/>
      <c r="Q23" s="246"/>
    </row>
    <row r="24" spans="1:17" s="2" customFormat="1" x14ac:dyDescent="0.2">
      <c r="A24" s="136">
        <v>401200</v>
      </c>
      <c r="B24" s="114" t="s">
        <v>585</v>
      </c>
      <c r="C24" s="83">
        <v>1183975</v>
      </c>
      <c r="D24" s="83"/>
      <c r="E24" s="83">
        <v>1183975</v>
      </c>
      <c r="F24" s="83">
        <v>1183975</v>
      </c>
      <c r="G24" s="137"/>
      <c r="H24" s="137"/>
      <c r="I24" s="137"/>
      <c r="J24" s="137"/>
      <c r="K24" s="137"/>
      <c r="L24" s="137"/>
      <c r="M24" s="137"/>
      <c r="N24" s="137"/>
      <c r="O24" s="137"/>
      <c r="P24" s="137"/>
      <c r="Q24" s="137"/>
    </row>
    <row r="25" spans="1:17" ht="25.5" x14ac:dyDescent="0.2">
      <c r="A25" s="84">
        <v>401202</v>
      </c>
      <c r="B25" s="85" t="s">
        <v>586</v>
      </c>
      <c r="C25" s="247">
        <v>1183975</v>
      </c>
      <c r="D25" s="83"/>
      <c r="E25" s="247">
        <v>1183975</v>
      </c>
      <c r="F25" s="247">
        <v>1183975</v>
      </c>
      <c r="G25" s="246"/>
      <c r="H25" s="246"/>
      <c r="I25" s="246"/>
      <c r="J25" s="246"/>
      <c r="K25" s="246"/>
      <c r="L25" s="246"/>
      <c r="M25" s="246"/>
      <c r="N25" s="246"/>
      <c r="O25" s="246"/>
      <c r="P25" s="246"/>
      <c r="Q25" s="246"/>
    </row>
    <row r="26" spans="1:17" s="2" customFormat="1" x14ac:dyDescent="0.2">
      <c r="A26" s="136">
        <v>402000</v>
      </c>
      <c r="B26" s="114" t="s">
        <v>587</v>
      </c>
      <c r="C26" s="83">
        <v>-3312308</v>
      </c>
      <c r="D26" s="83"/>
      <c r="E26" s="83">
        <v>-3312308</v>
      </c>
      <c r="F26" s="83">
        <v>-3312308</v>
      </c>
      <c r="G26" s="137"/>
      <c r="H26" s="137"/>
      <c r="I26" s="137"/>
      <c r="J26" s="137"/>
      <c r="K26" s="137"/>
      <c r="L26" s="137"/>
      <c r="M26" s="137"/>
      <c r="N26" s="137"/>
      <c r="O26" s="137"/>
      <c r="P26" s="137"/>
      <c r="Q26" s="137"/>
    </row>
    <row r="27" spans="1:17" s="2" customFormat="1" x14ac:dyDescent="0.2">
      <c r="A27" s="136">
        <v>402200</v>
      </c>
      <c r="B27" s="114" t="s">
        <v>588</v>
      </c>
      <c r="C27" s="83">
        <v>-3312308</v>
      </c>
      <c r="D27" s="83"/>
      <c r="E27" s="83">
        <v>-3312308</v>
      </c>
      <c r="F27" s="83">
        <v>-3312308</v>
      </c>
      <c r="G27" s="137"/>
      <c r="H27" s="137"/>
      <c r="I27" s="137"/>
      <c r="J27" s="137"/>
      <c r="K27" s="137"/>
      <c r="L27" s="137"/>
      <c r="M27" s="137"/>
      <c r="N27" s="137"/>
      <c r="O27" s="137"/>
      <c r="P27" s="137"/>
      <c r="Q27" s="137"/>
    </row>
    <row r="28" spans="1:17" ht="25.5" customHeight="1" x14ac:dyDescent="0.2">
      <c r="A28" s="84">
        <v>402202</v>
      </c>
      <c r="B28" s="85" t="s">
        <v>586</v>
      </c>
      <c r="C28" s="247">
        <v>-3312308</v>
      </c>
      <c r="D28" s="83"/>
      <c r="E28" s="247">
        <v>-3312308</v>
      </c>
      <c r="F28" s="247">
        <v>-3312308</v>
      </c>
      <c r="G28" s="246"/>
      <c r="H28" s="246"/>
      <c r="I28" s="246"/>
      <c r="J28" s="246"/>
      <c r="K28" s="246"/>
      <c r="L28" s="246"/>
      <c r="M28" s="246"/>
      <c r="N28" s="246"/>
      <c r="O28" s="246"/>
      <c r="P28" s="246"/>
      <c r="Q28" s="246"/>
    </row>
    <row r="29" spans="1:17" x14ac:dyDescent="0.2">
      <c r="A29" s="136" t="s">
        <v>651</v>
      </c>
      <c r="B29" s="114" t="s">
        <v>650</v>
      </c>
      <c r="C29" s="83">
        <v>83775142.609999999</v>
      </c>
      <c r="D29" s="83">
        <v>-269608639.22000003</v>
      </c>
      <c r="E29" s="83">
        <v>353383781.82999998</v>
      </c>
      <c r="F29" s="83">
        <v>352314829.35000002</v>
      </c>
      <c r="G29" s="246"/>
      <c r="H29" s="246"/>
      <c r="I29" s="246"/>
      <c r="J29" s="246"/>
      <c r="K29" s="246"/>
      <c r="L29" s="246"/>
      <c r="M29" s="246"/>
      <c r="N29" s="246"/>
      <c r="O29" s="246"/>
      <c r="P29" s="246"/>
      <c r="Q29" s="246"/>
    </row>
    <row r="30" spans="1:17" ht="25.5" x14ac:dyDescent="0.2">
      <c r="A30" s="136" t="s">
        <v>183</v>
      </c>
      <c r="B30" s="136" t="s">
        <v>184</v>
      </c>
      <c r="C30" s="83">
        <f>D30+E30</f>
        <v>0</v>
      </c>
      <c r="D30" s="83">
        <v>-269608639.22000003</v>
      </c>
      <c r="E30" s="83">
        <v>269608639.22000003</v>
      </c>
      <c r="F30" s="83">
        <v>269608639.22000003</v>
      </c>
      <c r="G30" s="246"/>
      <c r="H30" s="246"/>
      <c r="I30" s="246"/>
      <c r="J30" s="246"/>
      <c r="K30" s="246"/>
      <c r="L30" s="246"/>
      <c r="M30" s="246"/>
      <c r="N30" s="246"/>
      <c r="O30" s="246"/>
      <c r="P30" s="246"/>
      <c r="Q30" s="246"/>
    </row>
    <row r="31" spans="1:17" ht="36" customHeight="1" x14ac:dyDescent="0.2">
      <c r="A31" s="84">
        <v>602100</v>
      </c>
      <c r="B31" s="85" t="s">
        <v>185</v>
      </c>
      <c r="C31" s="247">
        <f>D31+E31</f>
        <v>0</v>
      </c>
      <c r="D31" s="247"/>
      <c r="E31" s="247"/>
      <c r="F31" s="247"/>
      <c r="G31" s="246"/>
      <c r="H31" s="246"/>
      <c r="I31" s="246"/>
      <c r="J31" s="246"/>
      <c r="K31" s="246"/>
      <c r="L31" s="246"/>
      <c r="M31" s="246"/>
      <c r="N31" s="246"/>
      <c r="O31" s="246"/>
      <c r="P31" s="246"/>
      <c r="Q31" s="246"/>
    </row>
    <row r="32" spans="1:17" ht="39.75" hidden="1" customHeight="1" x14ac:dyDescent="0.2">
      <c r="A32" s="84">
        <v>602200</v>
      </c>
      <c r="B32" s="85" t="s">
        <v>186</v>
      </c>
      <c r="C32" s="247">
        <f>SUM(D32:E32)</f>
        <v>0</v>
      </c>
      <c r="D32" s="247"/>
      <c r="E32" s="247"/>
      <c r="F32" s="83"/>
      <c r="G32" s="246"/>
      <c r="H32" s="246"/>
      <c r="I32" s="246"/>
      <c r="J32" s="246"/>
      <c r="K32" s="246"/>
      <c r="L32" s="246"/>
      <c r="M32" s="246"/>
      <c r="N32" s="246"/>
      <c r="O32" s="246"/>
      <c r="P32" s="246"/>
      <c r="Q32" s="246"/>
    </row>
    <row r="33" spans="1:17" ht="52.5" customHeight="1" x14ac:dyDescent="0.2">
      <c r="A33" s="84">
        <v>602400</v>
      </c>
      <c r="B33" s="85" t="s">
        <v>180</v>
      </c>
      <c r="C33" s="83">
        <v>0</v>
      </c>
      <c r="D33" s="83">
        <v>-269608639.22000003</v>
      </c>
      <c r="E33" s="83">
        <v>269608639.22000003</v>
      </c>
      <c r="F33" s="83">
        <v>269608639.22000003</v>
      </c>
      <c r="G33" s="246"/>
      <c r="H33" s="246"/>
      <c r="I33" s="246"/>
      <c r="J33" s="246"/>
      <c r="K33" s="246"/>
      <c r="L33" s="246"/>
      <c r="M33" s="246"/>
      <c r="N33" s="246"/>
      <c r="O33" s="246"/>
      <c r="P33" s="246"/>
      <c r="Q33" s="246"/>
    </row>
    <row r="34" spans="1:17" x14ac:dyDescent="0.2">
      <c r="A34" s="136" t="s">
        <v>651</v>
      </c>
      <c r="B34" s="114" t="s">
        <v>650</v>
      </c>
      <c r="C34" s="83">
        <f>D34+E34</f>
        <v>83775142.609999985</v>
      </c>
      <c r="D34" s="83">
        <v>-186744328.96000001</v>
      </c>
      <c r="E34" s="83">
        <v>270519471.56999999</v>
      </c>
      <c r="F34" s="83">
        <v>269450519</v>
      </c>
      <c r="G34" s="246"/>
      <c r="H34" s="246"/>
      <c r="I34" s="246"/>
      <c r="J34" s="246"/>
      <c r="K34" s="246"/>
      <c r="L34" s="246"/>
      <c r="M34" s="246"/>
      <c r="N34" s="246"/>
      <c r="O34" s="246"/>
      <c r="P34" s="246"/>
      <c r="Q34" s="246"/>
    </row>
    <row r="35" spans="1:17" x14ac:dyDescent="0.2">
      <c r="A35" s="124"/>
      <c r="B35" s="124"/>
      <c r="C35" s="124"/>
      <c r="D35" s="124"/>
      <c r="E35" s="124"/>
      <c r="F35" s="124"/>
      <c r="G35" s="124"/>
      <c r="H35" s="124"/>
      <c r="I35" s="124"/>
    </row>
    <row r="36" spans="1:17" x14ac:dyDescent="0.2">
      <c r="A36" s="124"/>
      <c r="B36" s="398" t="s">
        <v>944</v>
      </c>
      <c r="C36" s="398"/>
      <c r="D36" s="399"/>
      <c r="E36" s="124"/>
      <c r="F36" s="124" t="s">
        <v>945</v>
      </c>
      <c r="G36" s="124"/>
      <c r="H36" s="124"/>
      <c r="I36" s="124"/>
    </row>
    <row r="37" spans="1:17" x14ac:dyDescent="0.2">
      <c r="A37" s="124"/>
      <c r="B37" s="240"/>
      <c r="C37" s="240"/>
      <c r="D37" s="124"/>
      <c r="E37" s="124"/>
      <c r="F37" s="124"/>
      <c r="G37" s="124"/>
      <c r="H37" s="124"/>
      <c r="I37" s="124"/>
    </row>
    <row r="38" spans="1:17" x14ac:dyDescent="0.2">
      <c r="A38" s="124" t="s">
        <v>660</v>
      </c>
      <c r="B38" s="124"/>
      <c r="C38" s="124"/>
      <c r="E38" s="124"/>
      <c r="F38" s="124" t="s">
        <v>659</v>
      </c>
      <c r="G38" s="124"/>
      <c r="H38" s="124"/>
      <c r="I38" s="124"/>
    </row>
    <row r="39" spans="1:17" x14ac:dyDescent="0.2">
      <c r="F39" s="124"/>
    </row>
  </sheetData>
  <mergeCells count="9">
    <mergeCell ref="A11:B11"/>
    <mergeCell ref="A21:B21"/>
    <mergeCell ref="B36:D36"/>
    <mergeCell ref="A5:F5"/>
    <mergeCell ref="A8:A9"/>
    <mergeCell ref="B8:B9"/>
    <mergeCell ref="C8:C9"/>
    <mergeCell ref="D8:D9"/>
    <mergeCell ref="E8:F8"/>
  </mergeCells>
  <pageMargins left="1.1811023622047245" right="0.44" top="0.39370078740157483" bottom="0.19685039370078741" header="0.39370078740157483" footer="0.15748031496062992"/>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T208"/>
  <sheetViews>
    <sheetView view="pageBreakPreview" zoomScale="25" zoomScaleNormal="25" zoomScaleSheetLayoutView="25" zoomScalePageLayoutView="10" workbookViewId="0">
      <pane ySplit="12" topLeftCell="A13" activePane="bottomLeft" state="frozen"/>
      <selection activeCell="K153" sqref="K153"/>
      <selection pane="bottomLeft" activeCell="E180" sqref="E180"/>
    </sheetView>
  </sheetViews>
  <sheetFormatPr defaultRowHeight="12.75" x14ac:dyDescent="0.2"/>
  <cols>
    <col min="1" max="1" width="48" style="1" customWidth="1"/>
    <col min="2" max="2" width="52.5703125" style="1" customWidth="1"/>
    <col min="3" max="3" width="65.7109375" style="1" customWidth="1"/>
    <col min="4" max="4" width="106.28515625" style="1" customWidth="1"/>
    <col min="5" max="5" width="66.42578125" style="5" customWidth="1"/>
    <col min="6" max="6" width="58.5703125" style="1" customWidth="1"/>
    <col min="7" max="7" width="55.42578125" style="1" customWidth="1"/>
    <col min="8" max="8" width="48.140625" style="1" customWidth="1"/>
    <col min="9" max="9" width="41.85546875" style="1" customWidth="1"/>
    <col min="10" max="10" width="50.5703125" style="5" customWidth="1"/>
    <col min="11" max="11" width="52.5703125" style="5" customWidth="1"/>
    <col min="12" max="12" width="56.140625" style="1" customWidth="1"/>
    <col min="13" max="13" width="54.85546875" style="1" customWidth="1"/>
    <col min="14" max="14" width="45.28515625" style="1" bestFit="1" customWidth="1"/>
    <col min="15" max="15" width="56.140625" style="1" bestFit="1" customWidth="1"/>
    <col min="16" max="16" width="86.28515625" style="5" customWidth="1"/>
    <col min="17" max="17" width="52.140625" customWidth="1"/>
    <col min="18" max="18" width="66.42578125" bestFit="1" customWidth="1"/>
    <col min="20" max="20" width="24.7109375" bestFit="1" customWidth="1"/>
  </cols>
  <sheetData>
    <row r="2" spans="1:18" ht="45.75" x14ac:dyDescent="0.2">
      <c r="D2" s="7"/>
      <c r="E2" s="8"/>
      <c r="F2" s="9"/>
      <c r="G2" s="8"/>
      <c r="H2" s="8"/>
      <c r="I2" s="8"/>
      <c r="J2" s="8"/>
      <c r="K2" s="8"/>
      <c r="L2" s="8"/>
      <c r="M2" s="8"/>
      <c r="N2" s="408" t="s">
        <v>89</v>
      </c>
      <c r="O2" s="392"/>
      <c r="P2" s="392"/>
      <c r="Q2" s="392"/>
    </row>
    <row r="3" spans="1:18" ht="45.75" x14ac:dyDescent="0.2">
      <c r="A3" s="7"/>
      <c r="B3" s="7"/>
      <c r="C3" s="7"/>
      <c r="D3" s="7"/>
      <c r="E3" s="8"/>
      <c r="F3" s="9"/>
      <c r="G3" s="8"/>
      <c r="H3" s="8"/>
      <c r="I3" s="8"/>
      <c r="J3" s="8"/>
      <c r="K3" s="8"/>
      <c r="L3" s="8"/>
      <c r="M3" s="8"/>
      <c r="N3" s="408" t="s">
        <v>934</v>
      </c>
      <c r="O3" s="409"/>
      <c r="P3" s="409"/>
      <c r="Q3" s="409"/>
    </row>
    <row r="4" spans="1:18" ht="40.700000000000003" customHeight="1" x14ac:dyDescent="0.2">
      <c r="A4" s="7"/>
      <c r="B4" s="7"/>
      <c r="C4" s="7"/>
      <c r="D4" s="7"/>
      <c r="E4" s="8"/>
      <c r="F4" s="9"/>
      <c r="G4" s="8"/>
      <c r="H4" s="8"/>
      <c r="I4" s="8"/>
      <c r="J4" s="8"/>
      <c r="K4" s="8"/>
      <c r="L4" s="8"/>
      <c r="M4" s="8"/>
      <c r="N4" s="8"/>
      <c r="O4" s="408"/>
      <c r="P4" s="410"/>
    </row>
    <row r="5" spans="1:18" ht="45.75" hidden="1" x14ac:dyDescent="0.2">
      <c r="A5" s="7"/>
      <c r="B5" s="7"/>
      <c r="C5" s="7"/>
      <c r="D5" s="7"/>
      <c r="E5" s="8"/>
      <c r="F5" s="9"/>
      <c r="G5" s="8"/>
      <c r="H5" s="8"/>
      <c r="I5" s="8"/>
      <c r="J5" s="8"/>
      <c r="K5" s="8"/>
      <c r="L5" s="8"/>
      <c r="M5" s="8"/>
      <c r="N5" s="8"/>
      <c r="O5" s="7"/>
      <c r="P5" s="9"/>
    </row>
    <row r="6" spans="1:18" ht="45" x14ac:dyDescent="0.2">
      <c r="A6" s="412" t="s">
        <v>88</v>
      </c>
      <c r="B6" s="412"/>
      <c r="C6" s="412"/>
      <c r="D6" s="412"/>
      <c r="E6" s="412"/>
      <c r="F6" s="412"/>
      <c r="G6" s="412"/>
      <c r="H6" s="412"/>
      <c r="I6" s="412"/>
      <c r="J6" s="412"/>
      <c r="K6" s="412"/>
      <c r="L6" s="412"/>
      <c r="M6" s="412"/>
      <c r="N6" s="412"/>
      <c r="O6" s="412"/>
      <c r="P6" s="412"/>
    </row>
    <row r="7" spans="1:18" ht="45" x14ac:dyDescent="0.2">
      <c r="A7" s="412" t="s">
        <v>657</v>
      </c>
      <c r="B7" s="412"/>
      <c r="C7" s="412"/>
      <c r="D7" s="412"/>
      <c r="E7" s="412"/>
      <c r="F7" s="412"/>
      <c r="G7" s="412"/>
      <c r="H7" s="412"/>
      <c r="I7" s="412"/>
      <c r="J7" s="412"/>
      <c r="K7" s="412"/>
      <c r="L7" s="412"/>
      <c r="M7" s="412"/>
      <c r="N7" s="412"/>
      <c r="O7" s="412"/>
      <c r="P7" s="412"/>
    </row>
    <row r="8" spans="1:18" ht="53.45" customHeight="1" x14ac:dyDescent="0.2">
      <c r="A8" s="8"/>
      <c r="B8" s="8"/>
      <c r="C8" s="8"/>
      <c r="D8" s="8"/>
      <c r="E8" s="8"/>
      <c r="F8" s="9"/>
      <c r="G8" s="8"/>
      <c r="H8" s="8"/>
      <c r="I8" s="8"/>
      <c r="J8" s="8"/>
      <c r="K8" s="8"/>
      <c r="L8" s="8"/>
      <c r="M8" s="8"/>
      <c r="N8" s="8"/>
      <c r="O8" s="8"/>
      <c r="P8" s="10" t="s">
        <v>658</v>
      </c>
    </row>
    <row r="9" spans="1:18" ht="62.45" customHeight="1" x14ac:dyDescent="0.2">
      <c r="A9" s="429" t="s">
        <v>29</v>
      </c>
      <c r="B9" s="429" t="s">
        <v>661</v>
      </c>
      <c r="C9" s="429" t="s">
        <v>668</v>
      </c>
      <c r="D9" s="429" t="s">
        <v>662</v>
      </c>
      <c r="E9" s="411" t="s">
        <v>25</v>
      </c>
      <c r="F9" s="411"/>
      <c r="G9" s="411"/>
      <c r="H9" s="411"/>
      <c r="I9" s="411"/>
      <c r="J9" s="433" t="s">
        <v>84</v>
      </c>
      <c r="K9" s="434"/>
      <c r="L9" s="434"/>
      <c r="M9" s="434"/>
      <c r="N9" s="434"/>
      <c r="O9" s="435"/>
      <c r="P9" s="411" t="s">
        <v>24</v>
      </c>
    </row>
    <row r="10" spans="1:18" ht="255" customHeight="1" x14ac:dyDescent="0.2">
      <c r="A10" s="430"/>
      <c r="B10" s="432"/>
      <c r="C10" s="432"/>
      <c r="D10" s="430"/>
      <c r="E10" s="413" t="s">
        <v>654</v>
      </c>
      <c r="F10" s="413" t="s">
        <v>85</v>
      </c>
      <c r="G10" s="413" t="s">
        <v>26</v>
      </c>
      <c r="H10" s="413"/>
      <c r="I10" s="413" t="s">
        <v>87</v>
      </c>
      <c r="J10" s="413" t="s">
        <v>654</v>
      </c>
      <c r="K10" s="413" t="s">
        <v>655</v>
      </c>
      <c r="L10" s="413" t="s">
        <v>85</v>
      </c>
      <c r="M10" s="413" t="s">
        <v>26</v>
      </c>
      <c r="N10" s="413"/>
      <c r="O10" s="413" t="s">
        <v>87</v>
      </c>
      <c r="P10" s="411"/>
    </row>
    <row r="11" spans="1:18" ht="135" x14ac:dyDescent="0.2">
      <c r="A11" s="431"/>
      <c r="B11" s="431"/>
      <c r="C11" s="431"/>
      <c r="D11" s="431"/>
      <c r="E11" s="413"/>
      <c r="F11" s="413"/>
      <c r="G11" s="195" t="s">
        <v>86</v>
      </c>
      <c r="H11" s="195" t="s">
        <v>28</v>
      </c>
      <c r="I11" s="413"/>
      <c r="J11" s="413"/>
      <c r="K11" s="413"/>
      <c r="L11" s="413"/>
      <c r="M11" s="195" t="s">
        <v>86</v>
      </c>
      <c r="N11" s="195" t="s">
        <v>28</v>
      </c>
      <c r="O11" s="413"/>
      <c r="P11" s="411"/>
    </row>
    <row r="12" spans="1:18" s="2" customFormat="1" ht="111" customHeight="1" x14ac:dyDescent="0.2">
      <c r="A12" s="11" t="s">
        <v>4</v>
      </c>
      <c r="B12" s="11" t="s">
        <v>5</v>
      </c>
      <c r="C12" s="11" t="s">
        <v>27</v>
      </c>
      <c r="D12" s="11" t="s">
        <v>7</v>
      </c>
      <c r="E12" s="11" t="s">
        <v>671</v>
      </c>
      <c r="F12" s="11" t="s">
        <v>672</v>
      </c>
      <c r="G12" s="11" t="s">
        <v>673</v>
      </c>
      <c r="H12" s="11" t="s">
        <v>674</v>
      </c>
      <c r="I12" s="11" t="s">
        <v>675</v>
      </c>
      <c r="J12" s="11" t="s">
        <v>676</v>
      </c>
      <c r="K12" s="11" t="s">
        <v>677</v>
      </c>
      <c r="L12" s="11" t="s">
        <v>678</v>
      </c>
      <c r="M12" s="11" t="s">
        <v>679</v>
      </c>
      <c r="N12" s="11" t="s">
        <v>680</v>
      </c>
      <c r="O12" s="11" t="s">
        <v>681</v>
      </c>
      <c r="P12" s="11" t="s">
        <v>682</v>
      </c>
    </row>
    <row r="13" spans="1:18" s="2" customFormat="1" ht="135" x14ac:dyDescent="0.2">
      <c r="A13" s="296" t="s">
        <v>234</v>
      </c>
      <c r="B13" s="296"/>
      <c r="C13" s="296"/>
      <c r="D13" s="297" t="s">
        <v>236</v>
      </c>
      <c r="E13" s="298">
        <f>E14</f>
        <v>90752908</v>
      </c>
      <c r="F13" s="298">
        <f t="shared" ref="F13:N13" si="0">F14</f>
        <v>90752908</v>
      </c>
      <c r="G13" s="298">
        <f t="shared" si="0"/>
        <v>54985000</v>
      </c>
      <c r="H13" s="298">
        <f t="shared" si="0"/>
        <v>2521600</v>
      </c>
      <c r="I13" s="298">
        <f t="shared" si="0"/>
        <v>0</v>
      </c>
      <c r="J13" s="298">
        <f t="shared" si="0"/>
        <v>10815718.039999999</v>
      </c>
      <c r="K13" s="298">
        <f t="shared" si="0"/>
        <v>7896952</v>
      </c>
      <c r="L13" s="298">
        <f t="shared" si="0"/>
        <v>2868766.04</v>
      </c>
      <c r="M13" s="298">
        <f t="shared" si="0"/>
        <v>0</v>
      </c>
      <c r="N13" s="298">
        <f t="shared" si="0"/>
        <v>0</v>
      </c>
      <c r="O13" s="298">
        <f>O14</f>
        <v>7946952</v>
      </c>
      <c r="P13" s="298">
        <f t="shared" ref="P13" si="1">P14</f>
        <v>101568626.03999999</v>
      </c>
    </row>
    <row r="14" spans="1:18" s="2" customFormat="1" ht="135" x14ac:dyDescent="0.2">
      <c r="A14" s="299" t="s">
        <v>235</v>
      </c>
      <c r="B14" s="299"/>
      <c r="C14" s="299"/>
      <c r="D14" s="300" t="s">
        <v>237</v>
      </c>
      <c r="E14" s="301">
        <f>SUM(E15:E24)</f>
        <v>90752908</v>
      </c>
      <c r="F14" s="301">
        <f t="shared" ref="F14:I14" si="2">SUM(F15:F24)</f>
        <v>90752908</v>
      </c>
      <c r="G14" s="301">
        <f t="shared" si="2"/>
        <v>54985000</v>
      </c>
      <c r="H14" s="301">
        <f t="shared" si="2"/>
        <v>2521600</v>
      </c>
      <c r="I14" s="301">
        <f t="shared" si="2"/>
        <v>0</v>
      </c>
      <c r="J14" s="301">
        <f t="shared" ref="J14:J19" si="3">L14+O14</f>
        <v>10815718.039999999</v>
      </c>
      <c r="K14" s="301">
        <f t="shared" ref="K14" si="4">SUM(K15:K24)</f>
        <v>7896952</v>
      </c>
      <c r="L14" s="301">
        <f t="shared" ref="L14" si="5">SUM(L15:L24)</f>
        <v>2868766.04</v>
      </c>
      <c r="M14" s="301">
        <f t="shared" ref="M14" si="6">SUM(M15:M24)</f>
        <v>0</v>
      </c>
      <c r="N14" s="301">
        <f t="shared" ref="N14" si="7">SUM(N15:N24)</f>
        <v>0</v>
      </c>
      <c r="O14" s="301">
        <f t="shared" ref="O14" si="8">SUM(O15:O24)</f>
        <v>7946952</v>
      </c>
      <c r="P14" s="301">
        <f>E14+J14</f>
        <v>101568626.03999999</v>
      </c>
      <c r="Q14" s="141" t="b">
        <f>P15+P16+P17+P18+P21+P22+P19+P23+P24=P14</f>
        <v>1</v>
      </c>
      <c r="R14" s="141" t="b">
        <f>K14='dod5'!I6</f>
        <v>1</v>
      </c>
    </row>
    <row r="15" spans="1:18" ht="320.25" x14ac:dyDescent="0.2">
      <c r="A15" s="270" t="s">
        <v>337</v>
      </c>
      <c r="B15" s="270" t="s">
        <v>338</v>
      </c>
      <c r="C15" s="270" t="s">
        <v>339</v>
      </c>
      <c r="D15" s="270" t="s">
        <v>336</v>
      </c>
      <c r="E15" s="271">
        <f t="shared" ref="E15:E22" si="9">F15</f>
        <v>79041400</v>
      </c>
      <c r="F15" s="111">
        <f>(77586750)+1454650</f>
        <v>79041400</v>
      </c>
      <c r="G15" s="111">
        <v>54985000</v>
      </c>
      <c r="H15" s="111">
        <f>(2510600)+11000</f>
        <v>2521600</v>
      </c>
      <c r="I15" s="111"/>
      <c r="J15" s="271">
        <f t="shared" si="3"/>
        <v>778500</v>
      </c>
      <c r="K15" s="111">
        <f>(210000)+568500</f>
        <v>778500</v>
      </c>
      <c r="L15" s="154"/>
      <c r="M15" s="230"/>
      <c r="N15" s="230"/>
      <c r="O15" s="243">
        <f>K15</f>
        <v>778500</v>
      </c>
      <c r="P15" s="271">
        <f>+J15+E15</f>
        <v>79819900</v>
      </c>
      <c r="R15" s="141" t="b">
        <f>K15='dod5'!I8</f>
        <v>1</v>
      </c>
    </row>
    <row r="16" spans="1:18" ht="91.5" x14ac:dyDescent="0.2">
      <c r="A16" s="270" t="s">
        <v>353</v>
      </c>
      <c r="B16" s="270" t="s">
        <v>71</v>
      </c>
      <c r="C16" s="270" t="s">
        <v>70</v>
      </c>
      <c r="D16" s="270" t="s">
        <v>354</v>
      </c>
      <c r="E16" s="271">
        <f t="shared" ref="E16:E19" si="10">F16</f>
        <v>2305000</v>
      </c>
      <c r="F16" s="225">
        <f>(1305000)+1000000</f>
        <v>2305000</v>
      </c>
      <c r="G16" s="225"/>
      <c r="H16" s="225"/>
      <c r="I16" s="225"/>
      <c r="J16" s="271">
        <f t="shared" si="3"/>
        <v>0</v>
      </c>
      <c r="K16" s="225"/>
      <c r="L16" s="225"/>
      <c r="M16" s="225"/>
      <c r="N16" s="225"/>
      <c r="O16" s="243">
        <f>K16</f>
        <v>0</v>
      </c>
      <c r="P16" s="271">
        <f>E16+J16</f>
        <v>2305000</v>
      </c>
      <c r="R16" s="141"/>
    </row>
    <row r="17" spans="1:20" ht="91.5" x14ac:dyDescent="0.2">
      <c r="A17" s="270" t="s">
        <v>343</v>
      </c>
      <c r="B17" s="270" t="s">
        <v>344</v>
      </c>
      <c r="C17" s="270" t="s">
        <v>345</v>
      </c>
      <c r="D17" s="270" t="s">
        <v>342</v>
      </c>
      <c r="E17" s="271">
        <f t="shared" si="10"/>
        <v>3236400</v>
      </c>
      <c r="F17" s="225">
        <v>3236400</v>
      </c>
      <c r="G17" s="225">
        <f>H17+I17</f>
        <v>0</v>
      </c>
      <c r="H17" s="225"/>
      <c r="I17" s="225"/>
      <c r="J17" s="271">
        <f t="shared" si="3"/>
        <v>3500000</v>
      </c>
      <c r="K17" s="225">
        <f>(1500000)+2000000</f>
        <v>3500000</v>
      </c>
      <c r="L17" s="225"/>
      <c r="M17" s="225"/>
      <c r="N17" s="225"/>
      <c r="O17" s="243">
        <f>K17</f>
        <v>3500000</v>
      </c>
      <c r="P17" s="271">
        <f>+J17+E17</f>
        <v>6736400</v>
      </c>
      <c r="R17" s="141" t="b">
        <f>K17='dod5'!I9</f>
        <v>1</v>
      </c>
    </row>
    <row r="18" spans="1:20" ht="137.25" x14ac:dyDescent="0.2">
      <c r="A18" s="270" t="s">
        <v>445</v>
      </c>
      <c r="B18" s="270" t="s">
        <v>446</v>
      </c>
      <c r="C18" s="270" t="s">
        <v>256</v>
      </c>
      <c r="D18" s="268" t="s">
        <v>444</v>
      </c>
      <c r="E18" s="271">
        <f t="shared" si="10"/>
        <v>165000</v>
      </c>
      <c r="F18" s="225">
        <v>165000</v>
      </c>
      <c r="G18" s="225"/>
      <c r="H18" s="225"/>
      <c r="I18" s="225"/>
      <c r="J18" s="271">
        <f t="shared" si="3"/>
        <v>0</v>
      </c>
      <c r="K18" s="225"/>
      <c r="L18" s="225"/>
      <c r="M18" s="225"/>
      <c r="N18" s="225"/>
      <c r="O18" s="243">
        <f>K18</f>
        <v>0</v>
      </c>
      <c r="P18" s="271">
        <f>+J18+E18</f>
        <v>165000</v>
      </c>
      <c r="R18" s="141"/>
    </row>
    <row r="19" spans="1:20" s="123" customFormat="1" ht="409.5" x14ac:dyDescent="0.2">
      <c r="A19" s="422" t="s">
        <v>539</v>
      </c>
      <c r="B19" s="422" t="s">
        <v>538</v>
      </c>
      <c r="C19" s="422" t="s">
        <v>256</v>
      </c>
      <c r="D19" s="231" t="s">
        <v>549</v>
      </c>
      <c r="E19" s="418">
        <f t="shared" si="10"/>
        <v>0</v>
      </c>
      <c r="F19" s="404"/>
      <c r="G19" s="404"/>
      <c r="H19" s="404"/>
      <c r="I19" s="404"/>
      <c r="J19" s="414">
        <f t="shared" si="3"/>
        <v>2918766.04</v>
      </c>
      <c r="K19" s="404"/>
      <c r="L19" s="404">
        <f>(2225100)+643666.04</f>
        <v>2868766.04</v>
      </c>
      <c r="M19" s="404"/>
      <c r="N19" s="404"/>
      <c r="O19" s="406">
        <f>K19+50000</f>
        <v>50000</v>
      </c>
      <c r="P19" s="418">
        <f>E19+J19</f>
        <v>2918766.04</v>
      </c>
      <c r="Q19" s="254">
        <f>P19</f>
        <v>2918766.04</v>
      </c>
    </row>
    <row r="20" spans="1:20" s="123" customFormat="1" ht="137.25" x14ac:dyDescent="0.2">
      <c r="A20" s="403"/>
      <c r="B20" s="403"/>
      <c r="C20" s="403"/>
      <c r="D20" s="235" t="s">
        <v>550</v>
      </c>
      <c r="E20" s="419"/>
      <c r="F20" s="420"/>
      <c r="G20" s="420"/>
      <c r="H20" s="420"/>
      <c r="I20" s="420"/>
      <c r="J20" s="403"/>
      <c r="K20" s="403"/>
      <c r="L20" s="420"/>
      <c r="M20" s="420"/>
      <c r="N20" s="420"/>
      <c r="O20" s="426"/>
      <c r="P20" s="419"/>
    </row>
    <row r="21" spans="1:20" ht="91.5" x14ac:dyDescent="0.2">
      <c r="A21" s="270" t="s">
        <v>346</v>
      </c>
      <c r="B21" s="270" t="s">
        <v>347</v>
      </c>
      <c r="C21" s="270" t="s">
        <v>348</v>
      </c>
      <c r="D21" s="268" t="s">
        <v>349</v>
      </c>
      <c r="E21" s="271">
        <f>F21</f>
        <v>3645000</v>
      </c>
      <c r="F21" s="225">
        <f>(3515000)+130000</f>
        <v>3645000</v>
      </c>
      <c r="G21" s="225"/>
      <c r="H21" s="225"/>
      <c r="I21" s="225"/>
      <c r="J21" s="271">
        <f>L21+O21</f>
        <v>0</v>
      </c>
      <c r="K21" s="225"/>
      <c r="L21" s="225"/>
      <c r="M21" s="225"/>
      <c r="N21" s="225"/>
      <c r="O21" s="243">
        <f>K21</f>
        <v>0</v>
      </c>
      <c r="P21" s="271">
        <f>E21+J21</f>
        <v>3645000</v>
      </c>
    </row>
    <row r="22" spans="1:20" ht="274.5" x14ac:dyDescent="0.2">
      <c r="A22" s="270" t="s">
        <v>350</v>
      </c>
      <c r="B22" s="270" t="s">
        <v>351</v>
      </c>
      <c r="C22" s="270" t="s">
        <v>71</v>
      </c>
      <c r="D22" s="270" t="s">
        <v>352</v>
      </c>
      <c r="E22" s="271">
        <f t="shared" si="9"/>
        <v>190000</v>
      </c>
      <c r="F22" s="225">
        <v>190000</v>
      </c>
      <c r="G22" s="225"/>
      <c r="H22" s="225"/>
      <c r="I22" s="225"/>
      <c r="J22" s="271">
        <f>L22+O22</f>
        <v>0</v>
      </c>
      <c r="K22" s="225"/>
      <c r="L22" s="225"/>
      <c r="M22" s="225"/>
      <c r="N22" s="225"/>
      <c r="O22" s="243">
        <f>K22</f>
        <v>0</v>
      </c>
      <c r="P22" s="271">
        <f>E22+J22</f>
        <v>190000</v>
      </c>
    </row>
    <row r="23" spans="1:20" ht="91.5" x14ac:dyDescent="0.2">
      <c r="A23" s="270" t="s">
        <v>880</v>
      </c>
      <c r="B23" s="270" t="s">
        <v>601</v>
      </c>
      <c r="C23" s="270" t="s">
        <v>71</v>
      </c>
      <c r="D23" s="270" t="s">
        <v>602</v>
      </c>
      <c r="E23" s="271">
        <f t="shared" ref="E23:E24" si="11">F23</f>
        <v>0</v>
      </c>
      <c r="F23" s="225"/>
      <c r="G23" s="225"/>
      <c r="H23" s="225"/>
      <c r="I23" s="225"/>
      <c r="J23" s="271">
        <f t="shared" ref="J23:J24" si="12">L23+O23</f>
        <v>100000</v>
      </c>
      <c r="K23" s="225">
        <v>100000</v>
      </c>
      <c r="L23" s="225"/>
      <c r="M23" s="225"/>
      <c r="N23" s="225"/>
      <c r="O23" s="243">
        <f t="shared" ref="O23:O24" si="13">K23</f>
        <v>100000</v>
      </c>
      <c r="P23" s="271">
        <f t="shared" ref="P23:P24" si="14">E23+J23</f>
        <v>100000</v>
      </c>
      <c r="R23" s="141" t="b">
        <f>K23='dod5'!I10</f>
        <v>1</v>
      </c>
    </row>
    <row r="24" spans="1:20" ht="183" x14ac:dyDescent="0.2">
      <c r="A24" s="270" t="s">
        <v>882</v>
      </c>
      <c r="B24" s="270" t="s">
        <v>883</v>
      </c>
      <c r="C24" s="270" t="s">
        <v>71</v>
      </c>
      <c r="D24" s="270" t="s">
        <v>881</v>
      </c>
      <c r="E24" s="271">
        <f t="shared" si="11"/>
        <v>2170108</v>
      </c>
      <c r="F24" s="225">
        <v>2170108</v>
      </c>
      <c r="G24" s="225"/>
      <c r="H24" s="225"/>
      <c r="I24" s="225"/>
      <c r="J24" s="271">
        <f t="shared" si="12"/>
        <v>3518452</v>
      </c>
      <c r="K24" s="225">
        <v>3518452</v>
      </c>
      <c r="L24" s="225"/>
      <c r="M24" s="225"/>
      <c r="N24" s="225"/>
      <c r="O24" s="243">
        <f t="shared" si="13"/>
        <v>3518452</v>
      </c>
      <c r="P24" s="271">
        <f t="shared" si="14"/>
        <v>5688560</v>
      </c>
      <c r="R24" s="141" t="b">
        <f>K24='dod5'!I12+'dod5'!I11</f>
        <v>1</v>
      </c>
    </row>
    <row r="25" spans="1:20" ht="135" x14ac:dyDescent="0.2">
      <c r="A25" s="296" t="s">
        <v>238</v>
      </c>
      <c r="B25" s="296"/>
      <c r="C25" s="296"/>
      <c r="D25" s="297" t="s">
        <v>0</v>
      </c>
      <c r="E25" s="298">
        <f>E26</f>
        <v>1002153335.4</v>
      </c>
      <c r="F25" s="298">
        <f t="shared" ref="F25" si="15">F26</f>
        <v>1002153335.4</v>
      </c>
      <c r="G25" s="298">
        <f t="shared" ref="G25" si="16">G26</f>
        <v>654125477.39999998</v>
      </c>
      <c r="H25" s="298">
        <f>H26</f>
        <v>87033701</v>
      </c>
      <c r="I25" s="298">
        <f t="shared" ref="I25" si="17">I26</f>
        <v>0</v>
      </c>
      <c r="J25" s="298">
        <f>J26</f>
        <v>136254583.03999999</v>
      </c>
      <c r="K25" s="298">
        <f>K26</f>
        <v>33292593.039999999</v>
      </c>
      <c r="L25" s="298">
        <f>L26</f>
        <v>101610557</v>
      </c>
      <c r="M25" s="298">
        <f t="shared" ref="M25" si="18">M26</f>
        <v>26627480</v>
      </c>
      <c r="N25" s="298">
        <f>N26</f>
        <v>8228459</v>
      </c>
      <c r="O25" s="298">
        <f>O26</f>
        <v>34644026.039999999</v>
      </c>
      <c r="P25" s="302">
        <f t="shared" ref="P25" si="19">P26</f>
        <v>1138407918.4400001</v>
      </c>
    </row>
    <row r="26" spans="1:20" ht="135" x14ac:dyDescent="0.2">
      <c r="A26" s="299" t="s">
        <v>239</v>
      </c>
      <c r="B26" s="299"/>
      <c r="C26" s="299"/>
      <c r="D26" s="300" t="s">
        <v>1</v>
      </c>
      <c r="E26" s="301">
        <f>SUM(E27:E37)</f>
        <v>1002153335.4</v>
      </c>
      <c r="F26" s="301">
        <f>SUM(F27:F37)</f>
        <v>1002153335.4</v>
      </c>
      <c r="G26" s="301">
        <f>SUM(G27:G37)</f>
        <v>654125477.39999998</v>
      </c>
      <c r="H26" s="301">
        <f>SUM(H27:H37)</f>
        <v>87033701</v>
      </c>
      <c r="I26" s="301">
        <f>SUM(I27:I37)</f>
        <v>0</v>
      </c>
      <c r="J26" s="301">
        <f>L26+O26</f>
        <v>136254583.03999999</v>
      </c>
      <c r="K26" s="301">
        <f>SUM(K27:K37)</f>
        <v>33292593.039999999</v>
      </c>
      <c r="L26" s="301">
        <f>SUM(L27:L37)</f>
        <v>101610557</v>
      </c>
      <c r="M26" s="301">
        <f>SUM(M27:M37)</f>
        <v>26627480</v>
      </c>
      <c r="N26" s="301">
        <f>SUM(N27:N37)</f>
        <v>8228459</v>
      </c>
      <c r="O26" s="301">
        <f>SUM(O27:O37)</f>
        <v>34644026.039999999</v>
      </c>
      <c r="P26" s="301">
        <f t="shared" ref="P26:P34" si="20">E26+J26</f>
        <v>1138407918.4400001</v>
      </c>
      <c r="Q26" s="141" t="b">
        <f>P26=P27+P28+P29+P30+P31+P32+P33+P34+P36+P35+P37</f>
        <v>1</v>
      </c>
      <c r="R26" s="141" t="b">
        <f>K26='dod5'!I14</f>
        <v>1</v>
      </c>
    </row>
    <row r="27" spans="1:20" ht="46.5" x14ac:dyDescent="0.6">
      <c r="A27" s="270" t="s">
        <v>294</v>
      </c>
      <c r="B27" s="270" t="s">
        <v>295</v>
      </c>
      <c r="C27" s="270" t="s">
        <v>297</v>
      </c>
      <c r="D27" s="270" t="s">
        <v>298</v>
      </c>
      <c r="E27" s="271">
        <f>F27</f>
        <v>264555015</v>
      </c>
      <c r="F27" s="225">
        <f>(165508870+36411952+4442800+121320+24563500+1338350+273720+18519120+1241048+6540100+35500+100000)+4545735+913000</f>
        <v>264555015</v>
      </c>
      <c r="G27" s="225">
        <f>(165508870)+1966600+748360</f>
        <v>168223830</v>
      </c>
      <c r="H27" s="225">
        <v>26559008</v>
      </c>
      <c r="I27" s="225"/>
      <c r="J27" s="271">
        <f t="shared" ref="J27:J35" si="21">L27+O27</f>
        <v>46479882</v>
      </c>
      <c r="K27" s="225">
        <f>(252000+2500000)+3109462+498000</f>
        <v>6359462</v>
      </c>
      <c r="L27" s="225">
        <v>39787420</v>
      </c>
      <c r="M27" s="225">
        <v>7603840</v>
      </c>
      <c r="N27" s="225">
        <v>842876</v>
      </c>
      <c r="O27" s="243">
        <f>K27+333000</f>
        <v>6692462</v>
      </c>
      <c r="P27" s="271">
        <f t="shared" si="20"/>
        <v>311034897</v>
      </c>
      <c r="Q27" s="14"/>
      <c r="R27" s="321" t="b">
        <f>K27='dod5'!I15</f>
        <v>1</v>
      </c>
    </row>
    <row r="28" spans="1:20" ht="366" x14ac:dyDescent="0.55000000000000004">
      <c r="A28" s="270" t="s">
        <v>300</v>
      </c>
      <c r="B28" s="270" t="s">
        <v>296</v>
      </c>
      <c r="C28" s="270" t="s">
        <v>301</v>
      </c>
      <c r="D28" s="270" t="s">
        <v>628</v>
      </c>
      <c r="E28" s="271">
        <f t="shared" ref="E28:E33" si="22">F28</f>
        <v>565488990.39999998</v>
      </c>
      <c r="F28" s="225">
        <f>(377515910+83053501+7371100+178740+32183400+3499459+415560+30995614+945670+7256140+593970+178740+8163+2093100-15000000+17381620+3131372)+10321843.4-51482-771570+4355840-38200-129500</f>
        <v>565488990.39999998</v>
      </c>
      <c r="G28" s="225">
        <f>(377515910+1668354)+4047428.4</f>
        <v>383231692.39999998</v>
      </c>
      <c r="H28" s="225">
        <v>42540714</v>
      </c>
      <c r="I28" s="225"/>
      <c r="J28" s="271">
        <f t="shared" si="21"/>
        <v>60737934.039999999</v>
      </c>
      <c r="K28" s="225">
        <f>(171000+2450000+400000+655000)+13835258.04+771570+507746</f>
        <v>18790574.039999999</v>
      </c>
      <c r="L28" s="225">
        <f>(41102910)-24983</f>
        <v>41077927</v>
      </c>
      <c r="M28" s="225">
        <v>13732800</v>
      </c>
      <c r="N28" s="225">
        <v>987168</v>
      </c>
      <c r="O28" s="243">
        <f>K28+844450+24983</f>
        <v>19660007.039999999</v>
      </c>
      <c r="P28" s="271">
        <f t="shared" si="20"/>
        <v>626226924.43999994</v>
      </c>
      <c r="Q28" s="14"/>
      <c r="R28" s="141" t="b">
        <f>K28='dod5'!I16+'dod5'!I17+'dod5'!I18+'dod5'!I19+'dod5'!I20</f>
        <v>1</v>
      </c>
      <c r="T28" s="112"/>
    </row>
    <row r="29" spans="1:20" ht="366" x14ac:dyDescent="0.2">
      <c r="A29" s="270" t="s">
        <v>304</v>
      </c>
      <c r="B29" s="270" t="s">
        <v>303</v>
      </c>
      <c r="C29" s="270" t="s">
        <v>305</v>
      </c>
      <c r="D29" s="270" t="s">
        <v>32</v>
      </c>
      <c r="E29" s="271">
        <f t="shared" si="22"/>
        <v>16898046</v>
      </c>
      <c r="F29" s="225">
        <f>(11987275+2637201+297700+3970+635400+74400+12000+1090080+19380+107800+5400+5000)+8400+14040</f>
        <v>16898046</v>
      </c>
      <c r="G29" s="225">
        <v>11987275</v>
      </c>
      <c r="H29" s="225">
        <v>1222094</v>
      </c>
      <c r="I29" s="225"/>
      <c r="J29" s="271">
        <f t="shared" si="21"/>
        <v>89000</v>
      </c>
      <c r="K29" s="225">
        <f>(9000)+30000</f>
        <v>39000</v>
      </c>
      <c r="L29" s="225">
        <v>50000</v>
      </c>
      <c r="M29" s="225"/>
      <c r="N29" s="225">
        <v>29628</v>
      </c>
      <c r="O29" s="243">
        <f>K29</f>
        <v>39000</v>
      </c>
      <c r="P29" s="271">
        <f t="shared" si="20"/>
        <v>16987046</v>
      </c>
      <c r="R29" s="141" t="b">
        <f>K29='dod5'!I21</f>
        <v>1</v>
      </c>
    </row>
    <row r="30" spans="1:20" ht="183" x14ac:dyDescent="0.2">
      <c r="A30" s="270" t="s">
        <v>306</v>
      </c>
      <c r="B30" s="270" t="s">
        <v>287</v>
      </c>
      <c r="C30" s="270" t="s">
        <v>275</v>
      </c>
      <c r="D30" s="270" t="s">
        <v>33</v>
      </c>
      <c r="E30" s="271">
        <f t="shared" si="22"/>
        <v>27736015</v>
      </c>
      <c r="F30" s="225">
        <f>(19190813+4221979+572200+13650+0+820000+23640+304700+1254870+46020+589810+263715+3840+30500+200)+400078</f>
        <v>27736015</v>
      </c>
      <c r="G30" s="225">
        <v>19190813</v>
      </c>
      <c r="H30" s="225">
        <v>2186372</v>
      </c>
      <c r="I30" s="225"/>
      <c r="J30" s="271">
        <f t="shared" si="21"/>
        <v>7391670</v>
      </c>
      <c r="K30" s="225">
        <f>(18000+2000000+300000)+300000+60000</f>
        <v>2678000</v>
      </c>
      <c r="L30" s="225">
        <v>4579670</v>
      </c>
      <c r="M30" s="225">
        <v>1037200</v>
      </c>
      <c r="N30" s="225">
        <v>363907</v>
      </c>
      <c r="O30" s="243">
        <f>K30+134000</f>
        <v>2812000</v>
      </c>
      <c r="P30" s="271">
        <f t="shared" si="20"/>
        <v>35127685</v>
      </c>
      <c r="R30" s="141" t="b">
        <f>K30='dod5'!I22+'dod5'!I23</f>
        <v>1</v>
      </c>
    </row>
    <row r="31" spans="1:20" ht="137.25" x14ac:dyDescent="0.2">
      <c r="A31" s="270" t="s">
        <v>307</v>
      </c>
      <c r="B31" s="270" t="s">
        <v>308</v>
      </c>
      <c r="C31" s="270" t="s">
        <v>309</v>
      </c>
      <c r="D31" s="270" t="s">
        <v>310</v>
      </c>
      <c r="E31" s="271">
        <f t="shared" si="22"/>
        <v>100170470</v>
      </c>
      <c r="F31" s="225">
        <f>(55361620+12179557+98200+14420+3078726+14900+65640+8051698+582633+3183200+1360000+15250000+502876)+427000</f>
        <v>100170470</v>
      </c>
      <c r="G31" s="225">
        <v>55361620</v>
      </c>
      <c r="H31" s="225">
        <f>(13186731)+427000</f>
        <v>13613731</v>
      </c>
      <c r="I31" s="225"/>
      <c r="J31" s="271">
        <f>L31+O31</f>
        <v>15944717</v>
      </c>
      <c r="K31" s="225">
        <v>216557</v>
      </c>
      <c r="L31" s="225">
        <f>15728160-15000</f>
        <v>15713160</v>
      </c>
      <c r="M31" s="225">
        <v>4054000</v>
      </c>
      <c r="N31" s="225">
        <v>6001470</v>
      </c>
      <c r="O31" s="243">
        <f>K31+15000</f>
        <v>231557</v>
      </c>
      <c r="P31" s="271">
        <f t="shared" si="20"/>
        <v>116115187</v>
      </c>
      <c r="R31" s="141"/>
    </row>
    <row r="32" spans="1:20" ht="91.5" x14ac:dyDescent="0.2">
      <c r="A32" s="270" t="s">
        <v>312</v>
      </c>
      <c r="B32" s="270" t="s">
        <v>313</v>
      </c>
      <c r="C32" s="270" t="s">
        <v>314</v>
      </c>
      <c r="D32" s="270" t="s">
        <v>311</v>
      </c>
      <c r="E32" s="271">
        <f t="shared" si="22"/>
        <v>4772988</v>
      </c>
      <c r="F32" s="225">
        <f>(3056197+672364+210900+430000+3120+40000+126900+4845+57140+400+2500)+168622</f>
        <v>4772988</v>
      </c>
      <c r="G32" s="225">
        <v>3056197</v>
      </c>
      <c r="H32" s="225">
        <v>192106</v>
      </c>
      <c r="I32" s="225"/>
      <c r="J32" s="271">
        <f t="shared" si="21"/>
        <v>73740</v>
      </c>
      <c r="K32" s="225"/>
      <c r="L32" s="225">
        <v>73740</v>
      </c>
      <c r="M32" s="225"/>
      <c r="N32" s="225"/>
      <c r="O32" s="243">
        <f t="shared" ref="O32:O37" si="23">K32</f>
        <v>0</v>
      </c>
      <c r="P32" s="271">
        <f t="shared" si="20"/>
        <v>4846728</v>
      </c>
      <c r="R32" s="141"/>
    </row>
    <row r="33" spans="1:18" s="123" customFormat="1" ht="91.5" x14ac:dyDescent="0.2">
      <c r="A33" s="268" t="s">
        <v>503</v>
      </c>
      <c r="B33" s="268" t="s">
        <v>504</v>
      </c>
      <c r="C33" s="268" t="s">
        <v>314</v>
      </c>
      <c r="D33" s="268" t="s">
        <v>502</v>
      </c>
      <c r="E33" s="271">
        <f t="shared" si="22"/>
        <v>15721839</v>
      </c>
      <c r="F33" s="225">
        <f>(11912850+2620827+577800+1200+362900+12480+440620+8475+262150+2705+4360+400+3840+1416600)-1905368</f>
        <v>15721839</v>
      </c>
      <c r="G33" s="225">
        <f>(11912850+1161200)-1421200</f>
        <v>11652850</v>
      </c>
      <c r="H33" s="225">
        <f>(719676)-30900</f>
        <v>688776</v>
      </c>
      <c r="I33" s="272"/>
      <c r="J33" s="271">
        <f t="shared" si="21"/>
        <v>337640</v>
      </c>
      <c r="K33" s="225">
        <v>9000</v>
      </c>
      <c r="L33" s="225">
        <v>328640</v>
      </c>
      <c r="M33" s="225">
        <v>199640</v>
      </c>
      <c r="N33" s="225">
        <v>3410</v>
      </c>
      <c r="O33" s="243">
        <f t="shared" si="23"/>
        <v>9000</v>
      </c>
      <c r="P33" s="271">
        <f t="shared" si="20"/>
        <v>16059479</v>
      </c>
      <c r="R33" s="141" t="b">
        <f>K33='dod5'!I25</f>
        <v>1</v>
      </c>
    </row>
    <row r="34" spans="1:18" s="123" customFormat="1" ht="91.5" x14ac:dyDescent="0.2">
      <c r="A34" s="268" t="s">
        <v>536</v>
      </c>
      <c r="B34" s="268" t="s">
        <v>537</v>
      </c>
      <c r="C34" s="268" t="s">
        <v>314</v>
      </c>
      <c r="D34" s="270" t="s">
        <v>535</v>
      </c>
      <c r="E34" s="269">
        <f>F34</f>
        <v>148960</v>
      </c>
      <c r="F34" s="272">
        <v>148960</v>
      </c>
      <c r="G34" s="272"/>
      <c r="H34" s="272"/>
      <c r="I34" s="272"/>
      <c r="J34" s="271">
        <f t="shared" si="21"/>
        <v>0</v>
      </c>
      <c r="K34" s="272"/>
      <c r="L34" s="272"/>
      <c r="M34" s="272"/>
      <c r="N34" s="272"/>
      <c r="O34" s="243">
        <f t="shared" si="23"/>
        <v>0</v>
      </c>
      <c r="P34" s="271">
        <f t="shared" si="20"/>
        <v>148960</v>
      </c>
      <c r="R34" s="141"/>
    </row>
    <row r="35" spans="1:18" s="123" customFormat="1" ht="91.5" x14ac:dyDescent="0.2">
      <c r="A35" s="268" t="s">
        <v>833</v>
      </c>
      <c r="B35" s="268" t="s">
        <v>834</v>
      </c>
      <c r="C35" s="268" t="s">
        <v>314</v>
      </c>
      <c r="D35" s="270" t="s">
        <v>835</v>
      </c>
      <c r="E35" s="269">
        <f>F35</f>
        <v>2036012</v>
      </c>
      <c r="F35" s="272">
        <v>2036012</v>
      </c>
      <c r="G35" s="272">
        <f>1161200+260000</f>
        <v>1421200</v>
      </c>
      <c r="H35" s="272">
        <v>30900</v>
      </c>
      <c r="I35" s="272"/>
      <c r="J35" s="271">
        <f t="shared" si="21"/>
        <v>200000</v>
      </c>
      <c r="K35" s="272">
        <v>200000</v>
      </c>
      <c r="L35" s="272"/>
      <c r="M35" s="272"/>
      <c r="N35" s="272"/>
      <c r="O35" s="243">
        <f t="shared" si="23"/>
        <v>200000</v>
      </c>
      <c r="P35" s="271">
        <f t="shared" ref="P35:P37" si="24">E35+J35</f>
        <v>2236012</v>
      </c>
      <c r="R35" s="141"/>
    </row>
    <row r="36" spans="1:18" s="123" customFormat="1" ht="366" x14ac:dyDescent="0.2">
      <c r="A36" s="270" t="s">
        <v>837</v>
      </c>
      <c r="B36" s="270" t="s">
        <v>838</v>
      </c>
      <c r="C36" s="270" t="s">
        <v>279</v>
      </c>
      <c r="D36" s="270" t="s">
        <v>836</v>
      </c>
      <c r="E36" s="269">
        <f>F36</f>
        <v>1925000</v>
      </c>
      <c r="F36" s="272">
        <v>1925000</v>
      </c>
      <c r="G36" s="272"/>
      <c r="H36" s="272"/>
      <c r="I36" s="272"/>
      <c r="J36" s="271">
        <f>L36+O36</f>
        <v>0</v>
      </c>
      <c r="K36" s="272"/>
      <c r="L36" s="272"/>
      <c r="M36" s="272"/>
      <c r="N36" s="272"/>
      <c r="O36" s="243">
        <f>K36</f>
        <v>0</v>
      </c>
      <c r="P36" s="271">
        <f>E36+J36</f>
        <v>1925000</v>
      </c>
      <c r="R36" s="141"/>
    </row>
    <row r="37" spans="1:18" s="123" customFormat="1" ht="46.5" x14ac:dyDescent="0.2">
      <c r="A37" s="270" t="s">
        <v>316</v>
      </c>
      <c r="B37" s="270" t="s">
        <v>317</v>
      </c>
      <c r="C37" s="270" t="s">
        <v>318</v>
      </c>
      <c r="D37" s="270" t="s">
        <v>67</v>
      </c>
      <c r="E37" s="269">
        <f>F37</f>
        <v>2700000</v>
      </c>
      <c r="F37" s="272">
        <v>2700000</v>
      </c>
      <c r="G37" s="272"/>
      <c r="H37" s="272"/>
      <c r="I37" s="272"/>
      <c r="J37" s="271">
        <f t="shared" ref="J37" si="25">L37+O37</f>
        <v>5000000</v>
      </c>
      <c r="K37" s="272">
        <v>5000000</v>
      </c>
      <c r="L37" s="272"/>
      <c r="M37" s="272"/>
      <c r="N37" s="272"/>
      <c r="O37" s="243">
        <f t="shared" si="23"/>
        <v>5000000</v>
      </c>
      <c r="P37" s="271">
        <f t="shared" si="24"/>
        <v>7700000</v>
      </c>
      <c r="R37" s="141" t="b">
        <f>K37='dod5'!I27</f>
        <v>1</v>
      </c>
    </row>
    <row r="38" spans="1:18" ht="135" x14ac:dyDescent="0.2">
      <c r="A38" s="303" t="s">
        <v>240</v>
      </c>
      <c r="B38" s="304"/>
      <c r="C38" s="304"/>
      <c r="D38" s="297" t="s">
        <v>36</v>
      </c>
      <c r="E38" s="298">
        <f>E39</f>
        <v>365256996.38</v>
      </c>
      <c r="F38" s="298">
        <f t="shared" ref="F38" si="26">F39</f>
        <v>365256996.38</v>
      </c>
      <c r="G38" s="298">
        <f t="shared" ref="G38" si="27">G39</f>
        <v>3641900</v>
      </c>
      <c r="H38" s="298">
        <f>H39</f>
        <v>215100</v>
      </c>
      <c r="I38" s="298">
        <f t="shared" ref="I38" si="28">I39</f>
        <v>0</v>
      </c>
      <c r="J38" s="298">
        <f>J39</f>
        <v>28002158</v>
      </c>
      <c r="K38" s="298">
        <f>K39</f>
        <v>21406367</v>
      </c>
      <c r="L38" s="298">
        <f>L39</f>
        <v>5853391</v>
      </c>
      <c r="M38" s="298">
        <f t="shared" ref="M38" si="29">M39</f>
        <v>0</v>
      </c>
      <c r="N38" s="298">
        <f>N39</f>
        <v>0</v>
      </c>
      <c r="O38" s="298">
        <f>O39</f>
        <v>22148767</v>
      </c>
      <c r="P38" s="305">
        <f>P39</f>
        <v>393259154.38</v>
      </c>
    </row>
    <row r="39" spans="1:18" ht="135" x14ac:dyDescent="0.2">
      <c r="A39" s="299" t="s">
        <v>241</v>
      </c>
      <c r="B39" s="299"/>
      <c r="C39" s="299"/>
      <c r="D39" s="300" t="s">
        <v>59</v>
      </c>
      <c r="E39" s="301">
        <f>SUM(E40:E51)</f>
        <v>365256996.38</v>
      </c>
      <c r="F39" s="301">
        <f t="shared" ref="F39:H39" si="30">SUM(F40:F51)</f>
        <v>365256996.38</v>
      </c>
      <c r="G39" s="301">
        <f t="shared" si="30"/>
        <v>3641900</v>
      </c>
      <c r="H39" s="301">
        <f t="shared" si="30"/>
        <v>215100</v>
      </c>
      <c r="I39" s="301">
        <f>SUM(I40:I51)</f>
        <v>0</v>
      </c>
      <c r="J39" s="301">
        <f>L39+O39</f>
        <v>28002158</v>
      </c>
      <c r="K39" s="301">
        <f>SUM(K40:K51)</f>
        <v>21406367</v>
      </c>
      <c r="L39" s="301">
        <f t="shared" ref="L39:N39" si="31">SUM(L40:L51)</f>
        <v>5853391</v>
      </c>
      <c r="M39" s="301">
        <f t="shared" si="31"/>
        <v>0</v>
      </c>
      <c r="N39" s="301">
        <f t="shared" si="31"/>
        <v>0</v>
      </c>
      <c r="O39" s="301">
        <f>SUM(O40:O51)</f>
        <v>22148767</v>
      </c>
      <c r="P39" s="301">
        <f t="shared" ref="P39:P50" si="32">E39+J39</f>
        <v>393259154.38</v>
      </c>
      <c r="Q39" s="141" t="b">
        <f>P39=P41+P42+P43+P44+P45+P46+P47+P48+P49+P40+P50+P51</f>
        <v>1</v>
      </c>
      <c r="R39" s="141" t="b">
        <f>K39='dod5'!I28</f>
        <v>1</v>
      </c>
    </row>
    <row r="40" spans="1:18" ht="228.75" x14ac:dyDescent="0.2">
      <c r="A40" s="270" t="s">
        <v>727</v>
      </c>
      <c r="B40" s="270" t="s">
        <v>341</v>
      </c>
      <c r="C40" s="270" t="s">
        <v>339</v>
      </c>
      <c r="D40" s="270" t="s">
        <v>340</v>
      </c>
      <c r="E40" s="271">
        <f>F40</f>
        <v>2501100</v>
      </c>
      <c r="F40" s="225">
        <v>2501100</v>
      </c>
      <c r="G40" s="225">
        <v>1884600</v>
      </c>
      <c r="H40" s="225">
        <v>101500</v>
      </c>
      <c r="I40" s="225"/>
      <c r="J40" s="271">
        <f t="shared" ref="J40:J50" si="33">L40+O40</f>
        <v>0</v>
      </c>
      <c r="K40" s="271"/>
      <c r="L40" s="271"/>
      <c r="M40" s="271"/>
      <c r="N40" s="271"/>
      <c r="O40" s="243">
        <f>K40</f>
        <v>0</v>
      </c>
      <c r="P40" s="271">
        <f t="shared" si="32"/>
        <v>2501100</v>
      </c>
      <c r="Q40" s="141"/>
      <c r="R40" s="141"/>
    </row>
    <row r="41" spans="1:18" ht="91.5" x14ac:dyDescent="0.2">
      <c r="A41" s="270" t="s">
        <v>319</v>
      </c>
      <c r="B41" s="270" t="s">
        <v>315</v>
      </c>
      <c r="C41" s="270" t="s">
        <v>320</v>
      </c>
      <c r="D41" s="270" t="s">
        <v>37</v>
      </c>
      <c r="E41" s="271">
        <f>F41</f>
        <v>200997642</v>
      </c>
      <c r="F41" s="225">
        <f>(190671412+426500+500000)-3985900+13242930-25000+167700</f>
        <v>200997642</v>
      </c>
      <c r="G41" s="225"/>
      <c r="H41" s="225"/>
      <c r="I41" s="225"/>
      <c r="J41" s="271">
        <f t="shared" si="33"/>
        <v>13097414</v>
      </c>
      <c r="K41" s="225">
        <f>(4532900)-200000-600000-208200-167638+7032030+208200+167638-130216</f>
        <v>10634714</v>
      </c>
      <c r="L41" s="225">
        <f>(4218000)-2055300</f>
        <v>2162700</v>
      </c>
      <c r="M41" s="225"/>
      <c r="N41" s="225"/>
      <c r="O41" s="243">
        <f>K41+300000</f>
        <v>10934714</v>
      </c>
      <c r="P41" s="271">
        <f t="shared" si="32"/>
        <v>214095056</v>
      </c>
      <c r="R41" s="141" t="b">
        <f>K41='dod5'!I30+'dod5'!I31+'dod5'!I32</f>
        <v>1</v>
      </c>
    </row>
    <row r="42" spans="1:18" ht="137.25" x14ac:dyDescent="0.2">
      <c r="A42" s="270" t="s">
        <v>321</v>
      </c>
      <c r="B42" s="270" t="s">
        <v>322</v>
      </c>
      <c r="C42" s="270" t="s">
        <v>323</v>
      </c>
      <c r="D42" s="270" t="s">
        <v>324</v>
      </c>
      <c r="E42" s="271">
        <f t="shared" ref="E42:E45" si="34">F42</f>
        <v>59783500</v>
      </c>
      <c r="F42" s="225">
        <v>59783500</v>
      </c>
      <c r="G42" s="225"/>
      <c r="H42" s="225"/>
      <c r="I42" s="225"/>
      <c r="J42" s="271">
        <f t="shared" si="33"/>
        <v>472091</v>
      </c>
      <c r="K42" s="225">
        <v>126000</v>
      </c>
      <c r="L42" s="225">
        <f>(1038271)-692180</f>
        <v>346091</v>
      </c>
      <c r="M42" s="225"/>
      <c r="N42" s="225"/>
      <c r="O42" s="243">
        <f>K42</f>
        <v>126000</v>
      </c>
      <c r="P42" s="271">
        <f t="shared" si="32"/>
        <v>60255591</v>
      </c>
      <c r="R42" s="141" t="b">
        <f>K42='dod5'!I33</f>
        <v>1</v>
      </c>
    </row>
    <row r="43" spans="1:18" ht="137.25" x14ac:dyDescent="0.2">
      <c r="A43" s="270" t="s">
        <v>325</v>
      </c>
      <c r="B43" s="270" t="s">
        <v>326</v>
      </c>
      <c r="C43" s="270" t="s">
        <v>327</v>
      </c>
      <c r="D43" s="270" t="s">
        <v>551</v>
      </c>
      <c r="E43" s="271">
        <f t="shared" si="34"/>
        <v>61436770</v>
      </c>
      <c r="F43" s="225">
        <f>(57684870)+3985900-234000</f>
        <v>61436770</v>
      </c>
      <c r="G43" s="225"/>
      <c r="H43" s="225"/>
      <c r="I43" s="225"/>
      <c r="J43" s="271">
        <f t="shared" si="33"/>
        <v>2706300</v>
      </c>
      <c r="K43" s="225">
        <f>939600-99000</f>
        <v>840600</v>
      </c>
      <c r="L43" s="225">
        <f>(5254900)-3731600</f>
        <v>1523300</v>
      </c>
      <c r="M43" s="225"/>
      <c r="N43" s="225"/>
      <c r="O43" s="243">
        <f>K43+342400</f>
        <v>1183000</v>
      </c>
      <c r="P43" s="271">
        <f t="shared" si="32"/>
        <v>64143070</v>
      </c>
      <c r="R43" s="141" t="b">
        <f>K43='dod5'!I34</f>
        <v>1</v>
      </c>
    </row>
    <row r="44" spans="1:18" ht="91.5" x14ac:dyDescent="0.2">
      <c r="A44" s="270" t="s">
        <v>328</v>
      </c>
      <c r="B44" s="270" t="s">
        <v>329</v>
      </c>
      <c r="C44" s="270" t="s">
        <v>330</v>
      </c>
      <c r="D44" s="270" t="s">
        <v>331</v>
      </c>
      <c r="E44" s="271">
        <f t="shared" si="34"/>
        <v>9871950</v>
      </c>
      <c r="F44" s="225">
        <f>9871950-949000+949000</f>
        <v>9871950</v>
      </c>
      <c r="G44" s="225"/>
      <c r="H44" s="225"/>
      <c r="I44" s="225"/>
      <c r="J44" s="271">
        <f t="shared" si="33"/>
        <v>3499300</v>
      </c>
      <c r="K44" s="225">
        <f>1600000</f>
        <v>1600000</v>
      </c>
      <c r="L44" s="225">
        <f>(5397900)-3598600</f>
        <v>1799300</v>
      </c>
      <c r="M44" s="225"/>
      <c r="N44" s="225"/>
      <c r="O44" s="243">
        <f>K44+100000</f>
        <v>1700000</v>
      </c>
      <c r="P44" s="271">
        <f t="shared" si="32"/>
        <v>13371250</v>
      </c>
      <c r="R44" s="141" t="b">
        <f>K44='dod5'!I35</f>
        <v>1</v>
      </c>
    </row>
    <row r="45" spans="1:18" ht="183" x14ac:dyDescent="0.2">
      <c r="A45" s="270" t="s">
        <v>332</v>
      </c>
      <c r="B45" s="268" t="s">
        <v>333</v>
      </c>
      <c r="C45" s="268" t="s">
        <v>552</v>
      </c>
      <c r="D45" s="270" t="s">
        <v>334</v>
      </c>
      <c r="E45" s="271">
        <f t="shared" si="34"/>
        <v>8952218</v>
      </c>
      <c r="F45" s="225">
        <f>(8891316)+60902</f>
        <v>8952218</v>
      </c>
      <c r="G45" s="225"/>
      <c r="H45" s="225"/>
      <c r="I45" s="225"/>
      <c r="J45" s="271">
        <f t="shared" si="33"/>
        <v>0</v>
      </c>
      <c r="K45" s="225"/>
      <c r="L45" s="225"/>
      <c r="M45" s="225"/>
      <c r="N45" s="225"/>
      <c r="O45" s="243">
        <f t="shared" ref="O45:O51" si="35">K45</f>
        <v>0</v>
      </c>
      <c r="P45" s="271">
        <f t="shared" si="32"/>
        <v>8952218</v>
      </c>
      <c r="R45" s="141"/>
    </row>
    <row r="46" spans="1:18" ht="183" x14ac:dyDescent="0.2">
      <c r="A46" s="270" t="s">
        <v>591</v>
      </c>
      <c r="B46" s="270" t="s">
        <v>592</v>
      </c>
      <c r="C46" s="268" t="s">
        <v>335</v>
      </c>
      <c r="D46" s="215" t="s">
        <v>593</v>
      </c>
      <c r="E46" s="271">
        <f t="shared" ref="E46:E47" si="36">F46</f>
        <v>13400746.379999999</v>
      </c>
      <c r="F46" s="225">
        <f>(8972700)+4428046.38</f>
        <v>13400746.379999999</v>
      </c>
      <c r="G46" s="225"/>
      <c r="H46" s="225"/>
      <c r="I46" s="225"/>
      <c r="J46" s="271">
        <f t="shared" si="33"/>
        <v>0</v>
      </c>
      <c r="K46" s="225"/>
      <c r="L46" s="225"/>
      <c r="M46" s="225"/>
      <c r="N46" s="225"/>
      <c r="O46" s="243">
        <f t="shared" si="35"/>
        <v>0</v>
      </c>
      <c r="P46" s="271">
        <f t="shared" si="32"/>
        <v>13400746.379999999</v>
      </c>
      <c r="R46" s="141"/>
    </row>
    <row r="47" spans="1:18" ht="183" x14ac:dyDescent="0.2">
      <c r="A47" s="270" t="s">
        <v>596</v>
      </c>
      <c r="B47" s="270" t="s">
        <v>595</v>
      </c>
      <c r="C47" s="268" t="s">
        <v>335</v>
      </c>
      <c r="D47" s="215" t="s">
        <v>594</v>
      </c>
      <c r="E47" s="271">
        <f t="shared" si="36"/>
        <v>1734200</v>
      </c>
      <c r="F47" s="225">
        <v>1734200</v>
      </c>
      <c r="G47" s="225"/>
      <c r="H47" s="225"/>
      <c r="I47" s="225"/>
      <c r="J47" s="271">
        <f t="shared" si="33"/>
        <v>0</v>
      </c>
      <c r="K47" s="225"/>
      <c r="L47" s="225"/>
      <c r="M47" s="225"/>
      <c r="N47" s="225"/>
      <c r="O47" s="243">
        <f t="shared" si="35"/>
        <v>0</v>
      </c>
      <c r="P47" s="271">
        <f t="shared" si="32"/>
        <v>1734200</v>
      </c>
      <c r="R47" s="141"/>
    </row>
    <row r="48" spans="1:18" s="123" customFormat="1" ht="137.25" x14ac:dyDescent="0.2">
      <c r="A48" s="270" t="s">
        <v>507</v>
      </c>
      <c r="B48" s="270" t="s">
        <v>509</v>
      </c>
      <c r="C48" s="268" t="s">
        <v>335</v>
      </c>
      <c r="D48" s="215" t="s">
        <v>505</v>
      </c>
      <c r="E48" s="271">
        <f t="shared" ref="E48:E50" si="37">F48</f>
        <v>2416670</v>
      </c>
      <c r="F48" s="225">
        <f>(2416670)</f>
        <v>2416670</v>
      </c>
      <c r="G48" s="225">
        <v>1757300</v>
      </c>
      <c r="H48" s="225">
        <v>113600</v>
      </c>
      <c r="I48" s="225"/>
      <c r="J48" s="271">
        <f t="shared" si="33"/>
        <v>129704</v>
      </c>
      <c r="K48" s="225">
        <f>167704-60000</f>
        <v>107704</v>
      </c>
      <c r="L48" s="225">
        <v>22000</v>
      </c>
      <c r="M48" s="225"/>
      <c r="N48" s="225"/>
      <c r="O48" s="243">
        <f t="shared" si="35"/>
        <v>107704</v>
      </c>
      <c r="P48" s="271">
        <f t="shared" si="32"/>
        <v>2546374</v>
      </c>
      <c r="R48" s="141" t="b">
        <f>K48='dod5'!I36</f>
        <v>1</v>
      </c>
    </row>
    <row r="49" spans="1:20" s="123" customFormat="1" ht="91.5" x14ac:dyDescent="0.2">
      <c r="A49" s="270" t="s">
        <v>508</v>
      </c>
      <c r="B49" s="270" t="s">
        <v>510</v>
      </c>
      <c r="C49" s="268" t="s">
        <v>335</v>
      </c>
      <c r="D49" s="215" t="s">
        <v>506</v>
      </c>
      <c r="E49" s="271">
        <f t="shared" si="37"/>
        <v>4062200</v>
      </c>
      <c r="F49" s="225">
        <f>(3360000)+949000+126200-949000+576000</f>
        <v>4062200</v>
      </c>
      <c r="G49" s="225"/>
      <c r="H49" s="225"/>
      <c r="I49" s="225"/>
      <c r="J49" s="271">
        <f t="shared" si="33"/>
        <v>0</v>
      </c>
      <c r="K49" s="225"/>
      <c r="L49" s="225"/>
      <c r="M49" s="225"/>
      <c r="N49" s="225"/>
      <c r="O49" s="243">
        <f t="shared" si="35"/>
        <v>0</v>
      </c>
      <c r="P49" s="271">
        <f t="shared" si="32"/>
        <v>4062200</v>
      </c>
      <c r="R49" s="141"/>
    </row>
    <row r="50" spans="1:20" s="123" customFormat="1" ht="91.5" x14ac:dyDescent="0.2">
      <c r="A50" s="270" t="s">
        <v>904</v>
      </c>
      <c r="B50" s="270" t="s">
        <v>293</v>
      </c>
      <c r="C50" s="270" t="s">
        <v>256</v>
      </c>
      <c r="D50" s="270" t="s">
        <v>57</v>
      </c>
      <c r="E50" s="271">
        <f t="shared" si="37"/>
        <v>0</v>
      </c>
      <c r="F50" s="225"/>
      <c r="G50" s="225"/>
      <c r="H50" s="225"/>
      <c r="I50" s="225"/>
      <c r="J50" s="271">
        <f t="shared" si="33"/>
        <v>6942592</v>
      </c>
      <c r="K50" s="225">
        <f>200000+600000+208200+167638+7587376+25000-208200-167638-1600000+130216</f>
        <v>6942592</v>
      </c>
      <c r="L50" s="225"/>
      <c r="M50" s="225"/>
      <c r="N50" s="225"/>
      <c r="O50" s="243">
        <f t="shared" si="35"/>
        <v>6942592</v>
      </c>
      <c r="P50" s="271">
        <f t="shared" si="32"/>
        <v>6942592</v>
      </c>
      <c r="R50" s="141" t="b">
        <f>K50='dod5'!I37+'dod5'!I38+'dod5'!I39</f>
        <v>1</v>
      </c>
    </row>
    <row r="51" spans="1:20" s="123" customFormat="1" ht="91.5" x14ac:dyDescent="0.2">
      <c r="A51" s="270" t="s">
        <v>906</v>
      </c>
      <c r="B51" s="270" t="s">
        <v>601</v>
      </c>
      <c r="C51" s="270" t="s">
        <v>71</v>
      </c>
      <c r="D51" s="270" t="s">
        <v>602</v>
      </c>
      <c r="E51" s="271">
        <f t="shared" ref="E51" si="38">F51</f>
        <v>100000</v>
      </c>
      <c r="F51" s="225">
        <v>100000</v>
      </c>
      <c r="G51" s="225"/>
      <c r="H51" s="225"/>
      <c r="I51" s="225"/>
      <c r="J51" s="271">
        <f t="shared" ref="J51" si="39">L51+O51</f>
        <v>1154757</v>
      </c>
      <c r="K51" s="225">
        <f>935992+218765</f>
        <v>1154757</v>
      </c>
      <c r="L51" s="225"/>
      <c r="M51" s="225"/>
      <c r="N51" s="225"/>
      <c r="O51" s="243">
        <f t="shared" si="35"/>
        <v>1154757</v>
      </c>
      <c r="P51" s="271">
        <f t="shared" ref="P51" si="40">E51+J51</f>
        <v>1254757</v>
      </c>
      <c r="R51" s="141" t="b">
        <f>K51='dod5'!I40</f>
        <v>1</v>
      </c>
    </row>
    <row r="52" spans="1:20" ht="225" x14ac:dyDescent="0.2">
      <c r="A52" s="296" t="s">
        <v>242</v>
      </c>
      <c r="B52" s="296"/>
      <c r="C52" s="296"/>
      <c r="D52" s="297" t="s">
        <v>60</v>
      </c>
      <c r="E52" s="298">
        <f>E53</f>
        <v>777939654</v>
      </c>
      <c r="F52" s="298">
        <f t="shared" ref="F52" si="41">F53</f>
        <v>777939654</v>
      </c>
      <c r="G52" s="298">
        <f t="shared" ref="G52" si="42">G53</f>
        <v>45447797</v>
      </c>
      <c r="H52" s="298">
        <f>H53</f>
        <v>1918012</v>
      </c>
      <c r="I52" s="298">
        <f t="shared" ref="I52" si="43">I53</f>
        <v>0</v>
      </c>
      <c r="J52" s="298">
        <f>J53</f>
        <v>10527980</v>
      </c>
      <c r="K52" s="298">
        <f>K53</f>
        <v>9852580</v>
      </c>
      <c r="L52" s="298">
        <f>L53</f>
        <v>675400</v>
      </c>
      <c r="M52" s="298">
        <f t="shared" ref="M52" si="44">M53</f>
        <v>60000</v>
      </c>
      <c r="N52" s="298">
        <f>N53</f>
        <v>4000</v>
      </c>
      <c r="O52" s="298">
        <f>O53</f>
        <v>9852580</v>
      </c>
      <c r="P52" s="302">
        <f>P53</f>
        <v>788467634</v>
      </c>
    </row>
    <row r="53" spans="1:20" ht="225" x14ac:dyDescent="0.2">
      <c r="A53" s="299" t="s">
        <v>243</v>
      </c>
      <c r="B53" s="299"/>
      <c r="C53" s="299"/>
      <c r="D53" s="300" t="s">
        <v>61</v>
      </c>
      <c r="E53" s="301">
        <f>SUM(E54:E97)</f>
        <v>777939654</v>
      </c>
      <c r="F53" s="301">
        <f>SUM(F54:F97)</f>
        <v>777939654</v>
      </c>
      <c r="G53" s="301">
        <f>SUM(G54:G97)</f>
        <v>45447797</v>
      </c>
      <c r="H53" s="301">
        <f>SUM(H54:H97)</f>
        <v>1918012</v>
      </c>
      <c r="I53" s="301">
        <f>SUM(I54:I97)</f>
        <v>0</v>
      </c>
      <c r="J53" s="301">
        <f t="shared" ref="J53:J89" si="45">L53+O53</f>
        <v>10527980</v>
      </c>
      <c r="K53" s="301">
        <f>SUM(K54:K97)</f>
        <v>9852580</v>
      </c>
      <c r="L53" s="301">
        <f>SUM(L54:L97)</f>
        <v>675400</v>
      </c>
      <c r="M53" s="301">
        <f>SUM(M54:M97)</f>
        <v>60000</v>
      </c>
      <c r="N53" s="301">
        <f>SUM(N54:N97)</f>
        <v>4000</v>
      </c>
      <c r="O53" s="301">
        <f>SUM(O54:O97)</f>
        <v>9852580</v>
      </c>
      <c r="P53" s="301">
        <f t="shared" ref="P53:P82" si="46">E53+J53</f>
        <v>788467634</v>
      </c>
      <c r="Q53" s="153" t="b">
        <f>P53=P55+P56+P57+P58+P59+P60+P61+P62+P63+P64+P65+P66+P67+P68+P69+P70+P72+P73+P74+P75+P76+P77+P80+P81+P82+P83+P84+P85+P86+P87+P89+P92+P93+P94+P88+P95+P54+P96+P78+P71</f>
        <v>1</v>
      </c>
      <c r="R53" s="155" t="b">
        <f>K53='dod5'!I42</f>
        <v>1</v>
      </c>
      <c r="T53" s="153"/>
    </row>
    <row r="54" spans="1:20" ht="228.75" x14ac:dyDescent="0.2">
      <c r="A54" s="270" t="s">
        <v>726</v>
      </c>
      <c r="B54" s="270" t="s">
        <v>341</v>
      </c>
      <c r="C54" s="270" t="s">
        <v>339</v>
      </c>
      <c r="D54" s="270" t="s">
        <v>340</v>
      </c>
      <c r="E54" s="269">
        <f t="shared" ref="E54:E58" si="47">F54</f>
        <v>36258100</v>
      </c>
      <c r="F54" s="225">
        <f>(35993100)+100000+100000+65000</f>
        <v>36258100</v>
      </c>
      <c r="G54" s="225">
        <v>26800000</v>
      </c>
      <c r="H54" s="225">
        <v>1006600</v>
      </c>
      <c r="I54" s="225"/>
      <c r="J54" s="271">
        <f t="shared" si="45"/>
        <v>450000</v>
      </c>
      <c r="K54" s="225">
        <v>450000</v>
      </c>
      <c r="L54" s="225"/>
      <c r="M54" s="225"/>
      <c r="N54" s="225"/>
      <c r="O54" s="243">
        <f>K54</f>
        <v>450000</v>
      </c>
      <c r="P54" s="269">
        <f t="shared" si="46"/>
        <v>36708100</v>
      </c>
      <c r="Q54" s="153"/>
      <c r="R54" s="155" t="b">
        <f>K54='dod5'!I43</f>
        <v>1</v>
      </c>
      <c r="T54" s="153"/>
    </row>
    <row r="55" spans="1:20" ht="183" x14ac:dyDescent="0.2">
      <c r="A55" s="268" t="s">
        <v>356</v>
      </c>
      <c r="B55" s="268" t="s">
        <v>357</v>
      </c>
      <c r="C55" s="268" t="s">
        <v>302</v>
      </c>
      <c r="D55" s="217" t="s">
        <v>355</v>
      </c>
      <c r="E55" s="269">
        <f t="shared" si="47"/>
        <v>62640000</v>
      </c>
      <c r="F55" s="272">
        <f>(44000000-1000000)+19640000</f>
        <v>62640000</v>
      </c>
      <c r="G55" s="272"/>
      <c r="H55" s="272"/>
      <c r="I55" s="272"/>
      <c r="J55" s="271">
        <f t="shared" si="45"/>
        <v>0</v>
      </c>
      <c r="K55" s="272"/>
      <c r="L55" s="272"/>
      <c r="M55" s="272"/>
      <c r="N55" s="272"/>
      <c r="O55" s="243">
        <f t="shared" ref="O55:O89" si="48">K55</f>
        <v>0</v>
      </c>
      <c r="P55" s="269">
        <f t="shared" si="46"/>
        <v>62640000</v>
      </c>
      <c r="R55" s="155"/>
    </row>
    <row r="56" spans="1:20" ht="183" x14ac:dyDescent="0.2">
      <c r="A56" s="218" t="s">
        <v>375</v>
      </c>
      <c r="B56" s="268" t="s">
        <v>376</v>
      </c>
      <c r="C56" s="268" t="s">
        <v>79</v>
      </c>
      <c r="D56" s="270" t="s">
        <v>8</v>
      </c>
      <c r="E56" s="221">
        <f t="shared" si="47"/>
        <v>174550900</v>
      </c>
      <c r="F56" s="225">
        <f>(200838400-6647500)-19640000</f>
        <v>174550900</v>
      </c>
      <c r="G56" s="225"/>
      <c r="H56" s="225"/>
      <c r="I56" s="225"/>
      <c r="J56" s="271">
        <f t="shared" si="45"/>
        <v>0</v>
      </c>
      <c r="K56" s="272"/>
      <c r="L56" s="225"/>
      <c r="M56" s="225"/>
      <c r="N56" s="225"/>
      <c r="O56" s="243">
        <f t="shared" si="48"/>
        <v>0</v>
      </c>
      <c r="P56" s="271">
        <f t="shared" si="46"/>
        <v>174550900</v>
      </c>
      <c r="R56" s="155"/>
    </row>
    <row r="57" spans="1:20" ht="274.5" x14ac:dyDescent="0.2">
      <c r="A57" s="270" t="s">
        <v>378</v>
      </c>
      <c r="B57" s="270" t="s">
        <v>379</v>
      </c>
      <c r="C57" s="270" t="s">
        <v>302</v>
      </c>
      <c r="D57" s="219" t="s">
        <v>377</v>
      </c>
      <c r="E57" s="269">
        <f t="shared" si="47"/>
        <v>3000</v>
      </c>
      <c r="F57" s="272">
        <v>3000</v>
      </c>
      <c r="G57" s="272"/>
      <c r="H57" s="272"/>
      <c r="I57" s="272"/>
      <c r="J57" s="271">
        <f t="shared" si="45"/>
        <v>0</v>
      </c>
      <c r="K57" s="272"/>
      <c r="L57" s="272"/>
      <c r="M57" s="272"/>
      <c r="N57" s="272"/>
      <c r="O57" s="243">
        <f t="shared" si="48"/>
        <v>0</v>
      </c>
      <c r="P57" s="269">
        <f t="shared" si="46"/>
        <v>3000</v>
      </c>
      <c r="R57" s="155"/>
    </row>
    <row r="58" spans="1:20" ht="228.75" x14ac:dyDescent="0.2">
      <c r="A58" s="270" t="s">
        <v>380</v>
      </c>
      <c r="B58" s="270" t="s">
        <v>381</v>
      </c>
      <c r="C58" s="219">
        <v>1060</v>
      </c>
      <c r="D58" s="220" t="s">
        <v>19</v>
      </c>
      <c r="E58" s="271">
        <f t="shared" si="47"/>
        <v>46300</v>
      </c>
      <c r="F58" s="225">
        <f>44700+1600</f>
        <v>46300</v>
      </c>
      <c r="G58" s="225"/>
      <c r="H58" s="225"/>
      <c r="I58" s="225"/>
      <c r="J58" s="271">
        <f t="shared" si="45"/>
        <v>0</v>
      </c>
      <c r="K58" s="225"/>
      <c r="L58" s="225"/>
      <c r="M58" s="225"/>
      <c r="N58" s="225"/>
      <c r="O58" s="243">
        <f t="shared" si="48"/>
        <v>0</v>
      </c>
      <c r="P58" s="271">
        <f t="shared" si="46"/>
        <v>46300</v>
      </c>
      <c r="R58" s="155"/>
    </row>
    <row r="59" spans="1:20" s="123" customFormat="1" ht="137.25" x14ac:dyDescent="0.2">
      <c r="A59" s="268" t="s">
        <v>406</v>
      </c>
      <c r="B59" s="268" t="s">
        <v>407</v>
      </c>
      <c r="C59" s="268" t="s">
        <v>302</v>
      </c>
      <c r="D59" s="217" t="s">
        <v>408</v>
      </c>
      <c r="E59" s="269">
        <f>F59</f>
        <v>512970</v>
      </c>
      <c r="F59" s="272">
        <f>(322970)+190000</f>
        <v>512970</v>
      </c>
      <c r="G59" s="272"/>
      <c r="H59" s="272"/>
      <c r="I59" s="272"/>
      <c r="J59" s="271">
        <f t="shared" si="45"/>
        <v>100000</v>
      </c>
      <c r="K59" s="272">
        <v>100000</v>
      </c>
      <c r="L59" s="272"/>
      <c r="M59" s="272"/>
      <c r="N59" s="272"/>
      <c r="O59" s="243">
        <f t="shared" si="48"/>
        <v>100000</v>
      </c>
      <c r="P59" s="269">
        <f t="shared" si="46"/>
        <v>612970</v>
      </c>
      <c r="R59" s="155" t="b">
        <f>K59='dod5'!I44</f>
        <v>1</v>
      </c>
    </row>
    <row r="60" spans="1:20" s="123" customFormat="1" ht="137.25" x14ac:dyDescent="0.2">
      <c r="A60" s="270" t="s">
        <v>409</v>
      </c>
      <c r="B60" s="270" t="s">
        <v>410</v>
      </c>
      <c r="C60" s="270" t="s">
        <v>303</v>
      </c>
      <c r="D60" s="270" t="s">
        <v>16</v>
      </c>
      <c r="E60" s="271">
        <f t="shared" ref="E60:E85" si="49">F60</f>
        <v>1360000</v>
      </c>
      <c r="F60" s="225">
        <v>1360000</v>
      </c>
      <c r="G60" s="225"/>
      <c r="H60" s="225"/>
      <c r="I60" s="225"/>
      <c r="J60" s="271">
        <f t="shared" si="45"/>
        <v>0</v>
      </c>
      <c r="K60" s="225"/>
      <c r="L60" s="225"/>
      <c r="M60" s="225"/>
      <c r="N60" s="225"/>
      <c r="O60" s="243">
        <f t="shared" si="48"/>
        <v>0</v>
      </c>
      <c r="P60" s="271">
        <f t="shared" si="46"/>
        <v>1360000</v>
      </c>
      <c r="R60" s="155"/>
    </row>
    <row r="61" spans="1:20" s="123" customFormat="1" ht="183" x14ac:dyDescent="0.2">
      <c r="A61" s="270" t="s">
        <v>412</v>
      </c>
      <c r="B61" s="270" t="s">
        <v>413</v>
      </c>
      <c r="C61" s="270" t="s">
        <v>303</v>
      </c>
      <c r="D61" s="268" t="s">
        <v>17</v>
      </c>
      <c r="E61" s="271">
        <f t="shared" si="49"/>
        <v>8000000</v>
      </c>
      <c r="F61" s="225">
        <v>8000000</v>
      </c>
      <c r="G61" s="225"/>
      <c r="H61" s="225"/>
      <c r="I61" s="225"/>
      <c r="J61" s="271">
        <f t="shared" si="45"/>
        <v>0</v>
      </c>
      <c r="K61" s="225"/>
      <c r="L61" s="225"/>
      <c r="M61" s="225"/>
      <c r="N61" s="225"/>
      <c r="O61" s="243">
        <f t="shared" si="48"/>
        <v>0</v>
      </c>
      <c r="P61" s="271">
        <f t="shared" si="46"/>
        <v>8000000</v>
      </c>
      <c r="R61" s="155"/>
    </row>
    <row r="62" spans="1:20" s="123" customFormat="1" ht="183" x14ac:dyDescent="0.2">
      <c r="A62" s="268" t="s">
        <v>414</v>
      </c>
      <c r="B62" s="268" t="s">
        <v>411</v>
      </c>
      <c r="C62" s="268" t="s">
        <v>303</v>
      </c>
      <c r="D62" s="268" t="s">
        <v>18</v>
      </c>
      <c r="E62" s="271">
        <f t="shared" si="49"/>
        <v>600000</v>
      </c>
      <c r="F62" s="225">
        <v>600000</v>
      </c>
      <c r="G62" s="225"/>
      <c r="H62" s="225"/>
      <c r="I62" s="225"/>
      <c r="J62" s="271">
        <f t="shared" si="45"/>
        <v>0</v>
      </c>
      <c r="K62" s="225"/>
      <c r="L62" s="225"/>
      <c r="M62" s="225"/>
      <c r="N62" s="225"/>
      <c r="O62" s="243">
        <f t="shared" si="48"/>
        <v>0</v>
      </c>
      <c r="P62" s="271">
        <f t="shared" si="46"/>
        <v>600000</v>
      </c>
      <c r="R62" s="155"/>
    </row>
    <row r="63" spans="1:20" s="123" customFormat="1" ht="183" x14ac:dyDescent="0.2">
      <c r="A63" s="268" t="s">
        <v>415</v>
      </c>
      <c r="B63" s="268" t="s">
        <v>416</v>
      </c>
      <c r="C63" s="268" t="s">
        <v>303</v>
      </c>
      <c r="D63" s="268" t="s">
        <v>21</v>
      </c>
      <c r="E63" s="271">
        <f t="shared" si="49"/>
        <v>82000000</v>
      </c>
      <c r="F63" s="225">
        <v>82000000</v>
      </c>
      <c r="G63" s="225"/>
      <c r="H63" s="225"/>
      <c r="I63" s="225"/>
      <c r="J63" s="271">
        <f t="shared" si="45"/>
        <v>0</v>
      </c>
      <c r="K63" s="225"/>
      <c r="L63" s="225"/>
      <c r="M63" s="225"/>
      <c r="N63" s="225"/>
      <c r="O63" s="243">
        <f t="shared" si="48"/>
        <v>0</v>
      </c>
      <c r="P63" s="271">
        <f t="shared" si="46"/>
        <v>82000000</v>
      </c>
      <c r="R63" s="155"/>
    </row>
    <row r="64" spans="1:20" s="123" customFormat="1" ht="91.5" x14ac:dyDescent="0.2">
      <c r="A64" s="270" t="s">
        <v>366</v>
      </c>
      <c r="B64" s="270" t="s">
        <v>358</v>
      </c>
      <c r="C64" s="270" t="s">
        <v>279</v>
      </c>
      <c r="D64" s="270" t="s">
        <v>10</v>
      </c>
      <c r="E64" s="271">
        <f t="shared" si="49"/>
        <v>2814000</v>
      </c>
      <c r="F64" s="225">
        <v>2814000</v>
      </c>
      <c r="G64" s="225"/>
      <c r="H64" s="225"/>
      <c r="I64" s="225"/>
      <c r="J64" s="271">
        <f t="shared" si="45"/>
        <v>0</v>
      </c>
      <c r="K64" s="225"/>
      <c r="L64" s="225"/>
      <c r="M64" s="225"/>
      <c r="N64" s="225"/>
      <c r="O64" s="243">
        <f t="shared" si="48"/>
        <v>0</v>
      </c>
      <c r="P64" s="271">
        <f t="shared" si="46"/>
        <v>2814000</v>
      </c>
      <c r="R64" s="155"/>
    </row>
    <row r="65" spans="1:20" s="123" customFormat="1" ht="91.5" x14ac:dyDescent="0.2">
      <c r="A65" s="270" t="s">
        <v>367</v>
      </c>
      <c r="B65" s="270" t="s">
        <v>359</v>
      </c>
      <c r="C65" s="270" t="s">
        <v>279</v>
      </c>
      <c r="D65" s="270" t="s">
        <v>365</v>
      </c>
      <c r="E65" s="271">
        <f>F65</f>
        <v>571520</v>
      </c>
      <c r="F65" s="225">
        <f>(371520)+200000</f>
        <v>571520</v>
      </c>
      <c r="G65" s="225"/>
      <c r="H65" s="225"/>
      <c r="I65" s="225"/>
      <c r="J65" s="271">
        <f t="shared" si="45"/>
        <v>0</v>
      </c>
      <c r="K65" s="225"/>
      <c r="L65" s="225"/>
      <c r="M65" s="225"/>
      <c r="N65" s="225"/>
      <c r="O65" s="243">
        <f t="shared" si="48"/>
        <v>0</v>
      </c>
      <c r="P65" s="271">
        <f t="shared" si="46"/>
        <v>571520</v>
      </c>
      <c r="R65" s="155"/>
    </row>
    <row r="66" spans="1:20" s="123" customFormat="1" ht="91.5" x14ac:dyDescent="0.2">
      <c r="A66" s="270" t="s">
        <v>368</v>
      </c>
      <c r="B66" s="270" t="s">
        <v>360</v>
      </c>
      <c r="C66" s="270" t="s">
        <v>279</v>
      </c>
      <c r="D66" s="270" t="s">
        <v>11</v>
      </c>
      <c r="E66" s="271">
        <f t="shared" si="49"/>
        <v>157511000</v>
      </c>
      <c r="F66" s="225">
        <f>157736000-225000</f>
        <v>157511000</v>
      </c>
      <c r="G66" s="225"/>
      <c r="H66" s="225"/>
      <c r="I66" s="225"/>
      <c r="J66" s="271">
        <f t="shared" si="45"/>
        <v>0</v>
      </c>
      <c r="K66" s="225"/>
      <c r="L66" s="225"/>
      <c r="M66" s="225"/>
      <c r="N66" s="225"/>
      <c r="O66" s="243">
        <f t="shared" si="48"/>
        <v>0</v>
      </c>
      <c r="P66" s="271">
        <f t="shared" si="46"/>
        <v>157511000</v>
      </c>
      <c r="R66" s="155"/>
    </row>
    <row r="67" spans="1:20" s="123" customFormat="1" ht="137.25" x14ac:dyDescent="0.2">
      <c r="A67" s="270" t="s">
        <v>369</v>
      </c>
      <c r="B67" s="270" t="s">
        <v>361</v>
      </c>
      <c r="C67" s="270" t="s">
        <v>279</v>
      </c>
      <c r="D67" s="270" t="s">
        <v>12</v>
      </c>
      <c r="E67" s="271">
        <f t="shared" si="49"/>
        <v>4266000</v>
      </c>
      <c r="F67" s="225">
        <v>4266000</v>
      </c>
      <c r="G67" s="225"/>
      <c r="H67" s="225"/>
      <c r="I67" s="225"/>
      <c r="J67" s="271">
        <f t="shared" si="45"/>
        <v>0</v>
      </c>
      <c r="K67" s="225"/>
      <c r="L67" s="225"/>
      <c r="M67" s="225"/>
      <c r="N67" s="225"/>
      <c r="O67" s="243">
        <f t="shared" si="48"/>
        <v>0</v>
      </c>
      <c r="P67" s="271">
        <f t="shared" si="46"/>
        <v>4266000</v>
      </c>
      <c r="R67" s="155"/>
    </row>
    <row r="68" spans="1:20" s="123" customFormat="1" ht="91.5" x14ac:dyDescent="0.2">
      <c r="A68" s="270" t="s">
        <v>370</v>
      </c>
      <c r="B68" s="270" t="s">
        <v>362</v>
      </c>
      <c r="C68" s="270" t="s">
        <v>279</v>
      </c>
      <c r="D68" s="270" t="s">
        <v>13</v>
      </c>
      <c r="E68" s="271">
        <f t="shared" si="49"/>
        <v>27062400</v>
      </c>
      <c r="F68" s="225">
        <v>27062400</v>
      </c>
      <c r="G68" s="225"/>
      <c r="H68" s="225"/>
      <c r="I68" s="225"/>
      <c r="J68" s="271">
        <f t="shared" si="45"/>
        <v>0</v>
      </c>
      <c r="K68" s="225"/>
      <c r="L68" s="225"/>
      <c r="M68" s="225"/>
      <c r="N68" s="225"/>
      <c r="O68" s="243">
        <f t="shared" si="48"/>
        <v>0</v>
      </c>
      <c r="P68" s="271">
        <f t="shared" si="46"/>
        <v>27062400</v>
      </c>
      <c r="R68" s="155"/>
    </row>
    <row r="69" spans="1:20" s="123" customFormat="1" ht="91.5" x14ac:dyDescent="0.2">
      <c r="A69" s="270" t="s">
        <v>371</v>
      </c>
      <c r="B69" s="270" t="s">
        <v>363</v>
      </c>
      <c r="C69" s="270" t="s">
        <v>279</v>
      </c>
      <c r="D69" s="270" t="s">
        <v>14</v>
      </c>
      <c r="E69" s="271">
        <f t="shared" si="49"/>
        <v>2700000</v>
      </c>
      <c r="F69" s="225">
        <v>2700000</v>
      </c>
      <c r="G69" s="225"/>
      <c r="H69" s="225"/>
      <c r="I69" s="225"/>
      <c r="J69" s="271">
        <f t="shared" si="45"/>
        <v>0</v>
      </c>
      <c r="K69" s="225"/>
      <c r="L69" s="225"/>
      <c r="M69" s="225"/>
      <c r="N69" s="225"/>
      <c r="O69" s="243">
        <f t="shared" si="48"/>
        <v>0</v>
      </c>
      <c r="P69" s="271">
        <f t="shared" si="46"/>
        <v>2700000</v>
      </c>
      <c r="R69" s="155"/>
    </row>
    <row r="70" spans="1:20" s="123" customFormat="1" ht="137.25" x14ac:dyDescent="0.2">
      <c r="A70" s="270" t="s">
        <v>372</v>
      </c>
      <c r="B70" s="270" t="s">
        <v>364</v>
      </c>
      <c r="C70" s="270" t="s">
        <v>279</v>
      </c>
      <c r="D70" s="270" t="s">
        <v>15</v>
      </c>
      <c r="E70" s="271">
        <f t="shared" si="49"/>
        <v>39337958</v>
      </c>
      <c r="F70" s="225">
        <v>39337958</v>
      </c>
      <c r="G70" s="225"/>
      <c r="H70" s="225"/>
      <c r="I70" s="225"/>
      <c r="J70" s="271">
        <f t="shared" si="45"/>
        <v>0</v>
      </c>
      <c r="K70" s="225"/>
      <c r="L70" s="225"/>
      <c r="M70" s="225"/>
      <c r="N70" s="225"/>
      <c r="O70" s="243">
        <f t="shared" si="48"/>
        <v>0</v>
      </c>
      <c r="P70" s="271">
        <f t="shared" si="46"/>
        <v>39337958</v>
      </c>
      <c r="R70" s="155"/>
    </row>
    <row r="71" spans="1:20" s="123" customFormat="1" ht="137.25" x14ac:dyDescent="0.2">
      <c r="A71" s="270" t="s">
        <v>929</v>
      </c>
      <c r="B71" s="270" t="s">
        <v>931</v>
      </c>
      <c r="C71" s="270" t="s">
        <v>279</v>
      </c>
      <c r="D71" s="270" t="s">
        <v>930</v>
      </c>
      <c r="E71" s="271">
        <f t="shared" si="49"/>
        <v>150000</v>
      </c>
      <c r="F71" s="225">
        <v>150000</v>
      </c>
      <c r="G71" s="225"/>
      <c r="H71" s="225"/>
      <c r="I71" s="225"/>
      <c r="J71" s="271">
        <f t="shared" si="45"/>
        <v>0</v>
      </c>
      <c r="K71" s="225"/>
      <c r="L71" s="225"/>
      <c r="M71" s="225"/>
      <c r="N71" s="225"/>
      <c r="O71" s="243">
        <f t="shared" si="48"/>
        <v>0</v>
      </c>
      <c r="P71" s="271">
        <f t="shared" si="46"/>
        <v>150000</v>
      </c>
      <c r="R71" s="155"/>
    </row>
    <row r="72" spans="1:20" ht="183" x14ac:dyDescent="0.2">
      <c r="A72" s="270" t="s">
        <v>382</v>
      </c>
      <c r="B72" s="270" t="s">
        <v>373</v>
      </c>
      <c r="C72" s="270" t="s">
        <v>303</v>
      </c>
      <c r="D72" s="270" t="s">
        <v>9</v>
      </c>
      <c r="E72" s="271">
        <f t="shared" si="49"/>
        <v>179080</v>
      </c>
      <c r="F72" s="225">
        <v>179080</v>
      </c>
      <c r="G72" s="225"/>
      <c r="H72" s="225"/>
      <c r="I72" s="225"/>
      <c r="J72" s="271">
        <f t="shared" si="45"/>
        <v>0</v>
      </c>
      <c r="K72" s="271"/>
      <c r="L72" s="225"/>
      <c r="M72" s="225"/>
      <c r="N72" s="225"/>
      <c r="O72" s="243">
        <f t="shared" si="48"/>
        <v>0</v>
      </c>
      <c r="P72" s="271">
        <f t="shared" si="46"/>
        <v>179080</v>
      </c>
      <c r="R72" s="155"/>
    </row>
    <row r="73" spans="1:20" s="123" customFormat="1" ht="183" x14ac:dyDescent="0.2">
      <c r="A73" s="270" t="s">
        <v>556</v>
      </c>
      <c r="B73" s="270" t="s">
        <v>557</v>
      </c>
      <c r="C73" s="270" t="s">
        <v>295</v>
      </c>
      <c r="D73" s="270" t="s">
        <v>555</v>
      </c>
      <c r="E73" s="271">
        <f t="shared" ref="E73:E77" si="50">F73</f>
        <v>78472603.400000006</v>
      </c>
      <c r="F73" s="225">
        <v>78472603.400000006</v>
      </c>
      <c r="G73" s="225"/>
      <c r="H73" s="225"/>
      <c r="I73" s="225"/>
      <c r="J73" s="271">
        <f t="shared" si="45"/>
        <v>0</v>
      </c>
      <c r="K73" s="225"/>
      <c r="L73" s="225"/>
      <c r="M73" s="225"/>
      <c r="N73" s="225"/>
      <c r="O73" s="243">
        <f t="shared" si="48"/>
        <v>0</v>
      </c>
      <c r="P73" s="271">
        <f t="shared" si="46"/>
        <v>78472603.400000006</v>
      </c>
      <c r="R73" s="155"/>
    </row>
    <row r="74" spans="1:20" s="123" customFormat="1" ht="228.75" x14ac:dyDescent="0.2">
      <c r="A74" s="270" t="s">
        <v>615</v>
      </c>
      <c r="B74" s="270" t="s">
        <v>616</v>
      </c>
      <c r="C74" s="270" t="s">
        <v>295</v>
      </c>
      <c r="D74" s="270" t="s">
        <v>617</v>
      </c>
      <c r="E74" s="271">
        <f t="shared" ref="E74" si="51">F74</f>
        <v>25694626.600000001</v>
      </c>
      <c r="F74" s="225">
        <v>25694626.600000001</v>
      </c>
      <c r="G74" s="225"/>
      <c r="H74" s="225"/>
      <c r="I74" s="225"/>
      <c r="J74" s="271">
        <f t="shared" si="45"/>
        <v>0</v>
      </c>
      <c r="K74" s="225"/>
      <c r="L74" s="225"/>
      <c r="M74" s="225"/>
      <c r="N74" s="225"/>
      <c r="O74" s="243">
        <f t="shared" si="48"/>
        <v>0</v>
      </c>
      <c r="P74" s="271">
        <f t="shared" si="46"/>
        <v>25694626.600000001</v>
      </c>
      <c r="R74" s="155"/>
    </row>
    <row r="75" spans="1:20" s="123" customFormat="1" ht="183" x14ac:dyDescent="0.2">
      <c r="A75" s="270" t="s">
        <v>553</v>
      </c>
      <c r="B75" s="270" t="s">
        <v>554</v>
      </c>
      <c r="C75" s="270" t="s">
        <v>295</v>
      </c>
      <c r="D75" s="270" t="s">
        <v>511</v>
      </c>
      <c r="E75" s="271">
        <f t="shared" ref="E75:E76" si="52">F75</f>
        <v>13918200</v>
      </c>
      <c r="F75" s="225">
        <f>(14110200)-192000</f>
        <v>13918200</v>
      </c>
      <c r="G75" s="225"/>
      <c r="H75" s="225"/>
      <c r="I75" s="225"/>
      <c r="J75" s="271">
        <f t="shared" si="45"/>
        <v>0</v>
      </c>
      <c r="K75" s="225"/>
      <c r="L75" s="225"/>
      <c r="M75" s="225"/>
      <c r="N75" s="225"/>
      <c r="O75" s="243">
        <f t="shared" si="48"/>
        <v>0</v>
      </c>
      <c r="P75" s="271">
        <f t="shared" si="46"/>
        <v>13918200</v>
      </c>
      <c r="R75" s="155"/>
    </row>
    <row r="76" spans="1:20" s="123" customFormat="1" ht="274.5" x14ac:dyDescent="0.2">
      <c r="A76" s="270" t="s">
        <v>560</v>
      </c>
      <c r="B76" s="270" t="s">
        <v>561</v>
      </c>
      <c r="C76" s="270" t="s">
        <v>279</v>
      </c>
      <c r="D76" s="270" t="s">
        <v>562</v>
      </c>
      <c r="E76" s="271">
        <f t="shared" si="52"/>
        <v>1200000</v>
      </c>
      <c r="F76" s="225">
        <v>1200000</v>
      </c>
      <c r="G76" s="225"/>
      <c r="H76" s="225"/>
      <c r="I76" s="225"/>
      <c r="J76" s="271">
        <f t="shared" si="45"/>
        <v>0</v>
      </c>
      <c r="K76" s="225"/>
      <c r="L76" s="225"/>
      <c r="M76" s="225"/>
      <c r="N76" s="225"/>
      <c r="O76" s="243">
        <f t="shared" si="48"/>
        <v>0</v>
      </c>
      <c r="P76" s="271">
        <f t="shared" si="46"/>
        <v>1200000</v>
      </c>
      <c r="R76" s="155"/>
    </row>
    <row r="77" spans="1:20" s="123" customFormat="1" ht="320.25" x14ac:dyDescent="0.2">
      <c r="A77" s="270" t="s">
        <v>558</v>
      </c>
      <c r="B77" s="270" t="s">
        <v>559</v>
      </c>
      <c r="C77" s="270" t="s">
        <v>295</v>
      </c>
      <c r="D77" s="270" t="s">
        <v>563</v>
      </c>
      <c r="E77" s="271">
        <f t="shared" si="50"/>
        <v>264192</v>
      </c>
      <c r="F77" s="225">
        <v>264192</v>
      </c>
      <c r="G77" s="225"/>
      <c r="H77" s="225"/>
      <c r="I77" s="225"/>
      <c r="J77" s="271">
        <f t="shared" si="45"/>
        <v>0</v>
      </c>
      <c r="K77" s="225"/>
      <c r="L77" s="225"/>
      <c r="M77" s="225"/>
      <c r="N77" s="225"/>
      <c r="O77" s="243">
        <f t="shared" si="48"/>
        <v>0</v>
      </c>
      <c r="P77" s="271">
        <f t="shared" si="46"/>
        <v>264192</v>
      </c>
      <c r="R77" s="155"/>
    </row>
    <row r="78" spans="1:20" s="123" customFormat="1" ht="364.7" customHeight="1" x14ac:dyDescent="0.65">
      <c r="A78" s="422" t="s">
        <v>911</v>
      </c>
      <c r="B78" s="422" t="s">
        <v>912</v>
      </c>
      <c r="C78" s="422" t="s">
        <v>279</v>
      </c>
      <c r="D78" s="382" t="s">
        <v>913</v>
      </c>
      <c r="E78" s="414">
        <f t="shared" ref="E78" si="53">F78</f>
        <v>67000</v>
      </c>
      <c r="F78" s="416">
        <v>67000</v>
      </c>
      <c r="G78" s="416"/>
      <c r="H78" s="416"/>
      <c r="I78" s="416"/>
      <c r="J78" s="414">
        <f t="shared" ref="J78" si="54">L78+O78</f>
        <v>0</v>
      </c>
      <c r="K78" s="416"/>
      <c r="L78" s="416"/>
      <c r="M78" s="416"/>
      <c r="N78" s="416"/>
      <c r="O78" s="416">
        <f t="shared" ref="O78" si="55">K78</f>
        <v>0</v>
      </c>
      <c r="P78" s="414">
        <f t="shared" ref="P78" si="56">E78+J78</f>
        <v>67000</v>
      </c>
      <c r="Q78" s="383">
        <f>E78</f>
        <v>67000</v>
      </c>
      <c r="R78" s="383">
        <f>J78</f>
        <v>0</v>
      </c>
      <c r="T78" s="383">
        <f>K78</f>
        <v>0</v>
      </c>
    </row>
    <row r="79" spans="1:20" s="123" customFormat="1" ht="334.5" customHeight="1" x14ac:dyDescent="0.2">
      <c r="A79" s="403"/>
      <c r="B79" s="403"/>
      <c r="C79" s="403"/>
      <c r="D79" s="216" t="s">
        <v>914</v>
      </c>
      <c r="E79" s="403"/>
      <c r="F79" s="403"/>
      <c r="G79" s="403"/>
      <c r="H79" s="403"/>
      <c r="I79" s="403"/>
      <c r="J79" s="421"/>
      <c r="K79" s="403"/>
      <c r="L79" s="403"/>
      <c r="M79" s="403"/>
      <c r="N79" s="403"/>
      <c r="O79" s="403"/>
      <c r="P79" s="421"/>
      <c r="R79" s="155"/>
    </row>
    <row r="80" spans="1:20" ht="163.5" customHeight="1" x14ac:dyDescent="0.2">
      <c r="A80" s="270" t="s">
        <v>383</v>
      </c>
      <c r="B80" s="270" t="s">
        <v>374</v>
      </c>
      <c r="C80" s="270" t="s">
        <v>302</v>
      </c>
      <c r="D80" s="270" t="s">
        <v>512</v>
      </c>
      <c r="E80" s="271">
        <f t="shared" si="49"/>
        <v>152280</v>
      </c>
      <c r="F80" s="225">
        <v>152280</v>
      </c>
      <c r="G80" s="225"/>
      <c r="H80" s="225"/>
      <c r="I80" s="225"/>
      <c r="J80" s="271">
        <f t="shared" si="45"/>
        <v>0</v>
      </c>
      <c r="K80" s="271"/>
      <c r="L80" s="225"/>
      <c r="M80" s="225"/>
      <c r="N80" s="225"/>
      <c r="O80" s="243">
        <f t="shared" si="48"/>
        <v>0</v>
      </c>
      <c r="P80" s="271">
        <f t="shared" si="46"/>
        <v>152280</v>
      </c>
      <c r="R80" s="155"/>
    </row>
    <row r="81" spans="1:18" ht="301.7" customHeight="1" x14ac:dyDescent="0.2">
      <c r="A81" s="270" t="s">
        <v>404</v>
      </c>
      <c r="B81" s="270" t="s">
        <v>402</v>
      </c>
      <c r="C81" s="270" t="s">
        <v>296</v>
      </c>
      <c r="D81" s="270" t="s">
        <v>35</v>
      </c>
      <c r="E81" s="271">
        <f t="shared" si="49"/>
        <v>17985684</v>
      </c>
      <c r="F81" s="225">
        <f>(17332984)+652700</f>
        <v>17985684</v>
      </c>
      <c r="G81" s="225">
        <f>(11859350)+389900</f>
        <v>12249250</v>
      </c>
      <c r="H81" s="225">
        <v>245578</v>
      </c>
      <c r="I81" s="225"/>
      <c r="J81" s="271">
        <f t="shared" si="45"/>
        <v>314400</v>
      </c>
      <c r="K81" s="225">
        <f>(175000)+30000</f>
        <v>205000</v>
      </c>
      <c r="L81" s="225">
        <v>109400</v>
      </c>
      <c r="M81" s="225">
        <v>60000</v>
      </c>
      <c r="N81" s="225">
        <v>4000</v>
      </c>
      <c r="O81" s="243">
        <f t="shared" si="48"/>
        <v>205000</v>
      </c>
      <c r="P81" s="271">
        <f t="shared" si="46"/>
        <v>18300084</v>
      </c>
      <c r="R81" s="155" t="b">
        <f>K81='dod5'!I45</f>
        <v>1</v>
      </c>
    </row>
    <row r="82" spans="1:18" ht="137.25" x14ac:dyDescent="0.2">
      <c r="A82" s="270" t="s">
        <v>405</v>
      </c>
      <c r="B82" s="270" t="s">
        <v>403</v>
      </c>
      <c r="C82" s="270" t="s">
        <v>295</v>
      </c>
      <c r="D82" s="270" t="s">
        <v>513</v>
      </c>
      <c r="E82" s="271">
        <f t="shared" si="49"/>
        <v>5357323</v>
      </c>
      <c r="F82" s="225">
        <f>(5162423)+194900</f>
        <v>5357323</v>
      </c>
      <c r="G82" s="225">
        <f>(3617760)+20400</f>
        <v>3638160</v>
      </c>
      <c r="H82" s="225">
        <v>286789</v>
      </c>
      <c r="I82" s="225"/>
      <c r="J82" s="271">
        <f t="shared" si="45"/>
        <v>274250</v>
      </c>
      <c r="K82" s="225">
        <v>274250</v>
      </c>
      <c r="L82" s="225"/>
      <c r="M82" s="225"/>
      <c r="N82" s="225"/>
      <c r="O82" s="243">
        <f t="shared" si="48"/>
        <v>274250</v>
      </c>
      <c r="P82" s="271">
        <f t="shared" si="46"/>
        <v>5631573</v>
      </c>
      <c r="R82" s="155" t="b">
        <f>K82='dod5'!I46</f>
        <v>1</v>
      </c>
    </row>
    <row r="83" spans="1:18" ht="409.5" x14ac:dyDescent="0.2">
      <c r="A83" s="270" t="s">
        <v>400</v>
      </c>
      <c r="B83" s="270" t="s">
        <v>401</v>
      </c>
      <c r="C83" s="270" t="s">
        <v>295</v>
      </c>
      <c r="D83" s="270" t="s">
        <v>514</v>
      </c>
      <c r="E83" s="271">
        <f t="shared" si="49"/>
        <v>1554600</v>
      </c>
      <c r="F83" s="225">
        <v>1554600</v>
      </c>
      <c r="G83" s="225"/>
      <c r="H83" s="225"/>
      <c r="I83" s="225"/>
      <c r="J83" s="271">
        <f t="shared" si="45"/>
        <v>0</v>
      </c>
      <c r="K83" s="271"/>
      <c r="L83" s="225"/>
      <c r="M83" s="225"/>
      <c r="N83" s="225"/>
      <c r="O83" s="243">
        <f t="shared" si="48"/>
        <v>0</v>
      </c>
      <c r="P83" s="271">
        <f>+J83+E83</f>
        <v>1554600</v>
      </c>
      <c r="R83" s="155"/>
    </row>
    <row r="84" spans="1:18" ht="274.5" x14ac:dyDescent="0.2">
      <c r="A84" s="270" t="s">
        <v>515</v>
      </c>
      <c r="B84" s="270" t="s">
        <v>516</v>
      </c>
      <c r="C84" s="270" t="s">
        <v>295</v>
      </c>
      <c r="D84" s="270" t="s">
        <v>564</v>
      </c>
      <c r="E84" s="271">
        <f t="shared" si="49"/>
        <v>135534</v>
      </c>
      <c r="F84" s="225">
        <v>135534</v>
      </c>
      <c r="G84" s="225"/>
      <c r="H84" s="225"/>
      <c r="I84" s="225"/>
      <c r="J84" s="271">
        <f t="shared" si="45"/>
        <v>0</v>
      </c>
      <c r="K84" s="225"/>
      <c r="L84" s="225"/>
      <c r="M84" s="225"/>
      <c r="N84" s="225"/>
      <c r="O84" s="243">
        <f t="shared" si="48"/>
        <v>0</v>
      </c>
      <c r="P84" s="271">
        <f>+J84+E84</f>
        <v>135534</v>
      </c>
      <c r="R84" s="155"/>
    </row>
    <row r="85" spans="1:18" ht="112.7" customHeight="1" x14ac:dyDescent="0.2">
      <c r="A85" s="270" t="s">
        <v>517</v>
      </c>
      <c r="B85" s="270" t="s">
        <v>518</v>
      </c>
      <c r="C85" s="270" t="s">
        <v>295</v>
      </c>
      <c r="D85" s="270" t="s">
        <v>565</v>
      </c>
      <c r="E85" s="271">
        <f t="shared" si="49"/>
        <v>168</v>
      </c>
      <c r="F85" s="225">
        <v>168</v>
      </c>
      <c r="G85" s="225"/>
      <c r="H85" s="225"/>
      <c r="I85" s="225"/>
      <c r="J85" s="271">
        <f t="shared" si="45"/>
        <v>0</v>
      </c>
      <c r="K85" s="225"/>
      <c r="L85" s="225"/>
      <c r="M85" s="225"/>
      <c r="N85" s="225"/>
      <c r="O85" s="243">
        <f t="shared" si="48"/>
        <v>0</v>
      </c>
      <c r="P85" s="271">
        <f>+J85+E85</f>
        <v>168</v>
      </c>
      <c r="R85" s="155"/>
    </row>
    <row r="86" spans="1:18" ht="366" x14ac:dyDescent="0.2">
      <c r="A86" s="270" t="s">
        <v>568</v>
      </c>
      <c r="B86" s="270" t="s">
        <v>567</v>
      </c>
      <c r="C86" s="270" t="s">
        <v>79</v>
      </c>
      <c r="D86" s="270" t="s">
        <v>566</v>
      </c>
      <c r="E86" s="271">
        <f t="shared" ref="E86" si="57">F86</f>
        <v>1808500</v>
      </c>
      <c r="F86" s="225">
        <v>1808500</v>
      </c>
      <c r="G86" s="225"/>
      <c r="H86" s="225"/>
      <c r="I86" s="225"/>
      <c r="J86" s="271">
        <f t="shared" si="45"/>
        <v>0</v>
      </c>
      <c r="K86" s="271"/>
      <c r="L86" s="225"/>
      <c r="M86" s="225"/>
      <c r="N86" s="225"/>
      <c r="O86" s="243">
        <f t="shared" si="48"/>
        <v>0</v>
      </c>
      <c r="P86" s="271">
        <f>E86+J86</f>
        <v>1808500</v>
      </c>
      <c r="R86" s="155"/>
    </row>
    <row r="87" spans="1:18" ht="228.75" x14ac:dyDescent="0.2">
      <c r="A87" s="270" t="s">
        <v>519</v>
      </c>
      <c r="B87" s="270" t="s">
        <v>520</v>
      </c>
      <c r="C87" s="270" t="s">
        <v>302</v>
      </c>
      <c r="D87" s="270" t="s">
        <v>569</v>
      </c>
      <c r="E87" s="271">
        <f t="shared" ref="E87:E93" si="58">F87</f>
        <v>550000</v>
      </c>
      <c r="F87" s="225">
        <v>550000</v>
      </c>
      <c r="G87" s="225"/>
      <c r="H87" s="225"/>
      <c r="I87" s="225"/>
      <c r="J87" s="271">
        <f t="shared" si="45"/>
        <v>0</v>
      </c>
      <c r="K87" s="225"/>
      <c r="L87" s="225"/>
      <c r="M87" s="225"/>
      <c r="N87" s="225"/>
      <c r="O87" s="243">
        <f t="shared" si="48"/>
        <v>0</v>
      </c>
      <c r="P87" s="271">
        <f>E87+J87</f>
        <v>550000</v>
      </c>
      <c r="R87" s="155"/>
    </row>
    <row r="88" spans="1:18" ht="91.5" x14ac:dyDescent="0.2">
      <c r="A88" s="270" t="s">
        <v>796</v>
      </c>
      <c r="B88" s="270" t="s">
        <v>632</v>
      </c>
      <c r="C88" s="270" t="s">
        <v>633</v>
      </c>
      <c r="D88" s="270" t="s">
        <v>631</v>
      </c>
      <c r="E88" s="271">
        <f t="shared" ref="E88" si="59">F88</f>
        <v>250000</v>
      </c>
      <c r="F88" s="225">
        <v>250000</v>
      </c>
      <c r="G88" s="225">
        <v>205000</v>
      </c>
      <c r="H88" s="225"/>
      <c r="I88" s="225"/>
      <c r="J88" s="271">
        <f t="shared" si="45"/>
        <v>0</v>
      </c>
      <c r="K88" s="225"/>
      <c r="L88" s="225"/>
      <c r="M88" s="225"/>
      <c r="N88" s="225"/>
      <c r="O88" s="243">
        <f t="shared" si="48"/>
        <v>0</v>
      </c>
      <c r="P88" s="271">
        <f>E88+J88</f>
        <v>250000</v>
      </c>
      <c r="R88" s="155"/>
    </row>
    <row r="89" spans="1:18" ht="409.5" x14ac:dyDescent="0.2">
      <c r="A89" s="422" t="s">
        <v>399</v>
      </c>
      <c r="B89" s="422" t="s">
        <v>286</v>
      </c>
      <c r="C89" s="422" t="s">
        <v>279</v>
      </c>
      <c r="D89" s="214" t="s">
        <v>521</v>
      </c>
      <c r="E89" s="414">
        <f>F89</f>
        <v>1030700</v>
      </c>
      <c r="F89" s="416">
        <v>1030700</v>
      </c>
      <c r="G89" s="416"/>
      <c r="H89" s="416"/>
      <c r="I89" s="416"/>
      <c r="J89" s="414">
        <f t="shared" si="45"/>
        <v>0</v>
      </c>
      <c r="K89" s="414"/>
      <c r="L89" s="416"/>
      <c r="M89" s="416"/>
      <c r="N89" s="416"/>
      <c r="O89" s="406">
        <f t="shared" si="48"/>
        <v>0</v>
      </c>
      <c r="P89" s="414">
        <f>E89+J89</f>
        <v>1030700</v>
      </c>
      <c r="R89" s="155"/>
    </row>
    <row r="90" spans="1:18" ht="327.75" customHeight="1" x14ac:dyDescent="0.2">
      <c r="A90" s="417"/>
      <c r="B90" s="417"/>
      <c r="C90" s="417"/>
      <c r="D90" s="216" t="s">
        <v>811</v>
      </c>
      <c r="E90" s="436"/>
      <c r="F90" s="417"/>
      <c r="G90" s="417"/>
      <c r="H90" s="417"/>
      <c r="I90" s="417"/>
      <c r="J90" s="417"/>
      <c r="K90" s="417"/>
      <c r="L90" s="417"/>
      <c r="M90" s="417"/>
      <c r="N90" s="417"/>
      <c r="O90" s="437"/>
      <c r="P90" s="436"/>
      <c r="R90" s="155"/>
    </row>
    <row r="91" spans="1:18" ht="91.5" x14ac:dyDescent="0.2">
      <c r="A91" s="403"/>
      <c r="B91" s="403"/>
      <c r="C91" s="403"/>
      <c r="D91" s="216" t="s">
        <v>812</v>
      </c>
      <c r="E91" s="403"/>
      <c r="F91" s="403"/>
      <c r="G91" s="403"/>
      <c r="H91" s="403"/>
      <c r="I91" s="403"/>
      <c r="J91" s="403"/>
      <c r="K91" s="403"/>
      <c r="L91" s="403"/>
      <c r="M91" s="403"/>
      <c r="N91" s="403"/>
      <c r="O91" s="426"/>
      <c r="P91" s="403"/>
      <c r="R91" s="155"/>
    </row>
    <row r="92" spans="1:18" ht="183" x14ac:dyDescent="0.2">
      <c r="A92" s="270" t="s">
        <v>523</v>
      </c>
      <c r="B92" s="270" t="s">
        <v>525</v>
      </c>
      <c r="C92" s="270" t="s">
        <v>287</v>
      </c>
      <c r="D92" s="215" t="s">
        <v>527</v>
      </c>
      <c r="E92" s="271">
        <f t="shared" si="58"/>
        <v>5249475</v>
      </c>
      <c r="F92" s="225">
        <f>(4578467)+671008</f>
        <v>5249475</v>
      </c>
      <c r="G92" s="111">
        <f>(2541439)+13948</f>
        <v>2555387</v>
      </c>
      <c r="H92" s="111">
        <v>379045</v>
      </c>
      <c r="I92" s="225"/>
      <c r="J92" s="271">
        <f>L92+O92</f>
        <v>2904330</v>
      </c>
      <c r="K92" s="225">
        <f>(1380000+650000)+874330</f>
        <v>2904330</v>
      </c>
      <c r="L92" s="225"/>
      <c r="M92" s="225"/>
      <c r="N92" s="225"/>
      <c r="O92" s="243">
        <f>K92</f>
        <v>2904330</v>
      </c>
      <c r="P92" s="271">
        <f>E92+J92</f>
        <v>8153805</v>
      </c>
      <c r="R92" s="155" t="b">
        <f>K92='dod5'!I47+'dod5'!I48</f>
        <v>1</v>
      </c>
    </row>
    <row r="93" spans="1:18" ht="137.25" x14ac:dyDescent="0.2">
      <c r="A93" s="270" t="s">
        <v>524</v>
      </c>
      <c r="B93" s="270" t="s">
        <v>526</v>
      </c>
      <c r="C93" s="270" t="s">
        <v>287</v>
      </c>
      <c r="D93" s="215" t="s">
        <v>528</v>
      </c>
      <c r="E93" s="271">
        <f t="shared" si="58"/>
        <v>23685540</v>
      </c>
      <c r="F93" s="225">
        <f>(23486540)+199000</f>
        <v>23685540</v>
      </c>
      <c r="G93" s="225"/>
      <c r="H93" s="225"/>
      <c r="I93" s="225"/>
      <c r="J93" s="271">
        <f>L93+O93</f>
        <v>419000</v>
      </c>
      <c r="K93" s="225">
        <f>(220000)+199000</f>
        <v>419000</v>
      </c>
      <c r="L93" s="225"/>
      <c r="M93" s="225"/>
      <c r="N93" s="225"/>
      <c r="O93" s="243">
        <f>K93</f>
        <v>419000</v>
      </c>
      <c r="P93" s="271">
        <f>E93+J93</f>
        <v>24104540</v>
      </c>
      <c r="R93" s="155" t="b">
        <f>K93='dod5'!I50+'dod5'!I49</f>
        <v>1</v>
      </c>
    </row>
    <row r="94" spans="1:18" ht="137.25" x14ac:dyDescent="0.2">
      <c r="A94" s="270" t="s">
        <v>608</v>
      </c>
      <c r="B94" s="270" t="s">
        <v>606</v>
      </c>
      <c r="C94" s="270" t="s">
        <v>542</v>
      </c>
      <c r="D94" s="215" t="s">
        <v>607</v>
      </c>
      <c r="E94" s="271">
        <f t="shared" ref="E94:E96" si="60">F94</f>
        <v>0</v>
      </c>
      <c r="F94" s="225"/>
      <c r="G94" s="225"/>
      <c r="H94" s="225"/>
      <c r="I94" s="225"/>
      <c r="J94" s="271">
        <f>L94+O94</f>
        <v>3500000</v>
      </c>
      <c r="K94" s="225">
        <v>3500000</v>
      </c>
      <c r="L94" s="225"/>
      <c r="M94" s="225"/>
      <c r="N94" s="225"/>
      <c r="O94" s="243">
        <f>K94</f>
        <v>3500000</v>
      </c>
      <c r="P94" s="271">
        <f>E94+J94</f>
        <v>3500000</v>
      </c>
      <c r="R94" s="155" t="b">
        <f>K94='dod5'!I51</f>
        <v>1</v>
      </c>
    </row>
    <row r="95" spans="1:18" ht="91.5" x14ac:dyDescent="0.2">
      <c r="A95" s="270" t="s">
        <v>708</v>
      </c>
      <c r="B95" s="270" t="s">
        <v>709</v>
      </c>
      <c r="C95" s="270" t="s">
        <v>450</v>
      </c>
      <c r="D95" s="215" t="s">
        <v>710</v>
      </c>
      <c r="E95" s="271">
        <f t="shared" si="60"/>
        <v>0</v>
      </c>
      <c r="F95" s="225"/>
      <c r="G95" s="225"/>
      <c r="H95" s="225"/>
      <c r="I95" s="225"/>
      <c r="J95" s="271">
        <f>L95+O95</f>
        <v>2000000</v>
      </c>
      <c r="K95" s="225">
        <f>(1000000)+1000000</f>
        <v>2000000</v>
      </c>
      <c r="L95" s="225"/>
      <c r="M95" s="225"/>
      <c r="N95" s="225"/>
      <c r="O95" s="243">
        <f>K95</f>
        <v>2000000</v>
      </c>
      <c r="P95" s="271">
        <f>E95+J95</f>
        <v>2000000</v>
      </c>
      <c r="R95" s="155" t="b">
        <f>K95='dod5'!I52</f>
        <v>1</v>
      </c>
    </row>
    <row r="96" spans="1:18" ht="409.5" x14ac:dyDescent="0.2">
      <c r="A96" s="422" t="s">
        <v>749</v>
      </c>
      <c r="B96" s="422" t="s">
        <v>538</v>
      </c>
      <c r="C96" s="422" t="s">
        <v>256</v>
      </c>
      <c r="D96" s="231" t="s">
        <v>549</v>
      </c>
      <c r="E96" s="418">
        <f t="shared" si="60"/>
        <v>0</v>
      </c>
      <c r="F96" s="404"/>
      <c r="G96" s="404"/>
      <c r="H96" s="404"/>
      <c r="I96" s="404"/>
      <c r="J96" s="414">
        <f>L96+O96</f>
        <v>566000</v>
      </c>
      <c r="K96" s="404"/>
      <c r="L96" s="404">
        <v>566000</v>
      </c>
      <c r="M96" s="404"/>
      <c r="N96" s="404"/>
      <c r="O96" s="406">
        <f>K96</f>
        <v>0</v>
      </c>
      <c r="P96" s="418">
        <f>E96+J96</f>
        <v>566000</v>
      </c>
      <c r="Q96" s="120">
        <f>P96</f>
        <v>566000</v>
      </c>
      <c r="R96" s="155"/>
    </row>
    <row r="97" spans="1:18" ht="137.25" x14ac:dyDescent="0.2">
      <c r="A97" s="403"/>
      <c r="B97" s="403"/>
      <c r="C97" s="403"/>
      <c r="D97" s="235" t="s">
        <v>550</v>
      </c>
      <c r="E97" s="419"/>
      <c r="F97" s="420"/>
      <c r="G97" s="420"/>
      <c r="H97" s="420"/>
      <c r="I97" s="420"/>
      <c r="J97" s="403"/>
      <c r="K97" s="403"/>
      <c r="L97" s="420"/>
      <c r="M97" s="420"/>
      <c r="N97" s="420"/>
      <c r="O97" s="426"/>
      <c r="P97" s="419"/>
      <c r="R97" s="155"/>
    </row>
    <row r="98" spans="1:18" ht="180" x14ac:dyDescent="0.2">
      <c r="A98" s="306">
        <v>1000000</v>
      </c>
      <c r="B98" s="306"/>
      <c r="C98" s="306"/>
      <c r="D98" s="296" t="s">
        <v>43</v>
      </c>
      <c r="E98" s="298">
        <f>E99</f>
        <v>81434879</v>
      </c>
      <c r="F98" s="298">
        <f t="shared" ref="F98" si="61">F99</f>
        <v>81434879</v>
      </c>
      <c r="G98" s="298">
        <f t="shared" ref="G98" si="62">G99</f>
        <v>56675325</v>
      </c>
      <c r="H98" s="298">
        <f>H99</f>
        <v>3263442</v>
      </c>
      <c r="I98" s="298">
        <f t="shared" ref="I98" si="63">I99</f>
        <v>0</v>
      </c>
      <c r="J98" s="298">
        <f>J99</f>
        <v>15766734</v>
      </c>
      <c r="K98" s="298">
        <f>K99</f>
        <v>8279954</v>
      </c>
      <c r="L98" s="298">
        <f>L99</f>
        <v>7451780</v>
      </c>
      <c r="M98" s="298">
        <f t="shared" ref="M98" si="64">M99</f>
        <v>5409770</v>
      </c>
      <c r="N98" s="298">
        <f>N99</f>
        <v>197280</v>
      </c>
      <c r="O98" s="298">
        <f>O99</f>
        <v>8314954</v>
      </c>
      <c r="P98" s="302">
        <f t="shared" ref="P98" si="65">P99</f>
        <v>97201613</v>
      </c>
    </row>
    <row r="99" spans="1:18" ht="180" x14ac:dyDescent="0.2">
      <c r="A99" s="307">
        <v>1010000</v>
      </c>
      <c r="B99" s="307"/>
      <c r="C99" s="307"/>
      <c r="D99" s="299" t="s">
        <v>62</v>
      </c>
      <c r="E99" s="301">
        <f>F99</f>
        <v>81434879</v>
      </c>
      <c r="F99" s="301">
        <f>SUM(F100:F107)</f>
        <v>81434879</v>
      </c>
      <c r="G99" s="301">
        <f t="shared" ref="G99:I99" si="66">SUM(G100:G107)</f>
        <v>56675325</v>
      </c>
      <c r="H99" s="301">
        <f t="shared" si="66"/>
        <v>3263442</v>
      </c>
      <c r="I99" s="301">
        <f t="shared" si="66"/>
        <v>0</v>
      </c>
      <c r="J99" s="301">
        <f t="shared" ref="J99:J107" si="67">L99+O99</f>
        <v>15766734</v>
      </c>
      <c r="K99" s="301">
        <f t="shared" ref="K99" si="68">SUM(K100:K107)</f>
        <v>8279954</v>
      </c>
      <c r="L99" s="301">
        <f t="shared" ref="L99" si="69">SUM(L100:L107)</f>
        <v>7451780</v>
      </c>
      <c r="M99" s="301">
        <f t="shared" ref="M99" si="70">SUM(M100:M107)</f>
        <v>5409770</v>
      </c>
      <c r="N99" s="301">
        <f t="shared" ref="N99" si="71">SUM(N100:N107)</f>
        <v>197280</v>
      </c>
      <c r="O99" s="301">
        <f t="shared" ref="O99" si="72">SUM(O100:O107)</f>
        <v>8314954</v>
      </c>
      <c r="P99" s="301">
        <f t="shared" ref="P99:P106" si="73">E99+J99</f>
        <v>97201613</v>
      </c>
      <c r="Q99" s="153" t="b">
        <f>P99=P100+P101+P102+P103+P104+P105+P106+P107</f>
        <v>1</v>
      </c>
      <c r="R99" s="155" t="b">
        <f>K99='dod5'!I54</f>
        <v>1</v>
      </c>
    </row>
    <row r="100" spans="1:18" ht="274.5" x14ac:dyDescent="0.2">
      <c r="A100" s="270" t="s">
        <v>34</v>
      </c>
      <c r="B100" s="270" t="s">
        <v>274</v>
      </c>
      <c r="C100" s="270" t="s">
        <v>275</v>
      </c>
      <c r="D100" s="270" t="s">
        <v>273</v>
      </c>
      <c r="E100" s="271">
        <f>F100</f>
        <v>46291215</v>
      </c>
      <c r="F100" s="225">
        <f>(46221680)+69535</f>
        <v>46291215</v>
      </c>
      <c r="G100" s="225">
        <v>35856900</v>
      </c>
      <c r="H100" s="225">
        <f>(1907060)+69535</f>
        <v>1976595</v>
      </c>
      <c r="I100" s="225"/>
      <c r="J100" s="271">
        <f t="shared" si="67"/>
        <v>8264384</v>
      </c>
      <c r="K100" s="225">
        <f>(386442)+1046562</f>
        <v>1433004</v>
      </c>
      <c r="L100" s="225">
        <v>6805480</v>
      </c>
      <c r="M100" s="225">
        <v>5170040</v>
      </c>
      <c r="N100" s="225">
        <v>138080</v>
      </c>
      <c r="O100" s="243">
        <f>K100+25900</f>
        <v>1458904</v>
      </c>
      <c r="P100" s="271">
        <f t="shared" si="73"/>
        <v>54555599</v>
      </c>
      <c r="R100" s="155" t="b">
        <f>K100='dod5'!I55+'dod5'!I56</f>
        <v>1</v>
      </c>
    </row>
    <row r="101" spans="1:18" ht="46.5" x14ac:dyDescent="0.2">
      <c r="A101" s="270" t="s">
        <v>257</v>
      </c>
      <c r="B101" s="270" t="s">
        <v>258</v>
      </c>
      <c r="C101" s="270" t="s">
        <v>261</v>
      </c>
      <c r="D101" s="270" t="s">
        <v>262</v>
      </c>
      <c r="E101" s="271">
        <f t="shared" ref="E101:E104" si="74">F101</f>
        <v>726700</v>
      </c>
      <c r="F101" s="225">
        <v>726700</v>
      </c>
      <c r="G101" s="225"/>
      <c r="H101" s="225"/>
      <c r="I101" s="225"/>
      <c r="J101" s="271">
        <f t="shared" si="67"/>
        <v>0</v>
      </c>
      <c r="K101" s="225"/>
      <c r="L101" s="225"/>
      <c r="M101" s="225"/>
      <c r="N101" s="225"/>
      <c r="O101" s="243">
        <f>K101</f>
        <v>0</v>
      </c>
      <c r="P101" s="271">
        <f t="shared" si="73"/>
        <v>726700</v>
      </c>
      <c r="R101" s="155"/>
    </row>
    <row r="102" spans="1:18" ht="91.5" x14ac:dyDescent="0.2">
      <c r="A102" s="270" t="s">
        <v>263</v>
      </c>
      <c r="B102" s="270" t="s">
        <v>264</v>
      </c>
      <c r="C102" s="270" t="s">
        <v>265</v>
      </c>
      <c r="D102" s="270" t="s">
        <v>266</v>
      </c>
      <c r="E102" s="271">
        <f t="shared" si="74"/>
        <v>7796525</v>
      </c>
      <c r="F102" s="225">
        <f>(7716225)+80300</f>
        <v>7796525</v>
      </c>
      <c r="G102" s="225">
        <v>5790700</v>
      </c>
      <c r="H102" s="225">
        <v>459705</v>
      </c>
      <c r="I102" s="225"/>
      <c r="J102" s="271">
        <f t="shared" si="67"/>
        <v>716950</v>
      </c>
      <c r="K102" s="225">
        <v>631950</v>
      </c>
      <c r="L102" s="225">
        <v>85000</v>
      </c>
      <c r="M102" s="225">
        <v>9800</v>
      </c>
      <c r="N102" s="225">
        <v>18500</v>
      </c>
      <c r="O102" s="243">
        <f>K102</f>
        <v>631950</v>
      </c>
      <c r="P102" s="271">
        <f t="shared" si="73"/>
        <v>8513475</v>
      </c>
      <c r="R102" s="155" t="b">
        <f>K102='dod5'!I57</f>
        <v>1</v>
      </c>
    </row>
    <row r="103" spans="1:18" ht="91.5" x14ac:dyDescent="0.2">
      <c r="A103" s="270" t="s">
        <v>267</v>
      </c>
      <c r="B103" s="270" t="s">
        <v>268</v>
      </c>
      <c r="C103" s="270" t="s">
        <v>265</v>
      </c>
      <c r="D103" s="270" t="s">
        <v>269</v>
      </c>
      <c r="E103" s="271">
        <f t="shared" si="74"/>
        <v>1220535</v>
      </c>
      <c r="F103" s="225">
        <v>1220535</v>
      </c>
      <c r="G103" s="225">
        <v>796025</v>
      </c>
      <c r="H103" s="225">
        <v>201670</v>
      </c>
      <c r="I103" s="225"/>
      <c r="J103" s="271">
        <f t="shared" si="67"/>
        <v>5075000</v>
      </c>
      <c r="K103" s="225">
        <f>(3000000)+2000000</f>
        <v>5000000</v>
      </c>
      <c r="L103" s="225">
        <v>75000</v>
      </c>
      <c r="M103" s="225">
        <v>6100</v>
      </c>
      <c r="N103" s="225">
        <v>3300</v>
      </c>
      <c r="O103" s="243">
        <f>K103</f>
        <v>5000000</v>
      </c>
      <c r="P103" s="271">
        <f t="shared" si="73"/>
        <v>6295535</v>
      </c>
      <c r="R103" s="155" t="b">
        <f>K103='dod5'!I58+'dod5'!I59</f>
        <v>1</v>
      </c>
    </row>
    <row r="104" spans="1:18" ht="183" x14ac:dyDescent="0.2">
      <c r="A104" s="270" t="s">
        <v>270</v>
      </c>
      <c r="B104" s="270" t="s">
        <v>259</v>
      </c>
      <c r="C104" s="270" t="s">
        <v>271</v>
      </c>
      <c r="D104" s="270" t="s">
        <v>272</v>
      </c>
      <c r="E104" s="271">
        <f t="shared" si="74"/>
        <v>5816142</v>
      </c>
      <c r="F104" s="225">
        <f>(5699642)+116500</f>
        <v>5816142</v>
      </c>
      <c r="G104" s="225">
        <v>4068700</v>
      </c>
      <c r="H104" s="225">
        <v>590742</v>
      </c>
      <c r="I104" s="225"/>
      <c r="J104" s="271">
        <f t="shared" si="67"/>
        <v>1555400</v>
      </c>
      <c r="K104" s="225">
        <f>(500000)+690000</f>
        <v>1190000</v>
      </c>
      <c r="L104" s="225">
        <v>356300</v>
      </c>
      <c r="M104" s="225">
        <v>218030</v>
      </c>
      <c r="N104" s="225">
        <v>37400</v>
      </c>
      <c r="O104" s="243">
        <f>K104+9100</f>
        <v>1199100</v>
      </c>
      <c r="P104" s="271">
        <f t="shared" si="73"/>
        <v>7371542</v>
      </c>
      <c r="R104" s="155" t="b">
        <f>K104='dod5'!I60</f>
        <v>1</v>
      </c>
    </row>
    <row r="105" spans="1:18" ht="137.25" x14ac:dyDescent="0.2">
      <c r="A105" s="270" t="s">
        <v>530</v>
      </c>
      <c r="B105" s="270" t="s">
        <v>531</v>
      </c>
      <c r="C105" s="270" t="s">
        <v>276</v>
      </c>
      <c r="D105" s="270" t="s">
        <v>529</v>
      </c>
      <c r="E105" s="271">
        <f>F105</f>
        <v>13283762</v>
      </c>
      <c r="F105" s="225">
        <f>(13266262)+17500</f>
        <v>13283762</v>
      </c>
      <c r="G105" s="225">
        <v>10163000</v>
      </c>
      <c r="H105" s="225">
        <v>34730</v>
      </c>
      <c r="I105" s="225"/>
      <c r="J105" s="271">
        <f t="shared" si="67"/>
        <v>130000</v>
      </c>
      <c r="K105" s="225"/>
      <c r="L105" s="225">
        <v>130000</v>
      </c>
      <c r="M105" s="225">
        <v>5800</v>
      </c>
      <c r="N105" s="225"/>
      <c r="O105" s="243">
        <f>K105</f>
        <v>0</v>
      </c>
      <c r="P105" s="271">
        <f t="shared" si="73"/>
        <v>13413762</v>
      </c>
      <c r="R105" s="155"/>
    </row>
    <row r="106" spans="1:18" ht="91.5" x14ac:dyDescent="0.2">
      <c r="A106" s="270" t="s">
        <v>532</v>
      </c>
      <c r="B106" s="270" t="s">
        <v>533</v>
      </c>
      <c r="C106" s="270" t="s">
        <v>276</v>
      </c>
      <c r="D106" s="270" t="s">
        <v>534</v>
      </c>
      <c r="E106" s="271">
        <f>F106</f>
        <v>6300000</v>
      </c>
      <c r="F106" s="225">
        <f>(6000000)+300000</f>
        <v>6300000</v>
      </c>
      <c r="G106" s="225"/>
      <c r="H106" s="225"/>
      <c r="I106" s="225"/>
      <c r="J106" s="271">
        <f t="shared" si="67"/>
        <v>0</v>
      </c>
      <c r="K106" s="225"/>
      <c r="L106" s="225"/>
      <c r="M106" s="225"/>
      <c r="N106" s="225"/>
      <c r="O106" s="243">
        <f>K106</f>
        <v>0</v>
      </c>
      <c r="P106" s="271">
        <f t="shared" si="73"/>
        <v>6300000</v>
      </c>
      <c r="R106" s="155"/>
    </row>
    <row r="107" spans="1:18" ht="91.5" x14ac:dyDescent="0.2">
      <c r="A107" s="270" t="s">
        <v>868</v>
      </c>
      <c r="B107" s="270" t="s">
        <v>293</v>
      </c>
      <c r="C107" s="270" t="s">
        <v>256</v>
      </c>
      <c r="D107" s="270" t="s">
        <v>57</v>
      </c>
      <c r="E107" s="142">
        <f t="shared" ref="E107" si="75">F107</f>
        <v>0</v>
      </c>
      <c r="F107" s="111"/>
      <c r="G107" s="111"/>
      <c r="H107" s="111"/>
      <c r="I107" s="111"/>
      <c r="J107" s="271">
        <f t="shared" si="67"/>
        <v>25000</v>
      </c>
      <c r="K107" s="225">
        <v>25000</v>
      </c>
      <c r="L107" s="111"/>
      <c r="M107" s="111"/>
      <c r="N107" s="111"/>
      <c r="O107" s="243">
        <f t="shared" ref="O107" si="76">K107</f>
        <v>25000</v>
      </c>
      <c r="P107" s="271">
        <f>E107+J107</f>
        <v>25000</v>
      </c>
      <c r="R107" s="155" t="b">
        <f>K107='dod5'!I61</f>
        <v>1</v>
      </c>
    </row>
    <row r="108" spans="1:18" ht="135" x14ac:dyDescent="0.2">
      <c r="A108" s="296" t="s">
        <v>40</v>
      </c>
      <c r="B108" s="296"/>
      <c r="C108" s="296"/>
      <c r="D108" s="296" t="s">
        <v>41</v>
      </c>
      <c r="E108" s="298">
        <f>E109</f>
        <v>51870012</v>
      </c>
      <c r="F108" s="298">
        <f t="shared" ref="F108" si="77">F109</f>
        <v>51870012</v>
      </c>
      <c r="G108" s="298">
        <f t="shared" ref="G108" si="78">G109</f>
        <v>18314174</v>
      </c>
      <c r="H108" s="298">
        <f>H109</f>
        <v>1640093</v>
      </c>
      <c r="I108" s="298">
        <f t="shared" ref="I108" si="79">I109</f>
        <v>0</v>
      </c>
      <c r="J108" s="298">
        <f>J109</f>
        <v>5200065</v>
      </c>
      <c r="K108" s="298">
        <f>K109</f>
        <v>3183421</v>
      </c>
      <c r="L108" s="298">
        <f>L109</f>
        <v>2016644</v>
      </c>
      <c r="M108" s="298">
        <f t="shared" ref="M108" si="80">M109</f>
        <v>912155</v>
      </c>
      <c r="N108" s="298">
        <f>N109</f>
        <v>345236</v>
      </c>
      <c r="O108" s="298">
        <f>O109</f>
        <v>3183421</v>
      </c>
      <c r="P108" s="302">
        <f t="shared" ref="P108" si="81">P109</f>
        <v>57070077</v>
      </c>
    </row>
    <row r="109" spans="1:18" ht="135" x14ac:dyDescent="0.2">
      <c r="A109" s="299" t="s">
        <v>39</v>
      </c>
      <c r="B109" s="299"/>
      <c r="C109" s="299"/>
      <c r="D109" s="299" t="s">
        <v>58</v>
      </c>
      <c r="E109" s="301">
        <f>SUM(E110:E123)</f>
        <v>51870012</v>
      </c>
      <c r="F109" s="301">
        <f t="shared" ref="F109:I109" si="82">SUM(F110:F123)</f>
        <v>51870012</v>
      </c>
      <c r="G109" s="301">
        <f t="shared" si="82"/>
        <v>18314174</v>
      </c>
      <c r="H109" s="301">
        <f t="shared" si="82"/>
        <v>1640093</v>
      </c>
      <c r="I109" s="301">
        <f t="shared" si="82"/>
        <v>0</v>
      </c>
      <c r="J109" s="301">
        <f t="shared" ref="J109:J122" si="83">L109+O109</f>
        <v>5200065</v>
      </c>
      <c r="K109" s="301">
        <f t="shared" ref="K109" si="84">SUM(K110:K123)</f>
        <v>3183421</v>
      </c>
      <c r="L109" s="301">
        <f t="shared" ref="L109" si="85">SUM(L110:L123)</f>
        <v>2016644</v>
      </c>
      <c r="M109" s="301">
        <f t="shared" ref="M109" si="86">SUM(M110:M123)</f>
        <v>912155</v>
      </c>
      <c r="N109" s="301">
        <f t="shared" ref="N109" si="87">SUM(N110:N123)</f>
        <v>345236</v>
      </c>
      <c r="O109" s="301">
        <f>SUM(O110:O123)</f>
        <v>3183421</v>
      </c>
      <c r="P109" s="301">
        <f>E109+J109</f>
        <v>57070077</v>
      </c>
      <c r="Q109" s="153" t="b">
        <f>P109=P110+P111+P112+P113+P114+P115+P116+P117+P118+P120+P121+P122+P119+P123</f>
        <v>1</v>
      </c>
      <c r="R109" s="155" t="b">
        <f>K109='dod5'!I63</f>
        <v>1</v>
      </c>
    </row>
    <row r="110" spans="1:18" ht="137.25" x14ac:dyDescent="0.2">
      <c r="A110" s="270" t="s">
        <v>277</v>
      </c>
      <c r="B110" s="270" t="s">
        <v>278</v>
      </c>
      <c r="C110" s="270" t="s">
        <v>279</v>
      </c>
      <c r="D110" s="270" t="s">
        <v>280</v>
      </c>
      <c r="E110" s="142">
        <f t="shared" ref="E110:E113" si="88">F110</f>
        <v>3393343</v>
      </c>
      <c r="F110" s="111">
        <f>(3278423)+114920</f>
        <v>3393343</v>
      </c>
      <c r="G110" s="111">
        <f>(2517500)+82000</f>
        <v>2599500</v>
      </c>
      <c r="H110" s="111">
        <v>66793</v>
      </c>
      <c r="I110" s="111"/>
      <c r="J110" s="271">
        <f t="shared" si="83"/>
        <v>53278</v>
      </c>
      <c r="K110" s="111">
        <v>53278</v>
      </c>
      <c r="L110" s="154"/>
      <c r="M110" s="154"/>
      <c r="N110" s="154"/>
      <c r="O110" s="243">
        <f t="shared" ref="O110:O122" si="89">K110</f>
        <v>53278</v>
      </c>
      <c r="P110" s="271">
        <f>+J110+E110</f>
        <v>3446621</v>
      </c>
      <c r="Q110" s="155"/>
      <c r="R110" s="155" t="b">
        <f>K110='dod5'!I64</f>
        <v>1</v>
      </c>
    </row>
    <row r="111" spans="1:18" ht="228.75" x14ac:dyDescent="0.2">
      <c r="A111" s="270" t="s">
        <v>72</v>
      </c>
      <c r="B111" s="270" t="s">
        <v>260</v>
      </c>
      <c r="C111" s="270" t="s">
        <v>279</v>
      </c>
      <c r="D111" s="270" t="s">
        <v>22</v>
      </c>
      <c r="E111" s="142">
        <f t="shared" si="88"/>
        <v>1225790</v>
      </c>
      <c r="F111" s="111">
        <f>(875790)+350000</f>
        <v>1225790</v>
      </c>
      <c r="G111" s="111"/>
      <c r="H111" s="111"/>
      <c r="I111" s="111"/>
      <c r="J111" s="271">
        <f t="shared" si="83"/>
        <v>0</v>
      </c>
      <c r="K111" s="111"/>
      <c r="L111" s="154"/>
      <c r="M111" s="154"/>
      <c r="N111" s="154"/>
      <c r="O111" s="243">
        <f t="shared" si="89"/>
        <v>0</v>
      </c>
      <c r="P111" s="271">
        <f>+J111+E111</f>
        <v>1225790</v>
      </c>
      <c r="R111" s="155"/>
    </row>
    <row r="112" spans="1:18" ht="91.5" x14ac:dyDescent="0.2">
      <c r="A112" s="270" t="s">
        <v>284</v>
      </c>
      <c r="B112" s="270" t="s">
        <v>285</v>
      </c>
      <c r="C112" s="270" t="s">
        <v>279</v>
      </c>
      <c r="D112" s="270" t="s">
        <v>23</v>
      </c>
      <c r="E112" s="142">
        <f t="shared" si="88"/>
        <v>3279368</v>
      </c>
      <c r="F112" s="111">
        <f>(3054118)+225250</f>
        <v>3279368</v>
      </c>
      <c r="G112" s="111">
        <f>(1623800)+160000</f>
        <v>1783800</v>
      </c>
      <c r="H112" s="111">
        <v>437788</v>
      </c>
      <c r="I112" s="111"/>
      <c r="J112" s="271">
        <f t="shared" si="83"/>
        <v>1468936</v>
      </c>
      <c r="K112" s="111">
        <f>(592430)+551506</f>
        <v>1143936</v>
      </c>
      <c r="L112" s="154">
        <v>325000</v>
      </c>
      <c r="M112" s="154">
        <f>(189100)-34100</f>
        <v>155000</v>
      </c>
      <c r="N112" s="154">
        <v>89400</v>
      </c>
      <c r="O112" s="243">
        <f t="shared" si="89"/>
        <v>1143936</v>
      </c>
      <c r="P112" s="271">
        <f t="shared" ref="P112:P123" si="90">E112+J112</f>
        <v>4748304</v>
      </c>
      <c r="R112" s="155" t="b">
        <f>K112='dod5'!I65+'dod5'!I66</f>
        <v>1</v>
      </c>
    </row>
    <row r="113" spans="1:18" ht="91.5" x14ac:dyDescent="0.2">
      <c r="A113" s="270" t="s">
        <v>574</v>
      </c>
      <c r="B113" s="270" t="s">
        <v>575</v>
      </c>
      <c r="C113" s="270" t="s">
        <v>279</v>
      </c>
      <c r="D113" s="270" t="s">
        <v>576</v>
      </c>
      <c r="E113" s="142">
        <f t="shared" si="88"/>
        <v>6305396</v>
      </c>
      <c r="F113" s="111">
        <f>(5640576+301303)+363517</f>
        <v>6305396</v>
      </c>
      <c r="G113" s="111">
        <v>714843</v>
      </c>
      <c r="H113" s="111">
        <v>110000</v>
      </c>
      <c r="I113" s="111"/>
      <c r="J113" s="271">
        <f t="shared" si="83"/>
        <v>1366703</v>
      </c>
      <c r="K113" s="111">
        <f>(816103)+550600</f>
        <v>1366703</v>
      </c>
      <c r="L113" s="154"/>
      <c r="M113" s="154"/>
      <c r="N113" s="154"/>
      <c r="O113" s="243">
        <f t="shared" si="89"/>
        <v>1366703</v>
      </c>
      <c r="P113" s="271">
        <f t="shared" si="90"/>
        <v>7672099</v>
      </c>
      <c r="R113" s="155" t="b">
        <f>K113='dod5'!I67</f>
        <v>1</v>
      </c>
    </row>
    <row r="114" spans="1:18" ht="137.25" x14ac:dyDescent="0.2">
      <c r="A114" s="270" t="s">
        <v>73</v>
      </c>
      <c r="B114" s="270" t="s">
        <v>281</v>
      </c>
      <c r="C114" s="270" t="s">
        <v>291</v>
      </c>
      <c r="D114" s="270" t="s">
        <v>74</v>
      </c>
      <c r="E114" s="142">
        <f t="shared" ref="E114:E120" si="91">F114</f>
        <v>10046475</v>
      </c>
      <c r="F114" s="111">
        <f>(10002475)+44000</f>
        <v>10046475</v>
      </c>
      <c r="G114" s="225"/>
      <c r="H114" s="225"/>
      <c r="I114" s="225"/>
      <c r="J114" s="271">
        <f t="shared" si="83"/>
        <v>0</v>
      </c>
      <c r="K114" s="225"/>
      <c r="L114" s="225"/>
      <c r="M114" s="225"/>
      <c r="N114" s="225"/>
      <c r="O114" s="243">
        <f t="shared" si="89"/>
        <v>0</v>
      </c>
      <c r="P114" s="271">
        <f t="shared" si="90"/>
        <v>10046475</v>
      </c>
      <c r="R114" s="155"/>
    </row>
    <row r="115" spans="1:18" ht="137.25" x14ac:dyDescent="0.2">
      <c r="A115" s="270" t="s">
        <v>75</v>
      </c>
      <c r="B115" s="270" t="s">
        <v>282</v>
      </c>
      <c r="C115" s="270" t="s">
        <v>291</v>
      </c>
      <c r="D115" s="270" t="s">
        <v>6</v>
      </c>
      <c r="E115" s="142">
        <f t="shared" si="91"/>
        <v>1757513</v>
      </c>
      <c r="F115" s="111">
        <f>(1727513)+30000</f>
        <v>1757513</v>
      </c>
      <c r="G115" s="225"/>
      <c r="H115" s="225"/>
      <c r="I115" s="225"/>
      <c r="J115" s="271">
        <f t="shared" si="83"/>
        <v>0</v>
      </c>
      <c r="K115" s="225"/>
      <c r="L115" s="225"/>
      <c r="M115" s="225"/>
      <c r="N115" s="225"/>
      <c r="O115" s="243">
        <f t="shared" si="89"/>
        <v>0</v>
      </c>
      <c r="P115" s="271">
        <f t="shared" si="90"/>
        <v>1757513</v>
      </c>
      <c r="R115" s="155"/>
    </row>
    <row r="116" spans="1:18" ht="183" x14ac:dyDescent="0.2">
      <c r="A116" s="270" t="s">
        <v>76</v>
      </c>
      <c r="B116" s="270" t="s">
        <v>283</v>
      </c>
      <c r="C116" s="270" t="s">
        <v>291</v>
      </c>
      <c r="D116" s="270" t="s">
        <v>570</v>
      </c>
      <c r="E116" s="142">
        <f>F116</f>
        <v>53014</v>
      </c>
      <c r="F116" s="111">
        <v>53014</v>
      </c>
      <c r="G116" s="111"/>
      <c r="H116" s="111"/>
      <c r="I116" s="225"/>
      <c r="J116" s="271">
        <f t="shared" si="83"/>
        <v>0</v>
      </c>
      <c r="K116" s="225"/>
      <c r="L116" s="111"/>
      <c r="M116" s="111"/>
      <c r="N116" s="111"/>
      <c r="O116" s="243">
        <f t="shared" si="89"/>
        <v>0</v>
      </c>
      <c r="P116" s="271">
        <f t="shared" si="90"/>
        <v>53014</v>
      </c>
      <c r="R116" s="155"/>
    </row>
    <row r="117" spans="1:18" ht="183" x14ac:dyDescent="0.2">
      <c r="A117" s="270" t="s">
        <v>49</v>
      </c>
      <c r="B117" s="270" t="s">
        <v>288</v>
      </c>
      <c r="C117" s="270" t="s">
        <v>291</v>
      </c>
      <c r="D117" s="270" t="s">
        <v>77</v>
      </c>
      <c r="E117" s="142">
        <f t="shared" si="91"/>
        <v>18741107</v>
      </c>
      <c r="F117" s="111">
        <f>(18126095)+615012</f>
        <v>18741107</v>
      </c>
      <c r="G117" s="111">
        <f>12402731</f>
        <v>12402731</v>
      </c>
      <c r="H117" s="111">
        <v>1025512</v>
      </c>
      <c r="I117" s="111"/>
      <c r="J117" s="271">
        <f t="shared" si="83"/>
        <v>2169444</v>
      </c>
      <c r="K117" s="111">
        <v>519800</v>
      </c>
      <c r="L117" s="111">
        <v>1649644</v>
      </c>
      <c r="M117" s="111">
        <v>757155</v>
      </c>
      <c r="N117" s="111">
        <v>255836</v>
      </c>
      <c r="O117" s="243">
        <f t="shared" si="89"/>
        <v>519800</v>
      </c>
      <c r="P117" s="271">
        <f t="shared" si="90"/>
        <v>20910551</v>
      </c>
      <c r="R117" s="155" t="b">
        <f>K117='dod5'!I68+'dod5'!I69</f>
        <v>1</v>
      </c>
    </row>
    <row r="118" spans="1:18" ht="183" x14ac:dyDescent="0.2">
      <c r="A118" s="270" t="s">
        <v>50</v>
      </c>
      <c r="B118" s="270" t="s">
        <v>289</v>
      </c>
      <c r="C118" s="270" t="s">
        <v>291</v>
      </c>
      <c r="D118" s="270" t="s">
        <v>78</v>
      </c>
      <c r="E118" s="142">
        <f t="shared" si="91"/>
        <v>4254685</v>
      </c>
      <c r="F118" s="111">
        <v>4254685</v>
      </c>
      <c r="G118" s="111"/>
      <c r="H118" s="111"/>
      <c r="I118" s="111"/>
      <c r="J118" s="271">
        <f t="shared" si="83"/>
        <v>0</v>
      </c>
      <c r="K118" s="111"/>
      <c r="L118" s="111"/>
      <c r="M118" s="111"/>
      <c r="N118" s="111"/>
      <c r="O118" s="243">
        <f t="shared" si="89"/>
        <v>0</v>
      </c>
      <c r="P118" s="271">
        <f t="shared" si="90"/>
        <v>4254685</v>
      </c>
      <c r="R118" s="155"/>
    </row>
    <row r="119" spans="1:18" ht="320.25" x14ac:dyDescent="0.2">
      <c r="A119" s="270" t="s">
        <v>917</v>
      </c>
      <c r="B119" s="270" t="s">
        <v>918</v>
      </c>
      <c r="C119" s="270" t="s">
        <v>291</v>
      </c>
      <c r="D119" s="270" t="s">
        <v>919</v>
      </c>
      <c r="E119" s="142">
        <f t="shared" ref="E119" si="92">F119</f>
        <v>68296</v>
      </c>
      <c r="F119" s="111">
        <v>68296</v>
      </c>
      <c r="G119" s="111"/>
      <c r="H119" s="111"/>
      <c r="I119" s="111"/>
      <c r="J119" s="271">
        <f t="shared" ref="J119" si="93">L119+O119</f>
        <v>0</v>
      </c>
      <c r="K119" s="111"/>
      <c r="L119" s="111"/>
      <c r="M119" s="111"/>
      <c r="N119" s="111"/>
      <c r="O119" s="243">
        <f t="shared" ref="O119" si="94">K119</f>
        <v>0</v>
      </c>
      <c r="P119" s="271">
        <f t="shared" ref="P119" si="95">E119+J119</f>
        <v>68296</v>
      </c>
      <c r="R119" s="155"/>
    </row>
    <row r="120" spans="1:18" ht="274.5" x14ac:dyDescent="0.2">
      <c r="A120" s="204" t="s">
        <v>51</v>
      </c>
      <c r="B120" s="204" t="s">
        <v>290</v>
      </c>
      <c r="C120" s="204" t="s">
        <v>291</v>
      </c>
      <c r="D120" s="270" t="s">
        <v>52</v>
      </c>
      <c r="E120" s="142">
        <f t="shared" si="91"/>
        <v>1456611</v>
      </c>
      <c r="F120" s="111">
        <f>(1500611)-44000</f>
        <v>1456611</v>
      </c>
      <c r="G120" s="225"/>
      <c r="H120" s="225"/>
      <c r="I120" s="225"/>
      <c r="J120" s="271">
        <f t="shared" si="83"/>
        <v>0</v>
      </c>
      <c r="K120" s="225"/>
      <c r="L120" s="225"/>
      <c r="M120" s="225"/>
      <c r="N120" s="225"/>
      <c r="O120" s="243">
        <f t="shared" si="89"/>
        <v>0</v>
      </c>
      <c r="P120" s="271">
        <f t="shared" si="90"/>
        <v>1456611</v>
      </c>
      <c r="R120" s="155"/>
    </row>
    <row r="121" spans="1:18" ht="91.5" x14ac:dyDescent="0.2">
      <c r="A121" s="204" t="s">
        <v>53</v>
      </c>
      <c r="B121" s="204" t="s">
        <v>292</v>
      </c>
      <c r="C121" s="204" t="s">
        <v>291</v>
      </c>
      <c r="D121" s="270" t="s">
        <v>54</v>
      </c>
      <c r="E121" s="142">
        <f>F121</f>
        <v>1267414</v>
      </c>
      <c r="F121" s="111">
        <f>(1179249)+88165</f>
        <v>1267414</v>
      </c>
      <c r="G121" s="225">
        <v>813300</v>
      </c>
      <c r="H121" s="225"/>
      <c r="I121" s="225"/>
      <c r="J121" s="271">
        <f t="shared" si="83"/>
        <v>42000</v>
      </c>
      <c r="K121" s="225"/>
      <c r="L121" s="225">
        <v>42000</v>
      </c>
      <c r="M121" s="225"/>
      <c r="N121" s="225"/>
      <c r="O121" s="243">
        <f t="shared" si="89"/>
        <v>0</v>
      </c>
      <c r="P121" s="271">
        <f t="shared" si="90"/>
        <v>1309414</v>
      </c>
      <c r="R121" s="155"/>
    </row>
    <row r="122" spans="1:18" ht="274.5" x14ac:dyDescent="0.2">
      <c r="A122" s="204" t="s">
        <v>544</v>
      </c>
      <c r="B122" s="204" t="s">
        <v>543</v>
      </c>
      <c r="C122" s="204" t="s">
        <v>542</v>
      </c>
      <c r="D122" s="270" t="s">
        <v>541</v>
      </c>
      <c r="E122" s="142">
        <f>F122</f>
        <v>21000</v>
      </c>
      <c r="F122" s="111">
        <v>21000</v>
      </c>
      <c r="G122" s="225"/>
      <c r="H122" s="225"/>
      <c r="I122" s="225"/>
      <c r="J122" s="271">
        <f t="shared" si="83"/>
        <v>0</v>
      </c>
      <c r="K122" s="225"/>
      <c r="L122" s="225"/>
      <c r="M122" s="225"/>
      <c r="N122" s="225"/>
      <c r="O122" s="243">
        <f t="shared" si="89"/>
        <v>0</v>
      </c>
      <c r="P122" s="271">
        <f t="shared" si="90"/>
        <v>21000</v>
      </c>
      <c r="R122" s="155"/>
    </row>
    <row r="123" spans="1:18" ht="91.5" x14ac:dyDescent="0.2">
      <c r="A123" s="270" t="s">
        <v>920</v>
      </c>
      <c r="B123" s="270" t="s">
        <v>293</v>
      </c>
      <c r="C123" s="270" t="s">
        <v>256</v>
      </c>
      <c r="D123" s="270" t="s">
        <v>57</v>
      </c>
      <c r="E123" s="142">
        <f>F123</f>
        <v>0</v>
      </c>
      <c r="F123" s="111">
        <f>30000-30000</f>
        <v>0</v>
      </c>
      <c r="G123" s="111"/>
      <c r="H123" s="111"/>
      <c r="I123" s="111"/>
      <c r="J123" s="271">
        <f>L123+O123</f>
        <v>99704</v>
      </c>
      <c r="K123" s="225">
        <v>99704</v>
      </c>
      <c r="L123" s="111"/>
      <c r="M123" s="111"/>
      <c r="N123" s="111"/>
      <c r="O123" s="243">
        <f>K123</f>
        <v>99704</v>
      </c>
      <c r="P123" s="271">
        <f t="shared" si="90"/>
        <v>99704</v>
      </c>
      <c r="R123" s="155" t="b">
        <f>K123='dod5'!I70</f>
        <v>1</v>
      </c>
    </row>
    <row r="124" spans="1:18" ht="180" x14ac:dyDescent="0.2">
      <c r="A124" s="296" t="s">
        <v>244</v>
      </c>
      <c r="B124" s="296"/>
      <c r="C124" s="296"/>
      <c r="D124" s="296" t="s">
        <v>42</v>
      </c>
      <c r="E124" s="298">
        <f>E125</f>
        <v>270321689</v>
      </c>
      <c r="F124" s="298">
        <f t="shared" ref="F124" si="96">F125</f>
        <v>270321689</v>
      </c>
      <c r="G124" s="298">
        <f t="shared" ref="G124" si="97">G125</f>
        <v>8116500</v>
      </c>
      <c r="H124" s="298">
        <f>H125</f>
        <v>161600</v>
      </c>
      <c r="I124" s="298">
        <f t="shared" ref="I124" si="98">I125</f>
        <v>0</v>
      </c>
      <c r="J124" s="298">
        <f>J125</f>
        <v>221161647.79000002</v>
      </c>
      <c r="K124" s="298">
        <f>K125</f>
        <v>219706267.31</v>
      </c>
      <c r="L124" s="298">
        <f>L125</f>
        <v>1371000</v>
      </c>
      <c r="M124" s="298">
        <f t="shared" ref="M124" si="99">M125</f>
        <v>0</v>
      </c>
      <c r="N124" s="298">
        <f>N125</f>
        <v>0</v>
      </c>
      <c r="O124" s="298">
        <f>O125</f>
        <v>219790647.79000002</v>
      </c>
      <c r="P124" s="302">
        <f t="shared" ref="P124" si="100">P125</f>
        <v>491483336.79000002</v>
      </c>
    </row>
    <row r="125" spans="1:18" ht="180" x14ac:dyDescent="0.2">
      <c r="A125" s="299" t="s">
        <v>245</v>
      </c>
      <c r="B125" s="299"/>
      <c r="C125" s="299"/>
      <c r="D125" s="299" t="s">
        <v>63</v>
      </c>
      <c r="E125" s="301">
        <f>SUM(E126:E144)</f>
        <v>270321689</v>
      </c>
      <c r="F125" s="301">
        <f>SUM(F126:F144)</f>
        <v>270321689</v>
      </c>
      <c r="G125" s="301">
        <f>SUM(G126:G144)</f>
        <v>8116500</v>
      </c>
      <c r="H125" s="301">
        <f>SUM(H126:H144)</f>
        <v>161600</v>
      </c>
      <c r="I125" s="301">
        <f>SUM(I126:I144)</f>
        <v>0</v>
      </c>
      <c r="J125" s="301">
        <f t="shared" ref="J125:J142" si="101">L125+O125</f>
        <v>221161647.79000002</v>
      </c>
      <c r="K125" s="301">
        <f>SUM(K126:K144)</f>
        <v>219706267.31</v>
      </c>
      <c r="L125" s="301">
        <f>SUM(L126:L144)</f>
        <v>1371000</v>
      </c>
      <c r="M125" s="301">
        <f>SUM(M126:M144)</f>
        <v>0</v>
      </c>
      <c r="N125" s="301">
        <f>SUM(N126:N144)</f>
        <v>0</v>
      </c>
      <c r="O125" s="301">
        <f>SUM(O126:O144)</f>
        <v>219790647.79000002</v>
      </c>
      <c r="P125" s="301">
        <f>E125+J125</f>
        <v>491483336.79000002</v>
      </c>
      <c r="Q125" s="153" t="b">
        <f>P125=P128+P130+P131+P132+P133+P134+P135+P139+P140+P141+P144+P129+P126+P137+P138+P142+P127+P136</f>
        <v>1</v>
      </c>
      <c r="R125" s="155" t="b">
        <f>K125='dod5'!I72</f>
        <v>1</v>
      </c>
    </row>
    <row r="126" spans="1:18" ht="228.75" x14ac:dyDescent="0.2">
      <c r="A126" s="270" t="s">
        <v>743</v>
      </c>
      <c r="B126" s="270" t="s">
        <v>341</v>
      </c>
      <c r="C126" s="270" t="s">
        <v>339</v>
      </c>
      <c r="D126" s="270" t="s">
        <v>340</v>
      </c>
      <c r="E126" s="142">
        <f>F126</f>
        <v>9641900</v>
      </c>
      <c r="F126" s="111">
        <f>(9531200)-49300+160000</f>
        <v>9641900</v>
      </c>
      <c r="G126" s="111">
        <v>7129200</v>
      </c>
      <c r="H126" s="111">
        <v>134000</v>
      </c>
      <c r="I126" s="111"/>
      <c r="J126" s="271">
        <f t="shared" si="101"/>
        <v>0</v>
      </c>
      <c r="K126" s="111"/>
      <c r="L126" s="154"/>
      <c r="M126" s="154"/>
      <c r="N126" s="154"/>
      <c r="O126" s="243">
        <f t="shared" ref="O126:O141" si="102">K126</f>
        <v>0</v>
      </c>
      <c r="P126" s="271">
        <f t="shared" ref="P126:P132" si="103">+J126+E126</f>
        <v>9641900</v>
      </c>
      <c r="Q126" s="153"/>
      <c r="R126" s="155"/>
    </row>
    <row r="127" spans="1:18" ht="91.5" x14ac:dyDescent="0.2">
      <c r="A127" s="270" t="s">
        <v>843</v>
      </c>
      <c r="B127" s="270" t="s">
        <v>71</v>
      </c>
      <c r="C127" s="270" t="s">
        <v>70</v>
      </c>
      <c r="D127" s="270" t="s">
        <v>354</v>
      </c>
      <c r="E127" s="142">
        <f>F127</f>
        <v>49300</v>
      </c>
      <c r="F127" s="111">
        <v>49300</v>
      </c>
      <c r="G127" s="111"/>
      <c r="H127" s="111"/>
      <c r="I127" s="111"/>
      <c r="J127" s="271">
        <f t="shared" ref="J127" si="104">L127+O127</f>
        <v>0</v>
      </c>
      <c r="K127" s="111"/>
      <c r="L127" s="154"/>
      <c r="M127" s="154"/>
      <c r="N127" s="154"/>
      <c r="O127" s="243">
        <f t="shared" ref="O127" si="105">K127</f>
        <v>0</v>
      </c>
      <c r="P127" s="271">
        <f t="shared" ref="P127" si="106">+J127+E127</f>
        <v>49300</v>
      </c>
      <c r="Q127" s="153"/>
      <c r="R127" s="155"/>
    </row>
    <row r="128" spans="1:18" ht="137.25" x14ac:dyDescent="0.2">
      <c r="A128" s="270" t="s">
        <v>417</v>
      </c>
      <c r="B128" s="270" t="s">
        <v>418</v>
      </c>
      <c r="C128" s="270" t="s">
        <v>542</v>
      </c>
      <c r="D128" s="270" t="s">
        <v>419</v>
      </c>
      <c r="E128" s="142">
        <f t="shared" ref="E128:E144" si="107">F128</f>
        <v>50000</v>
      </c>
      <c r="F128" s="111">
        <v>50000</v>
      </c>
      <c r="G128" s="111"/>
      <c r="H128" s="111"/>
      <c r="I128" s="111"/>
      <c r="J128" s="271">
        <f t="shared" si="101"/>
        <v>4550000</v>
      </c>
      <c r="K128" s="111">
        <v>4550000</v>
      </c>
      <c r="L128" s="154"/>
      <c r="M128" s="154"/>
      <c r="N128" s="154"/>
      <c r="O128" s="243">
        <f t="shared" si="102"/>
        <v>4550000</v>
      </c>
      <c r="P128" s="271">
        <f t="shared" si="103"/>
        <v>4600000</v>
      </c>
    </row>
    <row r="129" spans="1:17" ht="137.25" x14ac:dyDescent="0.2">
      <c r="A129" s="270" t="s">
        <v>641</v>
      </c>
      <c r="B129" s="270" t="s">
        <v>642</v>
      </c>
      <c r="C129" s="270" t="s">
        <v>420</v>
      </c>
      <c r="D129" s="270" t="s">
        <v>643</v>
      </c>
      <c r="E129" s="142">
        <f t="shared" si="107"/>
        <v>18000000</v>
      </c>
      <c r="F129" s="111">
        <v>18000000</v>
      </c>
      <c r="G129" s="111"/>
      <c r="H129" s="111"/>
      <c r="I129" s="111"/>
      <c r="J129" s="271">
        <f t="shared" si="101"/>
        <v>0</v>
      </c>
      <c r="K129" s="111"/>
      <c r="L129" s="154"/>
      <c r="M129" s="154"/>
      <c r="N129" s="154"/>
      <c r="O129" s="243">
        <f t="shared" si="102"/>
        <v>0</v>
      </c>
      <c r="P129" s="271">
        <f t="shared" si="103"/>
        <v>18000000</v>
      </c>
    </row>
    <row r="130" spans="1:17" ht="137.25" x14ac:dyDescent="0.2">
      <c r="A130" s="270" t="s">
        <v>424</v>
      </c>
      <c r="B130" s="270" t="s">
        <v>425</v>
      </c>
      <c r="C130" s="270" t="s">
        <v>420</v>
      </c>
      <c r="D130" s="270" t="s">
        <v>426</v>
      </c>
      <c r="E130" s="142">
        <f t="shared" si="107"/>
        <v>10553700</v>
      </c>
      <c r="F130" s="111">
        <f>(5553700)+5000000</f>
        <v>10553700</v>
      </c>
      <c r="G130" s="111"/>
      <c r="H130" s="111"/>
      <c r="I130" s="111"/>
      <c r="J130" s="271">
        <f t="shared" si="101"/>
        <v>0</v>
      </c>
      <c r="K130" s="111"/>
      <c r="L130" s="154"/>
      <c r="M130" s="154"/>
      <c r="N130" s="154"/>
      <c r="O130" s="243">
        <f t="shared" si="102"/>
        <v>0</v>
      </c>
      <c r="P130" s="271">
        <f t="shared" si="103"/>
        <v>10553700</v>
      </c>
    </row>
    <row r="131" spans="1:17" ht="137.25" x14ac:dyDescent="0.2">
      <c r="A131" s="270" t="s">
        <v>447</v>
      </c>
      <c r="B131" s="270" t="s">
        <v>448</v>
      </c>
      <c r="C131" s="270" t="s">
        <v>420</v>
      </c>
      <c r="D131" s="270" t="s">
        <v>449</v>
      </c>
      <c r="E131" s="142">
        <f t="shared" si="107"/>
        <v>0</v>
      </c>
      <c r="F131" s="111"/>
      <c r="G131" s="111"/>
      <c r="H131" s="111"/>
      <c r="I131" s="111"/>
      <c r="J131" s="271">
        <f t="shared" si="101"/>
        <v>5000000</v>
      </c>
      <c r="K131" s="111">
        <v>5000000</v>
      </c>
      <c r="L131" s="154"/>
      <c r="M131" s="154"/>
      <c r="N131" s="154"/>
      <c r="O131" s="243">
        <f t="shared" si="102"/>
        <v>5000000</v>
      </c>
      <c r="P131" s="271">
        <f t="shared" si="103"/>
        <v>5000000</v>
      </c>
    </row>
    <row r="132" spans="1:17" ht="183" x14ac:dyDescent="0.2">
      <c r="A132" s="270" t="s">
        <v>421</v>
      </c>
      <c r="B132" s="270" t="s">
        <v>422</v>
      </c>
      <c r="C132" s="270" t="s">
        <v>420</v>
      </c>
      <c r="D132" s="270" t="s">
        <v>423</v>
      </c>
      <c r="E132" s="142">
        <f t="shared" si="107"/>
        <v>0</v>
      </c>
      <c r="F132" s="111">
        <v>0</v>
      </c>
      <c r="G132" s="111"/>
      <c r="H132" s="111"/>
      <c r="I132" s="111"/>
      <c r="J132" s="271">
        <f t="shared" si="101"/>
        <v>24271028</v>
      </c>
      <c r="K132" s="111">
        <f>(23000000)+271028+1000000</f>
        <v>24271028</v>
      </c>
      <c r="L132" s="154"/>
      <c r="M132" s="154"/>
      <c r="N132" s="154"/>
      <c r="O132" s="243">
        <f t="shared" si="102"/>
        <v>24271028</v>
      </c>
      <c r="P132" s="271">
        <f t="shared" si="103"/>
        <v>24271028</v>
      </c>
    </row>
    <row r="133" spans="1:17" ht="228.75" x14ac:dyDescent="0.2">
      <c r="A133" s="270" t="s">
        <v>441</v>
      </c>
      <c r="B133" s="270" t="s">
        <v>442</v>
      </c>
      <c r="C133" s="270" t="s">
        <v>420</v>
      </c>
      <c r="D133" s="270" t="s">
        <v>443</v>
      </c>
      <c r="E133" s="142">
        <f t="shared" si="107"/>
        <v>470575</v>
      </c>
      <c r="F133" s="111">
        <f>(370575)+100000</f>
        <v>470575</v>
      </c>
      <c r="G133" s="111"/>
      <c r="H133" s="111"/>
      <c r="I133" s="111"/>
      <c r="J133" s="271">
        <f t="shared" si="101"/>
        <v>0</v>
      </c>
      <c r="K133" s="225"/>
      <c r="L133" s="111"/>
      <c r="M133" s="111"/>
      <c r="N133" s="111"/>
      <c r="O133" s="243">
        <f t="shared" si="102"/>
        <v>0</v>
      </c>
      <c r="P133" s="271">
        <f t="shared" ref="P133:P138" si="108">E133+J133</f>
        <v>470575</v>
      </c>
    </row>
    <row r="134" spans="1:17" ht="91.5" x14ac:dyDescent="0.2">
      <c r="A134" s="270" t="s">
        <v>427</v>
      </c>
      <c r="B134" s="270" t="s">
        <v>428</v>
      </c>
      <c r="C134" s="270" t="s">
        <v>420</v>
      </c>
      <c r="D134" s="270" t="s">
        <v>429</v>
      </c>
      <c r="E134" s="142">
        <f t="shared" si="107"/>
        <v>119082180</v>
      </c>
      <c r="F134" s="111">
        <f>(111566028)+7516152</f>
        <v>119082180</v>
      </c>
      <c r="G134" s="111"/>
      <c r="H134" s="111">
        <f>(10000)+5000</f>
        <v>15000</v>
      </c>
      <c r="I134" s="111"/>
      <c r="J134" s="271">
        <f t="shared" si="101"/>
        <v>22370721</v>
      </c>
      <c r="K134" s="225">
        <f>(19160721)+3210000+1000000-1000000</f>
        <v>22370721</v>
      </c>
      <c r="L134" s="111"/>
      <c r="M134" s="111"/>
      <c r="N134" s="111"/>
      <c r="O134" s="243">
        <f t="shared" si="102"/>
        <v>22370721</v>
      </c>
      <c r="P134" s="271">
        <f t="shared" si="108"/>
        <v>141452901</v>
      </c>
    </row>
    <row r="135" spans="1:17" ht="92.25" x14ac:dyDescent="0.2">
      <c r="A135" s="270" t="s">
        <v>451</v>
      </c>
      <c r="B135" s="270" t="s">
        <v>452</v>
      </c>
      <c r="C135" s="270" t="s">
        <v>450</v>
      </c>
      <c r="D135" s="270" t="s">
        <v>453</v>
      </c>
      <c r="E135" s="142">
        <f t="shared" si="107"/>
        <v>0</v>
      </c>
      <c r="F135" s="111"/>
      <c r="G135" s="111"/>
      <c r="H135" s="111"/>
      <c r="I135" s="111"/>
      <c r="J135" s="271">
        <f>L135+O135</f>
        <v>8428600</v>
      </c>
      <c r="K135" s="225">
        <f>((18518000)-4000000-8818000)+2728600</f>
        <v>8428600</v>
      </c>
      <c r="L135" s="111"/>
      <c r="M135" s="111"/>
      <c r="N135" s="111"/>
      <c r="O135" s="243">
        <f>K135</f>
        <v>8428600</v>
      </c>
      <c r="P135" s="271">
        <f t="shared" si="108"/>
        <v>8428600</v>
      </c>
    </row>
    <row r="136" spans="1:17" ht="137.25" x14ac:dyDescent="0.2">
      <c r="A136" s="270" t="s">
        <v>870</v>
      </c>
      <c r="B136" s="270" t="s">
        <v>572</v>
      </c>
      <c r="C136" s="270" t="s">
        <v>256</v>
      </c>
      <c r="D136" s="270" t="s">
        <v>398</v>
      </c>
      <c r="E136" s="142">
        <f t="shared" ref="E136" si="109">F136</f>
        <v>0</v>
      </c>
      <c r="F136" s="111"/>
      <c r="G136" s="111"/>
      <c r="H136" s="111"/>
      <c r="I136" s="111"/>
      <c r="J136" s="271">
        <f>L136+O136</f>
        <v>30278000</v>
      </c>
      <c r="K136" s="225">
        <f>(4000000)-4000000+21460000+8818000</f>
        <v>30278000</v>
      </c>
      <c r="L136" s="111"/>
      <c r="M136" s="111"/>
      <c r="N136" s="111"/>
      <c r="O136" s="243">
        <f>K136</f>
        <v>30278000</v>
      </c>
      <c r="P136" s="271">
        <f t="shared" si="108"/>
        <v>30278000</v>
      </c>
    </row>
    <row r="137" spans="1:17" ht="91.5" x14ac:dyDescent="0.2">
      <c r="A137" s="270" t="s">
        <v>722</v>
      </c>
      <c r="B137" s="270" t="s">
        <v>723</v>
      </c>
      <c r="C137" s="270" t="s">
        <v>724</v>
      </c>
      <c r="D137" s="270" t="s">
        <v>725</v>
      </c>
      <c r="E137" s="142">
        <f t="shared" si="107"/>
        <v>16387634</v>
      </c>
      <c r="F137" s="111">
        <f>(10620634)+5767000</f>
        <v>16387634</v>
      </c>
      <c r="G137" s="111"/>
      <c r="H137" s="111"/>
      <c r="I137" s="111"/>
      <c r="J137" s="271">
        <f t="shared" si="101"/>
        <v>0</v>
      </c>
      <c r="K137" s="225"/>
      <c r="L137" s="111"/>
      <c r="M137" s="111"/>
      <c r="N137" s="111"/>
      <c r="O137" s="243">
        <f t="shared" si="102"/>
        <v>0</v>
      </c>
      <c r="P137" s="271">
        <f t="shared" si="108"/>
        <v>16387634</v>
      </c>
    </row>
    <row r="138" spans="1:17" ht="91.5" x14ac:dyDescent="0.2">
      <c r="A138" s="270" t="s">
        <v>430</v>
      </c>
      <c r="B138" s="270" t="s">
        <v>431</v>
      </c>
      <c r="C138" s="270" t="s">
        <v>433</v>
      </c>
      <c r="D138" s="270" t="s">
        <v>432</v>
      </c>
      <c r="E138" s="142">
        <f t="shared" si="107"/>
        <v>25850135</v>
      </c>
      <c r="F138" s="111">
        <f>(16217135)+9633000</f>
        <v>25850135</v>
      </c>
      <c r="G138" s="111"/>
      <c r="H138" s="111"/>
      <c r="I138" s="111"/>
      <c r="J138" s="271">
        <f t="shared" si="101"/>
        <v>0</v>
      </c>
      <c r="K138" s="225"/>
      <c r="L138" s="111"/>
      <c r="M138" s="111"/>
      <c r="N138" s="111"/>
      <c r="O138" s="243">
        <f t="shared" si="102"/>
        <v>0</v>
      </c>
      <c r="P138" s="271">
        <f t="shared" si="108"/>
        <v>25850135</v>
      </c>
    </row>
    <row r="139" spans="1:17" ht="228.75" x14ac:dyDescent="0.2">
      <c r="A139" s="270" t="s">
        <v>434</v>
      </c>
      <c r="B139" s="270" t="s">
        <v>435</v>
      </c>
      <c r="C139" s="270" t="s">
        <v>437</v>
      </c>
      <c r="D139" s="270" t="s">
        <v>436</v>
      </c>
      <c r="E139" s="142">
        <f t="shared" si="107"/>
        <v>68735275</v>
      </c>
      <c r="F139" s="111">
        <f>(54477425)+14257850</f>
        <v>68735275</v>
      </c>
      <c r="G139" s="111"/>
      <c r="H139" s="111"/>
      <c r="I139" s="111"/>
      <c r="J139" s="271">
        <f t="shared" si="101"/>
        <v>83448169.109999999</v>
      </c>
      <c r="K139" s="111">
        <f>(82763108-570000)+3377030.11-31243.48-250000+31-1000000-500000-372000</f>
        <v>83416925.629999995</v>
      </c>
      <c r="L139" s="154"/>
      <c r="M139" s="154"/>
      <c r="N139" s="154"/>
      <c r="O139" s="243">
        <f>K139+31243.48</f>
        <v>83448169.109999999</v>
      </c>
      <c r="P139" s="271">
        <f>+J139+E139</f>
        <v>152183444.11000001</v>
      </c>
    </row>
    <row r="140" spans="1:17" ht="46.5" x14ac:dyDescent="0.2">
      <c r="A140" s="270" t="s">
        <v>438</v>
      </c>
      <c r="B140" s="270" t="s">
        <v>317</v>
      </c>
      <c r="C140" s="270" t="s">
        <v>318</v>
      </c>
      <c r="D140" s="270" t="s">
        <v>67</v>
      </c>
      <c r="E140" s="142">
        <f t="shared" si="107"/>
        <v>250000</v>
      </c>
      <c r="F140" s="111">
        <v>250000</v>
      </c>
      <c r="G140" s="111"/>
      <c r="H140" s="111"/>
      <c r="I140" s="111"/>
      <c r="J140" s="271">
        <f t="shared" si="101"/>
        <v>1250000</v>
      </c>
      <c r="K140" s="225">
        <f>1000000+250000</f>
        <v>1250000</v>
      </c>
      <c r="L140" s="111"/>
      <c r="M140" s="111"/>
      <c r="N140" s="111"/>
      <c r="O140" s="243">
        <f t="shared" si="102"/>
        <v>1250000</v>
      </c>
      <c r="P140" s="271">
        <f>E140+J140</f>
        <v>1500000</v>
      </c>
    </row>
    <row r="141" spans="1:17" ht="91.5" x14ac:dyDescent="0.65">
      <c r="A141" s="270" t="s">
        <v>455</v>
      </c>
      <c r="B141" s="270" t="s">
        <v>293</v>
      </c>
      <c r="C141" s="270" t="s">
        <v>256</v>
      </c>
      <c r="D141" s="270" t="s">
        <v>57</v>
      </c>
      <c r="E141" s="142">
        <f t="shared" si="107"/>
        <v>0</v>
      </c>
      <c r="F141" s="111"/>
      <c r="G141" s="111"/>
      <c r="H141" s="111"/>
      <c r="I141" s="111"/>
      <c r="J141" s="271">
        <f t="shared" si="101"/>
        <v>40140992.68</v>
      </c>
      <c r="K141" s="225">
        <f>(8180115+557370)+91328.68+30690210+250000-31+372000</f>
        <v>40140992.68</v>
      </c>
      <c r="L141" s="111"/>
      <c r="M141" s="111"/>
      <c r="N141" s="111"/>
      <c r="O141" s="243">
        <f t="shared" si="102"/>
        <v>40140992.68</v>
      </c>
      <c r="P141" s="271">
        <f>E141+J141</f>
        <v>40140992.68</v>
      </c>
      <c r="Q141" s="165"/>
    </row>
    <row r="142" spans="1:17" ht="409.5" x14ac:dyDescent="0.2">
      <c r="A142" s="422" t="s">
        <v>750</v>
      </c>
      <c r="B142" s="422" t="s">
        <v>538</v>
      </c>
      <c r="C142" s="422" t="s">
        <v>256</v>
      </c>
      <c r="D142" s="231" t="s">
        <v>549</v>
      </c>
      <c r="E142" s="418">
        <f t="shared" si="107"/>
        <v>0</v>
      </c>
      <c r="F142" s="404"/>
      <c r="G142" s="404"/>
      <c r="H142" s="404"/>
      <c r="I142" s="404"/>
      <c r="J142" s="414">
        <f t="shared" si="101"/>
        <v>1424137</v>
      </c>
      <c r="K142" s="404"/>
      <c r="L142" s="404">
        <v>1371000</v>
      </c>
      <c r="M142" s="404"/>
      <c r="N142" s="404"/>
      <c r="O142" s="406">
        <f>K142+53137</f>
        <v>53137</v>
      </c>
      <c r="P142" s="418">
        <f>E142+J142</f>
        <v>1424137</v>
      </c>
      <c r="Q142" s="255">
        <f>P142</f>
        <v>1424137</v>
      </c>
    </row>
    <row r="143" spans="1:17" ht="137.25" x14ac:dyDescent="0.65">
      <c r="A143" s="428"/>
      <c r="B143" s="428"/>
      <c r="C143" s="428"/>
      <c r="D143" s="235" t="s">
        <v>550</v>
      </c>
      <c r="E143" s="427"/>
      <c r="F143" s="405"/>
      <c r="G143" s="405"/>
      <c r="H143" s="405"/>
      <c r="I143" s="405"/>
      <c r="J143" s="415"/>
      <c r="K143" s="405"/>
      <c r="L143" s="405"/>
      <c r="M143" s="405"/>
      <c r="N143" s="405"/>
      <c r="O143" s="407"/>
      <c r="P143" s="427"/>
      <c r="Q143" s="165"/>
    </row>
    <row r="144" spans="1:17" ht="91.5" x14ac:dyDescent="0.2">
      <c r="A144" s="270" t="s">
        <v>385</v>
      </c>
      <c r="B144" s="270" t="s">
        <v>386</v>
      </c>
      <c r="C144" s="270" t="s">
        <v>387</v>
      </c>
      <c r="D144" s="270" t="s">
        <v>384</v>
      </c>
      <c r="E144" s="142">
        <f t="shared" si="107"/>
        <v>1250990</v>
      </c>
      <c r="F144" s="111">
        <v>1250990</v>
      </c>
      <c r="G144" s="111">
        <f>843750+143550</f>
        <v>987300</v>
      </c>
      <c r="H144" s="111">
        <v>12600</v>
      </c>
      <c r="I144" s="111"/>
      <c r="J144" s="271">
        <f>L144+O144</f>
        <v>0</v>
      </c>
      <c r="K144" s="225"/>
      <c r="L144" s="111"/>
      <c r="M144" s="111"/>
      <c r="N144" s="111"/>
      <c r="O144" s="243">
        <f>K144</f>
        <v>0</v>
      </c>
      <c r="P144" s="271">
        <f>E144+J144</f>
        <v>1250990</v>
      </c>
    </row>
    <row r="145" spans="1:18" ht="315" x14ac:dyDescent="0.2">
      <c r="A145" s="296" t="s">
        <v>44</v>
      </c>
      <c r="B145" s="296"/>
      <c r="C145" s="296"/>
      <c r="D145" s="296" t="s">
        <v>635</v>
      </c>
      <c r="E145" s="298">
        <f>E146</f>
        <v>3017500</v>
      </c>
      <c r="F145" s="298">
        <f t="shared" ref="F145" si="110">F146</f>
        <v>3017500</v>
      </c>
      <c r="G145" s="298">
        <f t="shared" ref="G145" si="111">G146</f>
        <v>1776300</v>
      </c>
      <c r="H145" s="298">
        <f>H146</f>
        <v>100000</v>
      </c>
      <c r="I145" s="298">
        <f t="shared" ref="I145" si="112">I146</f>
        <v>0</v>
      </c>
      <c r="J145" s="298">
        <f>J146</f>
        <v>72776600</v>
      </c>
      <c r="K145" s="298">
        <f>K146</f>
        <v>72776600</v>
      </c>
      <c r="L145" s="298">
        <f>L146</f>
        <v>0</v>
      </c>
      <c r="M145" s="298">
        <f t="shared" ref="M145" si="113">M146</f>
        <v>0</v>
      </c>
      <c r="N145" s="298">
        <f>N146</f>
        <v>0</v>
      </c>
      <c r="O145" s="298">
        <f>O146</f>
        <v>72776600</v>
      </c>
      <c r="P145" s="302">
        <f t="shared" ref="P145" si="114">P146</f>
        <v>75794100</v>
      </c>
    </row>
    <row r="146" spans="1:18" ht="270" x14ac:dyDescent="0.2">
      <c r="A146" s="299" t="s">
        <v>45</v>
      </c>
      <c r="B146" s="299"/>
      <c r="C146" s="299"/>
      <c r="D146" s="299" t="s">
        <v>634</v>
      </c>
      <c r="E146" s="301">
        <f>SUM(E147:E153)</f>
        <v>3017500</v>
      </c>
      <c r="F146" s="301">
        <f t="shared" ref="F146:K146" si="115">SUM(F147:F153)</f>
        <v>3017500</v>
      </c>
      <c r="G146" s="301">
        <f t="shared" si="115"/>
        <v>1776300</v>
      </c>
      <c r="H146" s="301">
        <f t="shared" si="115"/>
        <v>100000</v>
      </c>
      <c r="I146" s="301">
        <f t="shared" si="115"/>
        <v>0</v>
      </c>
      <c r="J146" s="301">
        <f t="shared" ref="J146:J153" si="116">L146+O146</f>
        <v>72776600</v>
      </c>
      <c r="K146" s="301">
        <f t="shared" si="115"/>
        <v>72776600</v>
      </c>
      <c r="L146" s="301">
        <f t="shared" ref="L146" si="117">SUM(L147:L153)</f>
        <v>0</v>
      </c>
      <c r="M146" s="301">
        <f t="shared" ref="M146" si="118">SUM(M147:M153)</f>
        <v>0</v>
      </c>
      <c r="N146" s="301">
        <f t="shared" ref="N146" si="119">SUM(N147:N153)</f>
        <v>0</v>
      </c>
      <c r="O146" s="301">
        <f t="shared" ref="O146" si="120">SUM(O147:O153)</f>
        <v>72776600</v>
      </c>
      <c r="P146" s="301">
        <f t="shared" ref="P146:P153" si="121">E146+J146</f>
        <v>75794100</v>
      </c>
      <c r="Q146" s="153" t="b">
        <f>P146=P150+P151+P152+P147+P148+P153+P149</f>
        <v>1</v>
      </c>
      <c r="R146" s="155" t="b">
        <f>K146='dod5'!I122</f>
        <v>1</v>
      </c>
    </row>
    <row r="147" spans="1:18" ht="228.75" x14ac:dyDescent="0.2">
      <c r="A147" s="270" t="s">
        <v>739</v>
      </c>
      <c r="B147" s="270" t="s">
        <v>341</v>
      </c>
      <c r="C147" s="270" t="s">
        <v>339</v>
      </c>
      <c r="D147" s="270" t="s">
        <v>340</v>
      </c>
      <c r="E147" s="271">
        <f>F147</f>
        <v>2461800</v>
      </c>
      <c r="F147" s="225">
        <f>(2696500)-289700+55000</f>
        <v>2461800</v>
      </c>
      <c r="G147" s="225">
        <v>1776300</v>
      </c>
      <c r="H147" s="225">
        <v>100000</v>
      </c>
      <c r="I147" s="225"/>
      <c r="J147" s="271">
        <f t="shared" si="116"/>
        <v>10400</v>
      </c>
      <c r="K147" s="225">
        <v>10400</v>
      </c>
      <c r="L147" s="225"/>
      <c r="M147" s="225"/>
      <c r="N147" s="225"/>
      <c r="O147" s="243">
        <f>K147</f>
        <v>10400</v>
      </c>
      <c r="P147" s="271">
        <f t="shared" si="121"/>
        <v>2472200</v>
      </c>
      <c r="Q147" s="153"/>
      <c r="R147" s="155" t="b">
        <f>K147='dod5'!I124</f>
        <v>1</v>
      </c>
    </row>
    <row r="148" spans="1:18" ht="91.5" x14ac:dyDescent="0.2">
      <c r="A148" s="270" t="s">
        <v>840</v>
      </c>
      <c r="B148" s="270" t="s">
        <v>71</v>
      </c>
      <c r="C148" s="270" t="s">
        <v>70</v>
      </c>
      <c r="D148" s="270" t="s">
        <v>354</v>
      </c>
      <c r="E148" s="271">
        <f t="shared" ref="E148:E149" si="122">F148</f>
        <v>555700</v>
      </c>
      <c r="F148" s="225">
        <f>289700+266000</f>
        <v>555700</v>
      </c>
      <c r="G148" s="225"/>
      <c r="H148" s="225"/>
      <c r="I148" s="225"/>
      <c r="J148" s="271">
        <f t="shared" si="116"/>
        <v>0</v>
      </c>
      <c r="K148" s="225"/>
      <c r="L148" s="225"/>
      <c r="M148" s="225"/>
      <c r="N148" s="225"/>
      <c r="O148" s="243">
        <f t="shared" ref="O148:O149" si="123">K148</f>
        <v>0</v>
      </c>
      <c r="P148" s="271">
        <f t="shared" si="121"/>
        <v>555700</v>
      </c>
      <c r="Q148" s="153"/>
      <c r="R148" s="155"/>
    </row>
    <row r="149" spans="1:18" ht="320.25" x14ac:dyDescent="0.2">
      <c r="A149" s="270" t="s">
        <v>846</v>
      </c>
      <c r="B149" s="270" t="s">
        <v>848</v>
      </c>
      <c r="C149" s="270" t="s">
        <v>291</v>
      </c>
      <c r="D149" s="270" t="s">
        <v>847</v>
      </c>
      <c r="E149" s="271">
        <f t="shared" si="122"/>
        <v>0</v>
      </c>
      <c r="F149" s="225"/>
      <c r="G149" s="225"/>
      <c r="H149" s="225"/>
      <c r="I149" s="225"/>
      <c r="J149" s="271">
        <f t="shared" si="116"/>
        <v>8500000</v>
      </c>
      <c r="K149" s="225">
        <f>4500000+4000000</f>
        <v>8500000</v>
      </c>
      <c r="L149" s="225"/>
      <c r="M149" s="225"/>
      <c r="N149" s="225"/>
      <c r="O149" s="243">
        <f t="shared" si="123"/>
        <v>8500000</v>
      </c>
      <c r="P149" s="271">
        <f t="shared" si="121"/>
        <v>8500000</v>
      </c>
      <c r="Q149" s="153"/>
      <c r="R149" s="155"/>
    </row>
    <row r="150" spans="1:18" ht="91.5" x14ac:dyDescent="0.2">
      <c r="A150" s="270" t="s">
        <v>469</v>
      </c>
      <c r="B150" s="270" t="s">
        <v>470</v>
      </c>
      <c r="C150" s="270" t="s">
        <v>450</v>
      </c>
      <c r="D150" s="270" t="s">
        <v>468</v>
      </c>
      <c r="E150" s="271">
        <f t="shared" ref="E150:E151" si="124">F150</f>
        <v>0</v>
      </c>
      <c r="F150" s="225"/>
      <c r="G150" s="225"/>
      <c r="H150" s="225"/>
      <c r="I150" s="225"/>
      <c r="J150" s="271">
        <f t="shared" si="116"/>
        <v>23700000</v>
      </c>
      <c r="K150" s="225">
        <f>37000000-20000000+6700000</f>
        <v>23700000</v>
      </c>
      <c r="L150" s="225"/>
      <c r="M150" s="225"/>
      <c r="N150" s="225"/>
      <c r="O150" s="243">
        <f>K150</f>
        <v>23700000</v>
      </c>
      <c r="P150" s="271">
        <f t="shared" si="121"/>
        <v>23700000</v>
      </c>
    </row>
    <row r="151" spans="1:18" ht="137.25" x14ac:dyDescent="0.2">
      <c r="A151" s="270" t="s">
        <v>471</v>
      </c>
      <c r="B151" s="270" t="s">
        <v>472</v>
      </c>
      <c r="C151" s="270" t="s">
        <v>450</v>
      </c>
      <c r="D151" s="270" t="s">
        <v>473</v>
      </c>
      <c r="E151" s="271">
        <f t="shared" si="124"/>
        <v>0</v>
      </c>
      <c r="F151" s="225"/>
      <c r="G151" s="225"/>
      <c r="H151" s="225"/>
      <c r="I151" s="225"/>
      <c r="J151" s="271">
        <f t="shared" si="116"/>
        <v>1400000</v>
      </c>
      <c r="K151" s="225">
        <f>4500000+1400000-4500000</f>
        <v>1400000</v>
      </c>
      <c r="L151" s="225"/>
      <c r="M151" s="225"/>
      <c r="N151" s="225"/>
      <c r="O151" s="243">
        <f>K151</f>
        <v>1400000</v>
      </c>
      <c r="P151" s="271">
        <f t="shared" si="121"/>
        <v>1400000</v>
      </c>
    </row>
    <row r="152" spans="1:18" ht="91.5" x14ac:dyDescent="0.2">
      <c r="A152" s="270" t="s">
        <v>475</v>
      </c>
      <c r="B152" s="270" t="s">
        <v>476</v>
      </c>
      <c r="C152" s="270" t="s">
        <v>450</v>
      </c>
      <c r="D152" s="270" t="s">
        <v>853</v>
      </c>
      <c r="E152" s="271">
        <f>F152</f>
        <v>0</v>
      </c>
      <c r="F152" s="225"/>
      <c r="G152" s="225"/>
      <c r="H152" s="225"/>
      <c r="I152" s="225"/>
      <c r="J152" s="271">
        <f t="shared" si="116"/>
        <v>13166200</v>
      </c>
      <c r="K152" s="225">
        <f>11500000+1666200</f>
        <v>13166200</v>
      </c>
      <c r="L152" s="225"/>
      <c r="M152" s="225"/>
      <c r="N152" s="225"/>
      <c r="O152" s="243">
        <f>K152</f>
        <v>13166200</v>
      </c>
      <c r="P152" s="271">
        <f t="shared" si="121"/>
        <v>13166200</v>
      </c>
    </row>
    <row r="153" spans="1:18" ht="137.25" x14ac:dyDescent="0.2">
      <c r="A153" s="270" t="s">
        <v>845</v>
      </c>
      <c r="B153" s="270" t="s">
        <v>572</v>
      </c>
      <c r="C153" s="270" t="s">
        <v>256</v>
      </c>
      <c r="D153" s="270" t="s">
        <v>398</v>
      </c>
      <c r="E153" s="271">
        <f>F153</f>
        <v>0</v>
      </c>
      <c r="F153" s="225"/>
      <c r="G153" s="225"/>
      <c r="H153" s="225"/>
      <c r="I153" s="225"/>
      <c r="J153" s="271">
        <f t="shared" si="116"/>
        <v>26000000</v>
      </c>
      <c r="K153" s="225">
        <f>20000000+5000000+1000000</f>
        <v>26000000</v>
      </c>
      <c r="L153" s="225"/>
      <c r="M153" s="225"/>
      <c r="N153" s="225"/>
      <c r="O153" s="243">
        <f>K153</f>
        <v>26000000</v>
      </c>
      <c r="P153" s="271">
        <f t="shared" si="121"/>
        <v>26000000</v>
      </c>
    </row>
    <row r="154" spans="1:18" ht="270" x14ac:dyDescent="0.2">
      <c r="A154" s="296" t="s">
        <v>246</v>
      </c>
      <c r="B154" s="296"/>
      <c r="C154" s="296"/>
      <c r="D154" s="296" t="s">
        <v>46</v>
      </c>
      <c r="E154" s="298">
        <f>E155</f>
        <v>3935500</v>
      </c>
      <c r="F154" s="298">
        <f t="shared" ref="F154" si="125">F155</f>
        <v>3935500</v>
      </c>
      <c r="G154" s="298">
        <f t="shared" ref="G154" si="126">G155</f>
        <v>2850700</v>
      </c>
      <c r="H154" s="298">
        <f>H155</f>
        <v>107000</v>
      </c>
      <c r="I154" s="298">
        <f t="shared" ref="I154" si="127">I155</f>
        <v>0</v>
      </c>
      <c r="J154" s="298">
        <f>J155</f>
        <v>500000</v>
      </c>
      <c r="K154" s="298">
        <f>K155</f>
        <v>500000</v>
      </c>
      <c r="L154" s="298">
        <f>L155</f>
        <v>0</v>
      </c>
      <c r="M154" s="298">
        <f t="shared" ref="M154" si="128">M155</f>
        <v>0</v>
      </c>
      <c r="N154" s="298">
        <f>N155</f>
        <v>0</v>
      </c>
      <c r="O154" s="298">
        <f>O155</f>
        <v>500000</v>
      </c>
      <c r="P154" s="302">
        <f t="shared" ref="P154" si="129">P155</f>
        <v>4435500</v>
      </c>
    </row>
    <row r="155" spans="1:18" ht="270" x14ac:dyDescent="0.2">
      <c r="A155" s="299" t="s">
        <v>247</v>
      </c>
      <c r="B155" s="299"/>
      <c r="C155" s="299"/>
      <c r="D155" s="299" t="s">
        <v>64</v>
      </c>
      <c r="E155" s="301">
        <f>SUM(E156:E157)</f>
        <v>3935500</v>
      </c>
      <c r="F155" s="301">
        <f t="shared" ref="F155:O155" si="130">SUM(F156:F157)</f>
        <v>3935500</v>
      </c>
      <c r="G155" s="301">
        <f t="shared" si="130"/>
        <v>2850700</v>
      </c>
      <c r="H155" s="301">
        <f t="shared" si="130"/>
        <v>107000</v>
      </c>
      <c r="I155" s="301">
        <f t="shared" si="130"/>
        <v>0</v>
      </c>
      <c r="J155" s="301">
        <f>L155+O155</f>
        <v>500000</v>
      </c>
      <c r="K155" s="301">
        <f t="shared" si="130"/>
        <v>500000</v>
      </c>
      <c r="L155" s="301">
        <f t="shared" si="130"/>
        <v>0</v>
      </c>
      <c r="M155" s="301">
        <f t="shared" si="130"/>
        <v>0</v>
      </c>
      <c r="N155" s="301">
        <f t="shared" si="130"/>
        <v>0</v>
      </c>
      <c r="O155" s="301">
        <f t="shared" si="130"/>
        <v>500000</v>
      </c>
      <c r="P155" s="301">
        <f>E155+J155</f>
        <v>4435500</v>
      </c>
      <c r="Q155" s="153" t="b">
        <f>P155=P157+P156</f>
        <v>1</v>
      </c>
      <c r="R155" s="155" t="b">
        <f>K155='dod5'!I146</f>
        <v>1</v>
      </c>
    </row>
    <row r="156" spans="1:18" ht="228.75" x14ac:dyDescent="0.2">
      <c r="A156" s="270" t="s">
        <v>741</v>
      </c>
      <c r="B156" s="270" t="s">
        <v>341</v>
      </c>
      <c r="C156" s="270" t="s">
        <v>339</v>
      </c>
      <c r="D156" s="270" t="s">
        <v>340</v>
      </c>
      <c r="E156" s="271">
        <f>F156</f>
        <v>3935500</v>
      </c>
      <c r="F156" s="225">
        <f>(3880500)+55000</f>
        <v>3935500</v>
      </c>
      <c r="G156" s="225">
        <v>2850700</v>
      </c>
      <c r="H156" s="225">
        <v>107000</v>
      </c>
      <c r="I156" s="225"/>
      <c r="J156" s="271">
        <f>L156+O156</f>
        <v>0</v>
      </c>
      <c r="K156" s="225"/>
      <c r="L156" s="225"/>
      <c r="M156" s="225"/>
      <c r="N156" s="225"/>
      <c r="O156" s="243">
        <f>K156</f>
        <v>0</v>
      </c>
      <c r="P156" s="271">
        <f>E156+J156</f>
        <v>3935500</v>
      </c>
      <c r="Q156" s="153"/>
      <c r="R156" s="155"/>
    </row>
    <row r="157" spans="1:18" ht="137.25" x14ac:dyDescent="0.2">
      <c r="A157" s="270" t="s">
        <v>460</v>
      </c>
      <c r="B157" s="270" t="s">
        <v>461</v>
      </c>
      <c r="C157" s="270" t="s">
        <v>450</v>
      </c>
      <c r="D157" s="270" t="s">
        <v>462</v>
      </c>
      <c r="E157" s="271">
        <f>F157</f>
        <v>0</v>
      </c>
      <c r="F157" s="225">
        <v>0</v>
      </c>
      <c r="G157" s="225"/>
      <c r="H157" s="225"/>
      <c r="I157" s="225"/>
      <c r="J157" s="271">
        <f>L157+O157</f>
        <v>500000</v>
      </c>
      <c r="K157" s="225">
        <f>(2000000)-1500000</f>
        <v>500000</v>
      </c>
      <c r="L157" s="225"/>
      <c r="M157" s="225"/>
      <c r="N157" s="225"/>
      <c r="O157" s="243">
        <f>K157</f>
        <v>500000</v>
      </c>
      <c r="P157" s="271">
        <f>E157+J157</f>
        <v>500000</v>
      </c>
    </row>
    <row r="158" spans="1:18" ht="135" x14ac:dyDescent="0.2">
      <c r="A158" s="296" t="s">
        <v>252</v>
      </c>
      <c r="B158" s="296"/>
      <c r="C158" s="296"/>
      <c r="D158" s="296" t="s">
        <v>577</v>
      </c>
      <c r="E158" s="298">
        <f>E159</f>
        <v>6199000</v>
      </c>
      <c r="F158" s="298">
        <f t="shared" ref="F158" si="131">F159</f>
        <v>6199000</v>
      </c>
      <c r="G158" s="298">
        <f t="shared" ref="G158" si="132">G159</f>
        <v>0</v>
      </c>
      <c r="H158" s="298">
        <f>H159</f>
        <v>0</v>
      </c>
      <c r="I158" s="298">
        <f t="shared" ref="I158" si="133">I159</f>
        <v>0</v>
      </c>
      <c r="J158" s="298">
        <f>J159</f>
        <v>2270000</v>
      </c>
      <c r="K158" s="298">
        <f>K159</f>
        <v>2270000</v>
      </c>
      <c r="L158" s="298">
        <f>L159</f>
        <v>0</v>
      </c>
      <c r="M158" s="298">
        <f t="shared" ref="M158" si="134">M159</f>
        <v>0</v>
      </c>
      <c r="N158" s="298">
        <f>N159</f>
        <v>0</v>
      </c>
      <c r="O158" s="298">
        <f>O159</f>
        <v>2270000</v>
      </c>
      <c r="P158" s="302">
        <f t="shared" ref="P158" si="135">P159</f>
        <v>8469000</v>
      </c>
    </row>
    <row r="159" spans="1:18" ht="135" x14ac:dyDescent="0.2">
      <c r="A159" s="299" t="s">
        <v>253</v>
      </c>
      <c r="B159" s="299"/>
      <c r="C159" s="299"/>
      <c r="D159" s="299" t="s">
        <v>578</v>
      </c>
      <c r="E159" s="301">
        <f>SUM(E160:E164)</f>
        <v>6199000</v>
      </c>
      <c r="F159" s="301">
        <f t="shared" ref="F159:K159" si="136">SUM(F160:F164)</f>
        <v>6199000</v>
      </c>
      <c r="G159" s="301">
        <f t="shared" si="136"/>
        <v>0</v>
      </c>
      <c r="H159" s="301">
        <f t="shared" si="136"/>
        <v>0</v>
      </c>
      <c r="I159" s="301">
        <f t="shared" si="136"/>
        <v>0</v>
      </c>
      <c r="J159" s="301">
        <f t="shared" ref="J159:J164" si="137">L159+O159</f>
        <v>2270000</v>
      </c>
      <c r="K159" s="301">
        <f t="shared" si="136"/>
        <v>2270000</v>
      </c>
      <c r="L159" s="301">
        <f t="shared" ref="L159" si="138">SUM(L160:L164)</f>
        <v>0</v>
      </c>
      <c r="M159" s="301">
        <f t="shared" ref="M159" si="139">SUM(M160:M164)</f>
        <v>0</v>
      </c>
      <c r="N159" s="301">
        <f t="shared" ref="N159:O159" si="140">SUM(N160:N164)</f>
        <v>0</v>
      </c>
      <c r="O159" s="301">
        <f t="shared" si="140"/>
        <v>2270000</v>
      </c>
      <c r="P159" s="301">
        <f t="shared" ref="P159:P164" si="141">E159+J159</f>
        <v>8469000</v>
      </c>
      <c r="Q159" s="153" t="b">
        <f>P159=P160+P161+P162+P163+P164</f>
        <v>1</v>
      </c>
      <c r="R159" s="155" t="b">
        <f>K159='dod5'!I152</f>
        <v>1</v>
      </c>
    </row>
    <row r="160" spans="1:18" ht="137.25" hidden="1" x14ac:dyDescent="0.2">
      <c r="A160" s="270" t="s">
        <v>571</v>
      </c>
      <c r="B160" s="270" t="s">
        <v>572</v>
      </c>
      <c r="C160" s="270" t="s">
        <v>256</v>
      </c>
      <c r="D160" s="270" t="s">
        <v>398</v>
      </c>
      <c r="E160" s="271">
        <f>F160</f>
        <v>0</v>
      </c>
      <c r="F160" s="225"/>
      <c r="G160" s="225"/>
      <c r="H160" s="225"/>
      <c r="I160" s="225"/>
      <c r="J160" s="271">
        <f t="shared" si="137"/>
        <v>0</v>
      </c>
      <c r="K160" s="225">
        <f>(2000000)-2000000</f>
        <v>0</v>
      </c>
      <c r="L160" s="225"/>
      <c r="M160" s="225"/>
      <c r="N160" s="225"/>
      <c r="O160" s="243">
        <f>K160</f>
        <v>0</v>
      </c>
      <c r="P160" s="271">
        <f t="shared" si="141"/>
        <v>0</v>
      </c>
      <c r="R160" s="155"/>
    </row>
    <row r="161" spans="1:18" ht="91.5" x14ac:dyDescent="0.2">
      <c r="A161" s="270" t="s">
        <v>396</v>
      </c>
      <c r="B161" s="270" t="s">
        <v>397</v>
      </c>
      <c r="C161" s="270" t="s">
        <v>395</v>
      </c>
      <c r="D161" s="270" t="s">
        <v>394</v>
      </c>
      <c r="E161" s="271">
        <f t="shared" ref="E161:E164" si="142">F161</f>
        <v>3285000</v>
      </c>
      <c r="F161" s="225">
        <f>(2656650)+828350-240000+40000</f>
        <v>3285000</v>
      </c>
      <c r="G161" s="225"/>
      <c r="H161" s="225"/>
      <c r="I161" s="225"/>
      <c r="J161" s="271">
        <f t="shared" si="137"/>
        <v>770000</v>
      </c>
      <c r="K161" s="225">
        <f>(570000)+200000</f>
        <v>770000</v>
      </c>
      <c r="L161" s="225"/>
      <c r="M161" s="225"/>
      <c r="N161" s="225"/>
      <c r="O161" s="243">
        <f>K161</f>
        <v>770000</v>
      </c>
      <c r="P161" s="271">
        <f t="shared" si="141"/>
        <v>4055000</v>
      </c>
      <c r="R161" s="155" t="b">
        <f>K161='dod5'!I154</f>
        <v>1</v>
      </c>
    </row>
    <row r="162" spans="1:18" ht="137.25" x14ac:dyDescent="0.2">
      <c r="A162" s="270" t="s">
        <v>388</v>
      </c>
      <c r="B162" s="270" t="s">
        <v>390</v>
      </c>
      <c r="C162" s="270" t="s">
        <v>318</v>
      </c>
      <c r="D162" s="270" t="s">
        <v>389</v>
      </c>
      <c r="E162" s="271">
        <f t="shared" si="142"/>
        <v>420000</v>
      </c>
      <c r="F162" s="225">
        <v>420000</v>
      </c>
      <c r="G162" s="225"/>
      <c r="H162" s="225"/>
      <c r="I162" s="225"/>
      <c r="J162" s="271">
        <f t="shared" si="137"/>
        <v>0</v>
      </c>
      <c r="K162" s="225"/>
      <c r="L162" s="225"/>
      <c r="M162" s="225"/>
      <c r="N162" s="225"/>
      <c r="O162" s="243">
        <f>K162</f>
        <v>0</v>
      </c>
      <c r="P162" s="271">
        <f t="shared" si="141"/>
        <v>420000</v>
      </c>
      <c r="R162" s="155"/>
    </row>
    <row r="163" spans="1:18" ht="91.5" x14ac:dyDescent="0.2">
      <c r="A163" s="270" t="s">
        <v>392</v>
      </c>
      <c r="B163" s="270" t="s">
        <v>393</v>
      </c>
      <c r="C163" s="270" t="s">
        <v>256</v>
      </c>
      <c r="D163" s="270" t="s">
        <v>391</v>
      </c>
      <c r="E163" s="271">
        <f t="shared" si="142"/>
        <v>2494000</v>
      </c>
      <c r="F163" s="225">
        <f>(1794000)+800000-100000</f>
        <v>2494000</v>
      </c>
      <c r="G163" s="225"/>
      <c r="H163" s="225"/>
      <c r="I163" s="225"/>
      <c r="J163" s="271">
        <f t="shared" si="137"/>
        <v>200000</v>
      </c>
      <c r="K163" s="225">
        <f>200000+1000000-1000000</f>
        <v>200000</v>
      </c>
      <c r="L163" s="225"/>
      <c r="M163" s="225"/>
      <c r="N163" s="225"/>
      <c r="O163" s="243">
        <f>K163</f>
        <v>200000</v>
      </c>
      <c r="P163" s="271">
        <f t="shared" si="141"/>
        <v>2694000</v>
      </c>
      <c r="R163" s="155" t="b">
        <f>K163='dod5'!I155</f>
        <v>1</v>
      </c>
    </row>
    <row r="164" spans="1:18" ht="91.5" x14ac:dyDescent="0.2">
      <c r="A164" s="270" t="s">
        <v>932</v>
      </c>
      <c r="B164" s="270" t="s">
        <v>601</v>
      </c>
      <c r="C164" s="270" t="s">
        <v>71</v>
      </c>
      <c r="D164" s="270" t="s">
        <v>602</v>
      </c>
      <c r="E164" s="271">
        <f t="shared" si="142"/>
        <v>0</v>
      </c>
      <c r="F164" s="225"/>
      <c r="G164" s="225"/>
      <c r="H164" s="225"/>
      <c r="I164" s="225"/>
      <c r="J164" s="271">
        <f t="shared" si="137"/>
        <v>1300000</v>
      </c>
      <c r="K164" s="225">
        <f>500000+1000000-1000000+800000</f>
        <v>1300000</v>
      </c>
      <c r="L164" s="225"/>
      <c r="M164" s="225"/>
      <c r="N164" s="225"/>
      <c r="O164" s="243">
        <f>K164</f>
        <v>1300000</v>
      </c>
      <c r="P164" s="271">
        <f t="shared" si="141"/>
        <v>1300000</v>
      </c>
      <c r="R164" s="155" t="b">
        <f>K164='dod5'!I157+'dod5'!I156</f>
        <v>1</v>
      </c>
    </row>
    <row r="165" spans="1:18" ht="180" x14ac:dyDescent="0.2">
      <c r="A165" s="296" t="s">
        <v>250</v>
      </c>
      <c r="B165" s="296"/>
      <c r="C165" s="296"/>
      <c r="D165" s="296" t="s">
        <v>47</v>
      </c>
      <c r="E165" s="298">
        <f>E166</f>
        <v>4258100</v>
      </c>
      <c r="F165" s="298">
        <f t="shared" ref="F165" si="143">F166</f>
        <v>4258100</v>
      </c>
      <c r="G165" s="298">
        <f t="shared" ref="G165" si="144">G166</f>
        <v>3166500</v>
      </c>
      <c r="H165" s="298">
        <f>H166</f>
        <v>119916</v>
      </c>
      <c r="I165" s="298">
        <f t="shared" ref="I165" si="145">I166</f>
        <v>0</v>
      </c>
      <c r="J165" s="298">
        <f>J166</f>
        <v>990905.96</v>
      </c>
      <c r="K165" s="298">
        <f>K166</f>
        <v>0</v>
      </c>
      <c r="L165" s="298">
        <f>L166</f>
        <v>408505.96</v>
      </c>
      <c r="M165" s="298">
        <f t="shared" ref="M165" si="146">M166</f>
        <v>0</v>
      </c>
      <c r="N165" s="298">
        <f>N166</f>
        <v>0</v>
      </c>
      <c r="O165" s="298">
        <f>O166</f>
        <v>582400</v>
      </c>
      <c r="P165" s="302">
        <f t="shared" ref="P165" si="147">P166</f>
        <v>5249005.96</v>
      </c>
    </row>
    <row r="166" spans="1:18" ht="180" x14ac:dyDescent="0.2">
      <c r="A166" s="299" t="s">
        <v>251</v>
      </c>
      <c r="B166" s="299"/>
      <c r="C166" s="299"/>
      <c r="D166" s="299" t="s">
        <v>65</v>
      </c>
      <c r="E166" s="301">
        <f t="shared" ref="E166:N166" si="148">SUM(E167:E170)</f>
        <v>4258100</v>
      </c>
      <c r="F166" s="301">
        <f t="shared" si="148"/>
        <v>4258100</v>
      </c>
      <c r="G166" s="301">
        <f t="shared" si="148"/>
        <v>3166500</v>
      </c>
      <c r="H166" s="301">
        <f t="shared" si="148"/>
        <v>119916</v>
      </c>
      <c r="I166" s="301">
        <f t="shared" si="148"/>
        <v>0</v>
      </c>
      <c r="J166" s="301">
        <f>L166+O166</f>
        <v>990905.96</v>
      </c>
      <c r="K166" s="301">
        <f t="shared" si="148"/>
        <v>0</v>
      </c>
      <c r="L166" s="301">
        <f t="shared" si="148"/>
        <v>408505.96</v>
      </c>
      <c r="M166" s="301">
        <f t="shared" si="148"/>
        <v>0</v>
      </c>
      <c r="N166" s="301">
        <f t="shared" si="148"/>
        <v>0</v>
      </c>
      <c r="O166" s="301">
        <f>SUM(O167:O170)</f>
        <v>582400</v>
      </c>
      <c r="P166" s="301">
        <f>E166+J166</f>
        <v>5249005.96</v>
      </c>
      <c r="Q166" s="153" t="b">
        <f>P166=P168+P170+P167+P169</f>
        <v>1</v>
      </c>
      <c r="R166" s="155" t="b">
        <f>J166='dod7'!F16</f>
        <v>1</v>
      </c>
    </row>
    <row r="167" spans="1:18" ht="228.75" x14ac:dyDescent="0.2">
      <c r="A167" s="270" t="s">
        <v>744</v>
      </c>
      <c r="B167" s="270" t="s">
        <v>341</v>
      </c>
      <c r="C167" s="270" t="s">
        <v>339</v>
      </c>
      <c r="D167" s="270" t="s">
        <v>340</v>
      </c>
      <c r="E167" s="271">
        <f>F167</f>
        <v>4258100</v>
      </c>
      <c r="F167" s="225">
        <f>(4223100)+35000</f>
        <v>4258100</v>
      </c>
      <c r="G167" s="225">
        <v>3166500</v>
      </c>
      <c r="H167" s="225">
        <v>119916</v>
      </c>
      <c r="I167" s="225"/>
      <c r="J167" s="271">
        <f>L167+O167</f>
        <v>0</v>
      </c>
      <c r="K167" s="225"/>
      <c r="L167" s="225"/>
      <c r="M167" s="225"/>
      <c r="N167" s="225"/>
      <c r="O167" s="243">
        <f>K167</f>
        <v>0</v>
      </c>
      <c r="P167" s="271">
        <f>E167+J167</f>
        <v>4258100</v>
      </c>
      <c r="Q167" s="153"/>
      <c r="R167" s="155"/>
    </row>
    <row r="168" spans="1:18" ht="137.25" x14ac:dyDescent="0.2">
      <c r="A168" s="270" t="s">
        <v>463</v>
      </c>
      <c r="B168" s="270" t="s">
        <v>464</v>
      </c>
      <c r="C168" s="270" t="s">
        <v>81</v>
      </c>
      <c r="D168" s="270" t="s">
        <v>82</v>
      </c>
      <c r="E168" s="271">
        <f t="shared" ref="E168:E169" si="149">F168</f>
        <v>0</v>
      </c>
      <c r="F168" s="225"/>
      <c r="G168" s="225"/>
      <c r="H168" s="225"/>
      <c r="I168" s="225"/>
      <c r="J168" s="271">
        <f>L168+O168</f>
        <v>834616</v>
      </c>
      <c r="K168" s="225"/>
      <c r="L168" s="225">
        <f>(116000)+90000+46216</f>
        <v>252216</v>
      </c>
      <c r="M168" s="225"/>
      <c r="N168" s="225"/>
      <c r="O168" s="243">
        <f>(K168+284000)+344616-130000+130000-46216</f>
        <v>582400</v>
      </c>
      <c r="P168" s="271">
        <f>E168+J168</f>
        <v>834616</v>
      </c>
    </row>
    <row r="169" spans="1:18" ht="91.5" x14ac:dyDescent="0.2">
      <c r="A169" s="270" t="s">
        <v>830</v>
      </c>
      <c r="B169" s="270" t="s">
        <v>831</v>
      </c>
      <c r="C169" s="270" t="s">
        <v>855</v>
      </c>
      <c r="D169" s="270" t="s">
        <v>854</v>
      </c>
      <c r="E169" s="271">
        <f t="shared" si="149"/>
        <v>0</v>
      </c>
      <c r="F169" s="225"/>
      <c r="G169" s="225"/>
      <c r="H169" s="225"/>
      <c r="I169" s="225"/>
      <c r="J169" s="271">
        <f>L169+O169</f>
        <v>56289.96</v>
      </c>
      <c r="K169" s="225"/>
      <c r="L169" s="225">
        <v>56289.96</v>
      </c>
      <c r="M169" s="225"/>
      <c r="N169" s="225"/>
      <c r="O169" s="243">
        <f>K169</f>
        <v>0</v>
      </c>
      <c r="P169" s="271">
        <f>E169+J169</f>
        <v>56289.96</v>
      </c>
    </row>
    <row r="170" spans="1:18" ht="91.5" x14ac:dyDescent="0.2">
      <c r="A170" s="270" t="s">
        <v>465</v>
      </c>
      <c r="B170" s="270" t="s">
        <v>466</v>
      </c>
      <c r="C170" s="270" t="s">
        <v>83</v>
      </c>
      <c r="D170" s="270" t="s">
        <v>467</v>
      </c>
      <c r="E170" s="271">
        <v>0</v>
      </c>
      <c r="F170" s="225"/>
      <c r="G170" s="225"/>
      <c r="H170" s="225"/>
      <c r="I170" s="225"/>
      <c r="J170" s="271">
        <f>L170+O170</f>
        <v>100000</v>
      </c>
      <c r="K170" s="271"/>
      <c r="L170" s="225">
        <v>100000</v>
      </c>
      <c r="M170" s="225"/>
      <c r="N170" s="225"/>
      <c r="O170" s="243">
        <f>K170</f>
        <v>0</v>
      </c>
      <c r="P170" s="271">
        <f>E170+J170</f>
        <v>100000</v>
      </c>
    </row>
    <row r="171" spans="1:18" ht="315" x14ac:dyDescent="0.2">
      <c r="A171" s="296" t="s">
        <v>248</v>
      </c>
      <c r="B171" s="296"/>
      <c r="C171" s="296"/>
      <c r="D171" s="296" t="s">
        <v>579</v>
      </c>
      <c r="E171" s="298">
        <f>E172</f>
        <v>3524300</v>
      </c>
      <c r="F171" s="298">
        <f t="shared" ref="F171" si="150">F172</f>
        <v>3524300</v>
      </c>
      <c r="G171" s="298">
        <f t="shared" ref="G171" si="151">G172</f>
        <v>2641000</v>
      </c>
      <c r="H171" s="298">
        <f>H172</f>
        <v>60000</v>
      </c>
      <c r="I171" s="298">
        <f t="shared" ref="I171" si="152">I172</f>
        <v>0</v>
      </c>
      <c r="J171" s="298">
        <f>J172</f>
        <v>500000</v>
      </c>
      <c r="K171" s="298">
        <f>K172</f>
        <v>500000</v>
      </c>
      <c r="L171" s="298">
        <f>L172</f>
        <v>0</v>
      </c>
      <c r="M171" s="298">
        <f t="shared" ref="M171" si="153">M172</f>
        <v>0</v>
      </c>
      <c r="N171" s="298">
        <f>N172</f>
        <v>0</v>
      </c>
      <c r="O171" s="298">
        <f>O172</f>
        <v>500000</v>
      </c>
      <c r="P171" s="302">
        <f t="shared" ref="P171" si="154">P172</f>
        <v>4024300</v>
      </c>
    </row>
    <row r="172" spans="1:18" ht="315" x14ac:dyDescent="0.2">
      <c r="A172" s="299" t="s">
        <v>249</v>
      </c>
      <c r="B172" s="299"/>
      <c r="C172" s="299"/>
      <c r="D172" s="299" t="s">
        <v>580</v>
      </c>
      <c r="E172" s="301">
        <f>SUM(E173:E175)</f>
        <v>3524300</v>
      </c>
      <c r="F172" s="301">
        <f t="shared" ref="F172:N172" si="155">SUM(F173:F175)</f>
        <v>3524300</v>
      </c>
      <c r="G172" s="301">
        <f t="shared" si="155"/>
        <v>2641000</v>
      </c>
      <c r="H172" s="301">
        <f t="shared" si="155"/>
        <v>60000</v>
      </c>
      <c r="I172" s="301">
        <f t="shared" si="155"/>
        <v>0</v>
      </c>
      <c r="J172" s="301">
        <f>L172+O172</f>
        <v>500000</v>
      </c>
      <c r="K172" s="301">
        <f t="shared" si="155"/>
        <v>500000</v>
      </c>
      <c r="L172" s="301">
        <f t="shared" si="155"/>
        <v>0</v>
      </c>
      <c r="M172" s="301">
        <f t="shared" si="155"/>
        <v>0</v>
      </c>
      <c r="N172" s="301">
        <f t="shared" si="155"/>
        <v>0</v>
      </c>
      <c r="O172" s="301">
        <f>SUM(O173:O175)</f>
        <v>500000</v>
      </c>
      <c r="P172" s="301">
        <f>E172+J172</f>
        <v>4024300</v>
      </c>
      <c r="Q172" s="153" t="b">
        <f>P172=P174+P175+P173</f>
        <v>1</v>
      </c>
      <c r="R172" s="155" t="b">
        <f>K172='dod5'!I158</f>
        <v>1</v>
      </c>
    </row>
    <row r="173" spans="1:18" ht="228.75" x14ac:dyDescent="0.2">
      <c r="A173" s="270" t="s">
        <v>740</v>
      </c>
      <c r="B173" s="270" t="s">
        <v>341</v>
      </c>
      <c r="C173" s="270" t="s">
        <v>339</v>
      </c>
      <c r="D173" s="270" t="s">
        <v>340</v>
      </c>
      <c r="E173" s="271">
        <f>F173</f>
        <v>3524300</v>
      </c>
      <c r="F173" s="225">
        <f>(3469300)+55000</f>
        <v>3524300</v>
      </c>
      <c r="G173" s="225">
        <v>2641000</v>
      </c>
      <c r="H173" s="225">
        <v>60000</v>
      </c>
      <c r="I173" s="225"/>
      <c r="J173" s="271">
        <f>L173+O173</f>
        <v>0</v>
      </c>
      <c r="K173" s="225"/>
      <c r="L173" s="225"/>
      <c r="M173" s="225"/>
      <c r="N173" s="225"/>
      <c r="O173" s="243">
        <f>K173</f>
        <v>0</v>
      </c>
      <c r="P173" s="271">
        <f>E173+J173</f>
        <v>3524300</v>
      </c>
      <c r="Q173" s="153"/>
      <c r="R173" s="155"/>
    </row>
    <row r="174" spans="1:18" ht="91.5" x14ac:dyDescent="0.2">
      <c r="A174" s="270" t="s">
        <v>457</v>
      </c>
      <c r="B174" s="270" t="s">
        <v>458</v>
      </c>
      <c r="C174" s="270" t="s">
        <v>459</v>
      </c>
      <c r="D174" s="270" t="s">
        <v>456</v>
      </c>
      <c r="E174" s="271">
        <f>F174</f>
        <v>0</v>
      </c>
      <c r="F174" s="225">
        <v>0</v>
      </c>
      <c r="G174" s="225"/>
      <c r="H174" s="225"/>
      <c r="I174" s="225"/>
      <c r="J174" s="271">
        <f>L174+O174</f>
        <v>410000</v>
      </c>
      <c r="K174" s="225">
        <v>410000</v>
      </c>
      <c r="L174" s="225"/>
      <c r="M174" s="225"/>
      <c r="N174" s="225"/>
      <c r="O174" s="243">
        <f>K174</f>
        <v>410000</v>
      </c>
      <c r="P174" s="271">
        <f>E174+J174</f>
        <v>410000</v>
      </c>
    </row>
    <row r="175" spans="1:18" ht="137.25" x14ac:dyDescent="0.2">
      <c r="A175" s="270" t="s">
        <v>610</v>
      </c>
      <c r="B175" s="270" t="s">
        <v>611</v>
      </c>
      <c r="C175" s="270" t="s">
        <v>256</v>
      </c>
      <c r="D175" s="270" t="s">
        <v>612</v>
      </c>
      <c r="E175" s="271">
        <f>F175</f>
        <v>0</v>
      </c>
      <c r="F175" s="225">
        <v>0</v>
      </c>
      <c r="G175" s="225"/>
      <c r="H175" s="225"/>
      <c r="I175" s="225"/>
      <c r="J175" s="271">
        <f>L175+O175</f>
        <v>90000</v>
      </c>
      <c r="K175" s="225">
        <v>90000</v>
      </c>
      <c r="L175" s="225"/>
      <c r="M175" s="225"/>
      <c r="N175" s="225"/>
      <c r="O175" s="243">
        <f>K175</f>
        <v>90000</v>
      </c>
      <c r="P175" s="271">
        <f>E175+J175</f>
        <v>90000</v>
      </c>
    </row>
    <row r="176" spans="1:18" ht="135" x14ac:dyDescent="0.2">
      <c r="A176" s="296" t="s">
        <v>254</v>
      </c>
      <c r="B176" s="296"/>
      <c r="C176" s="296"/>
      <c r="D176" s="296" t="s">
        <v>48</v>
      </c>
      <c r="E176" s="298">
        <f>E177</f>
        <v>63565500</v>
      </c>
      <c r="F176" s="298">
        <f t="shared" ref="F176" si="156">F177</f>
        <v>63565500</v>
      </c>
      <c r="G176" s="298">
        <f t="shared" ref="G176" si="157">G177</f>
        <v>5254100</v>
      </c>
      <c r="H176" s="298">
        <f>H177</f>
        <v>142362</v>
      </c>
      <c r="I176" s="298">
        <f t="shared" ref="I176" si="158">I177</f>
        <v>0</v>
      </c>
      <c r="J176" s="298">
        <f>J177</f>
        <v>50000</v>
      </c>
      <c r="K176" s="298">
        <f>K177</f>
        <v>50000</v>
      </c>
      <c r="L176" s="298">
        <f>L177</f>
        <v>0</v>
      </c>
      <c r="M176" s="298">
        <f t="shared" ref="M176" si="159">M177</f>
        <v>0</v>
      </c>
      <c r="N176" s="298">
        <f>N177</f>
        <v>0</v>
      </c>
      <c r="O176" s="298">
        <f>O177</f>
        <v>50000</v>
      </c>
      <c r="P176" s="302">
        <f t="shared" ref="P176" si="160">P177</f>
        <v>63615500</v>
      </c>
    </row>
    <row r="177" spans="1:18" ht="135" x14ac:dyDescent="0.2">
      <c r="A177" s="299" t="s">
        <v>255</v>
      </c>
      <c r="B177" s="299"/>
      <c r="C177" s="299"/>
      <c r="D177" s="299" t="s">
        <v>66</v>
      </c>
      <c r="E177" s="301">
        <f>SUM(E178:E181)</f>
        <v>63565500</v>
      </c>
      <c r="F177" s="301">
        <f t="shared" ref="F177:N177" si="161">SUM(F178:F181)</f>
        <v>63565500</v>
      </c>
      <c r="G177" s="301">
        <f t="shared" si="161"/>
        <v>5254100</v>
      </c>
      <c r="H177" s="301">
        <f t="shared" si="161"/>
        <v>142362</v>
      </c>
      <c r="I177" s="301">
        <f t="shared" si="161"/>
        <v>0</v>
      </c>
      <c r="J177" s="301">
        <f>L177+O177</f>
        <v>50000</v>
      </c>
      <c r="K177" s="301">
        <f>SUM(K178:K181)</f>
        <v>50000</v>
      </c>
      <c r="L177" s="301">
        <f t="shared" si="161"/>
        <v>0</v>
      </c>
      <c r="M177" s="301">
        <f t="shared" si="161"/>
        <v>0</v>
      </c>
      <c r="N177" s="301">
        <f t="shared" si="161"/>
        <v>0</v>
      </c>
      <c r="O177" s="301">
        <f>SUM(O178:O181)</f>
        <v>50000</v>
      </c>
      <c r="P177" s="301">
        <f>E177+J177</f>
        <v>63615500</v>
      </c>
      <c r="Q177" s="153" t="b">
        <f>P177=P179+P180+P181+P178</f>
        <v>1</v>
      </c>
      <c r="R177" s="155" t="b">
        <f>K177='dod5'!I166</f>
        <v>1</v>
      </c>
    </row>
    <row r="178" spans="1:18" ht="228.75" x14ac:dyDescent="0.2">
      <c r="A178" s="270" t="s">
        <v>742</v>
      </c>
      <c r="B178" s="270" t="s">
        <v>341</v>
      </c>
      <c r="C178" s="270" t="s">
        <v>339</v>
      </c>
      <c r="D178" s="270" t="s">
        <v>340</v>
      </c>
      <c r="E178" s="271">
        <f>F178</f>
        <v>6927800</v>
      </c>
      <c r="F178" s="225">
        <f>(6887800)+40000</f>
        <v>6927800</v>
      </c>
      <c r="G178" s="225">
        <v>5254100</v>
      </c>
      <c r="H178" s="225">
        <v>142362</v>
      </c>
      <c r="I178" s="225"/>
      <c r="J178" s="271">
        <f>L178+O178</f>
        <v>50000</v>
      </c>
      <c r="K178" s="225">
        <v>50000</v>
      </c>
      <c r="L178" s="225"/>
      <c r="M178" s="225"/>
      <c r="N178" s="225"/>
      <c r="O178" s="243">
        <f>K178</f>
        <v>50000</v>
      </c>
      <c r="P178" s="271">
        <f>E178+J178</f>
        <v>6977800</v>
      </c>
      <c r="Q178" s="153"/>
      <c r="R178" s="155"/>
    </row>
    <row r="179" spans="1:18" ht="91.5" x14ac:dyDescent="0.2">
      <c r="A179" s="219">
        <v>3718600</v>
      </c>
      <c r="B179" s="219">
        <v>8600</v>
      </c>
      <c r="C179" s="270" t="s">
        <v>589</v>
      </c>
      <c r="D179" s="219" t="s">
        <v>590</v>
      </c>
      <c r="E179" s="271">
        <f>F179</f>
        <v>1282700</v>
      </c>
      <c r="F179" s="225">
        <v>1282700</v>
      </c>
      <c r="G179" s="225"/>
      <c r="H179" s="225"/>
      <c r="I179" s="225"/>
      <c r="J179" s="271">
        <f>L179+O179</f>
        <v>0</v>
      </c>
      <c r="K179" s="225"/>
      <c r="L179" s="225"/>
      <c r="M179" s="225"/>
      <c r="N179" s="225"/>
      <c r="O179" s="243">
        <f>K179</f>
        <v>0</v>
      </c>
      <c r="P179" s="271">
        <f>E179+J179</f>
        <v>1282700</v>
      </c>
    </row>
    <row r="180" spans="1:18" ht="69" customHeight="1" x14ac:dyDescent="0.2">
      <c r="A180" s="219">
        <v>3718700</v>
      </c>
      <c r="B180" s="219">
        <v>8700</v>
      </c>
      <c r="C180" s="270" t="s">
        <v>70</v>
      </c>
      <c r="D180" s="215" t="s">
        <v>68</v>
      </c>
      <c r="E180" s="271">
        <f>F180</f>
        <v>969000</v>
      </c>
      <c r="F180" s="225">
        <f>(5000000-655000)-3000000+1000000-800000-576000</f>
        <v>969000</v>
      </c>
      <c r="G180" s="225"/>
      <c r="H180" s="225"/>
      <c r="I180" s="225"/>
      <c r="J180" s="271">
        <f>L180+O180</f>
        <v>0</v>
      </c>
      <c r="K180" s="225"/>
      <c r="L180" s="225"/>
      <c r="M180" s="225"/>
      <c r="N180" s="225"/>
      <c r="O180" s="243">
        <f>K180</f>
        <v>0</v>
      </c>
      <c r="P180" s="271">
        <f>E180+J180</f>
        <v>969000</v>
      </c>
    </row>
    <row r="181" spans="1:18" ht="65.25" customHeight="1" x14ac:dyDescent="0.2">
      <c r="A181" s="219">
        <v>3719110</v>
      </c>
      <c r="B181" s="219">
        <v>9110</v>
      </c>
      <c r="C181" s="270" t="s">
        <v>71</v>
      </c>
      <c r="D181" s="215" t="s">
        <v>69</v>
      </c>
      <c r="E181" s="271">
        <f>F181</f>
        <v>54386000</v>
      </c>
      <c r="F181" s="225">
        <v>54386000</v>
      </c>
      <c r="G181" s="225"/>
      <c r="H181" s="225"/>
      <c r="I181" s="225"/>
      <c r="J181" s="271">
        <f>L181+O181</f>
        <v>0</v>
      </c>
      <c r="K181" s="225"/>
      <c r="L181" s="225"/>
      <c r="M181" s="225"/>
      <c r="N181" s="225"/>
      <c r="O181" s="243">
        <f>K181</f>
        <v>0</v>
      </c>
      <c r="P181" s="271">
        <f>E181+J181</f>
        <v>54386000</v>
      </c>
    </row>
    <row r="182" spans="1:18" ht="81.75" customHeight="1" x14ac:dyDescent="0.55000000000000004">
      <c r="A182" s="188" t="s">
        <v>651</v>
      </c>
      <c r="B182" s="188" t="s">
        <v>651</v>
      </c>
      <c r="C182" s="188" t="s">
        <v>651</v>
      </c>
      <c r="D182" s="189" t="s">
        <v>669</v>
      </c>
      <c r="E182" s="143">
        <f>E14+E26+E109+E39+E53+E99+E125+E146+E155+E177+E159+E166+E172</f>
        <v>2724229373.7800002</v>
      </c>
      <c r="F182" s="143">
        <f>F14+F26+F109+F39+F52+F99+F125+F146+F155+F177+F159+F166+F172</f>
        <v>2724229373.7800002</v>
      </c>
      <c r="G182" s="143">
        <f t="shared" ref="G182:O182" si="162">G14+G26+G109+G39+G53+G99+G125+G146+G155+G177+G159+G166+G172</f>
        <v>856994773.39999998</v>
      </c>
      <c r="H182" s="143">
        <f t="shared" si="162"/>
        <v>97282826</v>
      </c>
      <c r="I182" s="143">
        <f t="shared" si="162"/>
        <v>0</v>
      </c>
      <c r="J182" s="143">
        <f t="shared" si="162"/>
        <v>504816391.82999998</v>
      </c>
      <c r="K182" s="143">
        <f t="shared" si="162"/>
        <v>379714734.35000002</v>
      </c>
      <c r="L182" s="143">
        <f t="shared" si="162"/>
        <v>122256044</v>
      </c>
      <c r="M182" s="143">
        <f t="shared" si="162"/>
        <v>33009405</v>
      </c>
      <c r="N182" s="143">
        <f t="shared" si="162"/>
        <v>8774975</v>
      </c>
      <c r="O182" s="143">
        <f t="shared" si="162"/>
        <v>382560347.83000004</v>
      </c>
      <c r="P182" s="143">
        <f>P14+P26+P109+P39+P52+P99+P125+P146+P155+P177+P159+P166+P172</f>
        <v>3229045765.6100001</v>
      </c>
      <c r="Q182" s="14" t="b">
        <f>K182='dod5'!I169</f>
        <v>1</v>
      </c>
    </row>
    <row r="183" spans="1:18" ht="45.75" x14ac:dyDescent="0.2">
      <c r="A183" s="424" t="s">
        <v>454</v>
      </c>
      <c r="B183" s="425"/>
      <c r="C183" s="425"/>
      <c r="D183" s="425"/>
      <c r="E183" s="425"/>
      <c r="F183" s="425"/>
      <c r="G183" s="425"/>
      <c r="H183" s="425"/>
      <c r="I183" s="425"/>
      <c r="J183" s="425"/>
      <c r="K183" s="425"/>
      <c r="L183" s="425"/>
      <c r="M183" s="425"/>
      <c r="N183" s="425"/>
      <c r="O183" s="425"/>
      <c r="P183" s="425"/>
      <c r="Q183" s="12"/>
    </row>
    <row r="184" spans="1:18" ht="45.75" hidden="1" x14ac:dyDescent="0.2">
      <c r="A184" s="121"/>
      <c r="B184" s="122"/>
      <c r="C184" s="122"/>
      <c r="D184" s="122"/>
      <c r="E184" s="226">
        <f>F184</f>
        <v>2724229373.7800002</v>
      </c>
      <c r="F184" s="226">
        <f>2630608432+94420941.78-800000</f>
        <v>2724229373.7800002</v>
      </c>
      <c r="G184" s="226">
        <f>849422587+143550+5928000+86028.4+389900+20400+13948+160000+82000+748360</f>
        <v>856994773.39999998</v>
      </c>
      <c r="H184" s="226">
        <f>96770291+4000+2000+5000+427000+69535+5000</f>
        <v>97282826</v>
      </c>
      <c r="I184" s="226">
        <v>0</v>
      </c>
      <c r="J184" s="226">
        <f>L184+O184</f>
        <v>504816391.82999998</v>
      </c>
      <c r="K184" s="226">
        <f>254272789+115783217.83-31243.48-696803.04-490905.96+10077680+800000</f>
        <v>379714734.34999996</v>
      </c>
      <c r="L184" s="226">
        <f>131537535-24983+643666.04+146289.96-10077680+46216-15000</f>
        <v>122256044</v>
      </c>
      <c r="M184" s="226">
        <f>33043505-34100</f>
        <v>33009405</v>
      </c>
      <c r="N184" s="226">
        <v>8774975</v>
      </c>
      <c r="O184" s="226">
        <f>256695639+115783217.83+24983-643666.04-146289.96+10077680-46216+800000+15000</f>
        <v>382560347.82999998</v>
      </c>
      <c r="P184" s="226">
        <f>E184+J184</f>
        <v>3229045765.6100001</v>
      </c>
      <c r="Q184" s="12"/>
      <c r="R184" s="12"/>
    </row>
    <row r="185" spans="1:18" ht="45.75" x14ac:dyDescent="0.2">
      <c r="A185" s="121"/>
      <c r="B185" s="122"/>
      <c r="C185" s="122"/>
      <c r="D185" s="122"/>
      <c r="E185" s="122"/>
      <c r="F185" s="122"/>
      <c r="G185" s="122"/>
      <c r="H185" s="122"/>
      <c r="I185" s="122"/>
      <c r="J185" s="122"/>
      <c r="K185" s="122"/>
      <c r="L185" s="122"/>
      <c r="M185" s="122"/>
      <c r="N185" s="122"/>
      <c r="O185" s="122"/>
      <c r="P185" s="122"/>
      <c r="Q185" s="12"/>
    </row>
    <row r="186" spans="1:18" ht="45.75" x14ac:dyDescent="0.65">
      <c r="A186" s="7"/>
      <c r="B186" s="7"/>
      <c r="C186" s="7"/>
      <c r="D186" s="423" t="s">
        <v>946</v>
      </c>
      <c r="E186" s="423"/>
      <c r="F186" s="423"/>
      <c r="G186" s="423"/>
      <c r="H186" s="423"/>
      <c r="I186" s="423"/>
      <c r="J186" s="423"/>
      <c r="K186" s="423"/>
      <c r="L186" s="423"/>
      <c r="M186" s="423"/>
      <c r="N186" s="423"/>
      <c r="O186" s="423"/>
      <c r="P186" s="423"/>
      <c r="Q186" s="13"/>
    </row>
    <row r="187" spans="1:18" ht="45.75" x14ac:dyDescent="0.2">
      <c r="E187" s="24"/>
      <c r="F187" s="3"/>
      <c r="J187" s="222"/>
      <c r="K187" s="222"/>
      <c r="O187" s="133"/>
      <c r="P187" s="19"/>
    </row>
    <row r="188" spans="1:18" ht="45.75" x14ac:dyDescent="0.65">
      <c r="D188" s="423" t="s">
        <v>231</v>
      </c>
      <c r="E188" s="423"/>
      <c r="F188" s="423"/>
      <c r="G188" s="423"/>
      <c r="H188" s="423"/>
      <c r="I188" s="423"/>
      <c r="J188" s="423"/>
      <c r="K188" s="423"/>
      <c r="L188" s="423"/>
      <c r="M188" s="423"/>
      <c r="N188" s="423"/>
      <c r="O188" s="423"/>
      <c r="P188" s="423"/>
      <c r="Q188" s="14"/>
    </row>
    <row r="189" spans="1:18" x14ac:dyDescent="0.2">
      <c r="E189" s="4"/>
      <c r="F189" s="3"/>
      <c r="J189" s="4"/>
      <c r="K189" s="4"/>
    </row>
    <row r="190" spans="1:18" x14ac:dyDescent="0.2">
      <c r="E190" s="4"/>
      <c r="F190" s="3"/>
      <c r="J190" s="4"/>
      <c r="K190" s="4"/>
    </row>
    <row r="191" spans="1:18" ht="99.75" customHeight="1" x14ac:dyDescent="0.2">
      <c r="E191" s="119" t="b">
        <f>E184=E182</f>
        <v>1</v>
      </c>
      <c r="F191" s="119" t="b">
        <f>F184=F182</f>
        <v>1</v>
      </c>
      <c r="G191" s="119" t="b">
        <f>G184=G182</f>
        <v>1</v>
      </c>
      <c r="H191" s="119" t="b">
        <f t="shared" ref="H191:O191" si="163">H184=H182</f>
        <v>1</v>
      </c>
      <c r="I191" s="119" t="b">
        <f>I184=I182</f>
        <v>1</v>
      </c>
      <c r="J191" s="119" t="b">
        <f>J184=J182</f>
        <v>1</v>
      </c>
      <c r="K191" s="119" t="b">
        <f>K184=K182</f>
        <v>1</v>
      </c>
      <c r="L191" s="119" t="b">
        <f t="shared" si="163"/>
        <v>1</v>
      </c>
      <c r="M191" s="119" t="b">
        <f t="shared" si="163"/>
        <v>1</v>
      </c>
      <c r="N191" s="119" t="b">
        <f t="shared" si="163"/>
        <v>1</v>
      </c>
      <c r="O191" s="119" t="b">
        <f t="shared" si="163"/>
        <v>1</v>
      </c>
      <c r="P191" s="119" t="b">
        <f>P184=P182</f>
        <v>1</v>
      </c>
    </row>
    <row r="192" spans="1:18" ht="60.75" x14ac:dyDescent="0.55000000000000004">
      <c r="E192" s="19"/>
      <c r="F192" s="12"/>
      <c r="G192" s="3"/>
      <c r="I192" s="115"/>
      <c r="J192" s="223"/>
      <c r="K192" s="223"/>
      <c r="L192" s="119">
        <f>L182-L184</f>
        <v>0</v>
      </c>
      <c r="M192" s="115"/>
      <c r="N192" s="115"/>
      <c r="O192" s="119">
        <f>O182-O184</f>
        <v>0</v>
      </c>
      <c r="P192" s="14" t="b">
        <f>E182+J182=P182</f>
        <v>1</v>
      </c>
    </row>
    <row r="193" spans="1:18" x14ac:dyDescent="0.2">
      <c r="E193" s="6"/>
      <c r="F193" s="184"/>
      <c r="G193" s="6"/>
      <c r="H193" s="6"/>
      <c r="I193" s="6"/>
      <c r="J193" s="4"/>
      <c r="K193" s="4"/>
    </row>
    <row r="194" spans="1:18" ht="45.75" x14ac:dyDescent="0.2">
      <c r="A194"/>
      <c r="B194"/>
      <c r="C194"/>
      <c r="D194" s="10"/>
      <c r="E194" s="152" t="b">
        <f>E182=F182</f>
        <v>1</v>
      </c>
      <c r="F194" s="133">
        <f>F180/P182*100</f>
        <v>3.0008865477227011E-2</v>
      </c>
      <c r="G194" s="133" t="s">
        <v>497</v>
      </c>
      <c r="I194" s="10"/>
      <c r="J194" s="152"/>
      <c r="K194" s="152"/>
      <c r="L194"/>
      <c r="M194"/>
      <c r="N194"/>
      <c r="O194"/>
      <c r="P194"/>
    </row>
    <row r="195" spans="1:18" ht="60.75" x14ac:dyDescent="0.2">
      <c r="D195" s="10"/>
      <c r="E195" s="152"/>
      <c r="F195" s="119">
        <f>F184-F182</f>
        <v>0</v>
      </c>
      <c r="G195" s="23"/>
      <c r="I195" s="10"/>
      <c r="J195" s="152"/>
      <c r="K195" s="152"/>
      <c r="P195" s="119"/>
      <c r="Q195" s="120"/>
      <c r="R195" s="119"/>
    </row>
    <row r="196" spans="1:18" ht="60.75" x14ac:dyDescent="0.2">
      <c r="A196"/>
      <c r="B196"/>
      <c r="C196"/>
      <c r="D196" s="10"/>
      <c r="E196" s="152"/>
      <c r="F196" s="133"/>
      <c r="G196" s="3"/>
      <c r="I196" s="10"/>
      <c r="J196" s="152"/>
      <c r="K196" s="152"/>
      <c r="L196"/>
      <c r="M196"/>
      <c r="N196"/>
      <c r="O196"/>
      <c r="P196" s="119"/>
      <c r="Q196" s="120"/>
      <c r="R196" s="119"/>
    </row>
    <row r="197" spans="1:18" ht="60.75" x14ac:dyDescent="0.2">
      <c r="D197" s="10"/>
      <c r="E197" s="152"/>
      <c r="F197" s="185"/>
      <c r="P197" s="119"/>
    </row>
    <row r="198" spans="1:18" ht="60.75" x14ac:dyDescent="0.2">
      <c r="A198"/>
      <c r="B198"/>
      <c r="C198"/>
      <c r="D198" s="10"/>
      <c r="E198" s="152"/>
      <c r="F198" s="133"/>
      <c r="G198" s="3"/>
      <c r="J198" s="4"/>
      <c r="K198" s="4"/>
      <c r="L198"/>
      <c r="M198"/>
      <c r="N198"/>
      <c r="O198"/>
      <c r="P198" s="119"/>
    </row>
    <row r="199" spans="1:18" ht="62.25" x14ac:dyDescent="0.8">
      <c r="A199"/>
      <c r="B199"/>
      <c r="C199"/>
      <c r="D199"/>
      <c r="E199" s="21"/>
      <c r="F199" s="133"/>
      <c r="J199" s="4"/>
      <c r="K199" s="4"/>
      <c r="L199"/>
      <c r="M199"/>
      <c r="N199"/>
      <c r="O199"/>
      <c r="P199" s="159"/>
    </row>
    <row r="200" spans="1:18" ht="45.75" x14ac:dyDescent="0.2">
      <c r="E200" s="22"/>
      <c r="F200" s="185"/>
    </row>
    <row r="201" spans="1:18" ht="45.75" x14ac:dyDescent="0.2">
      <c r="A201"/>
      <c r="B201"/>
      <c r="C201"/>
      <c r="D201"/>
      <c r="E201" s="21"/>
      <c r="F201" s="133"/>
      <c r="L201"/>
      <c r="M201"/>
      <c r="N201"/>
      <c r="O201"/>
      <c r="P201"/>
    </row>
    <row r="202" spans="1:18" ht="45.75" x14ac:dyDescent="0.2">
      <c r="E202" s="22"/>
      <c r="F202" s="185"/>
    </row>
    <row r="203" spans="1:18" ht="45.75" x14ac:dyDescent="0.2">
      <c r="E203" s="22"/>
      <c r="F203" s="185"/>
    </row>
    <row r="204" spans="1:18" ht="45.75" x14ac:dyDescent="0.2">
      <c r="E204" s="22"/>
      <c r="F204" s="185"/>
    </row>
    <row r="205" spans="1:18" ht="45.75" x14ac:dyDescent="0.2">
      <c r="A205"/>
      <c r="B205"/>
      <c r="C205"/>
      <c r="D205"/>
      <c r="E205" s="22"/>
      <c r="F205" s="185"/>
      <c r="G205"/>
      <c r="H205"/>
      <c r="I205"/>
      <c r="J205"/>
      <c r="K205"/>
      <c r="L205"/>
      <c r="M205"/>
      <c r="N205"/>
      <c r="O205"/>
      <c r="P205"/>
    </row>
    <row r="206" spans="1:18" ht="45.75" x14ac:dyDescent="0.2">
      <c r="A206"/>
      <c r="B206"/>
      <c r="C206"/>
      <c r="D206"/>
      <c r="E206" s="22"/>
      <c r="F206" s="185"/>
      <c r="G206"/>
      <c r="H206"/>
      <c r="I206"/>
      <c r="J206"/>
      <c r="K206"/>
      <c r="L206"/>
      <c r="M206"/>
      <c r="N206"/>
      <c r="O206"/>
      <c r="P206"/>
    </row>
    <row r="207" spans="1:18" ht="45.75" x14ac:dyDescent="0.2">
      <c r="A207"/>
      <c r="B207"/>
      <c r="C207"/>
      <c r="D207"/>
      <c r="E207" s="22"/>
      <c r="F207" s="185"/>
      <c r="G207"/>
      <c r="H207"/>
      <c r="I207"/>
      <c r="J207"/>
      <c r="K207"/>
      <c r="L207"/>
      <c r="M207"/>
      <c r="N207"/>
      <c r="O207"/>
      <c r="P207"/>
    </row>
    <row r="208" spans="1:18" ht="45.75" x14ac:dyDescent="0.2">
      <c r="A208"/>
      <c r="B208"/>
      <c r="C208"/>
      <c r="D208"/>
      <c r="E208" s="22"/>
      <c r="F208" s="185"/>
      <c r="G208"/>
      <c r="H208"/>
      <c r="I208"/>
      <c r="J208"/>
      <c r="K208"/>
      <c r="L208"/>
      <c r="M208"/>
      <c r="N208"/>
      <c r="O208"/>
      <c r="P208"/>
    </row>
  </sheetData>
  <mergeCells count="99">
    <mergeCell ref="K96:K97"/>
    <mergeCell ref="E78:E79"/>
    <mergeCell ref="F78:F79"/>
    <mergeCell ref="G78:G79"/>
    <mergeCell ref="H78:H79"/>
    <mergeCell ref="I78:I79"/>
    <mergeCell ref="E89:E91"/>
    <mergeCell ref="F89:F91"/>
    <mergeCell ref="J89:J91"/>
    <mergeCell ref="K89:K91"/>
    <mergeCell ref="P89:P91"/>
    <mergeCell ref="L19:L20"/>
    <mergeCell ref="P19:P20"/>
    <mergeCell ref="M19:M20"/>
    <mergeCell ref="N19:N20"/>
    <mergeCell ref="M89:M91"/>
    <mergeCell ref="N89:N91"/>
    <mergeCell ref="O78:O79"/>
    <mergeCell ref="P78:P79"/>
    <mergeCell ref="L78:L79"/>
    <mergeCell ref="L89:L91"/>
    <mergeCell ref="O89:O91"/>
    <mergeCell ref="O19:O20"/>
    <mergeCell ref="N78:N79"/>
    <mergeCell ref="A9:A11"/>
    <mergeCell ref="A7:P7"/>
    <mergeCell ref="M10:N10"/>
    <mergeCell ref="B9:B11"/>
    <mergeCell ref="C9:C11"/>
    <mergeCell ref="E9:I9"/>
    <mergeCell ref="G10:H10"/>
    <mergeCell ref="F10:F11"/>
    <mergeCell ref="D9:D11"/>
    <mergeCell ref="K10:K11"/>
    <mergeCell ref="J10:J11"/>
    <mergeCell ref="O10:O11"/>
    <mergeCell ref="I10:I11"/>
    <mergeCell ref="J9:O9"/>
    <mergeCell ref="L10:L11"/>
    <mergeCell ref="D188:P188"/>
    <mergeCell ref="D186:P186"/>
    <mergeCell ref="A183:P183"/>
    <mergeCell ref="E96:E97"/>
    <mergeCell ref="F96:F97"/>
    <mergeCell ref="M96:M97"/>
    <mergeCell ref="N96:N97"/>
    <mergeCell ref="P96:P97"/>
    <mergeCell ref="G96:G97"/>
    <mergeCell ref="O96:O97"/>
    <mergeCell ref="P142:P143"/>
    <mergeCell ref="A142:A143"/>
    <mergeCell ref="B142:B143"/>
    <mergeCell ref="C142:C143"/>
    <mergeCell ref="E142:E143"/>
    <mergeCell ref="F142:F143"/>
    <mergeCell ref="A19:A20"/>
    <mergeCell ref="B19:B20"/>
    <mergeCell ref="C19:C20"/>
    <mergeCell ref="A96:A97"/>
    <mergeCell ref="B96:B97"/>
    <mergeCell ref="C96:C97"/>
    <mergeCell ref="A89:A91"/>
    <mergeCell ref="B89:B91"/>
    <mergeCell ref="C89:C91"/>
    <mergeCell ref="A78:A79"/>
    <mergeCell ref="B78:B79"/>
    <mergeCell ref="C78:C79"/>
    <mergeCell ref="E19:E20"/>
    <mergeCell ref="L142:L143"/>
    <mergeCell ref="M142:M143"/>
    <mergeCell ref="I89:I91"/>
    <mergeCell ref="F19:F20"/>
    <mergeCell ref="G19:G20"/>
    <mergeCell ref="H19:H20"/>
    <mergeCell ref="I19:I20"/>
    <mergeCell ref="J78:J79"/>
    <mergeCell ref="K78:K79"/>
    <mergeCell ref="H96:H97"/>
    <mergeCell ref="I96:I97"/>
    <mergeCell ref="J96:J97"/>
    <mergeCell ref="L96:L97"/>
    <mergeCell ref="J19:J20"/>
    <mergeCell ref="M78:M79"/>
    <mergeCell ref="N142:N143"/>
    <mergeCell ref="O142:O143"/>
    <mergeCell ref="N2:Q2"/>
    <mergeCell ref="N3:Q3"/>
    <mergeCell ref="O4:P4"/>
    <mergeCell ref="P9:P11"/>
    <mergeCell ref="A6:P6"/>
    <mergeCell ref="E10:E11"/>
    <mergeCell ref="G142:G143"/>
    <mergeCell ref="H142:H143"/>
    <mergeCell ref="I142:I143"/>
    <mergeCell ref="J142:J143"/>
    <mergeCell ref="K142:K143"/>
    <mergeCell ref="K19:K20"/>
    <mergeCell ref="G89:G91"/>
    <mergeCell ref="H89:H91"/>
  </mergeCells>
  <phoneticPr fontId="0" type="noConversion"/>
  <conditionalFormatting sqref="Q155:R156">
    <cfRule type="iconSet" priority="8">
      <iconSet iconSet="3Arrows">
        <cfvo type="percent" val="0"/>
        <cfvo type="percent" val="33"/>
        <cfvo type="percent" val="67"/>
      </iconSet>
    </cfRule>
  </conditionalFormatting>
  <conditionalFormatting sqref="Q166:R167">
    <cfRule type="iconSet" priority="6">
      <iconSet iconSet="3Arrows">
        <cfvo type="percent" val="0"/>
        <cfvo type="percent" val="33"/>
        <cfvo type="percent" val="67"/>
      </iconSet>
    </cfRule>
  </conditionalFormatting>
  <conditionalFormatting sqref="Q178:R178 Q177">
    <cfRule type="iconSet" priority="4">
      <iconSet iconSet="3Arrows">
        <cfvo type="percent" val="0"/>
        <cfvo type="percent" val="33"/>
        <cfvo type="percent" val="67"/>
      </iconSet>
    </cfRule>
  </conditionalFormatting>
  <conditionalFormatting sqref="Q172:R173">
    <cfRule type="iconSet" priority="3">
      <iconSet iconSet="3Arrows">
        <cfvo type="percent" val="0"/>
        <cfvo type="percent" val="33"/>
        <cfvo type="percent" val="67"/>
      </iconSet>
    </cfRule>
  </conditionalFormatting>
  <conditionalFormatting sqref="R177">
    <cfRule type="iconSet" priority="2">
      <iconSet iconSet="3Arrows">
        <cfvo type="percent" val="0"/>
        <cfvo type="percent" val="33"/>
        <cfvo type="percent" val="67"/>
      </iconSet>
    </cfRule>
  </conditionalFormatting>
  <conditionalFormatting sqref="Q159:R159">
    <cfRule type="iconSet" priority="9">
      <iconSet iconSet="3Arrows">
        <cfvo type="percent" val="0"/>
        <cfvo type="percent" val="33"/>
        <cfvo type="percent" val="67"/>
      </iconSet>
    </cfRule>
  </conditionalFormatting>
  <conditionalFormatting sqref="R160:R164">
    <cfRule type="iconSet" priority="1">
      <iconSet iconSet="3Arrows">
        <cfvo type="percent" val="0"/>
        <cfvo type="percent" val="33"/>
        <cfvo type="percent" val="67"/>
      </iconSet>
    </cfRule>
  </conditionalFormatting>
  <pageMargins left="0.23622047244094491" right="0.27559055118110237" top="0.27559055118110237" bottom="0.15748031496062992" header="0.23622047244094491" footer="0.27559055118110237"/>
  <pageSetup paperSize="9" scale="15" fitToHeight="0" orientation="landscape" r:id="rId1"/>
  <headerFooter alignWithMargins="0">
    <oddFooter>&amp;C&amp;"Times New Roman Cyr,курсив"Сторінка &amp;P з &amp;N</oddFooter>
  </headerFooter>
  <rowBreaks count="2" manualBreakCount="2">
    <brk id="49" max="15" man="1"/>
    <brk id="70"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Q158"/>
  <sheetViews>
    <sheetView showGridLines="0" showZeros="0" view="pageBreakPreview" topLeftCell="B1" zoomScale="85" zoomScaleNormal="85" zoomScaleSheetLayoutView="85" workbookViewId="0">
      <selection activeCell="D15" sqref="D15:P15"/>
    </sheetView>
  </sheetViews>
  <sheetFormatPr defaultColWidth="7.85546875" defaultRowHeight="12.75" x14ac:dyDescent="0.2"/>
  <cols>
    <col min="1" max="1" width="0" style="16" hidden="1" customWidth="1"/>
    <col min="2" max="2" width="13" style="86" customWidth="1"/>
    <col min="3" max="3" width="12.42578125" style="86" customWidth="1"/>
    <col min="4" max="4" width="15.28515625" style="86" customWidth="1"/>
    <col min="5" max="5" width="37" style="86" customWidth="1"/>
    <col min="6" max="6" width="10.5703125" style="86" customWidth="1"/>
    <col min="7" max="7" width="11.85546875" style="86" customWidth="1"/>
    <col min="8" max="8" width="13.28515625" style="86" customWidth="1"/>
    <col min="9" max="9" width="12.5703125" style="86" customWidth="1"/>
    <col min="10" max="10" width="12.140625" style="86" customWidth="1"/>
    <col min="11" max="11" width="18.140625" style="86" customWidth="1"/>
    <col min="12" max="12" width="13.5703125" style="86" customWidth="1"/>
    <col min="13" max="13" width="13" style="86" customWidth="1"/>
    <col min="14" max="14" width="11.42578125" style="86" customWidth="1"/>
    <col min="15" max="15" width="12.7109375" style="86" customWidth="1"/>
    <col min="16" max="16" width="12.5703125" style="86" customWidth="1"/>
    <col min="17" max="17" width="12.7109375" style="86" customWidth="1"/>
    <col min="18" max="16384" width="7.85546875" style="86"/>
  </cols>
  <sheetData>
    <row r="2" spans="1:17" ht="64.5" customHeight="1" x14ac:dyDescent="0.2">
      <c r="B2" s="16"/>
      <c r="C2" s="16"/>
      <c r="D2" s="16"/>
      <c r="M2" s="441" t="s">
        <v>942</v>
      </c>
      <c r="N2" s="441"/>
      <c r="O2" s="441"/>
      <c r="P2" s="441"/>
      <c r="Q2" s="441"/>
    </row>
    <row r="3" spans="1:17" ht="32.450000000000003" customHeight="1" x14ac:dyDescent="0.2">
      <c r="B3" s="16"/>
      <c r="C3" s="16"/>
      <c r="D3" s="16"/>
      <c r="E3" s="442" t="s">
        <v>663</v>
      </c>
      <c r="F3" s="442"/>
      <c r="G3" s="442"/>
      <c r="H3" s="442"/>
      <c r="I3" s="442"/>
      <c r="J3" s="442"/>
      <c r="K3" s="442"/>
      <c r="L3" s="442"/>
      <c r="M3" s="442"/>
      <c r="N3" s="88"/>
      <c r="O3" s="88"/>
      <c r="P3" s="88"/>
      <c r="Q3" s="88"/>
    </row>
    <row r="4" spans="1:17" ht="12" customHeight="1" x14ac:dyDescent="0.3">
      <c r="B4" s="89"/>
      <c r="C4" s="89"/>
      <c r="D4" s="90"/>
      <c r="E4" s="442"/>
      <c r="F4" s="442"/>
      <c r="G4" s="442"/>
      <c r="H4" s="442"/>
      <c r="I4" s="442"/>
      <c r="J4" s="442"/>
      <c r="K4" s="442"/>
      <c r="L4" s="442"/>
      <c r="M4" s="442"/>
      <c r="N4" s="16"/>
      <c r="O4" s="16"/>
      <c r="P4" s="16"/>
      <c r="Q4" s="91"/>
    </row>
    <row r="5" spans="1:17" ht="21" customHeight="1" x14ac:dyDescent="0.3">
      <c r="B5" s="89"/>
      <c r="C5" s="89"/>
      <c r="D5" s="90"/>
      <c r="E5" s="87"/>
      <c r="F5" s="87"/>
      <c r="G5" s="87"/>
      <c r="H5" s="87"/>
      <c r="I5" s="87"/>
      <c r="J5" s="87"/>
      <c r="K5" s="87"/>
      <c r="L5" s="87"/>
      <c r="M5" s="87"/>
      <c r="N5" s="16"/>
      <c r="O5" s="16"/>
      <c r="P5" s="16"/>
      <c r="Q5" s="186" t="s">
        <v>658</v>
      </c>
    </row>
    <row r="6" spans="1:17" ht="30.75" customHeight="1" x14ac:dyDescent="0.2">
      <c r="A6" s="92"/>
      <c r="B6" s="445" t="s">
        <v>29</v>
      </c>
      <c r="C6" s="446" t="s">
        <v>661</v>
      </c>
      <c r="D6" s="446" t="s">
        <v>668</v>
      </c>
      <c r="E6" s="446" t="s">
        <v>662</v>
      </c>
      <c r="F6" s="443" t="s">
        <v>187</v>
      </c>
      <c r="G6" s="443"/>
      <c r="H6" s="443"/>
      <c r="I6" s="443"/>
      <c r="J6" s="443" t="s">
        <v>188</v>
      </c>
      <c r="K6" s="443"/>
      <c r="L6" s="443"/>
      <c r="M6" s="443"/>
      <c r="N6" s="443" t="s">
        <v>667</v>
      </c>
      <c r="O6" s="443"/>
      <c r="P6" s="443"/>
      <c r="Q6" s="443"/>
    </row>
    <row r="7" spans="1:17" ht="28.5" customHeight="1" x14ac:dyDescent="0.2">
      <c r="A7" s="93"/>
      <c r="B7" s="445"/>
      <c r="C7" s="447"/>
      <c r="D7" s="447"/>
      <c r="E7" s="448"/>
      <c r="F7" s="438" t="s">
        <v>664</v>
      </c>
      <c r="G7" s="438" t="s">
        <v>665</v>
      </c>
      <c r="H7" s="439"/>
      <c r="I7" s="438" t="s">
        <v>666</v>
      </c>
      <c r="J7" s="438" t="s">
        <v>664</v>
      </c>
      <c r="K7" s="438" t="s">
        <v>665</v>
      </c>
      <c r="L7" s="439"/>
      <c r="M7" s="438" t="s">
        <v>666</v>
      </c>
      <c r="N7" s="438" t="s">
        <v>664</v>
      </c>
      <c r="O7" s="438" t="s">
        <v>665</v>
      </c>
      <c r="P7" s="439"/>
      <c r="Q7" s="438" t="s">
        <v>666</v>
      </c>
    </row>
    <row r="8" spans="1:17" ht="50.25" customHeight="1" x14ac:dyDescent="0.2">
      <c r="A8" s="86"/>
      <c r="B8" s="445"/>
      <c r="C8" s="447"/>
      <c r="D8" s="447"/>
      <c r="E8" s="447"/>
      <c r="F8" s="438"/>
      <c r="G8" s="191" t="s">
        <v>654</v>
      </c>
      <c r="H8" s="191" t="s">
        <v>655</v>
      </c>
      <c r="I8" s="438"/>
      <c r="J8" s="438"/>
      <c r="K8" s="191" t="s">
        <v>654</v>
      </c>
      <c r="L8" s="191" t="s">
        <v>655</v>
      </c>
      <c r="M8" s="438"/>
      <c r="N8" s="438"/>
      <c r="O8" s="191" t="s">
        <v>654</v>
      </c>
      <c r="P8" s="191" t="s">
        <v>655</v>
      </c>
      <c r="Q8" s="438"/>
    </row>
    <row r="9" spans="1:17" ht="15" customHeight="1" x14ac:dyDescent="0.2">
      <c r="A9" s="86"/>
      <c r="B9" s="17">
        <v>1</v>
      </c>
      <c r="C9" s="192">
        <v>2</v>
      </c>
      <c r="D9" s="17">
        <v>3</v>
      </c>
      <c r="E9" s="192">
        <v>4</v>
      </c>
      <c r="F9" s="17">
        <v>5</v>
      </c>
      <c r="G9" s="192">
        <v>6</v>
      </c>
      <c r="H9" s="17">
        <v>7</v>
      </c>
      <c r="I9" s="192">
        <v>8</v>
      </c>
      <c r="J9" s="17">
        <v>9</v>
      </c>
      <c r="K9" s="192">
        <v>10</v>
      </c>
      <c r="L9" s="17">
        <v>11</v>
      </c>
      <c r="M9" s="192">
        <v>12</v>
      </c>
      <c r="N9" s="17">
        <v>13</v>
      </c>
      <c r="O9" s="192">
        <v>14</v>
      </c>
      <c r="P9" s="17">
        <v>15</v>
      </c>
      <c r="Q9" s="192">
        <v>16</v>
      </c>
    </row>
    <row r="10" spans="1:17" s="95" customFormat="1" ht="45" x14ac:dyDescent="0.2">
      <c r="A10" s="94"/>
      <c r="B10" s="211" t="s">
        <v>40</v>
      </c>
      <c r="C10" s="211"/>
      <c r="D10" s="211"/>
      <c r="E10" s="212" t="s">
        <v>41</v>
      </c>
      <c r="F10" s="213">
        <f>F11</f>
        <v>260000</v>
      </c>
      <c r="G10" s="213">
        <f t="shared" ref="G10:Q10" si="0">G11</f>
        <v>90000</v>
      </c>
      <c r="H10" s="213">
        <f t="shared" si="0"/>
        <v>0</v>
      </c>
      <c r="I10" s="213">
        <f t="shared" si="0"/>
        <v>350000</v>
      </c>
      <c r="J10" s="213">
        <f t="shared" si="0"/>
        <v>0</v>
      </c>
      <c r="K10" s="213">
        <f t="shared" si="0"/>
        <v>-90000</v>
      </c>
      <c r="L10" s="213">
        <f t="shared" si="0"/>
        <v>0</v>
      </c>
      <c r="M10" s="213">
        <f t="shared" si="0"/>
        <v>-90000</v>
      </c>
      <c r="N10" s="213">
        <f t="shared" si="0"/>
        <v>260000</v>
      </c>
      <c r="O10" s="213">
        <f t="shared" si="0"/>
        <v>0</v>
      </c>
      <c r="P10" s="213">
        <f t="shared" si="0"/>
        <v>0</v>
      </c>
      <c r="Q10" s="213">
        <f t="shared" si="0"/>
        <v>260000</v>
      </c>
    </row>
    <row r="11" spans="1:17" ht="42.75" x14ac:dyDescent="0.2">
      <c r="B11" s="208" t="s">
        <v>39</v>
      </c>
      <c r="C11" s="208"/>
      <c r="D11" s="208"/>
      <c r="E11" s="209" t="s">
        <v>58</v>
      </c>
      <c r="F11" s="210">
        <f>F12</f>
        <v>260000</v>
      </c>
      <c r="G11" s="210">
        <f t="shared" ref="G11:I11" si="1">G12</f>
        <v>90000</v>
      </c>
      <c r="H11" s="210">
        <f t="shared" si="1"/>
        <v>0</v>
      </c>
      <c r="I11" s="210">
        <f t="shared" si="1"/>
        <v>350000</v>
      </c>
      <c r="J11" s="210">
        <f>J13</f>
        <v>0</v>
      </c>
      <c r="K11" s="210">
        <f t="shared" ref="K11:M11" si="2">K13</f>
        <v>-90000</v>
      </c>
      <c r="L11" s="210">
        <f t="shared" si="2"/>
        <v>0</v>
      </c>
      <c r="M11" s="210">
        <f t="shared" si="2"/>
        <v>-90000</v>
      </c>
      <c r="N11" s="210">
        <f>F11+J11</f>
        <v>260000</v>
      </c>
      <c r="O11" s="210">
        <f t="shared" ref="O11:Q11" si="3">G11+K11</f>
        <v>0</v>
      </c>
      <c r="P11" s="210">
        <f t="shared" si="3"/>
        <v>0</v>
      </c>
      <c r="Q11" s="210">
        <f t="shared" si="3"/>
        <v>260000</v>
      </c>
    </row>
    <row r="12" spans="1:17" ht="60" x14ac:dyDescent="0.2">
      <c r="B12" s="205" t="s">
        <v>597</v>
      </c>
      <c r="C12" s="205" t="s">
        <v>599</v>
      </c>
      <c r="D12" s="205" t="s">
        <v>79</v>
      </c>
      <c r="E12" s="206" t="s">
        <v>814</v>
      </c>
      <c r="F12" s="207">
        <v>260000</v>
      </c>
      <c r="G12" s="207">
        <v>90000</v>
      </c>
      <c r="H12" s="207">
        <v>0</v>
      </c>
      <c r="I12" s="207">
        <f>F12+G12</f>
        <v>350000</v>
      </c>
      <c r="J12" s="207">
        <v>0</v>
      </c>
      <c r="K12" s="207">
        <v>0</v>
      </c>
      <c r="L12" s="207"/>
      <c r="M12" s="207">
        <f>J12+K12</f>
        <v>0</v>
      </c>
      <c r="N12" s="207">
        <f>F12+J12</f>
        <v>260000</v>
      </c>
      <c r="O12" s="207">
        <f>G12+K12</f>
        <v>90000</v>
      </c>
      <c r="P12" s="207" t="s">
        <v>189</v>
      </c>
      <c r="Q12" s="207">
        <f>I12+M12</f>
        <v>350000</v>
      </c>
    </row>
    <row r="13" spans="1:17" ht="60" x14ac:dyDescent="0.2">
      <c r="B13" s="205" t="s">
        <v>598</v>
      </c>
      <c r="C13" s="205" t="s">
        <v>600</v>
      </c>
      <c r="D13" s="205" t="s">
        <v>79</v>
      </c>
      <c r="E13" s="206" t="s">
        <v>815</v>
      </c>
      <c r="F13" s="207"/>
      <c r="G13" s="207">
        <f>H13+I13</f>
        <v>0</v>
      </c>
      <c r="H13" s="207"/>
      <c r="I13" s="207"/>
      <c r="J13" s="207"/>
      <c r="K13" s="207">
        <v>-90000</v>
      </c>
      <c r="L13" s="207"/>
      <c r="M13" s="207">
        <f>J13+K13</f>
        <v>-90000</v>
      </c>
      <c r="N13" s="207">
        <f>F13+J13</f>
        <v>0</v>
      </c>
      <c r="O13" s="207">
        <f>G13+K13</f>
        <v>-90000</v>
      </c>
      <c r="P13" s="207" t="s">
        <v>189</v>
      </c>
      <c r="Q13" s="207">
        <f>I13+M13</f>
        <v>-90000</v>
      </c>
    </row>
    <row r="14" spans="1:17" ht="27.75" customHeight="1" x14ac:dyDescent="0.2">
      <c r="B14" s="144" t="s">
        <v>651</v>
      </c>
      <c r="C14" s="144" t="s">
        <v>651</v>
      </c>
      <c r="D14" s="190" t="s">
        <v>651</v>
      </c>
      <c r="E14" s="187" t="s">
        <v>669</v>
      </c>
      <c r="F14" s="145">
        <f>F10</f>
        <v>260000</v>
      </c>
      <c r="G14" s="145">
        <f>H14+I14</f>
        <v>350000</v>
      </c>
      <c r="H14" s="145">
        <f t="shared" ref="H14:I14" si="4">H10</f>
        <v>0</v>
      </c>
      <c r="I14" s="145">
        <f t="shared" si="4"/>
        <v>350000</v>
      </c>
      <c r="J14" s="145">
        <f>J10</f>
        <v>0</v>
      </c>
      <c r="K14" s="145">
        <f>K10</f>
        <v>-90000</v>
      </c>
      <c r="L14" s="145">
        <f>L10</f>
        <v>0</v>
      </c>
      <c r="M14" s="145">
        <f t="shared" ref="M14:Q14" si="5">M10</f>
        <v>-90000</v>
      </c>
      <c r="N14" s="145">
        <f t="shared" si="5"/>
        <v>260000</v>
      </c>
      <c r="O14" s="145">
        <f t="shared" si="5"/>
        <v>0</v>
      </c>
      <c r="P14" s="145">
        <f t="shared" si="5"/>
        <v>0</v>
      </c>
      <c r="Q14" s="145">
        <f t="shared" si="5"/>
        <v>260000</v>
      </c>
    </row>
    <row r="15" spans="1:17" ht="27.75" customHeight="1" x14ac:dyDescent="0.25">
      <c r="B15" s="166"/>
      <c r="C15" s="166"/>
      <c r="D15" s="440" t="s">
        <v>946</v>
      </c>
      <c r="E15" s="440"/>
      <c r="F15" s="440"/>
      <c r="G15" s="440"/>
      <c r="H15" s="440"/>
      <c r="I15" s="440"/>
      <c r="J15" s="440"/>
      <c r="K15" s="440"/>
      <c r="L15" s="440"/>
      <c r="M15" s="440"/>
      <c r="N15" s="440"/>
      <c r="O15" s="440"/>
      <c r="P15" s="440"/>
      <c r="Q15" s="167"/>
    </row>
    <row r="16" spans="1:17" ht="15.75" customHeight="1" x14ac:dyDescent="0.25">
      <c r="B16" s="166"/>
      <c r="C16" s="166"/>
      <c r="D16" s="440"/>
      <c r="E16" s="440"/>
      <c r="F16" s="440"/>
      <c r="G16" s="440"/>
      <c r="H16" s="440"/>
      <c r="I16" s="440"/>
      <c r="J16" s="440"/>
      <c r="K16" s="440"/>
      <c r="L16" s="440"/>
      <c r="M16" s="440"/>
      <c r="N16" s="440"/>
      <c r="O16" s="440"/>
      <c r="P16" s="440"/>
      <c r="Q16" s="167"/>
    </row>
    <row r="17" spans="4:16" ht="15" x14ac:dyDescent="0.25">
      <c r="D17" s="440" t="s">
        <v>231</v>
      </c>
      <c r="E17" s="440"/>
      <c r="F17" s="440"/>
      <c r="G17" s="440"/>
      <c r="H17" s="440"/>
      <c r="I17" s="440"/>
      <c r="J17" s="440"/>
      <c r="K17" s="440"/>
      <c r="L17" s="440"/>
      <c r="M17" s="440"/>
      <c r="N17" s="440"/>
      <c r="O17" s="440"/>
      <c r="P17" s="440"/>
    </row>
    <row r="18" spans="4:16" ht="15" x14ac:dyDescent="0.25">
      <c r="D18" s="440"/>
      <c r="E18" s="440"/>
      <c r="F18" s="440"/>
      <c r="G18" s="440"/>
      <c r="H18" s="440"/>
      <c r="I18" s="440"/>
      <c r="J18" s="440"/>
      <c r="K18" s="440"/>
      <c r="L18" s="440"/>
      <c r="M18" s="440"/>
      <c r="N18" s="440"/>
      <c r="O18" s="440"/>
      <c r="P18" s="440"/>
    </row>
    <row r="19" spans="4:16" ht="15" x14ac:dyDescent="0.2">
      <c r="D19" s="168"/>
      <c r="E19" s="169"/>
      <c r="F19" s="170"/>
      <c r="G19" s="168">
        <f>H19+I19</f>
        <v>0</v>
      </c>
      <c r="H19" s="168"/>
      <c r="I19" s="171"/>
      <c r="J19" s="169"/>
      <c r="K19" s="171"/>
      <c r="L19" s="168"/>
      <c r="M19" s="168"/>
      <c r="N19" s="171"/>
      <c r="O19" s="172"/>
      <c r="P19" s="173"/>
    </row>
    <row r="20" spans="4:16" ht="15" x14ac:dyDescent="0.25">
      <c r="D20" s="174"/>
      <c r="E20" s="174"/>
      <c r="F20" s="174"/>
      <c r="G20" s="174">
        <f>H20+I20</f>
        <v>0</v>
      </c>
      <c r="H20" s="174"/>
      <c r="I20" s="174"/>
      <c r="J20" s="174"/>
      <c r="K20" s="174"/>
      <c r="L20" s="174"/>
      <c r="M20" s="174"/>
      <c r="N20" s="174"/>
      <c r="O20" s="174"/>
      <c r="P20" s="174"/>
    </row>
    <row r="21" spans="4:16" x14ac:dyDescent="0.2">
      <c r="G21" s="86">
        <f>H21+I21</f>
        <v>0</v>
      </c>
    </row>
    <row r="22" spans="4:16" x14ac:dyDescent="0.2">
      <c r="G22" s="86">
        <f>H22+I22</f>
        <v>0</v>
      </c>
    </row>
    <row r="23" spans="4:16" x14ac:dyDescent="0.2">
      <c r="G23" s="86">
        <f>H23+I23</f>
        <v>0</v>
      </c>
    </row>
    <row r="45" spans="7:7" x14ac:dyDescent="0.2">
      <c r="G45" s="86">
        <f>H45+I45</f>
        <v>0</v>
      </c>
    </row>
    <row r="47" spans="7:7" x14ac:dyDescent="0.2">
      <c r="G47" s="86">
        <f t="shared" ref="G47:G65" si="6">H47+I47</f>
        <v>0</v>
      </c>
    </row>
    <row r="48" spans="7:7" x14ac:dyDescent="0.2">
      <c r="G48" s="86">
        <f t="shared" si="6"/>
        <v>0</v>
      </c>
    </row>
    <row r="49" spans="7:7" x14ac:dyDescent="0.2">
      <c r="G49" s="86">
        <f t="shared" si="6"/>
        <v>0</v>
      </c>
    </row>
    <row r="50" spans="7:7" x14ac:dyDescent="0.2">
      <c r="G50" s="86">
        <f t="shared" si="6"/>
        <v>0</v>
      </c>
    </row>
    <row r="51" spans="7:7" x14ac:dyDescent="0.2">
      <c r="G51" s="86">
        <f t="shared" si="6"/>
        <v>0</v>
      </c>
    </row>
    <row r="52" spans="7:7" x14ac:dyDescent="0.2">
      <c r="G52" s="86">
        <f t="shared" si="6"/>
        <v>0</v>
      </c>
    </row>
    <row r="53" spans="7:7" x14ac:dyDescent="0.2">
      <c r="G53" s="86">
        <f t="shared" si="6"/>
        <v>0</v>
      </c>
    </row>
    <row r="54" spans="7:7" x14ac:dyDescent="0.2">
      <c r="G54" s="86">
        <f t="shared" si="6"/>
        <v>0</v>
      </c>
    </row>
    <row r="55" spans="7:7" x14ac:dyDescent="0.2">
      <c r="G55" s="86">
        <f t="shared" si="6"/>
        <v>0</v>
      </c>
    </row>
    <row r="56" spans="7:7" x14ac:dyDescent="0.2">
      <c r="G56" s="86">
        <f t="shared" si="6"/>
        <v>0</v>
      </c>
    </row>
    <row r="57" spans="7:7" x14ac:dyDescent="0.2">
      <c r="G57" s="86">
        <f t="shared" si="6"/>
        <v>0</v>
      </c>
    </row>
    <row r="58" spans="7:7" x14ac:dyDescent="0.2">
      <c r="G58" s="86">
        <f t="shared" si="6"/>
        <v>0</v>
      </c>
    </row>
    <row r="59" spans="7:7" x14ac:dyDescent="0.2">
      <c r="G59" s="86">
        <f t="shared" si="6"/>
        <v>0</v>
      </c>
    </row>
    <row r="60" spans="7:7" x14ac:dyDescent="0.2">
      <c r="G60" s="86">
        <f t="shared" si="6"/>
        <v>0</v>
      </c>
    </row>
    <row r="61" spans="7:7" x14ac:dyDescent="0.2">
      <c r="G61" s="86">
        <f t="shared" si="6"/>
        <v>0</v>
      </c>
    </row>
    <row r="62" spans="7:7" x14ac:dyDescent="0.2">
      <c r="G62" s="86">
        <f t="shared" si="6"/>
        <v>0</v>
      </c>
    </row>
    <row r="63" spans="7:7" x14ac:dyDescent="0.2">
      <c r="G63" s="86">
        <f t="shared" si="6"/>
        <v>0</v>
      </c>
    </row>
    <row r="64" spans="7:7" x14ac:dyDescent="0.2">
      <c r="G64" s="86">
        <f t="shared" si="6"/>
        <v>0</v>
      </c>
    </row>
    <row r="65" spans="7:7" x14ac:dyDescent="0.2">
      <c r="G65" s="86">
        <f t="shared" si="6"/>
        <v>0</v>
      </c>
    </row>
    <row r="67" spans="7:7" x14ac:dyDescent="0.2">
      <c r="G67" s="86">
        <f>H67+I67</f>
        <v>0</v>
      </c>
    </row>
    <row r="68" spans="7:7" x14ac:dyDescent="0.2">
      <c r="G68" s="86">
        <f>H68+I68</f>
        <v>0</v>
      </c>
    </row>
    <row r="69" spans="7:7" x14ac:dyDescent="0.2">
      <c r="G69" s="86">
        <f>H69+I69</f>
        <v>0</v>
      </c>
    </row>
    <row r="70" spans="7:7" x14ac:dyDescent="0.2">
      <c r="G70" s="86">
        <f>H70+I70</f>
        <v>0</v>
      </c>
    </row>
    <row r="72" spans="7:7" x14ac:dyDescent="0.2">
      <c r="G72" s="86">
        <f>H72+I72</f>
        <v>0</v>
      </c>
    </row>
    <row r="75" spans="7:7" x14ac:dyDescent="0.2">
      <c r="G75" s="444"/>
    </row>
    <row r="76" spans="7:7" x14ac:dyDescent="0.2">
      <c r="G76" s="391"/>
    </row>
    <row r="112" spans="7:7" x14ac:dyDescent="0.2">
      <c r="G112" s="86">
        <f>H112+I112</f>
        <v>0</v>
      </c>
    </row>
    <row r="114" spans="7:7" x14ac:dyDescent="0.2">
      <c r="G114" s="86">
        <f t="shared" ref="G114:G124" si="7">H114+I114</f>
        <v>0</v>
      </c>
    </row>
    <row r="115" spans="7:7" x14ac:dyDescent="0.2">
      <c r="G115" s="86">
        <f t="shared" si="7"/>
        <v>0</v>
      </c>
    </row>
    <row r="116" spans="7:7" x14ac:dyDescent="0.2">
      <c r="G116" s="86">
        <f t="shared" si="7"/>
        <v>0</v>
      </c>
    </row>
    <row r="117" spans="7:7" x14ac:dyDescent="0.2">
      <c r="G117" s="86">
        <f t="shared" si="7"/>
        <v>0</v>
      </c>
    </row>
    <row r="118" spans="7:7" x14ac:dyDescent="0.2">
      <c r="G118" s="86">
        <f t="shared" si="7"/>
        <v>0</v>
      </c>
    </row>
    <row r="119" spans="7:7" x14ac:dyDescent="0.2">
      <c r="G119" s="86">
        <f t="shared" si="7"/>
        <v>0</v>
      </c>
    </row>
    <row r="120" spans="7:7" x14ac:dyDescent="0.2">
      <c r="G120" s="86">
        <f t="shared" si="7"/>
        <v>0</v>
      </c>
    </row>
    <row r="121" spans="7:7" x14ac:dyDescent="0.2">
      <c r="G121" s="86">
        <f t="shared" si="7"/>
        <v>0</v>
      </c>
    </row>
    <row r="122" spans="7:7" x14ac:dyDescent="0.2">
      <c r="G122" s="86">
        <f t="shared" si="7"/>
        <v>0</v>
      </c>
    </row>
    <row r="123" spans="7:7" x14ac:dyDescent="0.2">
      <c r="G123" s="86">
        <f t="shared" si="7"/>
        <v>0</v>
      </c>
    </row>
    <row r="124" spans="7:7" x14ac:dyDescent="0.2">
      <c r="G124" s="86">
        <f t="shared" si="7"/>
        <v>0</v>
      </c>
    </row>
    <row r="126" spans="7:7" x14ac:dyDescent="0.2">
      <c r="G126" s="86">
        <f>H127+I127</f>
        <v>0</v>
      </c>
    </row>
    <row r="127" spans="7:7" x14ac:dyDescent="0.2">
      <c r="G127" s="86">
        <f t="shared" ref="G127" si="8">H127+I127</f>
        <v>0</v>
      </c>
    </row>
    <row r="128" spans="7:7" x14ac:dyDescent="0.2">
      <c r="G128" s="86">
        <f>H128+I128</f>
        <v>0</v>
      </c>
    </row>
    <row r="129" spans="7:10" x14ac:dyDescent="0.2">
      <c r="G129" s="86">
        <f>H129+I129</f>
        <v>0</v>
      </c>
    </row>
    <row r="130" spans="7:10" x14ac:dyDescent="0.2">
      <c r="G130" s="86">
        <f>H130+I130</f>
        <v>0</v>
      </c>
    </row>
    <row r="131" spans="7:10" x14ac:dyDescent="0.2">
      <c r="G131" s="86">
        <f>H131+I131</f>
        <v>0</v>
      </c>
    </row>
    <row r="136" spans="7:10" ht="46.5" x14ac:dyDescent="0.65">
      <c r="J136" s="253"/>
    </row>
    <row r="139" spans="7:10" ht="46.5" x14ac:dyDescent="0.65">
      <c r="G139" s="253">
        <f>H139+I139</f>
        <v>0</v>
      </c>
      <c r="J139" s="253"/>
    </row>
    <row r="158" spans="11:11" ht="90" x14ac:dyDescent="1.1499999999999999">
      <c r="K158" s="250" t="b">
        <f>G158=H158+I158</f>
        <v>1</v>
      </c>
    </row>
  </sheetData>
  <mergeCells count="23">
    <mergeCell ref="G75:G76"/>
    <mergeCell ref="B6:B8"/>
    <mergeCell ref="C6:C8"/>
    <mergeCell ref="D6:D8"/>
    <mergeCell ref="E6:E8"/>
    <mergeCell ref="F6:I6"/>
    <mergeCell ref="F7:F8"/>
    <mergeCell ref="I7:I8"/>
    <mergeCell ref="O7:P7"/>
    <mergeCell ref="D18:P18"/>
    <mergeCell ref="D15:P15"/>
    <mergeCell ref="D17:P17"/>
    <mergeCell ref="M2:Q2"/>
    <mergeCell ref="E3:M4"/>
    <mergeCell ref="J6:M6"/>
    <mergeCell ref="N6:Q6"/>
    <mergeCell ref="Q7:Q8"/>
    <mergeCell ref="M7:M8"/>
    <mergeCell ref="N7:N8"/>
    <mergeCell ref="J7:J8"/>
    <mergeCell ref="D16:P16"/>
    <mergeCell ref="G7:H7"/>
    <mergeCell ref="K7:L7"/>
  </mergeCells>
  <printOptions horizontalCentered="1"/>
  <pageMargins left="0.19685039370078741" right="0" top="0.59055118110236227" bottom="0.39370078740157483" header="0.31496062992125984" footer="0.31496062992125984"/>
  <pageSetup paperSize="9" scale="55" fitToHeight="0" orientation="landscape" r:id="rId1"/>
  <headerFooter alignWithMargins="0">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213"/>
  <sheetViews>
    <sheetView view="pageBreakPreview" topLeftCell="B1" zoomScaleNormal="40" zoomScaleSheetLayoutView="100" workbookViewId="0">
      <pane ySplit="5" topLeftCell="A84" activePane="bottomLeft" state="frozen"/>
      <selection activeCell="K153" sqref="K153"/>
      <selection pane="bottomLeft" activeCell="I86" sqref="I86"/>
    </sheetView>
  </sheetViews>
  <sheetFormatPr defaultColWidth="7.85546875" defaultRowHeight="12.75" x14ac:dyDescent="0.2"/>
  <cols>
    <col min="1" max="1" width="3.28515625" style="16" hidden="1" customWidth="1"/>
    <col min="2" max="2" width="14.28515625" style="139" customWidth="1"/>
    <col min="3" max="3" width="14" style="139" customWidth="1"/>
    <col min="4" max="4" width="16.85546875" style="139" customWidth="1"/>
    <col min="5" max="5" width="41.5703125" style="139" customWidth="1"/>
    <col min="6" max="6" width="38.5703125" style="139" customWidth="1"/>
    <col min="7" max="10" width="18.140625" style="139" customWidth="1"/>
    <col min="11" max="11" width="52.5703125" style="16" customWidth="1"/>
    <col min="12" max="12" width="16.5703125" style="16" customWidth="1"/>
    <col min="13" max="13" width="13.7109375" style="16" customWidth="1"/>
    <col min="14" max="14" width="12.7109375" style="16" customWidth="1"/>
    <col min="15" max="16384" width="7.85546875" style="16"/>
  </cols>
  <sheetData>
    <row r="1" spans="1:10" s="15" customFormat="1" ht="22.7" customHeight="1" x14ac:dyDescent="0.25">
      <c r="B1" s="452"/>
      <c r="C1" s="452"/>
      <c r="D1" s="452"/>
      <c r="E1" s="452"/>
      <c r="F1" s="452"/>
      <c r="G1" s="452"/>
      <c r="H1" s="452"/>
      <c r="I1" s="452"/>
      <c r="J1" s="452"/>
    </row>
    <row r="2" spans="1:10" ht="41.25" customHeight="1" x14ac:dyDescent="0.2">
      <c r="G2" s="441" t="s">
        <v>935</v>
      </c>
      <c r="H2" s="441"/>
      <c r="I2" s="441"/>
      <c r="J2" s="441"/>
    </row>
    <row r="3" spans="1:10" ht="34.5" customHeight="1" x14ac:dyDescent="0.2">
      <c r="B3" s="453" t="s">
        <v>670</v>
      </c>
      <c r="C3" s="442"/>
      <c r="D3" s="442"/>
      <c r="E3" s="442"/>
      <c r="F3" s="442"/>
      <c r="G3" s="442"/>
      <c r="H3" s="442"/>
      <c r="I3" s="442"/>
      <c r="J3" s="442"/>
    </row>
    <row r="4" spans="1:10" ht="173.25" customHeight="1" x14ac:dyDescent="0.2">
      <c r="B4" s="193" t="s">
        <v>29</v>
      </c>
      <c r="C4" s="193" t="s">
        <v>661</v>
      </c>
      <c r="D4" s="193" t="s">
        <v>668</v>
      </c>
      <c r="E4" s="193" t="s">
        <v>662</v>
      </c>
      <c r="F4" s="18" t="s">
        <v>683</v>
      </c>
      <c r="G4" s="18" t="s">
        <v>684</v>
      </c>
      <c r="H4" s="18" t="s">
        <v>685</v>
      </c>
      <c r="I4" s="18" t="s">
        <v>686</v>
      </c>
      <c r="J4" s="18" t="s">
        <v>687</v>
      </c>
    </row>
    <row r="5" spans="1:10" ht="20.25" customHeight="1" x14ac:dyDescent="0.2">
      <c r="B5" s="193">
        <v>1</v>
      </c>
      <c r="C5" s="193">
        <v>2</v>
      </c>
      <c r="D5" s="193">
        <v>3</v>
      </c>
      <c r="E5" s="193">
        <v>4</v>
      </c>
      <c r="F5" s="193">
        <v>5</v>
      </c>
      <c r="G5" s="193">
        <v>6</v>
      </c>
      <c r="H5" s="193">
        <v>7</v>
      </c>
      <c r="I5" s="193">
        <v>8</v>
      </c>
      <c r="J5" s="193">
        <v>9</v>
      </c>
    </row>
    <row r="6" spans="1:10" ht="39.75" customHeight="1" x14ac:dyDescent="0.2">
      <c r="B6" s="308" t="s">
        <v>234</v>
      </c>
      <c r="C6" s="308"/>
      <c r="D6" s="308"/>
      <c r="E6" s="310" t="s">
        <v>236</v>
      </c>
      <c r="F6" s="315"/>
      <c r="G6" s="315"/>
      <c r="H6" s="315"/>
      <c r="I6" s="375">
        <f>I7</f>
        <v>7896952</v>
      </c>
      <c r="J6" s="375"/>
    </row>
    <row r="7" spans="1:10" ht="47.25" customHeight="1" x14ac:dyDescent="0.2">
      <c r="B7" s="314" t="s">
        <v>235</v>
      </c>
      <c r="C7" s="314"/>
      <c r="D7" s="314"/>
      <c r="E7" s="317" t="s">
        <v>237</v>
      </c>
      <c r="F7" s="315"/>
      <c r="G7" s="315"/>
      <c r="H7" s="315"/>
      <c r="I7" s="376">
        <f>SUM(I8:I12)</f>
        <v>7896952</v>
      </c>
      <c r="J7" s="376"/>
    </row>
    <row r="8" spans="1:10" ht="93.75" customHeight="1" x14ac:dyDescent="0.2">
      <c r="B8" s="289" t="s">
        <v>337</v>
      </c>
      <c r="C8" s="289" t="s">
        <v>338</v>
      </c>
      <c r="D8" s="289" t="s">
        <v>339</v>
      </c>
      <c r="E8" s="289" t="s">
        <v>336</v>
      </c>
      <c r="F8" s="290" t="s">
        <v>90</v>
      </c>
      <c r="G8" s="18"/>
      <c r="H8" s="18"/>
      <c r="I8" s="292">
        <f>(210000)+568500</f>
        <v>778500</v>
      </c>
      <c r="J8" s="292"/>
    </row>
    <row r="9" spans="1:10" ht="30" x14ac:dyDescent="0.2">
      <c r="B9" s="289" t="s">
        <v>343</v>
      </c>
      <c r="C9" s="289" t="s">
        <v>344</v>
      </c>
      <c r="D9" s="289" t="s">
        <v>345</v>
      </c>
      <c r="E9" s="289" t="s">
        <v>342</v>
      </c>
      <c r="F9" s="290" t="s">
        <v>90</v>
      </c>
      <c r="G9" s="18"/>
      <c r="H9" s="18"/>
      <c r="I9" s="292">
        <f>(1500000)+2000000</f>
        <v>3500000</v>
      </c>
      <c r="J9" s="292"/>
    </row>
    <row r="10" spans="1:10" ht="60" x14ac:dyDescent="0.2">
      <c r="B10" s="289" t="s">
        <v>880</v>
      </c>
      <c r="C10" s="289" t="s">
        <v>601</v>
      </c>
      <c r="D10" s="289" t="s">
        <v>71</v>
      </c>
      <c r="E10" s="289" t="s">
        <v>602</v>
      </c>
      <c r="F10" s="160" t="s">
        <v>884</v>
      </c>
      <c r="G10" s="18"/>
      <c r="H10" s="18"/>
      <c r="I10" s="292">
        <v>100000</v>
      </c>
      <c r="J10" s="292"/>
    </row>
    <row r="11" spans="1:10" ht="60" x14ac:dyDescent="0.2">
      <c r="B11" s="289" t="s">
        <v>882</v>
      </c>
      <c r="C11" s="289" t="s">
        <v>883</v>
      </c>
      <c r="D11" s="289" t="s">
        <v>71</v>
      </c>
      <c r="E11" s="289" t="s">
        <v>881</v>
      </c>
      <c r="F11" s="290" t="s">
        <v>90</v>
      </c>
      <c r="G11" s="18"/>
      <c r="H11" s="18"/>
      <c r="I11" s="292">
        <f>58170+30300+400000+500000+25000+37182+15000+74000+84800+1200000+94000</f>
        <v>2518452</v>
      </c>
      <c r="J11" s="292"/>
    </row>
    <row r="12" spans="1:10" ht="90" x14ac:dyDescent="0.2">
      <c r="B12" s="289" t="s">
        <v>882</v>
      </c>
      <c r="C12" s="289" t="s">
        <v>883</v>
      </c>
      <c r="D12" s="289" t="s">
        <v>71</v>
      </c>
      <c r="E12" s="289" t="s">
        <v>881</v>
      </c>
      <c r="F12" s="160" t="s">
        <v>888</v>
      </c>
      <c r="G12" s="18"/>
      <c r="H12" s="18"/>
      <c r="I12" s="292">
        <v>1000000</v>
      </c>
      <c r="J12" s="292"/>
    </row>
    <row r="13" spans="1:10" ht="45" x14ac:dyDescent="0.2">
      <c r="A13" s="20"/>
      <c r="B13" s="308" t="s">
        <v>238</v>
      </c>
      <c r="C13" s="309"/>
      <c r="D13" s="309"/>
      <c r="E13" s="310" t="s">
        <v>0</v>
      </c>
      <c r="F13" s="311"/>
      <c r="G13" s="312"/>
      <c r="H13" s="312"/>
      <c r="I13" s="313">
        <f>I14</f>
        <v>33292593.039999999</v>
      </c>
      <c r="J13" s="313"/>
    </row>
    <row r="14" spans="1:10" ht="42.75" x14ac:dyDescent="0.2">
      <c r="A14" s="20"/>
      <c r="B14" s="314" t="s">
        <v>239</v>
      </c>
      <c r="C14" s="315"/>
      <c r="D14" s="316"/>
      <c r="E14" s="317" t="s">
        <v>1</v>
      </c>
      <c r="F14" s="318"/>
      <c r="G14" s="319"/>
      <c r="H14" s="319"/>
      <c r="I14" s="320">
        <f>SUM(I15:I27)</f>
        <v>33292593.039999999</v>
      </c>
      <c r="J14" s="320"/>
    </row>
    <row r="15" spans="1:10" ht="15" x14ac:dyDescent="0.2">
      <c r="B15" s="289" t="s">
        <v>294</v>
      </c>
      <c r="C15" s="289" t="s">
        <v>295</v>
      </c>
      <c r="D15" s="289" t="s">
        <v>297</v>
      </c>
      <c r="E15" s="289" t="s">
        <v>298</v>
      </c>
      <c r="F15" s="290" t="s">
        <v>90</v>
      </c>
      <c r="G15" s="290"/>
      <c r="H15" s="291"/>
      <c r="I15" s="292">
        <f>(252000+2500000)+85050+3024412+498000</f>
        <v>6359462</v>
      </c>
      <c r="J15" s="292"/>
    </row>
    <row r="16" spans="1:10" ht="89.45" customHeight="1" x14ac:dyDescent="0.2">
      <c r="B16" s="289" t="s">
        <v>300</v>
      </c>
      <c r="C16" s="289" t="s">
        <v>296</v>
      </c>
      <c r="D16" s="289" t="s">
        <v>301</v>
      </c>
      <c r="E16" s="289" t="s">
        <v>628</v>
      </c>
      <c r="F16" s="290" t="s">
        <v>90</v>
      </c>
      <c r="G16" s="290"/>
      <c r="H16" s="291"/>
      <c r="I16" s="292">
        <f>((171000+2450000-200000)-200000)+3289000+2395200+3800000+1755405+209983.74+832762.3+69030+130614+70500+771570+507746</f>
        <v>16052811.040000001</v>
      </c>
      <c r="J16" s="292"/>
    </row>
    <row r="17" spans="2:11" ht="89.45" customHeight="1" x14ac:dyDescent="0.2">
      <c r="B17" s="289" t="s">
        <v>300</v>
      </c>
      <c r="C17" s="289" t="s">
        <v>296</v>
      </c>
      <c r="D17" s="289" t="s">
        <v>301</v>
      </c>
      <c r="E17" s="289" t="s">
        <v>628</v>
      </c>
      <c r="F17" s="160" t="s">
        <v>720</v>
      </c>
      <c r="G17" s="290" t="s">
        <v>770</v>
      </c>
      <c r="H17" s="291">
        <v>305362</v>
      </c>
      <c r="I17" s="292">
        <v>100000</v>
      </c>
      <c r="J17" s="293">
        <f>I17/H17</f>
        <v>0.32748017107564137</v>
      </c>
    </row>
    <row r="18" spans="2:11" ht="105" x14ac:dyDescent="0.2">
      <c r="B18" s="289" t="s">
        <v>300</v>
      </c>
      <c r="C18" s="289" t="s">
        <v>296</v>
      </c>
      <c r="D18" s="289" t="s">
        <v>301</v>
      </c>
      <c r="E18" s="289" t="s">
        <v>628</v>
      </c>
      <c r="F18" s="160" t="s">
        <v>806</v>
      </c>
      <c r="G18" s="290" t="s">
        <v>799</v>
      </c>
      <c r="H18" s="291">
        <v>1601181</v>
      </c>
      <c r="I18" s="292">
        <f>200000+655000</f>
        <v>855000</v>
      </c>
      <c r="J18" s="293">
        <v>1</v>
      </c>
    </row>
    <row r="19" spans="2:11" ht="75" x14ac:dyDescent="0.2">
      <c r="B19" s="289" t="s">
        <v>300</v>
      </c>
      <c r="C19" s="289" t="s">
        <v>296</v>
      </c>
      <c r="D19" s="289" t="s">
        <v>301</v>
      </c>
      <c r="E19" s="289" t="s">
        <v>628</v>
      </c>
      <c r="F19" s="160" t="s">
        <v>839</v>
      </c>
      <c r="G19" s="290" t="s">
        <v>770</v>
      </c>
      <c r="H19" s="291">
        <v>1482763</v>
      </c>
      <c r="I19" s="292">
        <f>200000+1282763</f>
        <v>1482763</v>
      </c>
      <c r="J19" s="293">
        <f>I19/H19</f>
        <v>1</v>
      </c>
    </row>
    <row r="20" spans="2:11" ht="89.45" customHeight="1" x14ac:dyDescent="0.2">
      <c r="B20" s="289" t="s">
        <v>300</v>
      </c>
      <c r="C20" s="289" t="s">
        <v>296</v>
      </c>
      <c r="D20" s="289" t="s">
        <v>301</v>
      </c>
      <c r="E20" s="289" t="s">
        <v>628</v>
      </c>
      <c r="F20" s="160" t="s">
        <v>859</v>
      </c>
      <c r="G20" s="290" t="s">
        <v>841</v>
      </c>
      <c r="H20" s="291">
        <v>1497539</v>
      </c>
      <c r="I20" s="292">
        <v>300000</v>
      </c>
      <c r="J20" s="293">
        <f>I20/H20</f>
        <v>0.20032867257547216</v>
      </c>
      <c r="K20" s="16" t="s">
        <v>844</v>
      </c>
    </row>
    <row r="21" spans="2:11" ht="90" x14ac:dyDescent="0.2">
      <c r="B21" s="289" t="s">
        <v>304</v>
      </c>
      <c r="C21" s="289" t="s">
        <v>303</v>
      </c>
      <c r="D21" s="289" t="s">
        <v>305</v>
      </c>
      <c r="E21" s="289" t="s">
        <v>32</v>
      </c>
      <c r="F21" s="290" t="s">
        <v>90</v>
      </c>
      <c r="G21" s="290"/>
      <c r="H21" s="291"/>
      <c r="I21" s="292">
        <f>9000+30000</f>
        <v>39000</v>
      </c>
      <c r="J21" s="292"/>
    </row>
    <row r="22" spans="2:11" ht="45" x14ac:dyDescent="0.2">
      <c r="B22" s="289" t="s">
        <v>306</v>
      </c>
      <c r="C22" s="289" t="s">
        <v>287</v>
      </c>
      <c r="D22" s="289" t="s">
        <v>275</v>
      </c>
      <c r="E22" s="289" t="s">
        <v>33</v>
      </c>
      <c r="F22" s="290" t="s">
        <v>90</v>
      </c>
      <c r="G22" s="290"/>
      <c r="H22" s="291"/>
      <c r="I22" s="292">
        <f>18000+2000000+60000</f>
        <v>2078000</v>
      </c>
      <c r="J22" s="292"/>
    </row>
    <row r="23" spans="2:11" ht="45" x14ac:dyDescent="0.2">
      <c r="B23" s="289" t="s">
        <v>306</v>
      </c>
      <c r="C23" s="289" t="s">
        <v>287</v>
      </c>
      <c r="D23" s="289" t="s">
        <v>275</v>
      </c>
      <c r="E23" s="289" t="s">
        <v>33</v>
      </c>
      <c r="F23" s="160" t="s">
        <v>624</v>
      </c>
      <c r="G23" s="290" t="s">
        <v>799</v>
      </c>
      <c r="H23" s="291">
        <v>1064162</v>
      </c>
      <c r="I23" s="292">
        <f>300000+300000</f>
        <v>600000</v>
      </c>
      <c r="J23" s="293">
        <v>1</v>
      </c>
    </row>
    <row r="24" spans="2:11" ht="30" x14ac:dyDescent="0.2">
      <c r="B24" s="289" t="s">
        <v>307</v>
      </c>
      <c r="C24" s="289" t="s">
        <v>308</v>
      </c>
      <c r="D24" s="289" t="s">
        <v>309</v>
      </c>
      <c r="E24" s="289" t="s">
        <v>310</v>
      </c>
      <c r="F24" s="290" t="s">
        <v>90</v>
      </c>
      <c r="G24" s="290"/>
      <c r="H24" s="291"/>
      <c r="I24" s="292">
        <v>216557</v>
      </c>
      <c r="J24" s="293"/>
    </row>
    <row r="25" spans="2:11" ht="30" x14ac:dyDescent="0.2">
      <c r="B25" s="289" t="s">
        <v>503</v>
      </c>
      <c r="C25" s="289" t="s">
        <v>504</v>
      </c>
      <c r="D25" s="289" t="s">
        <v>314</v>
      </c>
      <c r="E25" s="289" t="s">
        <v>502</v>
      </c>
      <c r="F25" s="290" t="s">
        <v>90</v>
      </c>
      <c r="G25" s="290"/>
      <c r="H25" s="291"/>
      <c r="I25" s="292">
        <v>9000</v>
      </c>
      <c r="J25" s="292"/>
    </row>
    <row r="26" spans="2:11" ht="30" x14ac:dyDescent="0.2">
      <c r="B26" s="369" t="s">
        <v>833</v>
      </c>
      <c r="C26" s="369" t="s">
        <v>834</v>
      </c>
      <c r="D26" s="369" t="s">
        <v>314</v>
      </c>
      <c r="E26" s="289" t="s">
        <v>835</v>
      </c>
      <c r="F26" s="290" t="s">
        <v>90</v>
      </c>
      <c r="G26" s="290"/>
      <c r="H26" s="291"/>
      <c r="I26" s="292">
        <v>200000</v>
      </c>
      <c r="J26" s="292"/>
    </row>
    <row r="27" spans="2:11" ht="19.5" customHeight="1" x14ac:dyDescent="0.2">
      <c r="B27" s="289" t="s">
        <v>316</v>
      </c>
      <c r="C27" s="289" t="s">
        <v>317</v>
      </c>
      <c r="D27" s="289" t="s">
        <v>318</v>
      </c>
      <c r="E27" s="289" t="s">
        <v>67</v>
      </c>
      <c r="F27" s="290" t="s">
        <v>90</v>
      </c>
      <c r="G27" s="290"/>
      <c r="H27" s="291"/>
      <c r="I27" s="292">
        <v>5000000</v>
      </c>
      <c r="J27" s="292"/>
    </row>
    <row r="28" spans="2:11" ht="45" x14ac:dyDescent="0.2">
      <c r="B28" s="380" t="s">
        <v>240</v>
      </c>
      <c r="C28" s="381"/>
      <c r="D28" s="381"/>
      <c r="E28" s="310" t="s">
        <v>36</v>
      </c>
      <c r="F28" s="318"/>
      <c r="G28" s="319"/>
      <c r="H28" s="319"/>
      <c r="I28" s="313">
        <f>I29</f>
        <v>21406367</v>
      </c>
      <c r="J28" s="313"/>
    </row>
    <row r="29" spans="2:11" ht="42.75" x14ac:dyDescent="0.2">
      <c r="B29" s="308" t="s">
        <v>241</v>
      </c>
      <c r="C29" s="308"/>
      <c r="D29" s="308"/>
      <c r="E29" s="317" t="s">
        <v>59</v>
      </c>
      <c r="F29" s="318"/>
      <c r="G29" s="319"/>
      <c r="H29" s="319"/>
      <c r="I29" s="320">
        <f>SUM(I30:I40)</f>
        <v>21406367</v>
      </c>
      <c r="J29" s="320"/>
    </row>
    <row r="30" spans="2:11" ht="30" x14ac:dyDescent="0.2">
      <c r="B30" s="289" t="s">
        <v>319</v>
      </c>
      <c r="C30" s="289" t="s">
        <v>315</v>
      </c>
      <c r="D30" s="289" t="s">
        <v>320</v>
      </c>
      <c r="E30" s="289" t="s">
        <v>37</v>
      </c>
      <c r="F30" s="290" t="s">
        <v>90</v>
      </c>
      <c r="G30" s="290"/>
      <c r="H30" s="290"/>
      <c r="I30" s="292">
        <f>(3342900)-208200-167638+907400+500000+200000+1000000+574630+1500000+208200+167638-130216</f>
        <v>7894714</v>
      </c>
      <c r="J30" s="292"/>
    </row>
    <row r="31" spans="2:11" ht="135" x14ac:dyDescent="0.2">
      <c r="B31" s="289" t="s">
        <v>319</v>
      </c>
      <c r="C31" s="289" t="s">
        <v>315</v>
      </c>
      <c r="D31" s="289" t="s">
        <v>320</v>
      </c>
      <c r="E31" s="289" t="s">
        <v>37</v>
      </c>
      <c r="F31" s="289" t="s">
        <v>908</v>
      </c>
      <c r="G31" s="290"/>
      <c r="H31" s="290"/>
      <c r="I31" s="292">
        <v>350000</v>
      </c>
      <c r="J31" s="292"/>
    </row>
    <row r="32" spans="2:11" ht="90" x14ac:dyDescent="0.2">
      <c r="B32" s="289" t="s">
        <v>319</v>
      </c>
      <c r="C32" s="289" t="s">
        <v>315</v>
      </c>
      <c r="D32" s="289" t="s">
        <v>320</v>
      </c>
      <c r="E32" s="289" t="s">
        <v>37</v>
      </c>
      <c r="F32" s="160" t="s">
        <v>907</v>
      </c>
      <c r="G32" s="290"/>
      <c r="H32" s="290"/>
      <c r="I32" s="292">
        <f>390000+2000000</f>
        <v>2390000</v>
      </c>
      <c r="J32" s="292"/>
    </row>
    <row r="33" spans="1:11" ht="30" x14ac:dyDescent="0.2">
      <c r="A33" s="138"/>
      <c r="B33" s="289" t="s">
        <v>321</v>
      </c>
      <c r="C33" s="289" t="s">
        <v>322</v>
      </c>
      <c r="D33" s="289" t="s">
        <v>323</v>
      </c>
      <c r="E33" s="289" t="s">
        <v>324</v>
      </c>
      <c r="F33" s="290" t="s">
        <v>90</v>
      </c>
      <c r="G33" s="292"/>
      <c r="H33" s="292"/>
      <c r="I33" s="292">
        <v>126000</v>
      </c>
      <c r="J33" s="292"/>
    </row>
    <row r="34" spans="1:11" ht="52.5" customHeight="1" x14ac:dyDescent="0.2">
      <c r="B34" s="289" t="s">
        <v>325</v>
      </c>
      <c r="C34" s="289" t="s">
        <v>326</v>
      </c>
      <c r="D34" s="289" t="s">
        <v>327</v>
      </c>
      <c r="E34" s="289" t="s">
        <v>551</v>
      </c>
      <c r="F34" s="290" t="s">
        <v>90</v>
      </c>
      <c r="G34" s="290"/>
      <c r="H34" s="290"/>
      <c r="I34" s="292">
        <f>939600-99000</f>
        <v>840600</v>
      </c>
      <c r="J34" s="292"/>
    </row>
    <row r="35" spans="1:11" ht="52.5" customHeight="1" x14ac:dyDescent="0.2">
      <c r="B35" s="289" t="s">
        <v>328</v>
      </c>
      <c r="C35" s="289" t="s">
        <v>329</v>
      </c>
      <c r="D35" s="289" t="s">
        <v>330</v>
      </c>
      <c r="E35" s="289" t="s">
        <v>331</v>
      </c>
      <c r="F35" s="290" t="s">
        <v>90</v>
      </c>
      <c r="G35" s="290"/>
      <c r="H35" s="290"/>
      <c r="I35" s="292">
        <v>1600000</v>
      </c>
      <c r="J35" s="292"/>
    </row>
    <row r="36" spans="1:11" ht="100.5" customHeight="1" x14ac:dyDescent="0.2">
      <c r="B36" s="289" t="s">
        <v>507</v>
      </c>
      <c r="C36" s="289" t="s">
        <v>509</v>
      </c>
      <c r="D36" s="369" t="s">
        <v>335</v>
      </c>
      <c r="E36" s="357" t="s">
        <v>505</v>
      </c>
      <c r="F36" s="357" t="s">
        <v>909</v>
      </c>
      <c r="G36" s="290"/>
      <c r="H36" s="290"/>
      <c r="I36" s="292">
        <f>167704-60000</f>
        <v>107704</v>
      </c>
      <c r="J36" s="292"/>
    </row>
    <row r="37" spans="1:11" ht="30" x14ac:dyDescent="0.2">
      <c r="B37" s="289" t="s">
        <v>904</v>
      </c>
      <c r="C37" s="289" t="s">
        <v>293</v>
      </c>
      <c r="D37" s="289" t="s">
        <v>256</v>
      </c>
      <c r="E37" s="289" t="s">
        <v>57</v>
      </c>
      <c r="F37" s="290" t="s">
        <v>90</v>
      </c>
      <c r="G37" s="290"/>
      <c r="H37" s="290"/>
      <c r="I37" s="292">
        <f>215650+500000+1300000+32670+2270000+99100+189000+89000+137600+27500+18340+16016+45000+47500+1600000+208200+167638+25000-208200-167638-1600000+130216</f>
        <v>5142592</v>
      </c>
      <c r="J37" s="292"/>
    </row>
    <row r="38" spans="1:11" ht="90" x14ac:dyDescent="0.2">
      <c r="B38" s="289" t="s">
        <v>904</v>
      </c>
      <c r="C38" s="289" t="s">
        <v>293</v>
      </c>
      <c r="D38" s="289" t="s">
        <v>256</v>
      </c>
      <c r="E38" s="289" t="s">
        <v>57</v>
      </c>
      <c r="F38" s="160" t="s">
        <v>936</v>
      </c>
      <c r="G38" s="290"/>
      <c r="H38" s="290"/>
      <c r="I38" s="292">
        <v>600000</v>
      </c>
      <c r="J38" s="292"/>
    </row>
    <row r="39" spans="1:11" ht="105" x14ac:dyDescent="0.2">
      <c r="B39" s="289" t="s">
        <v>904</v>
      </c>
      <c r="C39" s="289" t="s">
        <v>293</v>
      </c>
      <c r="D39" s="289" t="s">
        <v>256</v>
      </c>
      <c r="E39" s="289" t="s">
        <v>57</v>
      </c>
      <c r="F39" s="160" t="s">
        <v>933</v>
      </c>
      <c r="G39" s="290"/>
      <c r="H39" s="290"/>
      <c r="I39" s="292">
        <f>(200000)+1000000</f>
        <v>1200000</v>
      </c>
      <c r="J39" s="292"/>
    </row>
    <row r="40" spans="1:11" ht="15" x14ac:dyDescent="0.2">
      <c r="B40" s="289" t="s">
        <v>906</v>
      </c>
      <c r="C40" s="289" t="s">
        <v>601</v>
      </c>
      <c r="D40" s="289" t="s">
        <v>71</v>
      </c>
      <c r="E40" s="289" t="s">
        <v>602</v>
      </c>
      <c r="F40" s="290" t="s">
        <v>90</v>
      </c>
      <c r="G40" s="290"/>
      <c r="H40" s="290"/>
      <c r="I40" s="292">
        <f>750692+35300+150000+218765</f>
        <v>1154757</v>
      </c>
      <c r="J40" s="292"/>
    </row>
    <row r="41" spans="1:11" ht="45" x14ac:dyDescent="0.2">
      <c r="B41" s="308" t="s">
        <v>242</v>
      </c>
      <c r="C41" s="308"/>
      <c r="D41" s="308"/>
      <c r="E41" s="310" t="s">
        <v>60</v>
      </c>
      <c r="F41" s="318"/>
      <c r="G41" s="319"/>
      <c r="H41" s="319"/>
      <c r="I41" s="313">
        <f>I42</f>
        <v>9852580</v>
      </c>
      <c r="J41" s="313"/>
    </row>
    <row r="42" spans="1:11" ht="57" x14ac:dyDescent="0.2">
      <c r="B42" s="314" t="s">
        <v>243</v>
      </c>
      <c r="C42" s="314"/>
      <c r="D42" s="314"/>
      <c r="E42" s="317" t="s">
        <v>61</v>
      </c>
      <c r="F42" s="318"/>
      <c r="G42" s="319"/>
      <c r="H42" s="319"/>
      <c r="I42" s="320">
        <f>SUM(I43:I52)</f>
        <v>9852580</v>
      </c>
      <c r="J42" s="320"/>
    </row>
    <row r="43" spans="1:11" ht="45" x14ac:dyDescent="0.2">
      <c r="B43" s="289" t="s">
        <v>726</v>
      </c>
      <c r="C43" s="289" t="s">
        <v>341</v>
      </c>
      <c r="D43" s="289" t="s">
        <v>339</v>
      </c>
      <c r="E43" s="289" t="s">
        <v>340</v>
      </c>
      <c r="F43" s="290" t="s">
        <v>90</v>
      </c>
      <c r="G43" s="290"/>
      <c r="H43" s="290"/>
      <c r="I43" s="291">
        <v>450000</v>
      </c>
      <c r="J43" s="291"/>
    </row>
    <row r="44" spans="1:11" ht="30" x14ac:dyDescent="0.2">
      <c r="B44" s="289" t="s">
        <v>406</v>
      </c>
      <c r="C44" s="289" t="s">
        <v>407</v>
      </c>
      <c r="D44" s="289" t="s">
        <v>302</v>
      </c>
      <c r="E44" s="341" t="s">
        <v>408</v>
      </c>
      <c r="F44" s="290" t="s">
        <v>90</v>
      </c>
      <c r="G44" s="370"/>
      <c r="H44" s="370"/>
      <c r="I44" s="292">
        <v>100000</v>
      </c>
      <c r="J44" s="292"/>
    </row>
    <row r="45" spans="1:11" ht="75" customHeight="1" x14ac:dyDescent="0.2">
      <c r="B45" s="289" t="s">
        <v>404</v>
      </c>
      <c r="C45" s="289" t="s">
        <v>402</v>
      </c>
      <c r="D45" s="289" t="s">
        <v>296</v>
      </c>
      <c r="E45" s="289" t="s">
        <v>35</v>
      </c>
      <c r="F45" s="290" t="s">
        <v>90</v>
      </c>
      <c r="G45" s="290"/>
      <c r="H45" s="290"/>
      <c r="I45" s="291">
        <f>(175000)+20000+10000</f>
        <v>205000</v>
      </c>
      <c r="J45" s="291"/>
    </row>
    <row r="46" spans="1:11" ht="75" customHeight="1" x14ac:dyDescent="0.2">
      <c r="B46" s="289" t="s">
        <v>405</v>
      </c>
      <c r="C46" s="289" t="s">
        <v>403</v>
      </c>
      <c r="D46" s="289" t="s">
        <v>295</v>
      </c>
      <c r="E46" s="289" t="s">
        <v>513</v>
      </c>
      <c r="F46" s="290" t="s">
        <v>90</v>
      </c>
      <c r="G46" s="290"/>
      <c r="H46" s="290"/>
      <c r="I46" s="291">
        <f>3000+226250+45000</f>
        <v>274250</v>
      </c>
      <c r="J46" s="291"/>
    </row>
    <row r="47" spans="1:11" ht="45" x14ac:dyDescent="0.2">
      <c r="B47" s="289" t="s">
        <v>523</v>
      </c>
      <c r="C47" s="289" t="s">
        <v>525</v>
      </c>
      <c r="D47" s="289" t="s">
        <v>287</v>
      </c>
      <c r="E47" s="357" t="s">
        <v>527</v>
      </c>
      <c r="F47" s="290" t="s">
        <v>90</v>
      </c>
      <c r="G47" s="292"/>
      <c r="H47" s="356"/>
      <c r="I47" s="291">
        <f>(300000+900000+650000)+10000+10000+379343+16000+28650+213910-10400</f>
        <v>2497503</v>
      </c>
      <c r="J47" s="291"/>
    </row>
    <row r="48" spans="1:11" ht="105" x14ac:dyDescent="0.2">
      <c r="B48" s="289" t="s">
        <v>523</v>
      </c>
      <c r="C48" s="289" t="s">
        <v>525</v>
      </c>
      <c r="D48" s="289" t="s">
        <v>287</v>
      </c>
      <c r="E48" s="357" t="s">
        <v>527</v>
      </c>
      <c r="F48" s="160" t="s">
        <v>805</v>
      </c>
      <c r="G48" s="290" t="s">
        <v>770</v>
      </c>
      <c r="H48" s="356">
        <v>406827</v>
      </c>
      <c r="I48" s="291">
        <f>180000+226827</f>
        <v>406827</v>
      </c>
      <c r="J48" s="355">
        <f>I48/H48</f>
        <v>1</v>
      </c>
      <c r="K48" s="160" t="s">
        <v>707</v>
      </c>
    </row>
    <row r="49" spans="1:11" ht="30" x14ac:dyDescent="0.2">
      <c r="B49" s="289" t="s">
        <v>524</v>
      </c>
      <c r="C49" s="289" t="s">
        <v>526</v>
      </c>
      <c r="D49" s="289" t="s">
        <v>287</v>
      </c>
      <c r="E49" s="357" t="s">
        <v>528</v>
      </c>
      <c r="F49" s="290" t="s">
        <v>90</v>
      </c>
      <c r="G49" s="290"/>
      <c r="H49" s="356"/>
      <c r="I49" s="291">
        <v>199000</v>
      </c>
      <c r="J49" s="355"/>
      <c r="K49" s="358"/>
    </row>
    <row r="50" spans="1:11" ht="30" x14ac:dyDescent="0.2">
      <c r="B50" s="289" t="s">
        <v>524</v>
      </c>
      <c r="C50" s="289" t="s">
        <v>526</v>
      </c>
      <c r="D50" s="289" t="s">
        <v>287</v>
      </c>
      <c r="E50" s="357" t="s">
        <v>528</v>
      </c>
      <c r="F50" s="160" t="s">
        <v>573</v>
      </c>
      <c r="G50" s="292"/>
      <c r="H50" s="292"/>
      <c r="I50" s="291">
        <v>220000</v>
      </c>
      <c r="J50" s="291"/>
    </row>
    <row r="51" spans="1:11" ht="30" x14ac:dyDescent="0.2">
      <c r="B51" s="289" t="s">
        <v>608</v>
      </c>
      <c r="C51" s="289" t="s">
        <v>606</v>
      </c>
      <c r="D51" s="289" t="s">
        <v>542</v>
      </c>
      <c r="E51" s="357" t="s">
        <v>607</v>
      </c>
      <c r="F51" s="290" t="s">
        <v>90</v>
      </c>
      <c r="G51" s="292"/>
      <c r="H51" s="356"/>
      <c r="I51" s="291">
        <v>3500000</v>
      </c>
      <c r="J51" s="291"/>
    </row>
    <row r="52" spans="1:11" ht="105" x14ac:dyDescent="0.2">
      <c r="B52" s="289" t="s">
        <v>708</v>
      </c>
      <c r="C52" s="289" t="s">
        <v>709</v>
      </c>
      <c r="D52" s="289" t="s">
        <v>450</v>
      </c>
      <c r="E52" s="357" t="s">
        <v>710</v>
      </c>
      <c r="F52" s="160" t="s">
        <v>711</v>
      </c>
      <c r="G52" s="291" t="s">
        <v>841</v>
      </c>
      <c r="H52" s="356">
        <v>8638500</v>
      </c>
      <c r="I52" s="291">
        <f>(1000000)+1000000</f>
        <v>2000000</v>
      </c>
      <c r="J52" s="330">
        <f>I52/H52</f>
        <v>0.23152167621693581</v>
      </c>
    </row>
    <row r="53" spans="1:11" ht="45" x14ac:dyDescent="0.2">
      <c r="A53" s="366"/>
      <c r="B53" s="367">
        <v>1000000</v>
      </c>
      <c r="C53" s="367"/>
      <c r="D53" s="367"/>
      <c r="E53" s="308" t="s">
        <v>43</v>
      </c>
      <c r="F53" s="318"/>
      <c r="G53" s="319"/>
      <c r="H53" s="319"/>
      <c r="I53" s="313">
        <f>I54</f>
        <v>8279954</v>
      </c>
      <c r="J53" s="313"/>
    </row>
    <row r="54" spans="1:11" ht="42.75" x14ac:dyDescent="0.2">
      <c r="A54" s="366"/>
      <c r="B54" s="368">
        <v>1010000</v>
      </c>
      <c r="C54" s="368"/>
      <c r="D54" s="368"/>
      <c r="E54" s="314" t="s">
        <v>62</v>
      </c>
      <c r="F54" s="318"/>
      <c r="G54" s="319"/>
      <c r="H54" s="319"/>
      <c r="I54" s="320">
        <f>SUM(I55:I61)</f>
        <v>8279954</v>
      </c>
      <c r="J54" s="320"/>
    </row>
    <row r="55" spans="1:11" ht="60" x14ac:dyDescent="0.2">
      <c r="B55" s="289" t="s">
        <v>34</v>
      </c>
      <c r="C55" s="289" t="s">
        <v>274</v>
      </c>
      <c r="D55" s="289" t="s">
        <v>275</v>
      </c>
      <c r="E55" s="289" t="s">
        <v>273</v>
      </c>
      <c r="F55" s="290" t="s">
        <v>90</v>
      </c>
      <c r="G55" s="290"/>
      <c r="H55" s="290"/>
      <c r="I55" s="291">
        <f>(386442)+67100+547508</f>
        <v>1001050</v>
      </c>
      <c r="J55" s="291"/>
    </row>
    <row r="56" spans="1:11" ht="60" x14ac:dyDescent="0.2">
      <c r="B56" s="289" t="s">
        <v>34</v>
      </c>
      <c r="C56" s="289" t="s">
        <v>274</v>
      </c>
      <c r="D56" s="289" t="s">
        <v>275</v>
      </c>
      <c r="E56" s="289" t="s">
        <v>273</v>
      </c>
      <c r="F56" s="160" t="s">
        <v>869</v>
      </c>
      <c r="G56" s="291" t="s">
        <v>799</v>
      </c>
      <c r="H56" s="290">
        <v>431954</v>
      </c>
      <c r="I56" s="291">
        <v>431954</v>
      </c>
      <c r="J56" s="330">
        <v>1</v>
      </c>
    </row>
    <row r="57" spans="1:11" ht="15" x14ac:dyDescent="0.2">
      <c r="B57" s="289" t="s">
        <v>263</v>
      </c>
      <c r="C57" s="289" t="s">
        <v>264</v>
      </c>
      <c r="D57" s="289" t="s">
        <v>265</v>
      </c>
      <c r="E57" s="289" t="s">
        <v>266</v>
      </c>
      <c r="F57" s="290" t="s">
        <v>90</v>
      </c>
      <c r="G57" s="290"/>
      <c r="H57" s="290"/>
      <c r="I57" s="291">
        <f>400000+87250+46500+98200</f>
        <v>631950</v>
      </c>
      <c r="J57" s="291"/>
    </row>
    <row r="58" spans="1:11" ht="15" x14ac:dyDescent="0.2">
      <c r="B58" s="289" t="s">
        <v>267</v>
      </c>
      <c r="C58" s="289" t="s">
        <v>268</v>
      </c>
      <c r="D58" s="289" t="s">
        <v>265</v>
      </c>
      <c r="E58" s="289" t="s">
        <v>269</v>
      </c>
      <c r="F58" s="290" t="s">
        <v>90</v>
      </c>
      <c r="G58" s="290"/>
      <c r="H58" s="290"/>
      <c r="I58" s="291">
        <v>70000</v>
      </c>
      <c r="J58" s="291"/>
    </row>
    <row r="59" spans="1:11" ht="60" x14ac:dyDescent="0.2">
      <c r="B59" s="289" t="s">
        <v>267</v>
      </c>
      <c r="C59" s="289" t="s">
        <v>268</v>
      </c>
      <c r="D59" s="289" t="s">
        <v>265</v>
      </c>
      <c r="E59" s="289" t="s">
        <v>269</v>
      </c>
      <c r="F59" s="160" t="s">
        <v>31</v>
      </c>
      <c r="G59" s="291" t="s">
        <v>703</v>
      </c>
      <c r="H59" s="291">
        <v>26997397.190000001</v>
      </c>
      <c r="I59" s="291">
        <f>(2930000)+2000000</f>
        <v>4930000</v>
      </c>
      <c r="J59" s="355">
        <f>1-((18158597.19-2000000)/H59)</f>
        <v>0.40147573944701442</v>
      </c>
    </row>
    <row r="60" spans="1:11" ht="45" x14ac:dyDescent="0.2">
      <c r="B60" s="289" t="s">
        <v>270</v>
      </c>
      <c r="C60" s="289" t="s">
        <v>259</v>
      </c>
      <c r="D60" s="289" t="s">
        <v>271</v>
      </c>
      <c r="E60" s="289" t="s">
        <v>272</v>
      </c>
      <c r="F60" s="290" t="s">
        <v>90</v>
      </c>
      <c r="G60" s="291"/>
      <c r="H60" s="356"/>
      <c r="I60" s="291">
        <f>(500000)+630000+60000</f>
        <v>1190000</v>
      </c>
      <c r="J60" s="291"/>
    </row>
    <row r="61" spans="1:11" ht="30" x14ac:dyDescent="0.2">
      <c r="B61" s="289" t="s">
        <v>868</v>
      </c>
      <c r="C61" s="289" t="s">
        <v>293</v>
      </c>
      <c r="D61" s="289" t="s">
        <v>256</v>
      </c>
      <c r="E61" s="289" t="s">
        <v>57</v>
      </c>
      <c r="F61" s="290" t="s">
        <v>90</v>
      </c>
      <c r="G61" s="291"/>
      <c r="H61" s="356"/>
      <c r="I61" s="291">
        <v>25000</v>
      </c>
      <c r="J61" s="291"/>
    </row>
    <row r="62" spans="1:11" ht="45" x14ac:dyDescent="0.2">
      <c r="B62" s="367" t="s">
        <v>40</v>
      </c>
      <c r="C62" s="367"/>
      <c r="D62" s="367"/>
      <c r="E62" s="308" t="s">
        <v>41</v>
      </c>
      <c r="F62" s="318"/>
      <c r="G62" s="319"/>
      <c r="H62" s="319"/>
      <c r="I62" s="313">
        <f>I63</f>
        <v>3183421</v>
      </c>
      <c r="J62" s="313"/>
    </row>
    <row r="63" spans="1:11" ht="42.75" x14ac:dyDescent="0.2">
      <c r="B63" s="368" t="s">
        <v>39</v>
      </c>
      <c r="C63" s="368"/>
      <c r="D63" s="368"/>
      <c r="E63" s="314" t="s">
        <v>58</v>
      </c>
      <c r="F63" s="318"/>
      <c r="G63" s="319"/>
      <c r="H63" s="319"/>
      <c r="I63" s="320">
        <f>SUM(I64:I70)</f>
        <v>3183421</v>
      </c>
      <c r="J63" s="320"/>
    </row>
    <row r="64" spans="1:11" ht="45" x14ac:dyDescent="0.2">
      <c r="B64" s="289" t="s">
        <v>277</v>
      </c>
      <c r="C64" s="289" t="s">
        <v>278</v>
      </c>
      <c r="D64" s="289" t="s">
        <v>279</v>
      </c>
      <c r="E64" s="289" t="s">
        <v>280</v>
      </c>
      <c r="F64" s="290" t="s">
        <v>90</v>
      </c>
      <c r="G64" s="290"/>
      <c r="H64" s="290"/>
      <c r="I64" s="292">
        <v>53278</v>
      </c>
      <c r="J64" s="387"/>
    </row>
    <row r="65" spans="2:10" s="140" customFormat="1" ht="30" x14ac:dyDescent="0.2">
      <c r="B65" s="289" t="s">
        <v>284</v>
      </c>
      <c r="C65" s="289" t="s">
        <v>285</v>
      </c>
      <c r="D65" s="289" t="s">
        <v>279</v>
      </c>
      <c r="E65" s="289" t="s">
        <v>23</v>
      </c>
      <c r="F65" s="290" t="s">
        <v>90</v>
      </c>
      <c r="G65" s="384"/>
      <c r="H65" s="384"/>
      <c r="I65" s="292">
        <f>(592430)+199000+285686</f>
        <v>1077116</v>
      </c>
      <c r="J65" s="292"/>
    </row>
    <row r="66" spans="2:10" s="140" customFormat="1" ht="60" x14ac:dyDescent="0.2">
      <c r="B66" s="289" t="s">
        <v>284</v>
      </c>
      <c r="C66" s="289" t="s">
        <v>285</v>
      </c>
      <c r="D66" s="289" t="s">
        <v>279</v>
      </c>
      <c r="E66" s="289" t="s">
        <v>23</v>
      </c>
      <c r="F66" s="289" t="s">
        <v>928</v>
      </c>
      <c r="G66" s="384"/>
      <c r="H66" s="384"/>
      <c r="I66" s="292">
        <v>66820</v>
      </c>
      <c r="J66" s="292"/>
    </row>
    <row r="67" spans="2:10" s="140" customFormat="1" ht="15" x14ac:dyDescent="0.2">
      <c r="B67" s="289" t="s">
        <v>574</v>
      </c>
      <c r="C67" s="289" t="s">
        <v>575</v>
      </c>
      <c r="D67" s="289" t="s">
        <v>279</v>
      </c>
      <c r="E67" s="289" t="s">
        <v>576</v>
      </c>
      <c r="F67" s="290" t="s">
        <v>90</v>
      </c>
      <c r="G67" s="384"/>
      <c r="H67" s="384"/>
      <c r="I67" s="292">
        <f>(816103)+45000+6600+100000+280000+119000</f>
        <v>1366703</v>
      </c>
      <c r="J67" s="292"/>
    </row>
    <row r="68" spans="2:10" s="140" customFormat="1" ht="45" x14ac:dyDescent="0.2">
      <c r="B68" s="289" t="s">
        <v>49</v>
      </c>
      <c r="C68" s="289" t="s">
        <v>288</v>
      </c>
      <c r="D68" s="289" t="s">
        <v>291</v>
      </c>
      <c r="E68" s="289" t="s">
        <v>77</v>
      </c>
      <c r="F68" s="290" t="s">
        <v>90</v>
      </c>
      <c r="G68" s="384"/>
      <c r="H68" s="384"/>
      <c r="I68" s="292">
        <f>140000+199800</f>
        <v>339800</v>
      </c>
      <c r="J68" s="292"/>
    </row>
    <row r="69" spans="2:10" s="140" customFormat="1" ht="90" x14ac:dyDescent="0.2">
      <c r="B69" s="289" t="s">
        <v>49</v>
      </c>
      <c r="C69" s="289" t="s">
        <v>288</v>
      </c>
      <c r="D69" s="289" t="s">
        <v>291</v>
      </c>
      <c r="E69" s="289" t="s">
        <v>77</v>
      </c>
      <c r="F69" s="160" t="s">
        <v>921</v>
      </c>
      <c r="G69" s="291" t="s">
        <v>802</v>
      </c>
      <c r="H69" s="384">
        <v>5311662</v>
      </c>
      <c r="I69" s="292">
        <v>180000</v>
      </c>
      <c r="J69" s="293">
        <f>(1000300+I69)/H69</f>
        <v>0.22220916918282826</v>
      </c>
    </row>
    <row r="70" spans="2:10" s="140" customFormat="1" ht="30" x14ac:dyDescent="0.2">
      <c r="B70" s="289" t="s">
        <v>920</v>
      </c>
      <c r="C70" s="289" t="s">
        <v>293</v>
      </c>
      <c r="D70" s="289" t="s">
        <v>256</v>
      </c>
      <c r="E70" s="289" t="s">
        <v>57</v>
      </c>
      <c r="F70" s="290" t="s">
        <v>90</v>
      </c>
      <c r="G70" s="291"/>
      <c r="H70" s="384"/>
      <c r="I70" s="292">
        <v>99704</v>
      </c>
      <c r="J70" s="293"/>
    </row>
    <row r="71" spans="2:10" ht="45" x14ac:dyDescent="0.2">
      <c r="B71" s="308" t="s">
        <v>244</v>
      </c>
      <c r="C71" s="308"/>
      <c r="D71" s="308"/>
      <c r="E71" s="308" t="s">
        <v>42</v>
      </c>
      <c r="F71" s="318"/>
      <c r="G71" s="319"/>
      <c r="H71" s="319"/>
      <c r="I71" s="313">
        <f>I72</f>
        <v>219706267.31</v>
      </c>
      <c r="J71" s="313"/>
    </row>
    <row r="72" spans="2:10" ht="45" customHeight="1" x14ac:dyDescent="0.2">
      <c r="B72" s="314" t="s">
        <v>245</v>
      </c>
      <c r="C72" s="314"/>
      <c r="D72" s="314"/>
      <c r="E72" s="314" t="s">
        <v>63</v>
      </c>
      <c r="F72" s="318"/>
      <c r="G72" s="319"/>
      <c r="H72" s="319"/>
      <c r="I72" s="320">
        <f>SUM(I73:I76)+I77+I86+I87+I88+I85</f>
        <v>219706267.31</v>
      </c>
      <c r="J72" s="320"/>
    </row>
    <row r="73" spans="2:10" ht="37.5" customHeight="1" x14ac:dyDescent="0.2">
      <c r="B73" s="289" t="s">
        <v>417</v>
      </c>
      <c r="C73" s="289" t="s">
        <v>418</v>
      </c>
      <c r="D73" s="289" t="s">
        <v>542</v>
      </c>
      <c r="E73" s="289" t="s">
        <v>419</v>
      </c>
      <c r="F73" s="290" t="s">
        <v>90</v>
      </c>
      <c r="G73" s="290"/>
      <c r="H73" s="290"/>
      <c r="I73" s="328">
        <v>4550000</v>
      </c>
      <c r="J73" s="328"/>
    </row>
    <row r="74" spans="2:10" ht="53.45" customHeight="1" x14ac:dyDescent="0.2">
      <c r="B74" s="289" t="s">
        <v>447</v>
      </c>
      <c r="C74" s="289" t="s">
        <v>448</v>
      </c>
      <c r="D74" s="289" t="s">
        <v>420</v>
      </c>
      <c r="E74" s="289" t="s">
        <v>449</v>
      </c>
      <c r="F74" s="290" t="s">
        <v>90</v>
      </c>
      <c r="G74" s="290"/>
      <c r="H74" s="290"/>
      <c r="I74" s="328">
        <v>5000000</v>
      </c>
      <c r="J74" s="328"/>
    </row>
    <row r="75" spans="2:10" ht="37.5" customHeight="1" x14ac:dyDescent="0.2">
      <c r="B75" s="289" t="s">
        <v>421</v>
      </c>
      <c r="C75" s="289" t="s">
        <v>422</v>
      </c>
      <c r="D75" s="289" t="s">
        <v>420</v>
      </c>
      <c r="E75" s="289" t="s">
        <v>423</v>
      </c>
      <c r="F75" s="290" t="s">
        <v>90</v>
      </c>
      <c r="G75" s="290"/>
      <c r="H75" s="290"/>
      <c r="I75" s="328">
        <f>(23000000)+271028+1000000</f>
        <v>24271028</v>
      </c>
      <c r="J75" s="328"/>
    </row>
    <row r="76" spans="2:10" ht="37.5" customHeight="1" x14ac:dyDescent="0.2">
      <c r="B76" s="289" t="s">
        <v>427</v>
      </c>
      <c r="C76" s="289" t="s">
        <v>428</v>
      </c>
      <c r="D76" s="289" t="s">
        <v>420</v>
      </c>
      <c r="E76" s="289" t="s">
        <v>429</v>
      </c>
      <c r="F76" s="290" t="s">
        <v>90</v>
      </c>
      <c r="G76" s="290"/>
      <c r="H76" s="290"/>
      <c r="I76" s="328">
        <f>(19160721)+3210000+1000000-1000000</f>
        <v>22370721</v>
      </c>
      <c r="J76" s="328"/>
    </row>
    <row r="77" spans="2:10" ht="38.25" customHeight="1" x14ac:dyDescent="0.2">
      <c r="B77" s="289" t="s">
        <v>451</v>
      </c>
      <c r="C77" s="289" t="s">
        <v>452</v>
      </c>
      <c r="D77" s="289" t="s">
        <v>450</v>
      </c>
      <c r="E77" s="289" t="s">
        <v>487</v>
      </c>
      <c r="F77" s="290" t="s">
        <v>80</v>
      </c>
      <c r="G77" s="290"/>
      <c r="H77" s="290"/>
      <c r="I77" s="292">
        <f>I78+I79+I80+I81+I82+I84+I83</f>
        <v>8428600</v>
      </c>
      <c r="J77" s="292"/>
    </row>
    <row r="78" spans="2:10" ht="126.75" customHeight="1" x14ac:dyDescent="0.2">
      <c r="B78" s="342" t="s">
        <v>451</v>
      </c>
      <c r="C78" s="342" t="s">
        <v>452</v>
      </c>
      <c r="D78" s="342" t="s">
        <v>450</v>
      </c>
      <c r="E78" s="342" t="s">
        <v>487</v>
      </c>
      <c r="F78" s="345" t="s">
        <v>91</v>
      </c>
      <c r="G78" s="343"/>
      <c r="H78" s="343"/>
      <c r="I78" s="344">
        <v>100000</v>
      </c>
      <c r="J78" s="344"/>
    </row>
    <row r="79" spans="2:10" ht="55.5" customHeight="1" x14ac:dyDescent="0.2">
      <c r="B79" s="342" t="s">
        <v>451</v>
      </c>
      <c r="C79" s="342" t="s">
        <v>452</v>
      </c>
      <c r="D79" s="342" t="s">
        <v>450</v>
      </c>
      <c r="E79" s="342" t="s">
        <v>487</v>
      </c>
      <c r="F79" s="345" t="s">
        <v>232</v>
      </c>
      <c r="G79" s="343"/>
      <c r="H79" s="343"/>
      <c r="I79" s="344">
        <v>2000000</v>
      </c>
      <c r="J79" s="344"/>
    </row>
    <row r="80" spans="2:10" ht="48.75" customHeight="1" x14ac:dyDescent="0.2">
      <c r="B80" s="342" t="s">
        <v>451</v>
      </c>
      <c r="C80" s="342" t="s">
        <v>452</v>
      </c>
      <c r="D80" s="342" t="s">
        <v>450</v>
      </c>
      <c r="E80" s="342" t="s">
        <v>487</v>
      </c>
      <c r="F80" s="345" t="s">
        <v>488</v>
      </c>
      <c r="G80" s="343"/>
      <c r="H80" s="343"/>
      <c r="I80" s="344">
        <v>2000000</v>
      </c>
      <c r="J80" s="344"/>
    </row>
    <row r="81" spans="2:10" ht="60.75" customHeight="1" x14ac:dyDescent="0.2">
      <c r="B81" s="342" t="s">
        <v>451</v>
      </c>
      <c r="C81" s="342" t="s">
        <v>452</v>
      </c>
      <c r="D81" s="342" t="s">
        <v>450</v>
      </c>
      <c r="E81" s="342" t="s">
        <v>487</v>
      </c>
      <c r="F81" s="345" t="s">
        <v>489</v>
      </c>
      <c r="G81" s="290" t="s">
        <v>770</v>
      </c>
      <c r="H81" s="343">
        <v>3589039</v>
      </c>
      <c r="I81" s="344">
        <f>(1500000)+1888600</f>
        <v>3388600</v>
      </c>
      <c r="J81" s="330">
        <f>I81/H81</f>
        <v>0.94415245975315398</v>
      </c>
    </row>
    <row r="82" spans="2:10" ht="66" customHeight="1" x14ac:dyDescent="0.2">
      <c r="B82" s="342" t="s">
        <v>451</v>
      </c>
      <c r="C82" s="342" t="s">
        <v>452</v>
      </c>
      <c r="D82" s="342" t="s">
        <v>450</v>
      </c>
      <c r="E82" s="342" t="s">
        <v>487</v>
      </c>
      <c r="F82" s="345" t="s">
        <v>490</v>
      </c>
      <c r="G82" s="343"/>
      <c r="H82" s="343"/>
      <c r="I82" s="344">
        <v>100000</v>
      </c>
      <c r="J82" s="344"/>
    </row>
    <row r="83" spans="2:10" ht="66" customHeight="1" x14ac:dyDescent="0.2">
      <c r="B83" s="342" t="s">
        <v>451</v>
      </c>
      <c r="C83" s="342" t="s">
        <v>452</v>
      </c>
      <c r="D83" s="342" t="s">
        <v>450</v>
      </c>
      <c r="E83" s="342" t="s">
        <v>487</v>
      </c>
      <c r="F83" s="333" t="s">
        <v>857</v>
      </c>
      <c r="G83" s="343"/>
      <c r="H83" s="343"/>
      <c r="I83" s="344">
        <v>140000</v>
      </c>
      <c r="J83" s="344"/>
    </row>
    <row r="84" spans="2:10" ht="105" x14ac:dyDescent="0.2">
      <c r="B84" s="342" t="s">
        <v>451</v>
      </c>
      <c r="C84" s="342" t="s">
        <v>452</v>
      </c>
      <c r="D84" s="342" t="s">
        <v>450</v>
      </c>
      <c r="E84" s="342" t="s">
        <v>487</v>
      </c>
      <c r="F84" s="333" t="s">
        <v>950</v>
      </c>
      <c r="G84" s="343"/>
      <c r="H84" s="343"/>
      <c r="I84" s="344">
        <v>700000</v>
      </c>
      <c r="J84" s="336"/>
    </row>
    <row r="85" spans="2:10" ht="45" x14ac:dyDescent="0.2">
      <c r="B85" s="289" t="s">
        <v>870</v>
      </c>
      <c r="C85" s="289" t="s">
        <v>572</v>
      </c>
      <c r="D85" s="289" t="s">
        <v>256</v>
      </c>
      <c r="E85" s="289" t="s">
        <v>398</v>
      </c>
      <c r="F85" s="341" t="s">
        <v>2</v>
      </c>
      <c r="G85" s="290" t="s">
        <v>798</v>
      </c>
      <c r="H85" s="290">
        <v>181970000</v>
      </c>
      <c r="I85" s="328">
        <f>(4000000)-4000000+21460000+8818000</f>
        <v>30278000</v>
      </c>
      <c r="J85" s="334">
        <f>(96444100-4000000+21460000+8818000)/H85</f>
        <v>0.67440841897015991</v>
      </c>
    </row>
    <row r="86" spans="2:10" ht="45" x14ac:dyDescent="0.2">
      <c r="B86" s="289" t="s">
        <v>434</v>
      </c>
      <c r="C86" s="289" t="s">
        <v>435</v>
      </c>
      <c r="D86" s="289" t="s">
        <v>437</v>
      </c>
      <c r="E86" s="289" t="s">
        <v>436</v>
      </c>
      <c r="F86" s="290" t="s">
        <v>90</v>
      </c>
      <c r="G86" s="290"/>
      <c r="H86" s="290"/>
      <c r="I86" s="328">
        <f>(82763108-570000)+3345786.63-250000+31-1000000-500000-372000</f>
        <v>83416925.629999995</v>
      </c>
      <c r="J86" s="328"/>
    </row>
    <row r="87" spans="2:10" ht="15" x14ac:dyDescent="0.2">
      <c r="B87" s="289" t="s">
        <v>438</v>
      </c>
      <c r="C87" s="289" t="s">
        <v>317</v>
      </c>
      <c r="D87" s="289" t="s">
        <v>318</v>
      </c>
      <c r="E87" s="289" t="s">
        <v>67</v>
      </c>
      <c r="F87" s="290" t="s">
        <v>90</v>
      </c>
      <c r="G87" s="290"/>
      <c r="H87" s="290"/>
      <c r="I87" s="328">
        <f>1000000+250000</f>
        <v>1250000</v>
      </c>
      <c r="J87" s="328"/>
    </row>
    <row r="88" spans="2:10" ht="30" x14ac:dyDescent="0.2">
      <c r="B88" s="289" t="s">
        <v>455</v>
      </c>
      <c r="C88" s="289" t="s">
        <v>293</v>
      </c>
      <c r="D88" s="289" t="s">
        <v>256</v>
      </c>
      <c r="E88" s="289" t="s">
        <v>57</v>
      </c>
      <c r="F88" s="290" t="s">
        <v>80</v>
      </c>
      <c r="G88" s="290"/>
      <c r="H88" s="290"/>
      <c r="I88" s="328">
        <f>SUM(I89:I121)</f>
        <v>40140992.68</v>
      </c>
      <c r="J88" s="328"/>
    </row>
    <row r="89" spans="2:10" ht="90" x14ac:dyDescent="0.2">
      <c r="B89" s="342" t="s">
        <v>455</v>
      </c>
      <c r="C89" s="342" t="s">
        <v>293</v>
      </c>
      <c r="D89" s="342" t="s">
        <v>256</v>
      </c>
      <c r="E89" s="342" t="s">
        <v>57</v>
      </c>
      <c r="F89" s="346" t="s">
        <v>715</v>
      </c>
      <c r="G89" s="343"/>
      <c r="H89" s="343"/>
      <c r="I89" s="344">
        <v>1452515</v>
      </c>
      <c r="J89" s="328"/>
    </row>
    <row r="90" spans="2:10" ht="45" x14ac:dyDescent="0.2">
      <c r="B90" s="342" t="s">
        <v>455</v>
      </c>
      <c r="C90" s="342" t="s">
        <v>293</v>
      </c>
      <c r="D90" s="342" t="s">
        <v>256</v>
      </c>
      <c r="E90" s="342" t="s">
        <v>57</v>
      </c>
      <c r="F90" s="346" t="s">
        <v>756</v>
      </c>
      <c r="G90" s="343"/>
      <c r="H90" s="343"/>
      <c r="I90" s="344">
        <v>131700</v>
      </c>
      <c r="J90" s="328"/>
    </row>
    <row r="91" spans="2:10" ht="45" x14ac:dyDescent="0.2">
      <c r="B91" s="342" t="s">
        <v>455</v>
      </c>
      <c r="C91" s="342" t="s">
        <v>293</v>
      </c>
      <c r="D91" s="342" t="s">
        <v>256</v>
      </c>
      <c r="E91" s="342" t="s">
        <v>57</v>
      </c>
      <c r="F91" s="346" t="s">
        <v>623</v>
      </c>
      <c r="G91" s="343"/>
      <c r="H91" s="343"/>
      <c r="I91" s="344">
        <v>2000000</v>
      </c>
      <c r="J91" s="328"/>
    </row>
    <row r="92" spans="2:10" ht="150" x14ac:dyDescent="0.2">
      <c r="B92" s="342" t="s">
        <v>455</v>
      </c>
      <c r="C92" s="342" t="s">
        <v>293</v>
      </c>
      <c r="D92" s="342" t="s">
        <v>256</v>
      </c>
      <c r="E92" s="342" t="s">
        <v>57</v>
      </c>
      <c r="F92" s="332" t="s">
        <v>858</v>
      </c>
      <c r="G92" s="343"/>
      <c r="H92" s="343"/>
      <c r="I92" s="344">
        <v>419670</v>
      </c>
      <c r="J92" s="328"/>
    </row>
    <row r="93" spans="2:10" ht="135" x14ac:dyDescent="0.2">
      <c r="B93" s="342" t="s">
        <v>455</v>
      </c>
      <c r="C93" s="342" t="s">
        <v>293</v>
      </c>
      <c r="D93" s="342" t="s">
        <v>256</v>
      </c>
      <c r="E93" s="342" t="s">
        <v>57</v>
      </c>
      <c r="F93" s="332" t="s">
        <v>891</v>
      </c>
      <c r="G93" s="343"/>
      <c r="H93" s="343"/>
      <c r="I93" s="344">
        <v>538650</v>
      </c>
      <c r="J93" s="328"/>
    </row>
    <row r="94" spans="2:10" ht="120" x14ac:dyDescent="0.2">
      <c r="B94" s="342" t="s">
        <v>455</v>
      </c>
      <c r="C94" s="342" t="s">
        <v>293</v>
      </c>
      <c r="D94" s="342" t="s">
        <v>256</v>
      </c>
      <c r="E94" s="342" t="s">
        <v>57</v>
      </c>
      <c r="F94" s="332" t="s">
        <v>892</v>
      </c>
      <c r="G94" s="343"/>
      <c r="H94" s="343"/>
      <c r="I94" s="344">
        <v>54106</v>
      </c>
      <c r="J94" s="328"/>
    </row>
    <row r="95" spans="2:10" ht="90" x14ac:dyDescent="0.2">
      <c r="B95" s="342" t="s">
        <v>455</v>
      </c>
      <c r="C95" s="342" t="s">
        <v>293</v>
      </c>
      <c r="D95" s="342" t="s">
        <v>256</v>
      </c>
      <c r="E95" s="342" t="s">
        <v>57</v>
      </c>
      <c r="F95" s="332" t="s">
        <v>925</v>
      </c>
      <c r="G95" s="343"/>
      <c r="H95" s="343"/>
      <c r="I95" s="344">
        <v>775000</v>
      </c>
      <c r="J95" s="328"/>
    </row>
    <row r="96" spans="2:10" ht="45" x14ac:dyDescent="0.2">
      <c r="B96" s="342" t="s">
        <v>455</v>
      </c>
      <c r="C96" s="342" t="s">
        <v>293</v>
      </c>
      <c r="D96" s="342" t="s">
        <v>256</v>
      </c>
      <c r="E96" s="342" t="s">
        <v>57</v>
      </c>
      <c r="F96" s="332" t="s">
        <v>860</v>
      </c>
      <c r="G96" s="343"/>
      <c r="H96" s="343"/>
      <c r="I96" s="344">
        <v>4000000</v>
      </c>
      <c r="J96" s="328"/>
    </row>
    <row r="97" spans="2:10" ht="90" x14ac:dyDescent="0.2">
      <c r="B97" s="342" t="s">
        <v>455</v>
      </c>
      <c r="C97" s="342" t="s">
        <v>293</v>
      </c>
      <c r="D97" s="342" t="s">
        <v>256</v>
      </c>
      <c r="E97" s="342" t="s">
        <v>57</v>
      </c>
      <c r="F97" s="332" t="s">
        <v>937</v>
      </c>
      <c r="G97" s="343"/>
      <c r="H97" s="343"/>
      <c r="I97" s="344">
        <v>180000</v>
      </c>
      <c r="J97" s="328"/>
    </row>
    <row r="98" spans="2:10" ht="60" x14ac:dyDescent="0.2">
      <c r="B98" s="342" t="s">
        <v>455</v>
      </c>
      <c r="C98" s="342" t="s">
        <v>293</v>
      </c>
      <c r="D98" s="342" t="s">
        <v>256</v>
      </c>
      <c r="E98" s="342" t="s">
        <v>57</v>
      </c>
      <c r="F98" s="332" t="s">
        <v>955</v>
      </c>
      <c r="G98" s="343"/>
      <c r="H98" s="343"/>
      <c r="I98" s="344">
        <f>72000</f>
        <v>72000</v>
      </c>
      <c r="J98" s="328"/>
    </row>
    <row r="99" spans="2:10" ht="60" x14ac:dyDescent="0.2">
      <c r="B99" s="342" t="s">
        <v>455</v>
      </c>
      <c r="C99" s="342" t="s">
        <v>293</v>
      </c>
      <c r="D99" s="342" t="s">
        <v>256</v>
      </c>
      <c r="E99" s="342" t="s">
        <v>57</v>
      </c>
      <c r="F99" s="346" t="s">
        <v>864</v>
      </c>
      <c r="G99" s="343"/>
      <c r="H99" s="343"/>
      <c r="I99" s="344">
        <v>65700</v>
      </c>
      <c r="J99" s="328"/>
    </row>
    <row r="100" spans="2:10" ht="45" x14ac:dyDescent="0.2">
      <c r="B100" s="342" t="s">
        <v>455</v>
      </c>
      <c r="C100" s="342" t="s">
        <v>293</v>
      </c>
      <c r="D100" s="342" t="s">
        <v>256</v>
      </c>
      <c r="E100" s="342" t="s">
        <v>57</v>
      </c>
      <c r="F100" s="346" t="s">
        <v>865</v>
      </c>
      <c r="G100" s="343"/>
      <c r="H100" s="343"/>
      <c r="I100" s="344">
        <v>557370</v>
      </c>
      <c r="J100" s="328"/>
    </row>
    <row r="101" spans="2:10" ht="120" x14ac:dyDescent="0.2">
      <c r="B101" s="342" t="s">
        <v>455</v>
      </c>
      <c r="C101" s="342" t="s">
        <v>293</v>
      </c>
      <c r="D101" s="342" t="s">
        <v>256</v>
      </c>
      <c r="E101" s="342" t="s">
        <v>57</v>
      </c>
      <c r="F101" s="346" t="s">
        <v>927</v>
      </c>
      <c r="G101" s="343"/>
      <c r="H101" s="343"/>
      <c r="I101" s="344">
        <v>400000</v>
      </c>
      <c r="J101" s="328"/>
    </row>
    <row r="102" spans="2:10" ht="135" x14ac:dyDescent="0.2">
      <c r="B102" s="342" t="s">
        <v>455</v>
      </c>
      <c r="C102" s="342" t="s">
        <v>293</v>
      </c>
      <c r="D102" s="342" t="s">
        <v>256</v>
      </c>
      <c r="E102" s="342" t="s">
        <v>57</v>
      </c>
      <c r="F102" s="346" t="s">
        <v>938</v>
      </c>
      <c r="G102" s="343"/>
      <c r="H102" s="343"/>
      <c r="I102" s="344">
        <v>106774</v>
      </c>
      <c r="J102" s="328"/>
    </row>
    <row r="103" spans="2:10" ht="165" x14ac:dyDescent="0.2">
      <c r="B103" s="342" t="s">
        <v>455</v>
      </c>
      <c r="C103" s="342" t="s">
        <v>293</v>
      </c>
      <c r="D103" s="342" t="s">
        <v>256</v>
      </c>
      <c r="E103" s="342" t="s">
        <v>57</v>
      </c>
      <c r="F103" s="346" t="s">
        <v>867</v>
      </c>
      <c r="G103" s="343"/>
      <c r="H103" s="343"/>
      <c r="I103" s="344">
        <v>105773</v>
      </c>
      <c r="J103" s="328"/>
    </row>
    <row r="104" spans="2:10" ht="105" x14ac:dyDescent="0.2">
      <c r="B104" s="342" t="s">
        <v>455</v>
      </c>
      <c r="C104" s="342" t="s">
        <v>293</v>
      </c>
      <c r="D104" s="342" t="s">
        <v>256</v>
      </c>
      <c r="E104" s="342" t="s">
        <v>57</v>
      </c>
      <c r="F104" s="346" t="s">
        <v>954</v>
      </c>
      <c r="G104" s="343"/>
      <c r="H104" s="343"/>
      <c r="I104" s="344">
        <f>250000+300000</f>
        <v>550000</v>
      </c>
      <c r="J104" s="328"/>
    </row>
    <row r="105" spans="2:10" ht="90" x14ac:dyDescent="0.2">
      <c r="B105" s="342" t="s">
        <v>455</v>
      </c>
      <c r="C105" s="342" t="s">
        <v>293</v>
      </c>
      <c r="D105" s="342" t="s">
        <v>256</v>
      </c>
      <c r="E105" s="342" t="s">
        <v>57</v>
      </c>
      <c r="F105" s="332" t="s">
        <v>939</v>
      </c>
      <c r="G105" s="343"/>
      <c r="H105" s="343"/>
      <c r="I105" s="344">
        <v>4000000</v>
      </c>
      <c r="J105" s="328"/>
    </row>
    <row r="106" spans="2:10" ht="105" x14ac:dyDescent="0.2">
      <c r="B106" s="342" t="s">
        <v>455</v>
      </c>
      <c r="C106" s="342" t="s">
        <v>293</v>
      </c>
      <c r="D106" s="342" t="s">
        <v>256</v>
      </c>
      <c r="E106" s="342" t="s">
        <v>57</v>
      </c>
      <c r="F106" s="332" t="s">
        <v>940</v>
      </c>
      <c r="G106" s="343"/>
      <c r="H106" s="343"/>
      <c r="I106" s="344">
        <v>3200000</v>
      </c>
      <c r="J106" s="328"/>
    </row>
    <row r="107" spans="2:10" ht="90" x14ac:dyDescent="0.2">
      <c r="B107" s="342" t="s">
        <v>455</v>
      </c>
      <c r="C107" s="342" t="s">
        <v>293</v>
      </c>
      <c r="D107" s="342" t="s">
        <v>256</v>
      </c>
      <c r="E107" s="342" t="s">
        <v>57</v>
      </c>
      <c r="F107" s="332" t="s">
        <v>866</v>
      </c>
      <c r="G107" s="343"/>
      <c r="H107" s="343"/>
      <c r="I107" s="344">
        <v>2000000</v>
      </c>
      <c r="J107" s="328"/>
    </row>
    <row r="108" spans="2:10" ht="90" x14ac:dyDescent="0.2">
      <c r="B108" s="342" t="s">
        <v>455</v>
      </c>
      <c r="C108" s="342" t="s">
        <v>293</v>
      </c>
      <c r="D108" s="342" t="s">
        <v>256</v>
      </c>
      <c r="E108" s="342" t="s">
        <v>57</v>
      </c>
      <c r="F108" s="346" t="s">
        <v>952</v>
      </c>
      <c r="G108" s="343"/>
      <c r="H108" s="343"/>
      <c r="I108" s="344">
        <f>(3565000)+8475200</f>
        <v>12040200</v>
      </c>
      <c r="J108" s="328"/>
    </row>
    <row r="109" spans="2:10" ht="135" x14ac:dyDescent="0.2">
      <c r="B109" s="342" t="s">
        <v>455</v>
      </c>
      <c r="C109" s="342" t="s">
        <v>293</v>
      </c>
      <c r="D109" s="342" t="s">
        <v>256</v>
      </c>
      <c r="E109" s="342" t="s">
        <v>57</v>
      </c>
      <c r="F109" s="346" t="s">
        <v>716</v>
      </c>
      <c r="G109" s="343"/>
      <c r="H109" s="343"/>
      <c r="I109" s="344">
        <f>(300000)+388000</f>
        <v>688000</v>
      </c>
      <c r="J109" s="328"/>
    </row>
    <row r="110" spans="2:10" ht="120" x14ac:dyDescent="0.2">
      <c r="B110" s="342" t="s">
        <v>455</v>
      </c>
      <c r="C110" s="342" t="s">
        <v>293</v>
      </c>
      <c r="D110" s="342" t="s">
        <v>256</v>
      </c>
      <c r="E110" s="342" t="s">
        <v>57</v>
      </c>
      <c r="F110" s="346" t="s">
        <v>767</v>
      </c>
      <c r="G110" s="343"/>
      <c r="H110" s="343"/>
      <c r="I110" s="344">
        <v>400000</v>
      </c>
      <c r="J110" s="328"/>
    </row>
    <row r="111" spans="2:10" ht="120" x14ac:dyDescent="0.2">
      <c r="B111" s="342" t="s">
        <v>455</v>
      </c>
      <c r="C111" s="342" t="s">
        <v>293</v>
      </c>
      <c r="D111" s="342" t="s">
        <v>256</v>
      </c>
      <c r="E111" s="342" t="s">
        <v>57</v>
      </c>
      <c r="F111" s="346" t="s">
        <v>768</v>
      </c>
      <c r="G111" s="343"/>
      <c r="H111" s="343"/>
      <c r="I111" s="344">
        <v>265200</v>
      </c>
      <c r="J111" s="328"/>
    </row>
    <row r="112" spans="2:10" ht="105" x14ac:dyDescent="0.2">
      <c r="B112" s="342" t="s">
        <v>455</v>
      </c>
      <c r="C112" s="342" t="s">
        <v>293</v>
      </c>
      <c r="D112" s="342" t="s">
        <v>256</v>
      </c>
      <c r="E112" s="342" t="s">
        <v>57</v>
      </c>
      <c r="F112" s="332" t="s">
        <v>941</v>
      </c>
      <c r="G112" s="343"/>
      <c r="H112" s="343"/>
      <c r="I112" s="344">
        <v>764842</v>
      </c>
      <c r="J112" s="328"/>
    </row>
    <row r="113" spans="1:11" ht="90" x14ac:dyDescent="0.2">
      <c r="B113" s="342" t="s">
        <v>455</v>
      </c>
      <c r="C113" s="342" t="s">
        <v>293</v>
      </c>
      <c r="D113" s="342" t="s">
        <v>256</v>
      </c>
      <c r="E113" s="342" t="s">
        <v>57</v>
      </c>
      <c r="F113" s="332" t="s">
        <v>951</v>
      </c>
      <c r="G113" s="343"/>
      <c r="H113" s="343"/>
      <c r="I113" s="344">
        <v>920000</v>
      </c>
      <c r="J113" s="328"/>
    </row>
    <row r="114" spans="1:11" ht="75" x14ac:dyDescent="0.2">
      <c r="B114" s="342" t="s">
        <v>455</v>
      </c>
      <c r="C114" s="342" t="s">
        <v>293</v>
      </c>
      <c r="D114" s="342" t="s">
        <v>256</v>
      </c>
      <c r="E114" s="342" t="s">
        <v>57</v>
      </c>
      <c r="F114" s="332" t="s">
        <v>873</v>
      </c>
      <c r="G114" s="343"/>
      <c r="H114" s="343"/>
      <c r="I114" s="344">
        <v>500000</v>
      </c>
      <c r="J114" s="328"/>
    </row>
    <row r="115" spans="1:11" ht="135" x14ac:dyDescent="0.2">
      <c r="B115" s="342" t="s">
        <v>455</v>
      </c>
      <c r="C115" s="342" t="s">
        <v>293</v>
      </c>
      <c r="D115" s="342" t="s">
        <v>256</v>
      </c>
      <c r="E115" s="342" t="s">
        <v>57</v>
      </c>
      <c r="F115" s="332" t="s">
        <v>872</v>
      </c>
      <c r="G115" s="343"/>
      <c r="H115" s="343"/>
      <c r="I115" s="344">
        <v>2500000</v>
      </c>
      <c r="J115" s="328"/>
    </row>
    <row r="116" spans="1:11" ht="90" x14ac:dyDescent="0.2">
      <c r="B116" s="342" t="s">
        <v>455</v>
      </c>
      <c r="C116" s="342" t="s">
        <v>293</v>
      </c>
      <c r="D116" s="342" t="s">
        <v>256</v>
      </c>
      <c r="E116" s="342" t="s">
        <v>57</v>
      </c>
      <c r="F116" s="332" t="s">
        <v>861</v>
      </c>
      <c r="G116" s="343"/>
      <c r="H116" s="343"/>
      <c r="I116" s="344">
        <v>310000</v>
      </c>
      <c r="J116" s="328"/>
    </row>
    <row r="117" spans="1:11" ht="105" x14ac:dyDescent="0.2">
      <c r="B117" s="342" t="s">
        <v>455</v>
      </c>
      <c r="C117" s="342" t="s">
        <v>293</v>
      </c>
      <c r="D117" s="342" t="s">
        <v>256</v>
      </c>
      <c r="E117" s="342" t="s">
        <v>57</v>
      </c>
      <c r="F117" s="332" t="s">
        <v>905</v>
      </c>
      <c r="G117" s="343"/>
      <c r="H117" s="343"/>
      <c r="I117" s="344">
        <v>92967</v>
      </c>
      <c r="J117" s="328"/>
    </row>
    <row r="118" spans="1:11" ht="90" x14ac:dyDescent="0.2">
      <c r="B118" s="342" t="s">
        <v>455</v>
      </c>
      <c r="C118" s="342" t="s">
        <v>293</v>
      </c>
      <c r="D118" s="342" t="s">
        <v>256</v>
      </c>
      <c r="E118" s="342" t="s">
        <v>57</v>
      </c>
      <c r="F118" s="332" t="s">
        <v>871</v>
      </c>
      <c r="G118" s="343"/>
      <c r="H118" s="343"/>
      <c r="I118" s="344">
        <v>395000</v>
      </c>
      <c r="J118" s="328"/>
    </row>
    <row r="119" spans="1:11" ht="90" x14ac:dyDescent="0.2">
      <c r="B119" s="342" t="s">
        <v>455</v>
      </c>
      <c r="C119" s="342" t="s">
        <v>293</v>
      </c>
      <c r="D119" s="342" t="s">
        <v>256</v>
      </c>
      <c r="E119" s="342" t="s">
        <v>57</v>
      </c>
      <c r="F119" s="331" t="s">
        <v>862</v>
      </c>
      <c r="G119" s="343"/>
      <c r="H119" s="343"/>
      <c r="I119" s="344">
        <v>289003</v>
      </c>
      <c r="J119" s="328"/>
    </row>
    <row r="120" spans="1:11" ht="90" x14ac:dyDescent="0.2">
      <c r="B120" s="342" t="s">
        <v>455</v>
      </c>
      <c r="C120" s="342" t="s">
        <v>293</v>
      </c>
      <c r="D120" s="342" t="s">
        <v>256</v>
      </c>
      <c r="E120" s="342" t="s">
        <v>57</v>
      </c>
      <c r="F120" s="331" t="s">
        <v>863</v>
      </c>
      <c r="G120" s="343"/>
      <c r="H120" s="343"/>
      <c r="I120" s="344">
        <v>275194</v>
      </c>
      <c r="J120" s="328"/>
    </row>
    <row r="121" spans="1:11" ht="150" x14ac:dyDescent="0.2">
      <c r="A121" s="140"/>
      <c r="B121" s="342" t="s">
        <v>455</v>
      </c>
      <c r="C121" s="342" t="s">
        <v>293</v>
      </c>
      <c r="D121" s="342" t="s">
        <v>256</v>
      </c>
      <c r="E121" s="342" t="s">
        <v>57</v>
      </c>
      <c r="F121" s="345" t="s">
        <v>856</v>
      </c>
      <c r="G121" s="343" t="s">
        <v>799</v>
      </c>
      <c r="H121" s="343">
        <f>3200000+3385670</f>
        <v>6585670</v>
      </c>
      <c r="I121" s="344">
        <v>91328.68</v>
      </c>
      <c r="J121" s="336">
        <v>1</v>
      </c>
    </row>
    <row r="122" spans="1:11" ht="75" x14ac:dyDescent="0.2">
      <c r="B122" s="359" t="s">
        <v>44</v>
      </c>
      <c r="C122" s="359"/>
      <c r="D122" s="359"/>
      <c r="E122" s="359" t="s">
        <v>635</v>
      </c>
      <c r="F122" s="360"/>
      <c r="G122" s="361"/>
      <c r="H122" s="361"/>
      <c r="I122" s="362">
        <f>I123</f>
        <v>72776600</v>
      </c>
      <c r="J122" s="362"/>
    </row>
    <row r="123" spans="1:11" ht="85.7" customHeight="1" x14ac:dyDescent="0.2">
      <c r="A123" s="365"/>
      <c r="B123" s="314" t="s">
        <v>45</v>
      </c>
      <c r="C123" s="314"/>
      <c r="D123" s="314"/>
      <c r="E123" s="314" t="s">
        <v>634</v>
      </c>
      <c r="F123" s="318"/>
      <c r="G123" s="319"/>
      <c r="H123" s="319"/>
      <c r="I123" s="320">
        <f>SUM(I124:I144)</f>
        <v>72776600</v>
      </c>
      <c r="J123" s="320"/>
    </row>
    <row r="124" spans="1:11" ht="60" x14ac:dyDescent="0.2">
      <c r="A124" s="365"/>
      <c r="B124" s="289" t="s">
        <v>739</v>
      </c>
      <c r="C124" s="289" t="s">
        <v>341</v>
      </c>
      <c r="D124" s="289" t="s">
        <v>339</v>
      </c>
      <c r="E124" s="289" t="s">
        <v>340</v>
      </c>
      <c r="F124" s="365"/>
      <c r="G124" s="365"/>
      <c r="H124" s="365"/>
      <c r="I124" s="328">
        <v>10400</v>
      </c>
      <c r="J124" s="365"/>
    </row>
    <row r="125" spans="1:11" ht="75" x14ac:dyDescent="0.2">
      <c r="A125" s="365"/>
      <c r="B125" s="289" t="s">
        <v>846</v>
      </c>
      <c r="C125" s="289" t="s">
        <v>848</v>
      </c>
      <c r="D125" s="289" t="s">
        <v>291</v>
      </c>
      <c r="E125" s="289" t="s">
        <v>847</v>
      </c>
      <c r="F125" s="341" t="s">
        <v>620</v>
      </c>
      <c r="G125" s="328" t="s">
        <v>802</v>
      </c>
      <c r="H125" s="328">
        <f>282861499</f>
        <v>282861499</v>
      </c>
      <c r="I125" s="328">
        <f>(4500000)+4000000</f>
        <v>8500000</v>
      </c>
      <c r="J125" s="334">
        <f>(7688.93+54000000+1828602.38+4500000+4000000)/H125</f>
        <v>0.22744803211977604</v>
      </c>
    </row>
    <row r="126" spans="1:11" ht="60" x14ac:dyDescent="0.2">
      <c r="A126" s="365"/>
      <c r="B126" s="289" t="s">
        <v>469</v>
      </c>
      <c r="C126" s="289" t="s">
        <v>470</v>
      </c>
      <c r="D126" s="289" t="s">
        <v>450</v>
      </c>
      <c r="E126" s="289" t="s">
        <v>468</v>
      </c>
      <c r="F126" s="326" t="s">
        <v>618</v>
      </c>
      <c r="G126" s="291" t="s">
        <v>799</v>
      </c>
      <c r="H126" s="291">
        <v>30084395</v>
      </c>
      <c r="I126" s="291">
        <f>(4000000)+2000000</f>
        <v>6000000</v>
      </c>
      <c r="J126" s="355">
        <f>(391733+4041104.35+4000000+2000000)/H126</f>
        <v>0.34678567908711477</v>
      </c>
      <c r="K126" s="118"/>
    </row>
    <row r="127" spans="1:11" ht="75" customHeight="1" x14ac:dyDescent="0.2">
      <c r="B127" s="363" t="s">
        <v>469</v>
      </c>
      <c r="C127" s="363" t="s">
        <v>470</v>
      </c>
      <c r="D127" s="363" t="s">
        <v>450</v>
      </c>
      <c r="E127" s="363" t="s">
        <v>468</v>
      </c>
      <c r="F127" s="364" t="s">
        <v>3</v>
      </c>
      <c r="G127" s="327" t="s">
        <v>799</v>
      </c>
      <c r="H127" s="327">
        <v>30010059</v>
      </c>
      <c r="I127" s="327">
        <f>(3500000)+2000000</f>
        <v>5500000</v>
      </c>
      <c r="J127" s="325">
        <f>(2087700+4693311.43+3500000+2000000)/H127</f>
        <v>0.40922983290369402</v>
      </c>
    </row>
    <row r="128" spans="1:11" ht="75" x14ac:dyDescent="0.2">
      <c r="B128" s="289" t="s">
        <v>469</v>
      </c>
      <c r="C128" s="289" t="s">
        <v>470</v>
      </c>
      <c r="D128" s="289" t="s">
        <v>450</v>
      </c>
      <c r="E128" s="289" t="s">
        <v>468</v>
      </c>
      <c r="F128" s="326" t="s">
        <v>619</v>
      </c>
      <c r="G128" s="291" t="s">
        <v>801</v>
      </c>
      <c r="H128" s="291">
        <f>30737344</f>
        <v>30737344</v>
      </c>
      <c r="I128" s="327">
        <v>4000000</v>
      </c>
      <c r="J128" s="325">
        <f>(4471266+6488967.58+4000000)/H128</f>
        <v>0.48671198070984922</v>
      </c>
    </row>
    <row r="129" spans="2:10" ht="90" x14ac:dyDescent="0.2">
      <c r="B129" s="289" t="s">
        <v>469</v>
      </c>
      <c r="C129" s="289" t="s">
        <v>470</v>
      </c>
      <c r="D129" s="289" t="s">
        <v>450</v>
      </c>
      <c r="E129" s="289" t="s">
        <v>468</v>
      </c>
      <c r="F129" s="326" t="s">
        <v>636</v>
      </c>
      <c r="G129" s="328" t="s">
        <v>802</v>
      </c>
      <c r="H129" s="328">
        <f>9300000+10829899</f>
        <v>20129899</v>
      </c>
      <c r="I129" s="329">
        <f>(1500000)+1000000</f>
        <v>2500000</v>
      </c>
      <c r="J129" s="330">
        <f>(300094.58+1500000+1000000)/H129</f>
        <v>0.13910127318572241</v>
      </c>
    </row>
    <row r="130" spans="2:10" ht="90" x14ac:dyDescent="0.2">
      <c r="B130" s="289" t="s">
        <v>469</v>
      </c>
      <c r="C130" s="289" t="s">
        <v>470</v>
      </c>
      <c r="D130" s="289" t="s">
        <v>450</v>
      </c>
      <c r="E130" s="289" t="s">
        <v>468</v>
      </c>
      <c r="F130" s="326" t="s">
        <v>640</v>
      </c>
      <c r="G130" s="328" t="s">
        <v>799</v>
      </c>
      <c r="H130" s="328">
        <f>8700000+6796500</f>
        <v>15496500</v>
      </c>
      <c r="I130" s="329">
        <v>4000000</v>
      </c>
      <c r="J130" s="330">
        <f>(938042.78+4000000)/H130</f>
        <v>0.31865535959732844</v>
      </c>
    </row>
    <row r="131" spans="2:10" ht="90" x14ac:dyDescent="0.2">
      <c r="B131" s="289" t="s">
        <v>469</v>
      </c>
      <c r="C131" s="289" t="s">
        <v>470</v>
      </c>
      <c r="D131" s="289" t="s">
        <v>450</v>
      </c>
      <c r="E131" s="289" t="s">
        <v>468</v>
      </c>
      <c r="F131" s="347" t="s">
        <v>849</v>
      </c>
      <c r="G131" s="328" t="s">
        <v>799</v>
      </c>
      <c r="H131" s="291">
        <f>(6639195)+3899305-1999900</f>
        <v>8538600</v>
      </c>
      <c r="I131" s="329">
        <v>1700000</v>
      </c>
      <c r="J131" s="330">
        <v>1</v>
      </c>
    </row>
    <row r="132" spans="2:10" ht="75" x14ac:dyDescent="0.2">
      <c r="B132" s="289" t="s">
        <v>471</v>
      </c>
      <c r="C132" s="289" t="s">
        <v>472</v>
      </c>
      <c r="D132" s="289" t="s">
        <v>450</v>
      </c>
      <c r="E132" s="289" t="s">
        <v>473</v>
      </c>
      <c r="F132" s="335" t="s">
        <v>850</v>
      </c>
      <c r="G132" s="328" t="s">
        <v>923</v>
      </c>
      <c r="H132" s="291">
        <v>178488253</v>
      </c>
      <c r="I132" s="291">
        <v>900000</v>
      </c>
      <c r="J132" s="330">
        <f>(503989.26+900000)/H132</f>
        <v>7.8660037083784998E-3</v>
      </c>
    </row>
    <row r="133" spans="2:10" ht="75" x14ac:dyDescent="0.2">
      <c r="B133" s="289" t="s">
        <v>471</v>
      </c>
      <c r="C133" s="289" t="s">
        <v>472</v>
      </c>
      <c r="D133" s="289" t="s">
        <v>450</v>
      </c>
      <c r="E133" s="289" t="s">
        <v>473</v>
      </c>
      <c r="F133" s="337" t="s">
        <v>851</v>
      </c>
      <c r="G133" s="328" t="s">
        <v>923</v>
      </c>
      <c r="H133" s="328">
        <v>104706686</v>
      </c>
      <c r="I133" s="329">
        <v>500000</v>
      </c>
      <c r="J133" s="330">
        <f>(730683.68+500000)/H133</f>
        <v>1.1753630326911504E-2</v>
      </c>
    </row>
    <row r="134" spans="2:10" ht="75" x14ac:dyDescent="0.2">
      <c r="B134" s="289" t="s">
        <v>475</v>
      </c>
      <c r="C134" s="289" t="s">
        <v>476</v>
      </c>
      <c r="D134" s="289" t="s">
        <v>450</v>
      </c>
      <c r="E134" s="289" t="s">
        <v>853</v>
      </c>
      <c r="F134" s="326" t="s">
        <v>626</v>
      </c>
      <c r="G134" s="291" t="s">
        <v>803</v>
      </c>
      <c r="H134" s="291">
        <f>(16874496)+1019604</f>
        <v>17894100</v>
      </c>
      <c r="I134" s="327">
        <v>2000000</v>
      </c>
      <c r="J134" s="325">
        <f>(7993500+6993235.68+2000000)/H134</f>
        <v>0.94929254223459125</v>
      </c>
    </row>
    <row r="135" spans="2:10" ht="45" x14ac:dyDescent="0.2">
      <c r="B135" s="289" t="s">
        <v>475</v>
      </c>
      <c r="C135" s="289" t="s">
        <v>476</v>
      </c>
      <c r="D135" s="289" t="s">
        <v>450</v>
      </c>
      <c r="E135" s="289" t="s">
        <v>853</v>
      </c>
      <c r="F135" s="326" t="s">
        <v>621</v>
      </c>
      <c r="G135" s="291" t="s">
        <v>799</v>
      </c>
      <c r="H135" s="291">
        <v>32296985</v>
      </c>
      <c r="I135" s="327">
        <v>5000000</v>
      </c>
      <c r="J135" s="325">
        <f>(209619.53+7983885.65+5000000)/H135</f>
        <v>0.40850578405383658</v>
      </c>
    </row>
    <row r="136" spans="2:10" ht="105" x14ac:dyDescent="0.2">
      <c r="B136" s="289" t="s">
        <v>475</v>
      </c>
      <c r="C136" s="289" t="s">
        <v>476</v>
      </c>
      <c r="D136" s="289" t="s">
        <v>450</v>
      </c>
      <c r="E136" s="289" t="s">
        <v>853</v>
      </c>
      <c r="F136" s="326" t="s">
        <v>622</v>
      </c>
      <c r="G136" s="291" t="s">
        <v>799</v>
      </c>
      <c r="H136" s="291">
        <v>10111100</v>
      </c>
      <c r="I136" s="327">
        <f>(2000000)+1467500</f>
        <v>3467500</v>
      </c>
      <c r="J136" s="325">
        <f>(2190500+2453085.2+2000000+1467500)/H136</f>
        <v>0.80219612109463856</v>
      </c>
    </row>
    <row r="137" spans="2:10" ht="60" x14ac:dyDescent="0.2">
      <c r="B137" s="289" t="s">
        <v>475</v>
      </c>
      <c r="C137" s="289" t="s">
        <v>476</v>
      </c>
      <c r="D137" s="289" t="s">
        <v>450</v>
      </c>
      <c r="E137" s="289" t="s">
        <v>853</v>
      </c>
      <c r="F137" s="349" t="s">
        <v>495</v>
      </c>
      <c r="G137" s="328" t="s">
        <v>804</v>
      </c>
      <c r="H137" s="291">
        <v>15977719</v>
      </c>
      <c r="I137" s="327">
        <v>2000000</v>
      </c>
      <c r="J137" s="325">
        <f>(1286200+939873.25+2000000)/H137</f>
        <v>0.26449790799299949</v>
      </c>
    </row>
    <row r="138" spans="2:10" ht="90" x14ac:dyDescent="0.2">
      <c r="B138" s="289" t="s">
        <v>475</v>
      </c>
      <c r="C138" s="289" t="s">
        <v>476</v>
      </c>
      <c r="D138" s="289" t="s">
        <v>450</v>
      </c>
      <c r="E138" s="289" t="s">
        <v>853</v>
      </c>
      <c r="F138" s="326" t="s">
        <v>627</v>
      </c>
      <c r="G138" s="291"/>
      <c r="H138" s="343"/>
      <c r="I138" s="327">
        <v>100000</v>
      </c>
      <c r="J138" s="325"/>
    </row>
    <row r="139" spans="2:10" ht="75" x14ac:dyDescent="0.2">
      <c r="B139" s="289" t="s">
        <v>475</v>
      </c>
      <c r="C139" s="289" t="s">
        <v>476</v>
      </c>
      <c r="D139" s="289" t="s">
        <v>450</v>
      </c>
      <c r="E139" s="289" t="s">
        <v>853</v>
      </c>
      <c r="F139" s="326" t="s">
        <v>629</v>
      </c>
      <c r="G139" s="291"/>
      <c r="H139" s="343"/>
      <c r="I139" s="327">
        <v>100000</v>
      </c>
      <c r="J139" s="325"/>
    </row>
    <row r="140" spans="2:10" ht="75" x14ac:dyDescent="0.2">
      <c r="B140" s="289" t="s">
        <v>475</v>
      </c>
      <c r="C140" s="289" t="s">
        <v>476</v>
      </c>
      <c r="D140" s="289" t="s">
        <v>450</v>
      </c>
      <c r="E140" s="289" t="s">
        <v>853</v>
      </c>
      <c r="F140" s="326" t="s">
        <v>630</v>
      </c>
      <c r="G140" s="291"/>
      <c r="H140" s="343"/>
      <c r="I140" s="327">
        <v>100000</v>
      </c>
      <c r="J140" s="325"/>
    </row>
    <row r="141" spans="2:10" ht="105" x14ac:dyDescent="0.2">
      <c r="B141" s="289" t="s">
        <v>475</v>
      </c>
      <c r="C141" s="289" t="s">
        <v>476</v>
      </c>
      <c r="D141" s="289" t="s">
        <v>450</v>
      </c>
      <c r="E141" s="289" t="s">
        <v>853</v>
      </c>
      <c r="F141" s="349" t="s">
        <v>696</v>
      </c>
      <c r="G141" s="291"/>
      <c r="H141" s="291"/>
      <c r="I141" s="327">
        <v>100000</v>
      </c>
      <c r="J141" s="325"/>
    </row>
    <row r="142" spans="2:10" ht="105" x14ac:dyDescent="0.2">
      <c r="B142" s="289" t="s">
        <v>475</v>
      </c>
      <c r="C142" s="289" t="s">
        <v>476</v>
      </c>
      <c r="D142" s="289" t="s">
        <v>450</v>
      </c>
      <c r="E142" s="289" t="s">
        <v>853</v>
      </c>
      <c r="F142" s="348" t="s">
        <v>603</v>
      </c>
      <c r="G142" s="291"/>
      <c r="H142" s="343"/>
      <c r="I142" s="327">
        <v>100000</v>
      </c>
      <c r="J142" s="325"/>
    </row>
    <row r="143" spans="2:10" ht="60" x14ac:dyDescent="0.2">
      <c r="B143" s="289" t="s">
        <v>475</v>
      </c>
      <c r="C143" s="289" t="s">
        <v>476</v>
      </c>
      <c r="D143" s="289" t="s">
        <v>450</v>
      </c>
      <c r="E143" s="289" t="s">
        <v>853</v>
      </c>
      <c r="F143" s="348" t="s">
        <v>852</v>
      </c>
      <c r="G143" s="291" t="s">
        <v>799</v>
      </c>
      <c r="H143" s="290">
        <v>977031</v>
      </c>
      <c r="I143" s="327">
        <v>198700</v>
      </c>
      <c r="J143" s="325">
        <f>(778322.63+198700)/H143</f>
        <v>0.99999143322985662</v>
      </c>
    </row>
    <row r="144" spans="2:10" ht="45" x14ac:dyDescent="0.2">
      <c r="B144" s="289" t="s">
        <v>845</v>
      </c>
      <c r="C144" s="289" t="s">
        <v>572</v>
      </c>
      <c r="D144" s="289" t="s">
        <v>256</v>
      </c>
      <c r="E144" s="289" t="s">
        <v>398</v>
      </c>
      <c r="F144" s="324" t="s">
        <v>625</v>
      </c>
      <c r="G144" s="291" t="s">
        <v>800</v>
      </c>
      <c r="H144" s="291">
        <v>160515935</v>
      </c>
      <c r="I144" s="291">
        <f>20000000+5000000+1000000</f>
        <v>26000000</v>
      </c>
      <c r="J144" s="325">
        <f>(38829200+34763964.93+20000000+5000000+1000000)/H144</f>
        <v>0.62045656046547659</v>
      </c>
    </row>
    <row r="145" spans="1:10" ht="75" x14ac:dyDescent="0.2">
      <c r="B145" s="308" t="s">
        <v>246</v>
      </c>
      <c r="C145" s="308"/>
      <c r="D145" s="308"/>
      <c r="E145" s="308" t="s">
        <v>876</v>
      </c>
      <c r="F145" s="319"/>
      <c r="G145" s="319"/>
      <c r="H145" s="319"/>
      <c r="I145" s="313">
        <f>I146</f>
        <v>500000</v>
      </c>
      <c r="J145" s="313"/>
    </row>
    <row r="146" spans="1:10" ht="85.5" x14ac:dyDescent="0.2">
      <c r="B146" s="314" t="s">
        <v>247</v>
      </c>
      <c r="C146" s="314"/>
      <c r="D146" s="314"/>
      <c r="E146" s="314" t="s">
        <v>877</v>
      </c>
      <c r="F146" s="319"/>
      <c r="G146" s="319"/>
      <c r="H146" s="319"/>
      <c r="I146" s="320">
        <f>SUM(I147:I150)</f>
        <v>500000</v>
      </c>
      <c r="J146" s="320"/>
    </row>
    <row r="147" spans="1:10" ht="60" hidden="1" customHeight="1" x14ac:dyDescent="0.2">
      <c r="B147" s="281" t="s">
        <v>460</v>
      </c>
      <c r="C147" s="281" t="s">
        <v>461</v>
      </c>
      <c r="D147" s="281" t="s">
        <v>450</v>
      </c>
      <c r="E147" s="281" t="s">
        <v>462</v>
      </c>
      <c r="F147" s="284" t="s">
        <v>609</v>
      </c>
      <c r="G147" s="282"/>
      <c r="H147" s="282"/>
      <c r="I147" s="283">
        <f>(2376000)-2376000</f>
        <v>0</v>
      </c>
      <c r="J147" s="283"/>
    </row>
    <row r="148" spans="1:10" ht="45" x14ac:dyDescent="0.2">
      <c r="B148" s="289" t="s">
        <v>460</v>
      </c>
      <c r="C148" s="289" t="s">
        <v>461</v>
      </c>
      <c r="D148" s="289" t="s">
        <v>450</v>
      </c>
      <c r="E148" s="289" t="s">
        <v>462</v>
      </c>
      <c r="F148" s="160" t="s">
        <v>769</v>
      </c>
      <c r="G148" s="290"/>
      <c r="H148" s="290"/>
      <c r="I148" s="291">
        <v>500000</v>
      </c>
      <c r="J148" s="291"/>
    </row>
    <row r="149" spans="1:10" ht="90" hidden="1" x14ac:dyDescent="0.2">
      <c r="B149" s="281" t="s">
        <v>460</v>
      </c>
      <c r="C149" s="281" t="s">
        <v>461</v>
      </c>
      <c r="D149" s="281" t="s">
        <v>450</v>
      </c>
      <c r="E149" s="281" t="s">
        <v>462</v>
      </c>
      <c r="F149" s="286" t="s">
        <v>702</v>
      </c>
      <c r="G149" s="282"/>
      <c r="H149" s="282"/>
      <c r="I149" s="283">
        <f>(1500000)-1500000</f>
        <v>0</v>
      </c>
      <c r="J149" s="283"/>
    </row>
    <row r="150" spans="1:10" ht="45" hidden="1" customHeight="1" x14ac:dyDescent="0.2">
      <c r="B150" s="281" t="s">
        <v>460</v>
      </c>
      <c r="C150" s="281" t="s">
        <v>461</v>
      </c>
      <c r="D150" s="281" t="s">
        <v>450</v>
      </c>
      <c r="E150" s="281" t="s">
        <v>462</v>
      </c>
      <c r="F150" s="285" t="s">
        <v>491</v>
      </c>
      <c r="G150" s="282"/>
      <c r="H150" s="282"/>
      <c r="I150" s="283">
        <f>(780000)-780000</f>
        <v>0</v>
      </c>
      <c r="J150" s="283"/>
    </row>
    <row r="151" spans="1:10" ht="30" x14ac:dyDescent="0.2">
      <c r="A151" s="156"/>
      <c r="B151" s="308" t="s">
        <v>252</v>
      </c>
      <c r="C151" s="308"/>
      <c r="D151" s="308"/>
      <c r="E151" s="308" t="s">
        <v>577</v>
      </c>
      <c r="F151" s="319"/>
      <c r="G151" s="319"/>
      <c r="H151" s="319"/>
      <c r="I151" s="313">
        <f>I152</f>
        <v>2270000</v>
      </c>
      <c r="J151" s="313"/>
    </row>
    <row r="152" spans="1:10" ht="42.75" x14ac:dyDescent="0.2">
      <c r="A152" s="156"/>
      <c r="B152" s="314" t="s">
        <v>253</v>
      </c>
      <c r="C152" s="314"/>
      <c r="D152" s="314"/>
      <c r="E152" s="314" t="s">
        <v>578</v>
      </c>
      <c r="F152" s="318"/>
      <c r="G152" s="319"/>
      <c r="H152" s="319"/>
      <c r="I152" s="320">
        <f>SUM(I153:I157)</f>
        <v>2270000</v>
      </c>
      <c r="J152" s="320"/>
    </row>
    <row r="153" spans="1:10" ht="30" hidden="1" x14ac:dyDescent="0.2">
      <c r="B153" s="289" t="s">
        <v>571</v>
      </c>
      <c r="C153" s="289" t="s">
        <v>572</v>
      </c>
      <c r="D153" s="289" t="s">
        <v>256</v>
      </c>
      <c r="E153" s="289" t="s">
        <v>398</v>
      </c>
      <c r="F153" s="290" t="s">
        <v>90</v>
      </c>
      <c r="G153" s="384"/>
      <c r="H153" s="384"/>
      <c r="I153" s="328">
        <f>(2000000)-2000000</f>
        <v>0</v>
      </c>
      <c r="J153" s="328"/>
    </row>
    <row r="154" spans="1:10" ht="30" x14ac:dyDescent="0.2">
      <c r="B154" s="289" t="s">
        <v>396</v>
      </c>
      <c r="C154" s="289" t="s">
        <v>397</v>
      </c>
      <c r="D154" s="289" t="s">
        <v>395</v>
      </c>
      <c r="E154" s="289" t="s">
        <v>394</v>
      </c>
      <c r="F154" s="290" t="s">
        <v>90</v>
      </c>
      <c r="G154" s="384"/>
      <c r="H154" s="384"/>
      <c r="I154" s="328">
        <f>(570000)+200000</f>
        <v>770000</v>
      </c>
      <c r="J154" s="328"/>
    </row>
    <row r="155" spans="1:10" ht="30" x14ac:dyDescent="0.2">
      <c r="B155" s="289" t="s">
        <v>392</v>
      </c>
      <c r="C155" s="289" t="s">
        <v>393</v>
      </c>
      <c r="D155" s="289" t="s">
        <v>256</v>
      </c>
      <c r="E155" s="289" t="s">
        <v>391</v>
      </c>
      <c r="F155" s="290" t="s">
        <v>90</v>
      </c>
      <c r="G155" s="384"/>
      <c r="H155" s="384"/>
      <c r="I155" s="328">
        <v>200000</v>
      </c>
      <c r="J155" s="328"/>
    </row>
    <row r="156" spans="1:10" ht="15" x14ac:dyDescent="0.2">
      <c r="B156" s="289" t="s">
        <v>932</v>
      </c>
      <c r="C156" s="289" t="s">
        <v>601</v>
      </c>
      <c r="D156" s="289" t="s">
        <v>71</v>
      </c>
      <c r="E156" s="289" t="s">
        <v>602</v>
      </c>
      <c r="F156" s="290" t="s">
        <v>90</v>
      </c>
      <c r="G156" s="384"/>
      <c r="H156" s="384"/>
      <c r="I156" s="328">
        <v>800000</v>
      </c>
      <c r="J156" s="328"/>
    </row>
    <row r="157" spans="1:10" ht="75" x14ac:dyDescent="0.2">
      <c r="B157" s="289" t="s">
        <v>932</v>
      </c>
      <c r="C157" s="289" t="s">
        <v>601</v>
      </c>
      <c r="D157" s="289" t="s">
        <v>71</v>
      </c>
      <c r="E157" s="289" t="s">
        <v>602</v>
      </c>
      <c r="F157" s="160" t="s">
        <v>953</v>
      </c>
      <c r="G157" s="384"/>
      <c r="H157" s="384"/>
      <c r="I157" s="328">
        <f>(2000000)-2000000+500000+1000000-1000000</f>
        <v>500000</v>
      </c>
      <c r="J157" s="328"/>
    </row>
    <row r="158" spans="1:10" ht="75" x14ac:dyDescent="0.2">
      <c r="B158" s="308" t="s">
        <v>248</v>
      </c>
      <c r="C158" s="308"/>
      <c r="D158" s="308"/>
      <c r="E158" s="308" t="s">
        <v>878</v>
      </c>
      <c r="F158" s="319"/>
      <c r="G158" s="319"/>
      <c r="H158" s="319"/>
      <c r="I158" s="313">
        <f>I159</f>
        <v>500000</v>
      </c>
      <c r="J158" s="313"/>
    </row>
    <row r="159" spans="1:10" ht="85.5" x14ac:dyDescent="0.2">
      <c r="B159" s="314" t="s">
        <v>249</v>
      </c>
      <c r="C159" s="314"/>
      <c r="D159" s="314"/>
      <c r="E159" s="314" t="s">
        <v>879</v>
      </c>
      <c r="F159" s="318"/>
      <c r="G159" s="319"/>
      <c r="H159" s="319"/>
      <c r="I159" s="320">
        <f>SUM(I160:I165)</f>
        <v>500000</v>
      </c>
      <c r="J159" s="320"/>
    </row>
    <row r="160" spans="1:10" ht="45" x14ac:dyDescent="0.2">
      <c r="B160" s="289" t="s">
        <v>457</v>
      </c>
      <c r="C160" s="289" t="s">
        <v>458</v>
      </c>
      <c r="D160" s="289" t="s">
        <v>459</v>
      </c>
      <c r="E160" s="289" t="s">
        <v>456</v>
      </c>
      <c r="F160" s="324" t="s">
        <v>701</v>
      </c>
      <c r="G160" s="290"/>
      <c r="H160" s="290"/>
      <c r="I160" s="291">
        <v>100000</v>
      </c>
      <c r="J160" s="291"/>
    </row>
    <row r="161" spans="1:17" ht="30" x14ac:dyDescent="0.2">
      <c r="B161" s="289" t="s">
        <v>457</v>
      </c>
      <c r="C161" s="289" t="s">
        <v>458</v>
      </c>
      <c r="D161" s="289" t="s">
        <v>459</v>
      </c>
      <c r="E161" s="289" t="s">
        <v>456</v>
      </c>
      <c r="F161" s="324" t="s">
        <v>55</v>
      </c>
      <c r="G161" s="290"/>
      <c r="H161" s="290"/>
      <c r="I161" s="291">
        <v>50000</v>
      </c>
      <c r="J161" s="291"/>
    </row>
    <row r="162" spans="1:17" ht="45" x14ac:dyDescent="0.2">
      <c r="B162" s="289" t="s">
        <v>457</v>
      </c>
      <c r="C162" s="289" t="s">
        <v>458</v>
      </c>
      <c r="D162" s="289" t="s">
        <v>459</v>
      </c>
      <c r="E162" s="289" t="s">
        <v>456</v>
      </c>
      <c r="F162" s="324" t="s">
        <v>492</v>
      </c>
      <c r="G162" s="290"/>
      <c r="H162" s="290"/>
      <c r="I162" s="291">
        <v>50000</v>
      </c>
      <c r="J162" s="291"/>
    </row>
    <row r="163" spans="1:17" ht="30" hidden="1" customHeight="1" x14ac:dyDescent="0.2">
      <c r="B163" s="289" t="s">
        <v>457</v>
      </c>
      <c r="C163" s="289" t="s">
        <v>458</v>
      </c>
      <c r="D163" s="289" t="s">
        <v>459</v>
      </c>
      <c r="E163" s="289" t="s">
        <v>456</v>
      </c>
      <c r="F163" s="324" t="s">
        <v>613</v>
      </c>
      <c r="G163" s="290"/>
      <c r="H163" s="290"/>
      <c r="I163" s="291"/>
      <c r="J163" s="291"/>
    </row>
    <row r="164" spans="1:17" ht="30" x14ac:dyDescent="0.2">
      <c r="B164" s="289" t="s">
        <v>457</v>
      </c>
      <c r="C164" s="289" t="s">
        <v>458</v>
      </c>
      <c r="D164" s="289" t="s">
        <v>459</v>
      </c>
      <c r="E164" s="289" t="s">
        <v>456</v>
      </c>
      <c r="F164" s="324" t="s">
        <v>56</v>
      </c>
      <c r="G164" s="290"/>
      <c r="H164" s="290"/>
      <c r="I164" s="291">
        <v>210000</v>
      </c>
      <c r="J164" s="291"/>
    </row>
    <row r="165" spans="1:17" ht="60" x14ac:dyDescent="0.2">
      <c r="B165" s="289" t="s">
        <v>610</v>
      </c>
      <c r="C165" s="289" t="s">
        <v>611</v>
      </c>
      <c r="D165" s="289" t="s">
        <v>256</v>
      </c>
      <c r="E165" s="289" t="s">
        <v>612</v>
      </c>
      <c r="F165" s="324" t="s">
        <v>493</v>
      </c>
      <c r="G165" s="290"/>
      <c r="H165" s="290"/>
      <c r="I165" s="291">
        <v>90000</v>
      </c>
      <c r="J165" s="291"/>
    </row>
    <row r="166" spans="1:17" ht="30" x14ac:dyDescent="0.2">
      <c r="B166" s="308" t="s">
        <v>254</v>
      </c>
      <c r="C166" s="308"/>
      <c r="D166" s="308"/>
      <c r="E166" s="308" t="s">
        <v>48</v>
      </c>
      <c r="F166" s="319"/>
      <c r="G166" s="319"/>
      <c r="H166" s="319"/>
      <c r="I166" s="313">
        <f>I167</f>
        <v>50000</v>
      </c>
      <c r="J166" s="313"/>
    </row>
    <row r="167" spans="1:17" ht="42.75" x14ac:dyDescent="0.2">
      <c r="B167" s="314" t="s">
        <v>255</v>
      </c>
      <c r="C167" s="314"/>
      <c r="D167" s="314"/>
      <c r="E167" s="314" t="s">
        <v>66</v>
      </c>
      <c r="F167" s="318"/>
      <c r="G167" s="319"/>
      <c r="H167" s="319"/>
      <c r="I167" s="320">
        <f>I168</f>
        <v>50000</v>
      </c>
      <c r="J167" s="320"/>
    </row>
    <row r="168" spans="1:17" ht="60" x14ac:dyDescent="0.2">
      <c r="B168" s="289" t="s">
        <v>742</v>
      </c>
      <c r="C168" s="289" t="s">
        <v>341</v>
      </c>
      <c r="D168" s="289" t="s">
        <v>339</v>
      </c>
      <c r="E168" s="289" t="s">
        <v>340</v>
      </c>
      <c r="F168" s="290" t="s">
        <v>90</v>
      </c>
      <c r="G168" s="290"/>
      <c r="H168" s="290"/>
      <c r="I168" s="291">
        <v>50000</v>
      </c>
      <c r="J168" s="291"/>
    </row>
    <row r="169" spans="1:17" ht="24.75" customHeight="1" x14ac:dyDescent="0.3">
      <c r="A169" s="20"/>
      <c r="B169" s="144" t="s">
        <v>651</v>
      </c>
      <c r="C169" s="144" t="s">
        <v>651</v>
      </c>
      <c r="D169" s="144" t="s">
        <v>651</v>
      </c>
      <c r="E169" s="187" t="s">
        <v>669</v>
      </c>
      <c r="F169" s="144" t="s">
        <v>651</v>
      </c>
      <c r="G169" s="144" t="s">
        <v>651</v>
      </c>
      <c r="H169" s="144" t="s">
        <v>651</v>
      </c>
      <c r="I169" s="146">
        <f>I6+I13+I62+I28+I41+I53+I71+I122+I145+I158+I151+I166</f>
        <v>379714734.35000002</v>
      </c>
      <c r="J169" s="144" t="s">
        <v>651</v>
      </c>
      <c r="K169" s="386" t="b">
        <f>I169='dod3'!K182</f>
        <v>1</v>
      </c>
    </row>
    <row r="170" spans="1:17" ht="15.75" x14ac:dyDescent="0.2">
      <c r="B170" s="450" t="s">
        <v>494</v>
      </c>
      <c r="C170" s="451"/>
      <c r="D170" s="451"/>
      <c r="E170" s="451"/>
      <c r="F170" s="451"/>
      <c r="G170" s="451"/>
      <c r="H170" s="451"/>
      <c r="I170" s="451"/>
      <c r="J170" s="451"/>
      <c r="K170" s="451"/>
      <c r="L170" s="451"/>
      <c r="M170" s="451"/>
      <c r="N170" s="451"/>
      <c r="O170" s="451"/>
      <c r="P170" s="451"/>
      <c r="Q170" s="451"/>
    </row>
    <row r="171" spans="1:17" ht="12" customHeight="1" x14ac:dyDescent="0.2">
      <c r="B171" s="449"/>
      <c r="C171" s="449"/>
      <c r="D171" s="449"/>
      <c r="E171" s="449"/>
      <c r="F171" s="449"/>
      <c r="G171" s="449"/>
      <c r="H171" s="449"/>
      <c r="I171" s="449"/>
      <c r="J171" s="449"/>
    </row>
    <row r="172" spans="1:17" ht="15" x14ac:dyDescent="0.25">
      <c r="D172" s="440" t="s">
        <v>946</v>
      </c>
      <c r="E172" s="440"/>
      <c r="F172" s="440"/>
      <c r="G172" s="440"/>
      <c r="H172" s="440"/>
      <c r="I172" s="440"/>
      <c r="J172" s="440"/>
      <c r="K172" s="440"/>
      <c r="L172" s="440"/>
      <c r="M172" s="440"/>
      <c r="N172" s="440"/>
      <c r="O172" s="440"/>
      <c r="P172" s="440"/>
      <c r="Q172" s="440"/>
    </row>
    <row r="173" spans="1:17" ht="15" x14ac:dyDescent="0.25">
      <c r="D173" s="440"/>
      <c r="E173" s="440"/>
      <c r="F173" s="440"/>
      <c r="G173" s="440"/>
      <c r="H173" s="440"/>
      <c r="I173" s="440"/>
      <c r="J173" s="440"/>
      <c r="K173" s="440"/>
      <c r="L173" s="440"/>
      <c r="M173" s="440"/>
      <c r="N173" s="440"/>
      <c r="O173" s="440"/>
      <c r="P173" s="440"/>
      <c r="Q173" s="267"/>
    </row>
    <row r="174" spans="1:17" ht="15" x14ac:dyDescent="0.25">
      <c r="D174" s="440" t="s">
        <v>231</v>
      </c>
      <c r="E174" s="440"/>
      <c r="F174" s="440"/>
      <c r="G174" s="440"/>
      <c r="H174" s="440"/>
      <c r="I174" s="440"/>
      <c r="J174" s="440"/>
      <c r="K174" s="440"/>
      <c r="L174" s="440"/>
      <c r="M174" s="440"/>
      <c r="N174" s="440"/>
      <c r="O174" s="440"/>
      <c r="P174" s="440"/>
      <c r="Q174" s="267"/>
    </row>
    <row r="191" spans="10:10" ht="46.5" x14ac:dyDescent="0.2">
      <c r="J191" s="252"/>
    </row>
    <row r="194" spans="7:10" ht="46.5" x14ac:dyDescent="0.2">
      <c r="G194" s="252"/>
      <c r="J194" s="252"/>
    </row>
    <row r="213" spans="11:11" ht="90" x14ac:dyDescent="1.1499999999999999">
      <c r="K213" s="250" t="b">
        <f>G213=H213+I213</f>
        <v>1</v>
      </c>
    </row>
  </sheetData>
  <mergeCells count="8">
    <mergeCell ref="D174:P174"/>
    <mergeCell ref="B171:J171"/>
    <mergeCell ref="B170:Q170"/>
    <mergeCell ref="B1:J1"/>
    <mergeCell ref="G2:J2"/>
    <mergeCell ref="B3:J3"/>
    <mergeCell ref="D173:P173"/>
    <mergeCell ref="D172:Q172"/>
  </mergeCells>
  <phoneticPr fontId="16" type="noConversion"/>
  <printOptions horizontalCentered="1"/>
  <pageMargins left="0.82677165354330717" right="0" top="0.31496062992125984" bottom="0.31496062992125984" header="0.23622047244094491" footer="0.19685039370078741"/>
  <pageSetup paperSize="9" scale="70" fitToHeight="0" orientation="landscape" r:id="rId1"/>
  <headerFooter alignWithMargins="0">
    <oddFooter>&amp;R&amp;P</oddFooter>
  </headerFooter>
  <rowBreaks count="3" manualBreakCount="3">
    <brk id="44" min="1" max="9" man="1"/>
    <brk id="153" min="1" max="9" man="1"/>
    <brk id="165" min="1"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58"/>
  <sheetViews>
    <sheetView view="pageBreakPreview" topLeftCell="A16" zoomScale="70" zoomScaleNormal="85" zoomScaleSheetLayoutView="70" workbookViewId="0">
      <selection activeCell="C33" sqref="C33"/>
    </sheetView>
  </sheetViews>
  <sheetFormatPr defaultColWidth="9.140625" defaultRowHeight="12.75" x14ac:dyDescent="0.2"/>
  <cols>
    <col min="1" max="1" width="7" style="97" customWidth="1"/>
    <col min="2" max="2" width="23.5703125" style="97" customWidth="1"/>
    <col min="3" max="3" width="83.5703125" style="97" customWidth="1"/>
    <col min="4" max="4" width="18.28515625" style="97" customWidth="1"/>
    <col min="5" max="5" width="17" style="97" customWidth="1"/>
    <col min="6" max="6" width="14.7109375" style="97" customWidth="1"/>
    <col min="7" max="7" width="12.7109375" style="97" bestFit="1" customWidth="1"/>
    <col min="8" max="10" width="9.140625" style="97"/>
    <col min="11" max="11" width="52.5703125" style="97" customWidth="1"/>
    <col min="12" max="16384" width="9.140625" style="97"/>
  </cols>
  <sheetData>
    <row r="1" spans="1:8" ht="16.5" customHeight="1" x14ac:dyDescent="0.2">
      <c r="A1" s="96"/>
      <c r="D1" s="390" t="s">
        <v>190</v>
      </c>
      <c r="E1" s="390"/>
    </row>
    <row r="2" spans="1:8" ht="16.5" customHeight="1" x14ac:dyDescent="0.2">
      <c r="A2" s="96"/>
      <c r="D2" s="390" t="s">
        <v>191</v>
      </c>
      <c r="E2" s="470"/>
    </row>
    <row r="3" spans="1:8" ht="12.75" customHeight="1" x14ac:dyDescent="0.2">
      <c r="A3" s="96"/>
      <c r="D3" s="390"/>
      <c r="E3" s="470"/>
    </row>
    <row r="4" spans="1:8" ht="12.75" customHeight="1" x14ac:dyDescent="0.2">
      <c r="A4" s="96"/>
      <c r="D4" s="390"/>
      <c r="E4" s="392"/>
    </row>
    <row r="5" spans="1:8" ht="16.5" x14ac:dyDescent="0.25">
      <c r="A5" s="454" t="s">
        <v>192</v>
      </c>
      <c r="B5" s="455"/>
      <c r="C5" s="455"/>
      <c r="D5" s="455"/>
      <c r="E5" s="456"/>
      <c r="F5" s="98"/>
    </row>
    <row r="6" spans="1:8" ht="16.5" x14ac:dyDescent="0.25">
      <c r="A6" s="454" t="s">
        <v>193</v>
      </c>
      <c r="B6" s="454"/>
      <c r="C6" s="454"/>
      <c r="D6" s="454"/>
      <c r="E6" s="391"/>
    </row>
    <row r="7" spans="1:8" ht="16.5" x14ac:dyDescent="0.2">
      <c r="A7" s="457" t="s">
        <v>646</v>
      </c>
      <c r="B7" s="457"/>
      <c r="C7" s="457"/>
      <c r="D7" s="457"/>
      <c r="E7" s="458"/>
    </row>
    <row r="8" spans="1:8" ht="16.5" x14ac:dyDescent="0.2">
      <c r="D8" s="194"/>
      <c r="E8" s="194" t="s">
        <v>690</v>
      </c>
      <c r="F8" s="98"/>
      <c r="G8" s="98"/>
      <c r="H8" s="99"/>
    </row>
    <row r="9" spans="1:8" s="100" customFormat="1" ht="26.45" customHeight="1" x14ac:dyDescent="0.2">
      <c r="B9" s="101" t="s">
        <v>194</v>
      </c>
      <c r="C9" s="465" t="s">
        <v>195</v>
      </c>
      <c r="D9" s="463"/>
      <c r="E9" s="464"/>
    </row>
    <row r="10" spans="1:8" s="100" customFormat="1" ht="39.75" customHeight="1" x14ac:dyDescent="0.2">
      <c r="A10" s="102"/>
      <c r="B10" s="103" t="s">
        <v>196</v>
      </c>
      <c r="C10" s="459" t="s">
        <v>197</v>
      </c>
      <c r="D10" s="460"/>
      <c r="E10" s="104">
        <v>100</v>
      </c>
    </row>
    <row r="11" spans="1:8" s="100" customFormat="1" ht="40.700000000000003" customHeight="1" x14ac:dyDescent="0.2">
      <c r="B11" s="103" t="s">
        <v>198</v>
      </c>
      <c r="C11" s="459" t="s">
        <v>199</v>
      </c>
      <c r="D11" s="460"/>
      <c r="E11" s="104">
        <v>4350000</v>
      </c>
    </row>
    <row r="12" spans="1:8" s="100" customFormat="1" ht="61.5" customHeight="1" x14ac:dyDescent="0.2">
      <c r="B12" s="103" t="s">
        <v>200</v>
      </c>
      <c r="C12" s="459" t="s">
        <v>201</v>
      </c>
      <c r="D12" s="460"/>
      <c r="E12" s="104">
        <v>8500</v>
      </c>
    </row>
    <row r="13" spans="1:8" s="100" customFormat="1" ht="61.5" customHeight="1" x14ac:dyDescent="0.2">
      <c r="B13" s="103" t="s">
        <v>202</v>
      </c>
      <c r="C13" s="459" t="s">
        <v>203</v>
      </c>
      <c r="D13" s="460"/>
      <c r="E13" s="104">
        <v>0</v>
      </c>
      <c r="G13" s="100">
        <f>H13+I13</f>
        <v>0</v>
      </c>
    </row>
    <row r="14" spans="1:8" s="100" customFormat="1" ht="41.25" customHeight="1" x14ac:dyDescent="0.2">
      <c r="B14" s="103" t="s">
        <v>204</v>
      </c>
      <c r="C14" s="459" t="s">
        <v>205</v>
      </c>
      <c r="D14" s="460"/>
      <c r="E14" s="104">
        <v>3500</v>
      </c>
      <c r="G14" s="100">
        <f>H14+I14</f>
        <v>0</v>
      </c>
    </row>
    <row r="15" spans="1:8" s="100" customFormat="1" ht="26.45" customHeight="1" x14ac:dyDescent="0.2">
      <c r="B15" s="103"/>
      <c r="C15" s="467" t="s">
        <v>206</v>
      </c>
      <c r="D15" s="460"/>
      <c r="E15" s="105">
        <f>SUM(E10:E14)</f>
        <v>4362100</v>
      </c>
    </row>
    <row r="16" spans="1:8" s="100" customFormat="1" ht="26.45" customHeight="1" x14ac:dyDescent="0.2">
      <c r="B16" s="103"/>
      <c r="C16" s="467" t="s">
        <v>647</v>
      </c>
      <c r="D16" s="460"/>
      <c r="E16" s="105">
        <v>546803.04</v>
      </c>
      <c r="G16" s="100">
        <f>H16+I16</f>
        <v>0</v>
      </c>
    </row>
    <row r="17" spans="1:7" s="100" customFormat="1" ht="26.45" customHeight="1" x14ac:dyDescent="0.2">
      <c r="B17" s="149"/>
      <c r="C17" s="466" t="s">
        <v>207</v>
      </c>
      <c r="D17" s="460"/>
      <c r="E17" s="150">
        <f>E15+E16</f>
        <v>4908903.04</v>
      </c>
    </row>
    <row r="18" spans="1:7" s="100" customFormat="1" ht="30.75" customHeight="1" x14ac:dyDescent="0.2">
      <c r="A18" s="117"/>
      <c r="B18" s="103"/>
      <c r="C18" s="462" t="s">
        <v>208</v>
      </c>
      <c r="D18" s="463"/>
      <c r="E18" s="464"/>
      <c r="G18" s="100">
        <f>SUM(G19:G29)</f>
        <v>0</v>
      </c>
    </row>
    <row r="19" spans="1:7" s="100" customFormat="1" ht="43.5" customHeight="1" x14ac:dyDescent="0.2">
      <c r="A19" s="117"/>
      <c r="B19" s="103" t="s">
        <v>209</v>
      </c>
      <c r="C19" s="459" t="s">
        <v>210</v>
      </c>
      <c r="D19" s="460"/>
      <c r="E19" s="104">
        <f>(90000)+30000</f>
        <v>120000</v>
      </c>
      <c r="G19" s="100">
        <f>H19+I19</f>
        <v>0</v>
      </c>
    </row>
    <row r="20" spans="1:7" s="100" customFormat="1" ht="44.45" customHeight="1" x14ac:dyDescent="0.2">
      <c r="A20" s="117"/>
      <c r="B20" s="103" t="s">
        <v>211</v>
      </c>
      <c r="C20" s="459" t="s">
        <v>212</v>
      </c>
      <c r="D20" s="460"/>
      <c r="E20" s="104">
        <v>81100</v>
      </c>
      <c r="G20" s="100">
        <f>H20+I20</f>
        <v>0</v>
      </c>
    </row>
    <row r="21" spans="1:7" s="100" customFormat="1" ht="61.5" customHeight="1" x14ac:dyDescent="0.2">
      <c r="A21" s="117"/>
      <c r="B21" s="103" t="s">
        <v>213</v>
      </c>
      <c r="C21" s="459" t="s">
        <v>692</v>
      </c>
      <c r="D21" s="460"/>
      <c r="E21" s="104">
        <v>317000</v>
      </c>
      <c r="G21" s="100">
        <f>H21+I21</f>
        <v>0</v>
      </c>
    </row>
    <row r="22" spans="1:7" s="100" customFormat="1" ht="44.45" customHeight="1" x14ac:dyDescent="0.2">
      <c r="A22" s="117"/>
      <c r="B22" s="103" t="s">
        <v>214</v>
      </c>
      <c r="C22" s="459" t="s">
        <v>717</v>
      </c>
      <c r="D22" s="460"/>
      <c r="E22" s="104">
        <v>199000</v>
      </c>
      <c r="G22" s="100">
        <f>H22+I22</f>
        <v>0</v>
      </c>
    </row>
    <row r="23" spans="1:7" s="100" customFormat="1" ht="32.25" customHeight="1" x14ac:dyDescent="0.2">
      <c r="A23" s="117"/>
      <c r="B23" s="103" t="s">
        <v>215</v>
      </c>
      <c r="C23" s="459" t="s">
        <v>216</v>
      </c>
      <c r="D23" s="460"/>
      <c r="E23" s="104">
        <v>202000</v>
      </c>
      <c r="G23" s="100">
        <f>H23+I23</f>
        <v>0</v>
      </c>
    </row>
    <row r="24" spans="1:7" s="100" customFormat="1" ht="40.700000000000003" customHeight="1" x14ac:dyDescent="0.2">
      <c r="A24" s="117"/>
      <c r="B24" s="103" t="s">
        <v>217</v>
      </c>
      <c r="C24" s="459" t="s">
        <v>218</v>
      </c>
      <c r="D24" s="460"/>
      <c r="E24" s="104">
        <f>(700000)+60000</f>
        <v>760000</v>
      </c>
    </row>
    <row r="25" spans="1:7" s="100" customFormat="1" ht="79.5" customHeight="1" x14ac:dyDescent="0.2">
      <c r="A25" s="117"/>
      <c r="B25" s="103" t="s">
        <v>219</v>
      </c>
      <c r="C25" s="459" t="s">
        <v>220</v>
      </c>
      <c r="D25" s="460"/>
      <c r="E25" s="104">
        <f>(750000)+53137</f>
        <v>803137</v>
      </c>
    </row>
    <row r="26" spans="1:7" s="100" customFormat="1" ht="44.45" customHeight="1" x14ac:dyDescent="0.2">
      <c r="A26" s="117"/>
      <c r="B26" s="103" t="s">
        <v>221</v>
      </c>
      <c r="C26" s="472" t="s">
        <v>222</v>
      </c>
      <c r="D26" s="460"/>
      <c r="E26" s="104">
        <v>18000</v>
      </c>
    </row>
    <row r="27" spans="1:7" s="100" customFormat="1" ht="76.7" hidden="1" customHeight="1" x14ac:dyDescent="0.2">
      <c r="A27" s="117"/>
      <c r="B27" s="103" t="s">
        <v>223</v>
      </c>
      <c r="C27" s="472" t="s">
        <v>224</v>
      </c>
      <c r="D27" s="460"/>
      <c r="E27" s="104"/>
    </row>
    <row r="28" spans="1:7" s="100" customFormat="1" ht="45.75" customHeight="1" x14ac:dyDescent="0.2">
      <c r="A28" s="117"/>
      <c r="B28" s="103" t="s">
        <v>225</v>
      </c>
      <c r="C28" s="459" t="s">
        <v>226</v>
      </c>
      <c r="D28" s="460"/>
      <c r="E28" s="104">
        <f>(1855000)+300000+30636.7+42100+153264+27665.34</f>
        <v>2408666.04</v>
      </c>
    </row>
    <row r="29" spans="1:7" s="100" customFormat="1" ht="27.75" customHeight="1" x14ac:dyDescent="0.2">
      <c r="B29" s="147"/>
      <c r="C29" s="471" t="s">
        <v>207</v>
      </c>
      <c r="D29" s="460"/>
      <c r="E29" s="148">
        <f>E19+E20+E21+E22+E23+E24+E26+E27+E28+E25</f>
        <v>4908903.04</v>
      </c>
      <c r="F29" s="236" t="b">
        <f>E17=E29</f>
        <v>1</v>
      </c>
      <c r="G29" s="236" t="b">
        <f>E29='dod3'!Q19+'dod3'!Q96+'dod3'!Q142</f>
        <v>1</v>
      </c>
    </row>
    <row r="32" spans="1:7" ht="18.75" x14ac:dyDescent="0.2">
      <c r="B32" s="180" t="s">
        <v>944</v>
      </c>
      <c r="C32" s="180"/>
      <c r="D32" s="180" t="s">
        <v>947</v>
      </c>
    </row>
    <row r="33" spans="2:7" ht="18.75" x14ac:dyDescent="0.2">
      <c r="B33" s="180"/>
      <c r="C33" s="180"/>
      <c r="D33" s="180"/>
    </row>
    <row r="34" spans="2:7" ht="18.75" x14ac:dyDescent="0.2">
      <c r="B34" s="461" t="s">
        <v>227</v>
      </c>
      <c r="C34" s="461"/>
      <c r="D34" s="179" t="s">
        <v>228</v>
      </c>
    </row>
    <row r="40" spans="2:7" ht="16.5" x14ac:dyDescent="0.2">
      <c r="B40" s="469"/>
      <c r="C40" s="106"/>
      <c r="D40" s="107"/>
      <c r="E40" s="108"/>
    </row>
    <row r="41" spans="2:7" ht="16.5" x14ac:dyDescent="0.2">
      <c r="B41" s="469"/>
      <c r="C41" s="109"/>
      <c r="D41" s="107"/>
      <c r="E41" s="108"/>
    </row>
    <row r="42" spans="2:7" ht="16.5" x14ac:dyDescent="0.2">
      <c r="B42" s="469"/>
      <c r="C42" s="110"/>
      <c r="D42" s="107"/>
      <c r="E42" s="108"/>
    </row>
    <row r="43" spans="2:7" ht="16.5" x14ac:dyDescent="0.2">
      <c r="B43" s="469"/>
      <c r="C43" s="106"/>
      <c r="D43" s="107"/>
      <c r="E43" s="108"/>
    </row>
    <row r="44" spans="2:7" ht="16.5" x14ac:dyDescent="0.2">
      <c r="B44" s="469"/>
      <c r="C44" s="106"/>
      <c r="D44" s="107"/>
      <c r="E44" s="108"/>
    </row>
    <row r="45" spans="2:7" x14ac:dyDescent="0.2">
      <c r="G45" s="97">
        <f>H45+I45</f>
        <v>0</v>
      </c>
    </row>
    <row r="47" spans="2:7" x14ac:dyDescent="0.2">
      <c r="G47" s="97">
        <f t="shared" ref="G47:G65" si="0">H47+I47</f>
        <v>0</v>
      </c>
    </row>
    <row r="48" spans="2:7" x14ac:dyDescent="0.2">
      <c r="G48" s="97">
        <f t="shared" si="0"/>
        <v>0</v>
      </c>
    </row>
    <row r="49" spans="7:7" x14ac:dyDescent="0.2">
      <c r="G49" s="97">
        <f t="shared" si="0"/>
        <v>0</v>
      </c>
    </row>
    <row r="50" spans="7:7" x14ac:dyDescent="0.2">
      <c r="G50" s="97">
        <f t="shared" si="0"/>
        <v>0</v>
      </c>
    </row>
    <row r="51" spans="7:7" x14ac:dyDescent="0.2">
      <c r="G51" s="97">
        <f t="shared" si="0"/>
        <v>0</v>
      </c>
    </row>
    <row r="52" spans="7:7" x14ac:dyDescent="0.2">
      <c r="G52" s="97">
        <f t="shared" si="0"/>
        <v>0</v>
      </c>
    </row>
    <row r="53" spans="7:7" x14ac:dyDescent="0.2">
      <c r="G53" s="97">
        <f t="shared" si="0"/>
        <v>0</v>
      </c>
    </row>
    <row r="54" spans="7:7" x14ac:dyDescent="0.2">
      <c r="G54" s="97">
        <f t="shared" si="0"/>
        <v>0</v>
      </c>
    </row>
    <row r="55" spans="7:7" x14ac:dyDescent="0.2">
      <c r="G55" s="97">
        <f t="shared" si="0"/>
        <v>0</v>
      </c>
    </row>
    <row r="56" spans="7:7" x14ac:dyDescent="0.2">
      <c r="G56" s="97">
        <f t="shared" si="0"/>
        <v>0</v>
      </c>
    </row>
    <row r="57" spans="7:7" x14ac:dyDescent="0.2">
      <c r="G57" s="97">
        <f t="shared" si="0"/>
        <v>0</v>
      </c>
    </row>
    <row r="58" spans="7:7" x14ac:dyDescent="0.2">
      <c r="G58" s="97">
        <f t="shared" si="0"/>
        <v>0</v>
      </c>
    </row>
    <row r="59" spans="7:7" x14ac:dyDescent="0.2">
      <c r="G59" s="97">
        <f t="shared" si="0"/>
        <v>0</v>
      </c>
    </row>
    <row r="60" spans="7:7" x14ac:dyDescent="0.2">
      <c r="G60" s="97">
        <f t="shared" si="0"/>
        <v>0</v>
      </c>
    </row>
    <row r="61" spans="7:7" x14ac:dyDescent="0.2">
      <c r="G61" s="97">
        <f t="shared" si="0"/>
        <v>0</v>
      </c>
    </row>
    <row r="62" spans="7:7" x14ac:dyDescent="0.2">
      <c r="G62" s="97">
        <f t="shared" si="0"/>
        <v>0</v>
      </c>
    </row>
    <row r="63" spans="7:7" x14ac:dyDescent="0.2">
      <c r="G63" s="97">
        <f t="shared" si="0"/>
        <v>0</v>
      </c>
    </row>
    <row r="64" spans="7:7" x14ac:dyDescent="0.2">
      <c r="G64" s="97">
        <f t="shared" si="0"/>
        <v>0</v>
      </c>
    </row>
    <row r="65" spans="7:7" x14ac:dyDescent="0.2">
      <c r="G65" s="97">
        <f t="shared" si="0"/>
        <v>0</v>
      </c>
    </row>
    <row r="67" spans="7:7" x14ac:dyDescent="0.2">
      <c r="G67" s="97">
        <f>H67+I67</f>
        <v>0</v>
      </c>
    </row>
    <row r="68" spans="7:7" x14ac:dyDescent="0.2">
      <c r="G68" s="97">
        <f>H68+I68</f>
        <v>0</v>
      </c>
    </row>
    <row r="69" spans="7:7" x14ac:dyDescent="0.2">
      <c r="G69" s="97">
        <f>H69+I69</f>
        <v>0</v>
      </c>
    </row>
    <row r="70" spans="7:7" x14ac:dyDescent="0.2">
      <c r="G70" s="97">
        <f>H70+I70</f>
        <v>0</v>
      </c>
    </row>
    <row r="72" spans="7:7" x14ac:dyDescent="0.2">
      <c r="G72" s="97">
        <f>H72+I72</f>
        <v>0</v>
      </c>
    </row>
    <row r="75" spans="7:7" x14ac:dyDescent="0.2">
      <c r="G75" s="468"/>
    </row>
    <row r="76" spans="7:7" x14ac:dyDescent="0.2">
      <c r="G76" s="391"/>
    </row>
    <row r="112" spans="7:7" x14ac:dyDescent="0.2">
      <c r="G112" s="97">
        <f>H112+I112</f>
        <v>0</v>
      </c>
    </row>
    <row r="114" spans="7:7" x14ac:dyDescent="0.2">
      <c r="G114" s="97">
        <f t="shared" ref="G114:G124" si="1">H114+I114</f>
        <v>0</v>
      </c>
    </row>
    <row r="115" spans="7:7" x14ac:dyDescent="0.2">
      <c r="G115" s="97">
        <f t="shared" si="1"/>
        <v>0</v>
      </c>
    </row>
    <row r="116" spans="7:7" x14ac:dyDescent="0.2">
      <c r="G116" s="97">
        <f t="shared" si="1"/>
        <v>0</v>
      </c>
    </row>
    <row r="117" spans="7:7" x14ac:dyDescent="0.2">
      <c r="G117" s="97">
        <f t="shared" si="1"/>
        <v>0</v>
      </c>
    </row>
    <row r="118" spans="7:7" x14ac:dyDescent="0.2">
      <c r="G118" s="97">
        <f t="shared" si="1"/>
        <v>0</v>
      </c>
    </row>
    <row r="119" spans="7:7" x14ac:dyDescent="0.2">
      <c r="G119" s="97">
        <f t="shared" si="1"/>
        <v>0</v>
      </c>
    </row>
    <row r="120" spans="7:7" x14ac:dyDescent="0.2">
      <c r="G120" s="97">
        <f t="shared" si="1"/>
        <v>0</v>
      </c>
    </row>
    <row r="121" spans="7:7" x14ac:dyDescent="0.2">
      <c r="G121" s="97">
        <f t="shared" si="1"/>
        <v>0</v>
      </c>
    </row>
    <row r="122" spans="7:7" x14ac:dyDescent="0.2">
      <c r="G122" s="97">
        <f t="shared" si="1"/>
        <v>0</v>
      </c>
    </row>
    <row r="123" spans="7:7" x14ac:dyDescent="0.2">
      <c r="G123" s="97">
        <f t="shared" si="1"/>
        <v>0</v>
      </c>
    </row>
    <row r="124" spans="7:7" x14ac:dyDescent="0.2">
      <c r="G124" s="97">
        <f t="shared" si="1"/>
        <v>0</v>
      </c>
    </row>
    <row r="126" spans="7:7" x14ac:dyDescent="0.2">
      <c r="G126" s="97">
        <f>H127+I127</f>
        <v>0</v>
      </c>
    </row>
    <row r="127" spans="7:7" x14ac:dyDescent="0.2">
      <c r="G127" s="97">
        <f t="shared" ref="G127" si="2">H127+I127</f>
        <v>0</v>
      </c>
    </row>
    <row r="128" spans="7:7" x14ac:dyDescent="0.2">
      <c r="G128" s="97">
        <f>H128+I128</f>
        <v>0</v>
      </c>
    </row>
    <row r="129" spans="7:10" x14ac:dyDescent="0.2">
      <c r="G129" s="97">
        <f>H129+I129</f>
        <v>0</v>
      </c>
    </row>
    <row r="130" spans="7:10" x14ac:dyDescent="0.2">
      <c r="G130" s="97">
        <f>H130+I130</f>
        <v>0</v>
      </c>
    </row>
    <row r="131" spans="7:10" x14ac:dyDescent="0.2">
      <c r="G131" s="97">
        <f>H131+I131</f>
        <v>0</v>
      </c>
    </row>
    <row r="136" spans="7:10" ht="46.5" x14ac:dyDescent="0.2">
      <c r="J136" s="251"/>
    </row>
    <row r="139" spans="7:10" ht="46.5" x14ac:dyDescent="0.2">
      <c r="G139" s="251">
        <f>H139+I139</f>
        <v>0</v>
      </c>
      <c r="J139" s="251"/>
    </row>
    <row r="158" spans="11:11" ht="90" x14ac:dyDescent="0.2">
      <c r="K158" s="249" t="b">
        <f>G158=H158+I158</f>
        <v>1</v>
      </c>
    </row>
  </sheetData>
  <mergeCells count="31">
    <mergeCell ref="G75:G76"/>
    <mergeCell ref="B40:B44"/>
    <mergeCell ref="D1:E1"/>
    <mergeCell ref="D2:E2"/>
    <mergeCell ref="D3:E3"/>
    <mergeCell ref="D4:E4"/>
    <mergeCell ref="C29:D29"/>
    <mergeCell ref="C28:D28"/>
    <mergeCell ref="C27:D27"/>
    <mergeCell ref="C26:D26"/>
    <mergeCell ref="C25:D25"/>
    <mergeCell ref="C24:D24"/>
    <mergeCell ref="C23:D23"/>
    <mergeCell ref="C22:D22"/>
    <mergeCell ref="C21:D21"/>
    <mergeCell ref="C20:D20"/>
    <mergeCell ref="C19:D19"/>
    <mergeCell ref="B34:C34"/>
    <mergeCell ref="C18:E18"/>
    <mergeCell ref="C9:E9"/>
    <mergeCell ref="C17:D17"/>
    <mergeCell ref="C16:D16"/>
    <mergeCell ref="C15:D15"/>
    <mergeCell ref="C14:D14"/>
    <mergeCell ref="C13:D13"/>
    <mergeCell ref="A5:E5"/>
    <mergeCell ref="A6:E6"/>
    <mergeCell ref="A7:E7"/>
    <mergeCell ref="C12:D12"/>
    <mergeCell ref="C11:D11"/>
    <mergeCell ref="C10:D10"/>
  </mergeCells>
  <pageMargins left="0.23622047244094491" right="0.31496062992125984" top="0.27559055118110237" bottom="0" header="0.23622047244094491" footer="0.19685039370078741"/>
  <pageSetup paperSize="9" scale="6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61"/>
  <sheetViews>
    <sheetView view="pageBreakPreview" zoomScale="85" zoomScaleNormal="85" zoomScaleSheetLayoutView="85" workbookViewId="0">
      <selection activeCell="E17" sqref="E17"/>
    </sheetView>
  </sheetViews>
  <sheetFormatPr defaultRowHeight="12.75" x14ac:dyDescent="0.2"/>
  <cols>
    <col min="1" max="1" width="6.85546875" customWidth="1"/>
    <col min="2" max="2" width="15.140625" customWidth="1"/>
    <col min="3" max="3" width="15.28515625" customWidth="1"/>
    <col min="4" max="4" width="10.85546875" customWidth="1"/>
    <col min="5" max="5" width="58.140625" customWidth="1"/>
    <col min="6" max="6" width="15.85546875" customWidth="1"/>
    <col min="11" max="11" width="52.5703125" customWidth="1"/>
  </cols>
  <sheetData>
    <row r="1" spans="1:7" x14ac:dyDescent="0.2">
      <c r="A1" s="124"/>
      <c r="B1" s="124"/>
      <c r="C1" s="124"/>
      <c r="D1" s="124"/>
      <c r="E1" s="124"/>
      <c r="F1" s="124" t="s">
        <v>477</v>
      </c>
    </row>
    <row r="2" spans="1:7" x14ac:dyDescent="0.2">
      <c r="A2" s="124"/>
      <c r="B2" s="124"/>
      <c r="C2" s="124"/>
      <c r="D2" s="124"/>
      <c r="E2" s="124"/>
      <c r="F2" s="124" t="s">
        <v>478</v>
      </c>
    </row>
    <row r="3" spans="1:7" x14ac:dyDescent="0.2">
      <c r="A3" s="124"/>
      <c r="B3" s="124"/>
      <c r="C3" s="124"/>
      <c r="D3" s="124"/>
      <c r="E3" s="124"/>
      <c r="F3" s="124" t="s">
        <v>479</v>
      </c>
    </row>
    <row r="4" spans="1:7" ht="15.75" x14ac:dyDescent="0.25">
      <c r="A4" s="473" t="s">
        <v>480</v>
      </c>
      <c r="B4" s="456"/>
      <c r="C4" s="456"/>
      <c r="D4" s="456"/>
      <c r="E4" s="456"/>
      <c r="F4" s="456"/>
    </row>
    <row r="5" spans="1:7" ht="15.75" x14ac:dyDescent="0.25">
      <c r="A5" s="473" t="s">
        <v>481</v>
      </c>
      <c r="B5" s="456"/>
      <c r="C5" s="456"/>
      <c r="D5" s="456"/>
      <c r="E5" s="456"/>
      <c r="F5" s="456"/>
    </row>
    <row r="6" spans="1:7" ht="15.75" x14ac:dyDescent="0.25">
      <c r="A6" s="474" t="s">
        <v>688</v>
      </c>
      <c r="B6" s="475"/>
      <c r="C6" s="475"/>
      <c r="D6" s="475"/>
      <c r="E6" s="475"/>
      <c r="F6" s="475"/>
    </row>
    <row r="7" spans="1:7" ht="59.25" customHeight="1" x14ac:dyDescent="0.2">
      <c r="A7" s="125" t="s">
        <v>482</v>
      </c>
      <c r="B7" s="126" t="s">
        <v>483</v>
      </c>
      <c r="C7" s="126" t="s">
        <v>38</v>
      </c>
      <c r="D7" s="126" t="s">
        <v>30</v>
      </c>
      <c r="E7" s="125" t="s">
        <v>484</v>
      </c>
      <c r="F7" s="127" t="s">
        <v>691</v>
      </c>
    </row>
    <row r="8" spans="1:7" ht="15.75" x14ac:dyDescent="0.2">
      <c r="A8" s="161">
        <v>1</v>
      </c>
      <c r="B8" s="227" t="s">
        <v>463</v>
      </c>
      <c r="C8" s="227" t="s">
        <v>464</v>
      </c>
      <c r="D8" s="227" t="s">
        <v>81</v>
      </c>
      <c r="E8" s="162" t="s">
        <v>614</v>
      </c>
      <c r="F8" s="163">
        <v>116000</v>
      </c>
    </row>
    <row r="9" spans="1:7" ht="78.75" hidden="1" x14ac:dyDescent="0.2">
      <c r="A9" s="161">
        <v>2</v>
      </c>
      <c r="B9" s="227" t="s">
        <v>463</v>
      </c>
      <c r="C9" s="227" t="s">
        <v>464</v>
      </c>
      <c r="D9" s="227" t="s">
        <v>81</v>
      </c>
      <c r="E9" s="162" t="s">
        <v>698</v>
      </c>
      <c r="F9" s="163">
        <f>130000-130000</f>
        <v>0</v>
      </c>
    </row>
    <row r="10" spans="1:7" ht="78.75" x14ac:dyDescent="0.2">
      <c r="A10" s="161">
        <v>2</v>
      </c>
      <c r="B10" s="227" t="s">
        <v>463</v>
      </c>
      <c r="C10" s="227" t="s">
        <v>464</v>
      </c>
      <c r="D10" s="227" t="s">
        <v>81</v>
      </c>
      <c r="E10" s="164" t="s">
        <v>697</v>
      </c>
      <c r="F10" s="163">
        <v>115000</v>
      </c>
    </row>
    <row r="11" spans="1:7" ht="80.45" customHeight="1" x14ac:dyDescent="0.2">
      <c r="A11" s="161">
        <v>3</v>
      </c>
      <c r="B11" s="227" t="s">
        <v>463</v>
      </c>
      <c r="C11" s="227" t="s">
        <v>464</v>
      </c>
      <c r="D11" s="227" t="s">
        <v>81</v>
      </c>
      <c r="E11" s="164" t="s">
        <v>699</v>
      </c>
      <c r="F11" s="163">
        <v>39000</v>
      </c>
    </row>
    <row r="12" spans="1:7" ht="78.75" x14ac:dyDescent="0.2">
      <c r="A12" s="161">
        <v>4</v>
      </c>
      <c r="B12" s="227" t="s">
        <v>465</v>
      </c>
      <c r="C12" s="227" t="s">
        <v>466</v>
      </c>
      <c r="D12" s="227" t="s">
        <v>83</v>
      </c>
      <c r="E12" s="164" t="s">
        <v>700</v>
      </c>
      <c r="F12" s="163">
        <v>100000</v>
      </c>
    </row>
    <row r="13" spans="1:7" ht="110.25" x14ac:dyDescent="0.2">
      <c r="A13" s="287">
        <v>5</v>
      </c>
      <c r="B13" s="227" t="s">
        <v>463</v>
      </c>
      <c r="C13" s="227" t="s">
        <v>464</v>
      </c>
      <c r="D13" s="227" t="s">
        <v>81</v>
      </c>
      <c r="E13" s="288" t="s">
        <v>828</v>
      </c>
      <c r="F13" s="163">
        <f>344616+130000</f>
        <v>474616</v>
      </c>
    </row>
    <row r="14" spans="1:7" ht="63" x14ac:dyDescent="0.2">
      <c r="A14" s="287">
        <v>6</v>
      </c>
      <c r="B14" s="227" t="s">
        <v>463</v>
      </c>
      <c r="C14" s="227" t="s">
        <v>464</v>
      </c>
      <c r="D14" s="227" t="s">
        <v>81</v>
      </c>
      <c r="E14" s="288" t="s">
        <v>829</v>
      </c>
      <c r="F14" s="163">
        <v>90000</v>
      </c>
    </row>
    <row r="15" spans="1:7" ht="78.75" x14ac:dyDescent="0.2">
      <c r="A15" s="161">
        <v>7</v>
      </c>
      <c r="B15" s="227" t="s">
        <v>830</v>
      </c>
      <c r="C15" s="227" t="s">
        <v>831</v>
      </c>
      <c r="D15" s="227" t="s">
        <v>855</v>
      </c>
      <c r="E15" s="164" t="s">
        <v>832</v>
      </c>
      <c r="F15" s="163">
        <v>56289.96</v>
      </c>
    </row>
    <row r="16" spans="1:7" ht="15.75" x14ac:dyDescent="0.2">
      <c r="A16" s="476" t="s">
        <v>485</v>
      </c>
      <c r="B16" s="477"/>
      <c r="C16" s="477"/>
      <c r="D16" s="477"/>
      <c r="E16" s="478"/>
      <c r="F16" s="151">
        <f>SUM(F8:F15)</f>
        <v>990905.96</v>
      </c>
      <c r="G16" s="128" t="b">
        <f>F16='dod3'!J165-'dod3'!J167</f>
        <v>1</v>
      </c>
    </row>
    <row r="17" spans="1:6" ht="15.75" x14ac:dyDescent="0.2">
      <c r="A17" s="131"/>
      <c r="B17" s="131"/>
      <c r="C17" s="131"/>
      <c r="D17" s="131"/>
      <c r="E17" s="131"/>
      <c r="F17" s="132"/>
    </row>
    <row r="18" spans="1:6" ht="15.75" x14ac:dyDescent="0.2">
      <c r="A18" s="480" t="s">
        <v>948</v>
      </c>
      <c r="B18" s="481"/>
      <c r="C18" s="481"/>
      <c r="D18" s="481"/>
      <c r="E18" s="175"/>
      <c r="F18" s="177" t="s">
        <v>947</v>
      </c>
    </row>
    <row r="19" spans="1:6" ht="15.75" x14ac:dyDescent="0.2">
      <c r="A19" s="178"/>
      <c r="B19" s="178"/>
      <c r="C19" s="178"/>
      <c r="D19" s="178"/>
      <c r="E19" s="175"/>
      <c r="F19" s="176"/>
    </row>
    <row r="20" spans="1:6" ht="15.75" x14ac:dyDescent="0.25">
      <c r="A20" s="482" t="s">
        <v>644</v>
      </c>
      <c r="B20" s="482"/>
      <c r="C20" s="482"/>
      <c r="D20" s="482"/>
      <c r="E20" s="129"/>
      <c r="F20" s="129" t="s">
        <v>486</v>
      </c>
    </row>
    <row r="21" spans="1:6" ht="15.75" x14ac:dyDescent="0.2">
      <c r="A21" s="479"/>
      <c r="B21" s="479"/>
      <c r="C21" s="479"/>
      <c r="D21" s="479"/>
      <c r="E21" s="479"/>
      <c r="F21" s="130"/>
    </row>
    <row r="78" spans="7:7" x14ac:dyDescent="0.2">
      <c r="G78" s="391"/>
    </row>
    <row r="79" spans="7:7" x14ac:dyDescent="0.2">
      <c r="G79" s="391"/>
    </row>
    <row r="139" spans="7:10" ht="46.5" x14ac:dyDescent="0.65">
      <c r="J139" s="165"/>
    </row>
    <row r="142" spans="7:10" ht="46.5" x14ac:dyDescent="0.65">
      <c r="G142" s="165"/>
      <c r="J142" s="165"/>
    </row>
    <row r="161" spans="11:11" ht="90" x14ac:dyDescent="1.1499999999999999">
      <c r="K161" s="248" t="b">
        <f>G161=H161+I161</f>
        <v>1</v>
      </c>
    </row>
  </sheetData>
  <mergeCells count="8">
    <mergeCell ref="G78:G79"/>
    <mergeCell ref="A4:F4"/>
    <mergeCell ref="A5:F5"/>
    <mergeCell ref="A6:F6"/>
    <mergeCell ref="A16:E16"/>
    <mergeCell ref="A21:E21"/>
    <mergeCell ref="A18:D18"/>
    <mergeCell ref="A20:D20"/>
  </mergeCell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224"/>
  <sheetViews>
    <sheetView view="pageBreakPreview" zoomScale="25" zoomScaleNormal="25" zoomScaleSheetLayoutView="25" zoomScalePageLayoutView="10" workbookViewId="0">
      <pane ySplit="10" topLeftCell="A202" activePane="bottomLeft" state="frozen"/>
      <selection activeCell="K153" sqref="K153"/>
      <selection pane="bottomLeft" activeCell="F156" sqref="F156"/>
    </sheetView>
  </sheetViews>
  <sheetFormatPr defaultRowHeight="12.75" x14ac:dyDescent="0.2"/>
  <cols>
    <col min="1" max="1" width="48" style="1" customWidth="1"/>
    <col min="2" max="2" width="52.5703125" style="1" customWidth="1"/>
    <col min="3" max="3" width="65.7109375" style="1" customWidth="1"/>
    <col min="4" max="4" width="106.28515625" style="1" customWidth="1"/>
    <col min="5" max="5" width="113.85546875" style="5" customWidth="1"/>
    <col min="6" max="6" width="114" style="1" customWidth="1"/>
    <col min="7" max="7" width="55.42578125" style="1" customWidth="1"/>
    <col min="8" max="8" width="89.85546875" style="1" customWidth="1"/>
    <col min="9" max="9" width="71.85546875" style="1" customWidth="1"/>
    <col min="10" max="10" width="86.28515625" style="5" customWidth="1"/>
    <col min="11" max="11" width="62.28515625" customWidth="1"/>
    <col min="12" max="12" width="45.28515625" bestFit="1" customWidth="1"/>
    <col min="13" max="13" width="51" bestFit="1" customWidth="1"/>
    <col min="17" max="17" width="70.28515625" customWidth="1"/>
  </cols>
  <sheetData>
    <row r="1" spans="1:13" ht="45.75" x14ac:dyDescent="0.2">
      <c r="D1" s="7"/>
      <c r="E1" s="8"/>
      <c r="F1" s="9"/>
      <c r="G1" s="8"/>
      <c r="H1" s="8"/>
      <c r="I1" s="408" t="s">
        <v>694</v>
      </c>
      <c r="J1" s="408"/>
    </row>
    <row r="2" spans="1:13" ht="45.75" x14ac:dyDescent="0.2">
      <c r="A2" s="7"/>
      <c r="B2" s="7"/>
      <c r="C2" s="7"/>
      <c r="D2" s="7"/>
      <c r="E2" s="8"/>
      <c r="F2" s="9"/>
      <c r="G2" s="8"/>
      <c r="H2" s="8"/>
      <c r="I2" s="408" t="s">
        <v>934</v>
      </c>
      <c r="J2" s="410"/>
    </row>
    <row r="3" spans="1:13" ht="40.700000000000003" customHeight="1" x14ac:dyDescent="0.2">
      <c r="A3" s="7"/>
      <c r="B3" s="7"/>
      <c r="C3" s="7"/>
      <c r="D3" s="7"/>
      <c r="E3" s="8"/>
      <c r="F3" s="9"/>
      <c r="G3" s="8"/>
      <c r="H3" s="8"/>
      <c r="I3" s="408"/>
      <c r="J3" s="410"/>
    </row>
    <row r="4" spans="1:13" ht="45.75" hidden="1" x14ac:dyDescent="0.2">
      <c r="A4" s="7"/>
      <c r="B4" s="7"/>
      <c r="C4" s="7"/>
      <c r="D4" s="7"/>
      <c r="E4" s="8"/>
      <c r="F4" s="9"/>
      <c r="G4" s="8"/>
      <c r="H4" s="8"/>
      <c r="I4" s="7"/>
      <c r="J4" s="9"/>
    </row>
    <row r="5" spans="1:13" ht="45" x14ac:dyDescent="0.2">
      <c r="A5" s="412" t="s">
        <v>689</v>
      </c>
      <c r="B5" s="412"/>
      <c r="C5" s="412"/>
      <c r="D5" s="412"/>
      <c r="E5" s="412"/>
      <c r="F5" s="412"/>
      <c r="G5" s="412"/>
      <c r="H5" s="412"/>
      <c r="I5" s="412"/>
      <c r="J5" s="412"/>
    </row>
    <row r="6" spans="1:13" ht="45" x14ac:dyDescent="0.2">
      <c r="A6" s="412"/>
      <c r="B6" s="412"/>
      <c r="C6" s="412"/>
      <c r="D6" s="412"/>
      <c r="E6" s="412"/>
      <c r="F6" s="412"/>
      <c r="G6" s="412"/>
      <c r="H6" s="412"/>
      <c r="I6" s="412"/>
      <c r="J6" s="412"/>
    </row>
    <row r="7" spans="1:13" ht="53.45" customHeight="1" x14ac:dyDescent="0.2">
      <c r="A7" s="8"/>
      <c r="B7" s="8"/>
      <c r="C7" s="8"/>
      <c r="D7" s="8"/>
      <c r="E7" s="8"/>
      <c r="F7" s="9"/>
      <c r="G7" s="8"/>
      <c r="H7" s="8"/>
      <c r="I7" s="8"/>
      <c r="J7" s="10" t="s">
        <v>658</v>
      </c>
    </row>
    <row r="8" spans="1:13" ht="62.45" customHeight="1" x14ac:dyDescent="0.2">
      <c r="A8" s="429" t="s">
        <v>29</v>
      </c>
      <c r="B8" s="429" t="s">
        <v>661</v>
      </c>
      <c r="C8" s="429" t="s">
        <v>668</v>
      </c>
      <c r="D8" s="429" t="s">
        <v>662</v>
      </c>
      <c r="E8" s="429" t="s">
        <v>693</v>
      </c>
      <c r="F8" s="429" t="s">
        <v>695</v>
      </c>
      <c r="G8" s="429" t="s">
        <v>653</v>
      </c>
      <c r="H8" s="429" t="s">
        <v>25</v>
      </c>
      <c r="I8" s="433" t="s">
        <v>84</v>
      </c>
      <c r="J8" s="435"/>
    </row>
    <row r="9" spans="1:13" ht="409.6" customHeight="1" x14ac:dyDescent="0.2">
      <c r="A9" s="430"/>
      <c r="B9" s="432"/>
      <c r="C9" s="432"/>
      <c r="D9" s="430"/>
      <c r="E9" s="430"/>
      <c r="F9" s="430"/>
      <c r="G9" s="430"/>
      <c r="H9" s="430"/>
      <c r="I9" s="195" t="s">
        <v>654</v>
      </c>
      <c r="J9" s="195" t="s">
        <v>655</v>
      </c>
    </row>
    <row r="10" spans="1:13" s="2" customFormat="1" ht="111" customHeight="1" x14ac:dyDescent="0.2">
      <c r="A10" s="11" t="s">
        <v>4</v>
      </c>
      <c r="B10" s="11" t="s">
        <v>5</v>
      </c>
      <c r="C10" s="11" t="s">
        <v>27</v>
      </c>
      <c r="D10" s="11" t="s">
        <v>7</v>
      </c>
      <c r="E10" s="11" t="s">
        <v>671</v>
      </c>
      <c r="F10" s="11" t="s">
        <v>672</v>
      </c>
      <c r="G10" s="11" t="s">
        <v>673</v>
      </c>
      <c r="H10" s="11" t="s">
        <v>674</v>
      </c>
      <c r="I10" s="11" t="s">
        <v>675</v>
      </c>
      <c r="J10" s="11" t="s">
        <v>676</v>
      </c>
    </row>
    <row r="11" spans="1:13" s="2" customFormat="1" ht="135" x14ac:dyDescent="0.2">
      <c r="A11" s="296" t="s">
        <v>234</v>
      </c>
      <c r="B11" s="296"/>
      <c r="C11" s="296"/>
      <c r="D11" s="297" t="s">
        <v>236</v>
      </c>
      <c r="E11" s="298"/>
      <c r="F11" s="377"/>
      <c r="G11" s="298">
        <f>G12</f>
        <v>18170460</v>
      </c>
      <c r="H11" s="298">
        <f t="shared" ref="H11:J11" si="0">H12</f>
        <v>10391508</v>
      </c>
      <c r="I11" s="298">
        <f t="shared" si="0"/>
        <v>7778952</v>
      </c>
      <c r="J11" s="298">
        <f t="shared" si="0"/>
        <v>7778952</v>
      </c>
    </row>
    <row r="12" spans="1:13" s="2" customFormat="1" ht="135" x14ac:dyDescent="0.2">
      <c r="A12" s="299" t="s">
        <v>235</v>
      </c>
      <c r="B12" s="299"/>
      <c r="C12" s="299"/>
      <c r="D12" s="300" t="s">
        <v>237</v>
      </c>
      <c r="E12" s="301"/>
      <c r="F12" s="301"/>
      <c r="G12" s="301">
        <f>SUM(G13:G25)</f>
        <v>18170460</v>
      </c>
      <c r="H12" s="301">
        <f>SUM(H13:H25)</f>
        <v>10391508</v>
      </c>
      <c r="I12" s="301">
        <f>SUM(I13:I25)</f>
        <v>7778952</v>
      </c>
      <c r="J12" s="301">
        <f>SUM(J13:J25)</f>
        <v>7778952</v>
      </c>
    </row>
    <row r="13" spans="1:13" ht="320.25" x14ac:dyDescent="0.2">
      <c r="A13" s="270" t="s">
        <v>337</v>
      </c>
      <c r="B13" s="270" t="s">
        <v>338</v>
      </c>
      <c r="C13" s="270" t="s">
        <v>339</v>
      </c>
      <c r="D13" s="270" t="s">
        <v>336</v>
      </c>
      <c r="E13" s="294" t="s">
        <v>746</v>
      </c>
      <c r="F13" s="225" t="s">
        <v>745</v>
      </c>
      <c r="G13" s="225">
        <f>H13+I13</f>
        <v>1000500</v>
      </c>
      <c r="H13" s="111">
        <f>46500+195000+98500</f>
        <v>340000</v>
      </c>
      <c r="I13" s="225">
        <f>('dod3'!J15-110000)-8000</f>
        <v>660500</v>
      </c>
      <c r="J13" s="225">
        <f>('dod3'!K15-110000)-8000</f>
        <v>660500</v>
      </c>
      <c r="K13" s="373"/>
      <c r="L13" s="373"/>
    </row>
    <row r="14" spans="1:13" ht="139.5" x14ac:dyDescent="0.2">
      <c r="A14" s="270" t="s">
        <v>353</v>
      </c>
      <c r="B14" s="270" t="s">
        <v>71</v>
      </c>
      <c r="C14" s="270" t="s">
        <v>70</v>
      </c>
      <c r="D14" s="270" t="s">
        <v>354</v>
      </c>
      <c r="E14" s="294" t="s">
        <v>886</v>
      </c>
      <c r="F14" s="225" t="s">
        <v>887</v>
      </c>
      <c r="G14" s="225">
        <f>H14+I14</f>
        <v>1000000</v>
      </c>
      <c r="H14" s="111">
        <v>1000000</v>
      </c>
      <c r="I14" s="225"/>
      <c r="J14" s="225"/>
    </row>
    <row r="15" spans="1:13" ht="228.75" x14ac:dyDescent="0.2">
      <c r="A15" s="270" t="s">
        <v>343</v>
      </c>
      <c r="B15" s="270" t="s">
        <v>344</v>
      </c>
      <c r="C15" s="270" t="s">
        <v>345</v>
      </c>
      <c r="D15" s="270" t="s">
        <v>342</v>
      </c>
      <c r="E15" s="294" t="s">
        <v>746</v>
      </c>
      <c r="F15" s="225" t="s">
        <v>745</v>
      </c>
      <c r="G15" s="225">
        <f>H15+I15</f>
        <v>6736400</v>
      </c>
      <c r="H15" s="225">
        <f>'dod3'!E17</f>
        <v>3236400</v>
      </c>
      <c r="I15" s="225">
        <f>'dod3'!J17</f>
        <v>3500000</v>
      </c>
      <c r="J15" s="225">
        <f>'dod3'!K17</f>
        <v>3500000</v>
      </c>
      <c r="K15" s="374" t="b">
        <f>H15='dod3'!E17</f>
        <v>1</v>
      </c>
      <c r="L15" s="202" t="b">
        <f>I15='dod3'!J17</f>
        <v>1</v>
      </c>
      <c r="M15" s="203" t="b">
        <f>J15='dod3'!K17</f>
        <v>1</v>
      </c>
    </row>
    <row r="16" spans="1:13" ht="91.5" hidden="1" x14ac:dyDescent="0.2">
      <c r="A16" s="273" t="s">
        <v>496</v>
      </c>
      <c r="B16" s="280" t="s">
        <v>293</v>
      </c>
      <c r="C16" s="280" t="s">
        <v>256</v>
      </c>
      <c r="D16" s="273" t="s">
        <v>57</v>
      </c>
      <c r="E16" s="274"/>
      <c r="F16" s="277"/>
      <c r="G16" s="277">
        <f t="shared" ref="G16" si="1">H16+I16</f>
        <v>0</v>
      </c>
      <c r="H16" s="277"/>
      <c r="I16" s="277"/>
      <c r="J16" s="277"/>
    </row>
    <row r="17" spans="1:17" ht="279" x14ac:dyDescent="0.2">
      <c r="A17" s="270" t="s">
        <v>346</v>
      </c>
      <c r="B17" s="270" t="s">
        <v>347</v>
      </c>
      <c r="C17" s="270" t="s">
        <v>348</v>
      </c>
      <c r="D17" s="268" t="s">
        <v>349</v>
      </c>
      <c r="E17" s="225" t="s">
        <v>748</v>
      </c>
      <c r="F17" s="225" t="s">
        <v>747</v>
      </c>
      <c r="G17" s="225">
        <f>H17+I17</f>
        <v>3645000</v>
      </c>
      <c r="H17" s="225">
        <f>'dod3'!E21</f>
        <v>3645000</v>
      </c>
      <c r="I17" s="225">
        <f>'dod3'!J21</f>
        <v>0</v>
      </c>
      <c r="J17" s="225">
        <f>'dod3'!K21</f>
        <v>0</v>
      </c>
      <c r="K17" s="374" t="b">
        <f>H17='dod3'!E21</f>
        <v>1</v>
      </c>
      <c r="L17" s="202" t="b">
        <f>I17='dod3'!J21</f>
        <v>1</v>
      </c>
      <c r="M17" s="203" t="b">
        <f>J17='dod3'!K21</f>
        <v>1</v>
      </c>
    </row>
    <row r="18" spans="1:17" ht="137.25" x14ac:dyDescent="0.2">
      <c r="A18" s="270" t="s">
        <v>880</v>
      </c>
      <c r="B18" s="270" t="s">
        <v>601</v>
      </c>
      <c r="C18" s="270" t="s">
        <v>71</v>
      </c>
      <c r="D18" s="270" t="s">
        <v>602</v>
      </c>
      <c r="E18" s="294" t="s">
        <v>818</v>
      </c>
      <c r="F18" s="295" t="s">
        <v>819</v>
      </c>
      <c r="G18" s="225">
        <f>H18+I18</f>
        <v>100000</v>
      </c>
      <c r="H18" s="225">
        <f>'dod3'!E23</f>
        <v>0</v>
      </c>
      <c r="I18" s="225">
        <f>'dod3'!J23</f>
        <v>100000</v>
      </c>
      <c r="J18" s="225">
        <f>'dod3'!K23</f>
        <v>100000</v>
      </c>
      <c r="K18" s="374" t="b">
        <f>H18='dod3'!E23</f>
        <v>1</v>
      </c>
      <c r="L18" s="202" t="b">
        <f>I18='dod3'!J23</f>
        <v>1</v>
      </c>
      <c r="M18" s="203" t="b">
        <f>J18='dod3'!K23</f>
        <v>1</v>
      </c>
      <c r="Q18" s="202" t="s">
        <v>885</v>
      </c>
    </row>
    <row r="19" spans="1:17" ht="372" x14ac:dyDescent="0.2">
      <c r="A19" s="270" t="s">
        <v>882</v>
      </c>
      <c r="B19" s="270" t="s">
        <v>883</v>
      </c>
      <c r="C19" s="270" t="s">
        <v>71</v>
      </c>
      <c r="D19" s="270" t="s">
        <v>881</v>
      </c>
      <c r="E19" s="225" t="s">
        <v>890</v>
      </c>
      <c r="F19" s="295" t="s">
        <v>889</v>
      </c>
      <c r="G19" s="225">
        <f>H19+I19</f>
        <v>3064560</v>
      </c>
      <c r="H19" s="225">
        <f>500000+41830+69700+500000+275000+12818+222560+26000+65200+27000+100000</f>
        <v>1840108</v>
      </c>
      <c r="I19" s="225">
        <f>58170+30300+400000+500000+25000+37182+15000+74000+84800</f>
        <v>1224452</v>
      </c>
      <c r="J19" s="225">
        <f>58170+30300+400000+500000+25000+37182+15000+74000+84800</f>
        <v>1224452</v>
      </c>
      <c r="K19" s="374" t="b">
        <f>'dod3'!E24='dod8'!H19+'dod8'!H20+'dod8'!H21+'dod8'!H22+'dod8'!H23+K24</f>
        <v>1</v>
      </c>
      <c r="L19" s="202" t="b">
        <f>'dod3'!J24='dod8'!I19+'dod8'!I20+'dod8'!I21+'dod8'!I22+'dod8'!I23+'dod8'!L24</f>
        <v>1</v>
      </c>
      <c r="M19" s="203" t="b">
        <f>'dod3'!K24='dod8'!J19+'dod8'!J20+'dod8'!J21+'dod8'!J22+'dod8'!J23+'dod8'!L24</f>
        <v>1</v>
      </c>
    </row>
    <row r="20" spans="1:17" ht="372" x14ac:dyDescent="0.2">
      <c r="A20" s="270" t="s">
        <v>882</v>
      </c>
      <c r="B20" s="270" t="s">
        <v>883</v>
      </c>
      <c r="C20" s="270" t="s">
        <v>71</v>
      </c>
      <c r="D20" s="270" t="s">
        <v>881</v>
      </c>
      <c r="E20" s="225" t="s">
        <v>894</v>
      </c>
      <c r="F20" s="295" t="s">
        <v>893</v>
      </c>
      <c r="G20" s="225">
        <f t="shared" ref="G20:G24" si="2">H20+I20</f>
        <v>1200000</v>
      </c>
      <c r="H20" s="225"/>
      <c r="I20" s="225">
        <v>1200000</v>
      </c>
      <c r="J20" s="225">
        <v>1200000</v>
      </c>
      <c r="K20" s="202"/>
      <c r="L20" s="202"/>
      <c r="M20" s="203"/>
    </row>
    <row r="21" spans="1:17" ht="382.7" customHeight="1" x14ac:dyDescent="0.2">
      <c r="A21" s="270" t="s">
        <v>882</v>
      </c>
      <c r="B21" s="270" t="s">
        <v>883</v>
      </c>
      <c r="C21" s="270" t="s">
        <v>71</v>
      </c>
      <c r="D21" s="270" t="s">
        <v>881</v>
      </c>
      <c r="E21" s="225" t="s">
        <v>896</v>
      </c>
      <c r="F21" s="295" t="s">
        <v>895</v>
      </c>
      <c r="G21" s="225">
        <f t="shared" si="2"/>
        <v>130000</v>
      </c>
      <c r="H21" s="225">
        <v>130000</v>
      </c>
      <c r="I21" s="225"/>
      <c r="J21" s="225"/>
      <c r="K21" s="202"/>
      <c r="L21" s="202"/>
      <c r="M21" s="203"/>
    </row>
    <row r="22" spans="1:17" ht="409.5" x14ac:dyDescent="0.2">
      <c r="A22" s="270" t="s">
        <v>882</v>
      </c>
      <c r="B22" s="270" t="s">
        <v>883</v>
      </c>
      <c r="C22" s="270" t="s">
        <v>71</v>
      </c>
      <c r="D22" s="270" t="s">
        <v>881</v>
      </c>
      <c r="E22" s="295" t="s">
        <v>897</v>
      </c>
      <c r="F22" s="295" t="s">
        <v>898</v>
      </c>
      <c r="G22" s="225">
        <f t="shared" si="2"/>
        <v>100000</v>
      </c>
      <c r="H22" s="225">
        <v>100000</v>
      </c>
      <c r="I22" s="225"/>
      <c r="J22" s="225"/>
      <c r="K22" s="202"/>
      <c r="L22" s="202"/>
      <c r="M22" s="203"/>
    </row>
    <row r="23" spans="1:17" ht="279" x14ac:dyDescent="0.2">
      <c r="A23" s="270" t="s">
        <v>882</v>
      </c>
      <c r="B23" s="270" t="s">
        <v>883</v>
      </c>
      <c r="C23" s="270" t="s">
        <v>71</v>
      </c>
      <c r="D23" s="270" t="s">
        <v>881</v>
      </c>
      <c r="E23" s="225" t="s">
        <v>900</v>
      </c>
      <c r="F23" s="295" t="s">
        <v>899</v>
      </c>
      <c r="G23" s="225">
        <f t="shared" si="2"/>
        <v>1000000</v>
      </c>
      <c r="H23" s="225"/>
      <c r="I23" s="225">
        <v>1000000</v>
      </c>
      <c r="J23" s="225">
        <v>1000000</v>
      </c>
      <c r="K23" s="202"/>
      <c r="L23" s="202"/>
      <c r="M23" s="203"/>
    </row>
    <row r="24" spans="1:17" ht="397.5" customHeight="1" x14ac:dyDescent="0.65">
      <c r="A24" s="422" t="s">
        <v>882</v>
      </c>
      <c r="B24" s="422" t="s">
        <v>883</v>
      </c>
      <c r="C24" s="422" t="s">
        <v>71</v>
      </c>
      <c r="D24" s="422" t="s">
        <v>881</v>
      </c>
      <c r="E24" s="379" t="s">
        <v>901</v>
      </c>
      <c r="F24" s="422" t="s">
        <v>902</v>
      </c>
      <c r="G24" s="416">
        <f t="shared" si="2"/>
        <v>194000</v>
      </c>
      <c r="H24" s="404">
        <v>100000</v>
      </c>
      <c r="I24" s="404">
        <v>94000</v>
      </c>
      <c r="J24" s="404">
        <v>94000</v>
      </c>
      <c r="K24" s="202">
        <f>H24</f>
        <v>100000</v>
      </c>
      <c r="L24" s="202">
        <f>I24</f>
        <v>94000</v>
      </c>
      <c r="M24" s="203"/>
    </row>
    <row r="25" spans="1:17" ht="129" customHeight="1" x14ac:dyDescent="0.2">
      <c r="A25" s="403"/>
      <c r="B25" s="403"/>
      <c r="C25" s="403"/>
      <c r="D25" s="403"/>
      <c r="E25" s="378" t="s">
        <v>903</v>
      </c>
      <c r="F25" s="403"/>
      <c r="G25" s="403"/>
      <c r="H25" s="405"/>
      <c r="I25" s="405"/>
      <c r="J25" s="405"/>
      <c r="K25" s="202"/>
      <c r="L25" s="202"/>
      <c r="M25" s="203"/>
    </row>
    <row r="26" spans="1:17" ht="135" x14ac:dyDescent="0.2">
      <c r="A26" s="296" t="s">
        <v>238</v>
      </c>
      <c r="B26" s="296"/>
      <c r="C26" s="296"/>
      <c r="D26" s="297" t="s">
        <v>0</v>
      </c>
      <c r="E26" s="302"/>
      <c r="F26" s="301"/>
      <c r="G26" s="302">
        <f>G27</f>
        <v>1138407918.4400001</v>
      </c>
      <c r="H26" s="302">
        <f t="shared" ref="H26:J26" si="3">H27</f>
        <v>1002153335.4</v>
      </c>
      <c r="I26" s="302">
        <f t="shared" si="3"/>
        <v>136254583.03999999</v>
      </c>
      <c r="J26" s="302">
        <f t="shared" si="3"/>
        <v>33292593.039999999</v>
      </c>
      <c r="K26" s="202" t="b">
        <f>H26='dod3'!E26</f>
        <v>1</v>
      </c>
      <c r="L26" s="202" t="b">
        <f>I26='dod3'!J26</f>
        <v>1</v>
      </c>
      <c r="M26" s="203" t="b">
        <f>J26='dod3'!K25</f>
        <v>1</v>
      </c>
    </row>
    <row r="27" spans="1:17" ht="135" x14ac:dyDescent="0.2">
      <c r="A27" s="299" t="s">
        <v>239</v>
      </c>
      <c r="B27" s="299"/>
      <c r="C27" s="299"/>
      <c r="D27" s="300" t="s">
        <v>1</v>
      </c>
      <c r="E27" s="322"/>
      <c r="F27" s="301"/>
      <c r="G27" s="301">
        <f>SUM(G28:G42)</f>
        <v>1138407918.4400001</v>
      </c>
      <c r="H27" s="301">
        <f>SUM(H28:H42)</f>
        <v>1002153335.4</v>
      </c>
      <c r="I27" s="301">
        <f>SUM(I28:I42)</f>
        <v>136254583.03999999</v>
      </c>
      <c r="J27" s="301">
        <f>SUM(J28:J42)</f>
        <v>33292593.039999999</v>
      </c>
    </row>
    <row r="28" spans="1:17" ht="145.5" customHeight="1" x14ac:dyDescent="0.2">
      <c r="A28" s="270" t="s">
        <v>294</v>
      </c>
      <c r="B28" s="270" t="s">
        <v>295</v>
      </c>
      <c r="C28" s="270" t="s">
        <v>297</v>
      </c>
      <c r="D28" s="270" t="s">
        <v>298</v>
      </c>
      <c r="E28" s="294" t="s">
        <v>757</v>
      </c>
      <c r="F28" s="225" t="s">
        <v>721</v>
      </c>
      <c r="G28" s="225">
        <f t="shared" ref="G28:G38" si="4">H28+I28</f>
        <v>311034897</v>
      </c>
      <c r="H28" s="225">
        <f>'dod3'!E27</f>
        <v>264555015</v>
      </c>
      <c r="I28" s="225">
        <f>'dod3'!J27</f>
        <v>46479882</v>
      </c>
      <c r="J28" s="225">
        <f>'dod3'!K27</f>
        <v>6359462</v>
      </c>
    </row>
    <row r="29" spans="1:17" ht="366" x14ac:dyDescent="0.2">
      <c r="A29" s="270" t="s">
        <v>300</v>
      </c>
      <c r="B29" s="270" t="s">
        <v>296</v>
      </c>
      <c r="C29" s="270" t="s">
        <v>301</v>
      </c>
      <c r="D29" s="270" t="s">
        <v>299</v>
      </c>
      <c r="E29" s="294" t="s">
        <v>757</v>
      </c>
      <c r="F29" s="225" t="s">
        <v>721</v>
      </c>
      <c r="G29" s="225">
        <f t="shared" si="4"/>
        <v>621294780.43999994</v>
      </c>
      <c r="H29" s="225">
        <f>'dod3'!E28-H30-H31</f>
        <v>560826990.39999998</v>
      </c>
      <c r="I29" s="225">
        <f>'dod3'!J28-I30-I31</f>
        <v>60467790.039999999</v>
      </c>
      <c r="J29" s="225">
        <f>'dod3'!K28-J30-J31</f>
        <v>18520430.039999999</v>
      </c>
    </row>
    <row r="30" spans="1:17" ht="366" x14ac:dyDescent="0.2">
      <c r="A30" s="270" t="s">
        <v>300</v>
      </c>
      <c r="B30" s="270" t="s">
        <v>296</v>
      </c>
      <c r="C30" s="270" t="s">
        <v>301</v>
      </c>
      <c r="D30" s="270" t="s">
        <v>299</v>
      </c>
      <c r="E30" s="294" t="s">
        <v>758</v>
      </c>
      <c r="F30" s="295" t="s">
        <v>712</v>
      </c>
      <c r="G30" s="225">
        <f t="shared" si="4"/>
        <v>4532500</v>
      </c>
      <c r="H30" s="225">
        <v>4532500</v>
      </c>
      <c r="I30" s="225"/>
      <c r="J30" s="225"/>
    </row>
    <row r="31" spans="1:17" ht="366" x14ac:dyDescent="0.2">
      <c r="A31" s="270" t="s">
        <v>300</v>
      </c>
      <c r="B31" s="270" t="s">
        <v>296</v>
      </c>
      <c r="C31" s="270" t="s">
        <v>301</v>
      </c>
      <c r="D31" s="270" t="s">
        <v>299</v>
      </c>
      <c r="E31" s="294" t="s">
        <v>752</v>
      </c>
      <c r="F31" s="323" t="s">
        <v>751</v>
      </c>
      <c r="G31" s="225">
        <f t="shared" si="4"/>
        <v>399644</v>
      </c>
      <c r="H31" s="225">
        <f>8920+49900+70680</f>
        <v>129500</v>
      </c>
      <c r="I31" s="225">
        <f>69030+130614+70500</f>
        <v>270144</v>
      </c>
      <c r="J31" s="225">
        <f>69030+130614+70500</f>
        <v>270144</v>
      </c>
    </row>
    <row r="32" spans="1:17" ht="366" x14ac:dyDescent="0.2">
      <c r="A32" s="270" t="s">
        <v>304</v>
      </c>
      <c r="B32" s="270" t="s">
        <v>303</v>
      </c>
      <c r="C32" s="270" t="s">
        <v>305</v>
      </c>
      <c r="D32" s="270" t="s">
        <v>32</v>
      </c>
      <c r="E32" s="294" t="s">
        <v>757</v>
      </c>
      <c r="F32" s="225" t="s">
        <v>721</v>
      </c>
      <c r="G32" s="225">
        <f t="shared" si="4"/>
        <v>16967046</v>
      </c>
      <c r="H32" s="225">
        <f>'dod3'!E29-H33</f>
        <v>16878046</v>
      </c>
      <c r="I32" s="225">
        <f>'dod3'!J29-I33</f>
        <v>89000</v>
      </c>
      <c r="J32" s="225">
        <f>'dod3'!K29-J33</f>
        <v>39000</v>
      </c>
    </row>
    <row r="33" spans="1:13" ht="366" x14ac:dyDescent="0.2">
      <c r="A33" s="270" t="s">
        <v>304</v>
      </c>
      <c r="B33" s="270" t="s">
        <v>303</v>
      </c>
      <c r="C33" s="270" t="s">
        <v>305</v>
      </c>
      <c r="D33" s="270" t="s">
        <v>32</v>
      </c>
      <c r="E33" s="294" t="s">
        <v>758</v>
      </c>
      <c r="F33" s="295" t="s">
        <v>712</v>
      </c>
      <c r="G33" s="225">
        <f t="shared" si="4"/>
        <v>20000</v>
      </c>
      <c r="H33" s="225">
        <v>20000</v>
      </c>
      <c r="I33" s="225"/>
      <c r="J33" s="225"/>
    </row>
    <row r="34" spans="1:13" ht="183" x14ac:dyDescent="0.2">
      <c r="A34" s="270" t="s">
        <v>306</v>
      </c>
      <c r="B34" s="270" t="s">
        <v>287</v>
      </c>
      <c r="C34" s="270" t="s">
        <v>275</v>
      </c>
      <c r="D34" s="270" t="s">
        <v>33</v>
      </c>
      <c r="E34" s="294" t="s">
        <v>757</v>
      </c>
      <c r="F34" s="225" t="s">
        <v>721</v>
      </c>
      <c r="G34" s="225">
        <f t="shared" si="4"/>
        <v>34977703</v>
      </c>
      <c r="H34" s="225">
        <f>'dod3'!E30-H35</f>
        <v>27586033</v>
      </c>
      <c r="I34" s="225">
        <f>'dod3'!J30-I35</f>
        <v>7391670</v>
      </c>
      <c r="J34" s="225">
        <f>'dod3'!K30-J35</f>
        <v>2678000</v>
      </c>
    </row>
    <row r="35" spans="1:13" ht="228.75" x14ac:dyDescent="0.2">
      <c r="A35" s="270" t="s">
        <v>306</v>
      </c>
      <c r="B35" s="270" t="s">
        <v>287</v>
      </c>
      <c r="C35" s="270" t="s">
        <v>275</v>
      </c>
      <c r="D35" s="270" t="s">
        <v>33</v>
      </c>
      <c r="E35" s="294" t="s">
        <v>752</v>
      </c>
      <c r="F35" s="323" t="s">
        <v>751</v>
      </c>
      <c r="G35" s="225">
        <f t="shared" si="4"/>
        <v>149982</v>
      </c>
      <c r="H35" s="225">
        <f>95167+54815</f>
        <v>149982</v>
      </c>
      <c r="I35" s="225"/>
      <c r="J35" s="225"/>
    </row>
    <row r="36" spans="1:13" ht="139.5" x14ac:dyDescent="0.2">
      <c r="A36" s="270" t="s">
        <v>307</v>
      </c>
      <c r="B36" s="270" t="s">
        <v>308</v>
      </c>
      <c r="C36" s="270" t="s">
        <v>309</v>
      </c>
      <c r="D36" s="270" t="s">
        <v>310</v>
      </c>
      <c r="E36" s="294" t="s">
        <v>757</v>
      </c>
      <c r="F36" s="225" t="s">
        <v>721</v>
      </c>
      <c r="G36" s="225">
        <f t="shared" si="4"/>
        <v>116115187</v>
      </c>
      <c r="H36" s="225">
        <f>'dod3'!E31</f>
        <v>100170470</v>
      </c>
      <c r="I36" s="225">
        <f>'dod3'!J31</f>
        <v>15944717</v>
      </c>
      <c r="J36" s="225">
        <f>'dod3'!K31</f>
        <v>216557</v>
      </c>
    </row>
    <row r="37" spans="1:13" ht="139.5" x14ac:dyDescent="0.2">
      <c r="A37" s="270" t="s">
        <v>312</v>
      </c>
      <c r="B37" s="270" t="s">
        <v>313</v>
      </c>
      <c r="C37" s="270" t="s">
        <v>314</v>
      </c>
      <c r="D37" s="270" t="s">
        <v>311</v>
      </c>
      <c r="E37" s="294" t="s">
        <v>757</v>
      </c>
      <c r="F37" s="225" t="s">
        <v>721</v>
      </c>
      <c r="G37" s="225">
        <f t="shared" si="4"/>
        <v>4846728</v>
      </c>
      <c r="H37" s="225">
        <f>'dod3'!E32</f>
        <v>4772988</v>
      </c>
      <c r="I37" s="225">
        <f>'dod3'!J32</f>
        <v>73740</v>
      </c>
      <c r="J37" s="225">
        <f>'dod3'!K32</f>
        <v>0</v>
      </c>
    </row>
    <row r="38" spans="1:13" ht="175.7" customHeight="1" x14ac:dyDescent="0.2">
      <c r="A38" s="268" t="s">
        <v>503</v>
      </c>
      <c r="B38" s="270" t="s">
        <v>504</v>
      </c>
      <c r="C38" s="270" t="s">
        <v>314</v>
      </c>
      <c r="D38" s="270" t="s">
        <v>502</v>
      </c>
      <c r="E38" s="294" t="s">
        <v>757</v>
      </c>
      <c r="F38" s="225" t="s">
        <v>721</v>
      </c>
      <c r="G38" s="225">
        <f t="shared" si="4"/>
        <v>16059479</v>
      </c>
      <c r="H38" s="225">
        <f>'dod3'!E33</f>
        <v>15721839</v>
      </c>
      <c r="I38" s="225">
        <f>'dod3'!J33</f>
        <v>337640</v>
      </c>
      <c r="J38" s="225">
        <f>'dod3'!K33</f>
        <v>9000</v>
      </c>
    </row>
    <row r="39" spans="1:13" ht="172.5" customHeight="1" x14ac:dyDescent="0.2">
      <c r="A39" s="268" t="s">
        <v>536</v>
      </c>
      <c r="B39" s="270" t="s">
        <v>537</v>
      </c>
      <c r="C39" s="270" t="s">
        <v>314</v>
      </c>
      <c r="D39" s="270" t="s">
        <v>535</v>
      </c>
      <c r="E39" s="294" t="s">
        <v>757</v>
      </c>
      <c r="F39" s="225" t="s">
        <v>721</v>
      </c>
      <c r="G39" s="225">
        <f>H39+I39</f>
        <v>148960</v>
      </c>
      <c r="H39" s="225">
        <f>'dod3'!E34</f>
        <v>148960</v>
      </c>
      <c r="I39" s="225">
        <f>'dod3'!J34</f>
        <v>0</v>
      </c>
      <c r="J39" s="225">
        <f>'dod3'!K34</f>
        <v>0</v>
      </c>
    </row>
    <row r="40" spans="1:13" ht="139.5" x14ac:dyDescent="0.2">
      <c r="A40" s="268" t="s">
        <v>833</v>
      </c>
      <c r="B40" s="268" t="s">
        <v>834</v>
      </c>
      <c r="C40" s="268" t="s">
        <v>314</v>
      </c>
      <c r="D40" s="270" t="s">
        <v>835</v>
      </c>
      <c r="E40" s="294" t="s">
        <v>757</v>
      </c>
      <c r="F40" s="225" t="s">
        <v>721</v>
      </c>
      <c r="G40" s="225">
        <f>H40+I40</f>
        <v>2236012</v>
      </c>
      <c r="H40" s="225">
        <f>'dod3'!E35</f>
        <v>2036012</v>
      </c>
      <c r="I40" s="225">
        <f>'dod3'!J35</f>
        <v>200000</v>
      </c>
      <c r="J40" s="225">
        <f>'dod3'!K35</f>
        <v>200000</v>
      </c>
    </row>
    <row r="41" spans="1:13" ht="366" x14ac:dyDescent="0.2">
      <c r="A41" s="270" t="s">
        <v>837</v>
      </c>
      <c r="B41" s="270" t="s">
        <v>838</v>
      </c>
      <c r="C41" s="270" t="s">
        <v>279</v>
      </c>
      <c r="D41" s="270" t="s">
        <v>836</v>
      </c>
      <c r="E41" s="294" t="s">
        <v>757</v>
      </c>
      <c r="F41" s="225" t="s">
        <v>721</v>
      </c>
      <c r="G41" s="225">
        <f>H41+I41</f>
        <v>1925000</v>
      </c>
      <c r="H41" s="225">
        <f>'dod3'!E36</f>
        <v>1925000</v>
      </c>
      <c r="I41" s="225">
        <f>'dod3'!J36</f>
        <v>0</v>
      </c>
      <c r="J41" s="225">
        <f>'dod3'!K36</f>
        <v>0</v>
      </c>
    </row>
    <row r="42" spans="1:13" ht="172.5" customHeight="1" x14ac:dyDescent="0.2">
      <c r="A42" s="270" t="s">
        <v>316</v>
      </c>
      <c r="B42" s="270" t="s">
        <v>317</v>
      </c>
      <c r="C42" s="270" t="s">
        <v>318</v>
      </c>
      <c r="D42" s="270" t="s">
        <v>67</v>
      </c>
      <c r="E42" s="294" t="s">
        <v>818</v>
      </c>
      <c r="F42" s="295" t="s">
        <v>819</v>
      </c>
      <c r="G42" s="225">
        <f t="shared" ref="G42" si="5">H42+I42</f>
        <v>7700000</v>
      </c>
      <c r="H42" s="225">
        <f>'dod3'!E37</f>
        <v>2700000</v>
      </c>
      <c r="I42" s="225">
        <f>'dod3'!J37</f>
        <v>5000000</v>
      </c>
      <c r="J42" s="225">
        <f>'dod3'!K37</f>
        <v>5000000</v>
      </c>
      <c r="K42" s="486" t="s">
        <v>842</v>
      </c>
      <c r="L42" s="391"/>
      <c r="M42" s="391"/>
    </row>
    <row r="43" spans="1:13" ht="135" x14ac:dyDescent="0.2">
      <c r="A43" s="303" t="s">
        <v>240</v>
      </c>
      <c r="B43" s="304"/>
      <c r="C43" s="304"/>
      <c r="D43" s="297" t="s">
        <v>36</v>
      </c>
      <c r="E43" s="305"/>
      <c r="F43" s="305"/>
      <c r="G43" s="305">
        <f>G44</f>
        <v>390758054.38</v>
      </c>
      <c r="H43" s="305">
        <f t="shared" ref="H43:J43" si="6">H44</f>
        <v>362755896.38</v>
      </c>
      <c r="I43" s="305">
        <f t="shared" si="6"/>
        <v>28002158</v>
      </c>
      <c r="J43" s="305">
        <f t="shared" si="6"/>
        <v>21406367</v>
      </c>
      <c r="K43" s="202" t="b">
        <f>H43='dod3'!E38-'dod3'!P40</f>
        <v>1</v>
      </c>
      <c r="L43" s="202" t="b">
        <f>I43='dod3'!J38</f>
        <v>1</v>
      </c>
      <c r="M43" s="203" t="b">
        <f>J43='dod3'!K38</f>
        <v>1</v>
      </c>
    </row>
    <row r="44" spans="1:13" ht="135" x14ac:dyDescent="0.2">
      <c r="A44" s="299" t="s">
        <v>241</v>
      </c>
      <c r="B44" s="299"/>
      <c r="C44" s="299"/>
      <c r="D44" s="300" t="s">
        <v>59</v>
      </c>
      <c r="E44" s="301"/>
      <c r="F44" s="301"/>
      <c r="G44" s="301">
        <f>SUM(G45:G57)</f>
        <v>390758054.38</v>
      </c>
      <c r="H44" s="301">
        <f>SUM(H45:H57)</f>
        <v>362755896.38</v>
      </c>
      <c r="I44" s="301">
        <f>SUM(I45:I57)</f>
        <v>28002158</v>
      </c>
      <c r="J44" s="301">
        <f>SUM(J45:J57)</f>
        <v>21406367</v>
      </c>
    </row>
    <row r="45" spans="1:13" ht="139.5" x14ac:dyDescent="0.2">
      <c r="A45" s="270" t="s">
        <v>319</v>
      </c>
      <c r="B45" s="270" t="s">
        <v>315</v>
      </c>
      <c r="C45" s="270" t="s">
        <v>320</v>
      </c>
      <c r="D45" s="270" t="s">
        <v>37</v>
      </c>
      <c r="E45" s="225" t="s">
        <v>910</v>
      </c>
      <c r="F45" s="225" t="s">
        <v>718</v>
      </c>
      <c r="G45" s="225">
        <f>H45+I45</f>
        <v>214095056</v>
      </c>
      <c r="H45" s="225">
        <f>'dod3'!E41</f>
        <v>200997642</v>
      </c>
      <c r="I45" s="225">
        <f>'dod3'!J41</f>
        <v>13097414</v>
      </c>
      <c r="J45" s="225">
        <f>'dod3'!K41</f>
        <v>10634714</v>
      </c>
    </row>
    <row r="46" spans="1:13" ht="139.5" x14ac:dyDescent="0.2">
      <c r="A46" s="270" t="s">
        <v>321</v>
      </c>
      <c r="B46" s="270" t="s">
        <v>322</v>
      </c>
      <c r="C46" s="270" t="s">
        <v>323</v>
      </c>
      <c r="D46" s="270" t="s">
        <v>324</v>
      </c>
      <c r="E46" s="225" t="s">
        <v>910</v>
      </c>
      <c r="F46" s="225" t="s">
        <v>718</v>
      </c>
      <c r="G46" s="225">
        <f t="shared" ref="G46:G53" si="7">H46+I46</f>
        <v>60255591</v>
      </c>
      <c r="H46" s="225">
        <f>'dod3'!E42</f>
        <v>59783500</v>
      </c>
      <c r="I46" s="225">
        <f>'dod3'!J42</f>
        <v>472091</v>
      </c>
      <c r="J46" s="225">
        <f>'dod3'!K42</f>
        <v>126000</v>
      </c>
    </row>
    <row r="47" spans="1:13" ht="172.5" customHeight="1" x14ac:dyDescent="0.2">
      <c r="A47" s="270" t="s">
        <v>325</v>
      </c>
      <c r="B47" s="270" t="s">
        <v>326</v>
      </c>
      <c r="C47" s="270" t="s">
        <v>327</v>
      </c>
      <c r="D47" s="270" t="s">
        <v>551</v>
      </c>
      <c r="E47" s="225" t="s">
        <v>910</v>
      </c>
      <c r="F47" s="225" t="s">
        <v>718</v>
      </c>
      <c r="G47" s="225">
        <f t="shared" si="7"/>
        <v>64143070</v>
      </c>
      <c r="H47" s="225">
        <f>'dod3'!E43</f>
        <v>61436770</v>
      </c>
      <c r="I47" s="225">
        <f>'dod3'!J43</f>
        <v>2706300</v>
      </c>
      <c r="J47" s="225">
        <f>'dod3'!K43</f>
        <v>840600</v>
      </c>
    </row>
    <row r="48" spans="1:13" ht="172.5" customHeight="1" x14ac:dyDescent="0.2">
      <c r="A48" s="270" t="s">
        <v>328</v>
      </c>
      <c r="B48" s="270" t="s">
        <v>329</v>
      </c>
      <c r="C48" s="270" t="s">
        <v>330</v>
      </c>
      <c r="D48" s="270" t="s">
        <v>331</v>
      </c>
      <c r="E48" s="225" t="s">
        <v>910</v>
      </c>
      <c r="F48" s="225" t="s">
        <v>718</v>
      </c>
      <c r="G48" s="225">
        <f t="shared" si="7"/>
        <v>12671250</v>
      </c>
      <c r="H48" s="225">
        <f>'dod3'!E44-H49</f>
        <v>9171950</v>
      </c>
      <c r="I48" s="225">
        <f>'dod3'!J44-I49</f>
        <v>3499300</v>
      </c>
      <c r="J48" s="225">
        <f>'dod3'!K44-J49</f>
        <v>1600000</v>
      </c>
    </row>
    <row r="49" spans="1:13" ht="320.25" x14ac:dyDescent="0.2">
      <c r="A49" s="270" t="s">
        <v>328</v>
      </c>
      <c r="B49" s="270" t="s">
        <v>329</v>
      </c>
      <c r="C49" s="270" t="s">
        <v>330</v>
      </c>
      <c r="D49" s="270" t="s">
        <v>331</v>
      </c>
      <c r="E49" s="294" t="s">
        <v>759</v>
      </c>
      <c r="F49" s="295" t="s">
        <v>713</v>
      </c>
      <c r="G49" s="225">
        <f t="shared" si="7"/>
        <v>700000</v>
      </c>
      <c r="H49" s="225">
        <f>700000-649000+649000</f>
        <v>700000</v>
      </c>
      <c r="I49" s="225"/>
      <c r="J49" s="225"/>
    </row>
    <row r="50" spans="1:13" ht="183" x14ac:dyDescent="0.2">
      <c r="A50" s="270" t="s">
        <v>332</v>
      </c>
      <c r="B50" s="268" t="s">
        <v>333</v>
      </c>
      <c r="C50" s="268" t="s">
        <v>552</v>
      </c>
      <c r="D50" s="270" t="s">
        <v>334</v>
      </c>
      <c r="E50" s="225" t="s">
        <v>910</v>
      </c>
      <c r="F50" s="225" t="s">
        <v>718</v>
      </c>
      <c r="G50" s="225">
        <f t="shared" si="7"/>
        <v>8952218</v>
      </c>
      <c r="H50" s="225">
        <f>'dod3'!E45</f>
        <v>8952218</v>
      </c>
      <c r="I50" s="225">
        <f>'dod3'!J45</f>
        <v>0</v>
      </c>
      <c r="J50" s="225">
        <f>'dod3'!K45</f>
        <v>0</v>
      </c>
    </row>
    <row r="51" spans="1:13" ht="183" x14ac:dyDescent="0.2">
      <c r="A51" s="270" t="s">
        <v>591</v>
      </c>
      <c r="B51" s="270" t="s">
        <v>592</v>
      </c>
      <c r="C51" s="268" t="s">
        <v>335</v>
      </c>
      <c r="D51" s="215" t="s">
        <v>593</v>
      </c>
      <c r="E51" s="225" t="s">
        <v>910</v>
      </c>
      <c r="F51" s="225" t="s">
        <v>718</v>
      </c>
      <c r="G51" s="225">
        <f t="shared" si="7"/>
        <v>13400746.379999999</v>
      </c>
      <c r="H51" s="225">
        <f>'dod3'!E46</f>
        <v>13400746.379999999</v>
      </c>
      <c r="I51" s="225"/>
      <c r="J51" s="225"/>
    </row>
    <row r="52" spans="1:13" ht="183" x14ac:dyDescent="0.2">
      <c r="A52" s="270" t="s">
        <v>596</v>
      </c>
      <c r="B52" s="270" t="s">
        <v>595</v>
      </c>
      <c r="C52" s="268" t="s">
        <v>335</v>
      </c>
      <c r="D52" s="215" t="s">
        <v>594</v>
      </c>
      <c r="E52" s="225" t="s">
        <v>910</v>
      </c>
      <c r="F52" s="225" t="s">
        <v>718</v>
      </c>
      <c r="G52" s="225">
        <f t="shared" si="7"/>
        <v>1734200</v>
      </c>
      <c r="H52" s="225">
        <f>'dod3'!E47</f>
        <v>1734200</v>
      </c>
      <c r="I52" s="225"/>
      <c r="J52" s="225"/>
    </row>
    <row r="53" spans="1:13" s="123" customFormat="1" ht="160.5" customHeight="1" x14ac:dyDescent="0.2">
      <c r="A53" s="270" t="s">
        <v>507</v>
      </c>
      <c r="B53" s="270" t="s">
        <v>509</v>
      </c>
      <c r="C53" s="268" t="s">
        <v>335</v>
      </c>
      <c r="D53" s="215" t="s">
        <v>505</v>
      </c>
      <c r="E53" s="225" t="s">
        <v>910</v>
      </c>
      <c r="F53" s="225" t="s">
        <v>718</v>
      </c>
      <c r="G53" s="225">
        <f t="shared" si="7"/>
        <v>2546374</v>
      </c>
      <c r="H53" s="225">
        <f>'dod3'!E48</f>
        <v>2416670</v>
      </c>
      <c r="I53" s="225">
        <f>'dod3'!J48</f>
        <v>129704</v>
      </c>
      <c r="J53" s="225">
        <f>'dod3'!K48</f>
        <v>107704</v>
      </c>
    </row>
    <row r="54" spans="1:13" s="123" customFormat="1" ht="166.7" customHeight="1" x14ac:dyDescent="0.2">
      <c r="A54" s="270" t="s">
        <v>508</v>
      </c>
      <c r="B54" s="270" t="s">
        <v>510</v>
      </c>
      <c r="C54" s="268" t="s">
        <v>335</v>
      </c>
      <c r="D54" s="215" t="s">
        <v>506</v>
      </c>
      <c r="E54" s="225" t="s">
        <v>910</v>
      </c>
      <c r="F54" s="225" t="s">
        <v>718</v>
      </c>
      <c r="G54" s="225">
        <f>H54+I54</f>
        <v>4062200</v>
      </c>
      <c r="H54" s="225">
        <f>'dod3'!E49</f>
        <v>4062200</v>
      </c>
      <c r="I54" s="225">
        <f>'dod3'!J49</f>
        <v>0</v>
      </c>
      <c r="J54" s="225">
        <f>'dod3'!K49</f>
        <v>0</v>
      </c>
    </row>
    <row r="55" spans="1:13" s="123" customFormat="1" ht="166.7" customHeight="1" x14ac:dyDescent="0.2">
      <c r="A55" s="270" t="s">
        <v>904</v>
      </c>
      <c r="B55" s="270" t="s">
        <v>293</v>
      </c>
      <c r="C55" s="270" t="s">
        <v>256</v>
      </c>
      <c r="D55" s="270" t="s">
        <v>57</v>
      </c>
      <c r="E55" s="225" t="s">
        <v>910</v>
      </c>
      <c r="F55" s="225" t="s">
        <v>718</v>
      </c>
      <c r="G55" s="225">
        <f>H55+I55</f>
        <v>6644012</v>
      </c>
      <c r="H55" s="225">
        <f>'dod3'!E50-H56</f>
        <v>-82930</v>
      </c>
      <c r="I55" s="225">
        <f>'dod3'!J50-I56</f>
        <v>6726942</v>
      </c>
      <c r="J55" s="225">
        <f>'dod3'!K50-J56</f>
        <v>6726942</v>
      </c>
    </row>
    <row r="56" spans="1:13" s="123" customFormat="1" ht="232.5" customHeight="1" x14ac:dyDescent="0.2">
      <c r="A56" s="270" t="s">
        <v>904</v>
      </c>
      <c r="B56" s="270" t="s">
        <v>293</v>
      </c>
      <c r="C56" s="270" t="s">
        <v>256</v>
      </c>
      <c r="D56" s="270" t="s">
        <v>57</v>
      </c>
      <c r="E56" s="294" t="s">
        <v>752</v>
      </c>
      <c r="F56" s="323" t="s">
        <v>751</v>
      </c>
      <c r="G56" s="225">
        <f>H56+I56</f>
        <v>298580</v>
      </c>
      <c r="H56" s="225">
        <v>82930</v>
      </c>
      <c r="I56" s="225">
        <v>215650</v>
      </c>
      <c r="J56" s="225">
        <v>215650</v>
      </c>
    </row>
    <row r="57" spans="1:13" s="123" customFormat="1" ht="166.7" customHeight="1" x14ac:dyDescent="0.2">
      <c r="A57" s="270" t="s">
        <v>906</v>
      </c>
      <c r="B57" s="270" t="s">
        <v>601</v>
      </c>
      <c r="C57" s="270" t="s">
        <v>71</v>
      </c>
      <c r="D57" s="270" t="s">
        <v>602</v>
      </c>
      <c r="E57" s="225" t="s">
        <v>910</v>
      </c>
      <c r="F57" s="225" t="s">
        <v>718</v>
      </c>
      <c r="G57" s="225">
        <f>H57+I57</f>
        <v>1254757</v>
      </c>
      <c r="H57" s="225">
        <f>'dod3'!E51</f>
        <v>100000</v>
      </c>
      <c r="I57" s="225">
        <f>'dod3'!J51</f>
        <v>1154757</v>
      </c>
      <c r="J57" s="225">
        <f>'dod3'!K51</f>
        <v>1154757</v>
      </c>
    </row>
    <row r="58" spans="1:13" ht="225" x14ac:dyDescent="0.2">
      <c r="A58" s="296" t="s">
        <v>242</v>
      </c>
      <c r="B58" s="296"/>
      <c r="C58" s="296"/>
      <c r="D58" s="297" t="s">
        <v>60</v>
      </c>
      <c r="E58" s="302"/>
      <c r="F58" s="301"/>
      <c r="G58" s="302">
        <f>G59</f>
        <v>751193534</v>
      </c>
      <c r="H58" s="302">
        <f t="shared" ref="H58:J58" si="8">H59</f>
        <v>741681554</v>
      </c>
      <c r="I58" s="302">
        <f t="shared" si="8"/>
        <v>9511980</v>
      </c>
      <c r="J58" s="302">
        <f t="shared" si="8"/>
        <v>9402580</v>
      </c>
      <c r="K58" s="202" t="b">
        <f>H58='dod3'!E53-'dod3'!E54</f>
        <v>1</v>
      </c>
      <c r="L58" s="202" t="b">
        <f>I58='dod3'!J52-'dod3'!J54-'dod3'!Q96</f>
        <v>1</v>
      </c>
      <c r="M58" s="203" t="b">
        <f>J58='dod3'!K53-'dod3'!K54</f>
        <v>1</v>
      </c>
    </row>
    <row r="59" spans="1:13" ht="225" x14ac:dyDescent="0.2">
      <c r="A59" s="299" t="s">
        <v>243</v>
      </c>
      <c r="B59" s="299"/>
      <c r="C59" s="299"/>
      <c r="D59" s="300" t="s">
        <v>61</v>
      </c>
      <c r="E59" s="301"/>
      <c r="F59" s="301"/>
      <c r="G59" s="301">
        <f>SUM(G60:G103)</f>
        <v>751193534</v>
      </c>
      <c r="H59" s="301">
        <f>SUM(H60:H103)</f>
        <v>741681554</v>
      </c>
      <c r="I59" s="301">
        <f>SUM(I60:I103)</f>
        <v>9511980</v>
      </c>
      <c r="J59" s="301">
        <f>SUM(J60:J103)</f>
        <v>9402580</v>
      </c>
      <c r="L59" s="153"/>
    </row>
    <row r="60" spans="1:13" ht="183" x14ac:dyDescent="0.2">
      <c r="A60" s="268" t="s">
        <v>356</v>
      </c>
      <c r="B60" s="268" t="s">
        <v>357</v>
      </c>
      <c r="C60" s="268" t="s">
        <v>302</v>
      </c>
      <c r="D60" s="217" t="s">
        <v>355</v>
      </c>
      <c r="E60" s="294" t="s">
        <v>758</v>
      </c>
      <c r="F60" s="295" t="s">
        <v>712</v>
      </c>
      <c r="G60" s="225">
        <f t="shared" ref="G60" si="9">H60+I60</f>
        <v>62640000</v>
      </c>
      <c r="H60" s="272">
        <f>'dod3'!E55</f>
        <v>62640000</v>
      </c>
      <c r="I60" s="272">
        <f>'dod3'!J55</f>
        <v>0</v>
      </c>
      <c r="J60" s="371">
        <f>'dod3'!K55</f>
        <v>0</v>
      </c>
    </row>
    <row r="61" spans="1:13" ht="183" x14ac:dyDescent="0.2">
      <c r="A61" s="218" t="s">
        <v>375</v>
      </c>
      <c r="B61" s="268" t="s">
        <v>376</v>
      </c>
      <c r="C61" s="268" t="s">
        <v>79</v>
      </c>
      <c r="D61" s="270" t="s">
        <v>8</v>
      </c>
      <c r="E61" s="294" t="s">
        <v>758</v>
      </c>
      <c r="F61" s="295" t="s">
        <v>712</v>
      </c>
      <c r="G61" s="225">
        <f>H61+I61</f>
        <v>174550900</v>
      </c>
      <c r="H61" s="272">
        <f>'dod3'!E56</f>
        <v>174550900</v>
      </c>
      <c r="I61" s="272">
        <f>'dod3'!J56</f>
        <v>0</v>
      </c>
      <c r="J61" s="371">
        <f>'dod3'!K56</f>
        <v>0</v>
      </c>
    </row>
    <row r="62" spans="1:13" ht="274.5" x14ac:dyDescent="0.2">
      <c r="A62" s="270" t="s">
        <v>378</v>
      </c>
      <c r="B62" s="270" t="s">
        <v>379</v>
      </c>
      <c r="C62" s="270" t="s">
        <v>302</v>
      </c>
      <c r="D62" s="219" t="s">
        <v>377</v>
      </c>
      <c r="E62" s="294" t="s">
        <v>758</v>
      </c>
      <c r="F62" s="295" t="s">
        <v>712</v>
      </c>
      <c r="G62" s="225">
        <f t="shared" ref="G62" si="10">H62+I62</f>
        <v>3000</v>
      </c>
      <c r="H62" s="272">
        <f>'dod3'!E57</f>
        <v>3000</v>
      </c>
      <c r="I62" s="272">
        <f>'dod3'!J57</f>
        <v>0</v>
      </c>
      <c r="J62" s="371">
        <f>'dod3'!K57</f>
        <v>0</v>
      </c>
    </row>
    <row r="63" spans="1:13" ht="228.75" x14ac:dyDescent="0.2">
      <c r="A63" s="270" t="s">
        <v>380</v>
      </c>
      <c r="B63" s="270" t="s">
        <v>381</v>
      </c>
      <c r="C63" s="219">
        <v>1060</v>
      </c>
      <c r="D63" s="220" t="s">
        <v>19</v>
      </c>
      <c r="E63" s="294" t="s">
        <v>758</v>
      </c>
      <c r="F63" s="295" t="s">
        <v>712</v>
      </c>
      <c r="G63" s="225">
        <f t="shared" ref="G63:G83" si="11">H63+I63</f>
        <v>46300</v>
      </c>
      <c r="H63" s="272">
        <f>'dod3'!E58</f>
        <v>46300</v>
      </c>
      <c r="I63" s="272">
        <f>'dod3'!J58</f>
        <v>0</v>
      </c>
      <c r="J63" s="371">
        <f>'dod3'!K58</f>
        <v>0</v>
      </c>
    </row>
    <row r="64" spans="1:13" s="123" customFormat="1" ht="183" x14ac:dyDescent="0.2">
      <c r="A64" s="268" t="s">
        <v>406</v>
      </c>
      <c r="B64" s="268" t="s">
        <v>407</v>
      </c>
      <c r="C64" s="268" t="s">
        <v>302</v>
      </c>
      <c r="D64" s="217" t="s">
        <v>408</v>
      </c>
      <c r="E64" s="294" t="s">
        <v>758</v>
      </c>
      <c r="F64" s="295" t="s">
        <v>712</v>
      </c>
      <c r="G64" s="225">
        <f t="shared" si="11"/>
        <v>612970</v>
      </c>
      <c r="H64" s="272">
        <f>'dod3'!E59</f>
        <v>512970</v>
      </c>
      <c r="I64" s="272">
        <f>'dod3'!J59</f>
        <v>100000</v>
      </c>
      <c r="J64" s="272">
        <f>'dod3'!K59</f>
        <v>100000</v>
      </c>
    </row>
    <row r="65" spans="1:10" s="123" customFormat="1" ht="183" x14ac:dyDescent="0.2">
      <c r="A65" s="270" t="s">
        <v>409</v>
      </c>
      <c r="B65" s="270" t="s">
        <v>410</v>
      </c>
      <c r="C65" s="270" t="s">
        <v>303</v>
      </c>
      <c r="D65" s="270" t="s">
        <v>16</v>
      </c>
      <c r="E65" s="294" t="s">
        <v>758</v>
      </c>
      <c r="F65" s="295" t="s">
        <v>712</v>
      </c>
      <c r="G65" s="225">
        <f t="shared" si="11"/>
        <v>1360000</v>
      </c>
      <c r="H65" s="225">
        <f>'dod3'!E60</f>
        <v>1360000</v>
      </c>
      <c r="I65" s="225">
        <f>'dod3'!J60</f>
        <v>0</v>
      </c>
      <c r="J65" s="350">
        <f>'dod3'!K60</f>
        <v>0</v>
      </c>
    </row>
    <row r="66" spans="1:10" s="123" customFormat="1" ht="183" x14ac:dyDescent="0.2">
      <c r="A66" s="270" t="s">
        <v>412</v>
      </c>
      <c r="B66" s="270" t="s">
        <v>413</v>
      </c>
      <c r="C66" s="270" t="s">
        <v>303</v>
      </c>
      <c r="D66" s="268" t="s">
        <v>17</v>
      </c>
      <c r="E66" s="294" t="s">
        <v>758</v>
      </c>
      <c r="F66" s="295" t="s">
        <v>712</v>
      </c>
      <c r="G66" s="225">
        <f t="shared" si="11"/>
        <v>8000000</v>
      </c>
      <c r="H66" s="225">
        <f>'dod3'!E61</f>
        <v>8000000</v>
      </c>
      <c r="I66" s="225">
        <f>'dod3'!J61</f>
        <v>0</v>
      </c>
      <c r="J66" s="225">
        <f>'dod3'!K61</f>
        <v>0</v>
      </c>
    </row>
    <row r="67" spans="1:10" s="123" customFormat="1" ht="183" x14ac:dyDescent="0.2">
      <c r="A67" s="268" t="s">
        <v>414</v>
      </c>
      <c r="B67" s="268" t="s">
        <v>411</v>
      </c>
      <c r="C67" s="268" t="s">
        <v>303</v>
      </c>
      <c r="D67" s="268" t="s">
        <v>18</v>
      </c>
      <c r="E67" s="294" t="s">
        <v>758</v>
      </c>
      <c r="F67" s="295" t="s">
        <v>712</v>
      </c>
      <c r="G67" s="225">
        <f t="shared" si="11"/>
        <v>600000</v>
      </c>
      <c r="H67" s="225">
        <f>'dod3'!E62</f>
        <v>600000</v>
      </c>
      <c r="I67" s="225">
        <f>'dod3'!J62</f>
        <v>0</v>
      </c>
      <c r="J67" s="225">
        <f>'dod3'!K62</f>
        <v>0</v>
      </c>
    </row>
    <row r="68" spans="1:10" s="123" customFormat="1" ht="183" x14ac:dyDescent="0.2">
      <c r="A68" s="268" t="s">
        <v>415</v>
      </c>
      <c r="B68" s="268" t="s">
        <v>416</v>
      </c>
      <c r="C68" s="268" t="s">
        <v>303</v>
      </c>
      <c r="D68" s="268" t="s">
        <v>21</v>
      </c>
      <c r="E68" s="294" t="s">
        <v>758</v>
      </c>
      <c r="F68" s="295" t="s">
        <v>712</v>
      </c>
      <c r="G68" s="225">
        <f t="shared" si="11"/>
        <v>82000000</v>
      </c>
      <c r="H68" s="225">
        <f>'dod3'!E63</f>
        <v>82000000</v>
      </c>
      <c r="I68" s="225">
        <f>'dod3'!J63</f>
        <v>0</v>
      </c>
      <c r="J68" s="225">
        <f>'dod3'!K63</f>
        <v>0</v>
      </c>
    </row>
    <row r="69" spans="1:10" s="123" customFormat="1" ht="183" x14ac:dyDescent="0.2">
      <c r="A69" s="270" t="s">
        <v>366</v>
      </c>
      <c r="B69" s="270" t="s">
        <v>358</v>
      </c>
      <c r="C69" s="270" t="s">
        <v>279</v>
      </c>
      <c r="D69" s="270" t="s">
        <v>10</v>
      </c>
      <c r="E69" s="294" t="s">
        <v>758</v>
      </c>
      <c r="F69" s="295" t="s">
        <v>712</v>
      </c>
      <c r="G69" s="225">
        <f t="shared" si="11"/>
        <v>2814000</v>
      </c>
      <c r="H69" s="225">
        <f>'dod3'!E64</f>
        <v>2814000</v>
      </c>
      <c r="I69" s="225">
        <f>'dod3'!J64</f>
        <v>0</v>
      </c>
      <c r="J69" s="225">
        <f>'dod3'!K64</f>
        <v>0</v>
      </c>
    </row>
    <row r="70" spans="1:10" s="123" customFormat="1" ht="183" x14ac:dyDescent="0.2">
      <c r="A70" s="270" t="s">
        <v>367</v>
      </c>
      <c r="B70" s="270" t="s">
        <v>359</v>
      </c>
      <c r="C70" s="270" t="s">
        <v>279</v>
      </c>
      <c r="D70" s="270" t="s">
        <v>365</v>
      </c>
      <c r="E70" s="294" t="s">
        <v>758</v>
      </c>
      <c r="F70" s="295" t="s">
        <v>712</v>
      </c>
      <c r="G70" s="225">
        <f t="shared" si="11"/>
        <v>571520</v>
      </c>
      <c r="H70" s="225">
        <f>'dod3'!E65</f>
        <v>571520</v>
      </c>
      <c r="I70" s="225">
        <f>'dod3'!J65</f>
        <v>0</v>
      </c>
      <c r="J70" s="225">
        <f>'dod3'!K65</f>
        <v>0</v>
      </c>
    </row>
    <row r="71" spans="1:10" s="123" customFormat="1" ht="183" x14ac:dyDescent="0.2">
      <c r="A71" s="270" t="s">
        <v>368</v>
      </c>
      <c r="B71" s="270" t="s">
        <v>360</v>
      </c>
      <c r="C71" s="270" t="s">
        <v>279</v>
      </c>
      <c r="D71" s="270" t="s">
        <v>11</v>
      </c>
      <c r="E71" s="294" t="s">
        <v>758</v>
      </c>
      <c r="F71" s="295" t="s">
        <v>712</v>
      </c>
      <c r="G71" s="225">
        <f t="shared" si="11"/>
        <v>157511000</v>
      </c>
      <c r="H71" s="225">
        <f>'dod3'!E66</f>
        <v>157511000</v>
      </c>
      <c r="I71" s="225">
        <f>'dod3'!J66</f>
        <v>0</v>
      </c>
      <c r="J71" s="225">
        <f>'dod3'!K66</f>
        <v>0</v>
      </c>
    </row>
    <row r="72" spans="1:10" s="123" customFormat="1" ht="183" x14ac:dyDescent="0.2">
      <c r="A72" s="270" t="s">
        <v>369</v>
      </c>
      <c r="B72" s="270" t="s">
        <v>361</v>
      </c>
      <c r="C72" s="270" t="s">
        <v>279</v>
      </c>
      <c r="D72" s="270" t="s">
        <v>12</v>
      </c>
      <c r="E72" s="294" t="s">
        <v>758</v>
      </c>
      <c r="F72" s="295" t="s">
        <v>712</v>
      </c>
      <c r="G72" s="225">
        <f t="shared" si="11"/>
        <v>4266000</v>
      </c>
      <c r="H72" s="225">
        <f>'dod3'!E67</f>
        <v>4266000</v>
      </c>
      <c r="I72" s="225">
        <f>'dod3'!J67</f>
        <v>0</v>
      </c>
      <c r="J72" s="225">
        <f>'dod3'!K67</f>
        <v>0</v>
      </c>
    </row>
    <row r="73" spans="1:10" s="123" customFormat="1" ht="183" x14ac:dyDescent="0.2">
      <c r="A73" s="270" t="s">
        <v>370</v>
      </c>
      <c r="B73" s="270" t="s">
        <v>362</v>
      </c>
      <c r="C73" s="270" t="s">
        <v>279</v>
      </c>
      <c r="D73" s="270" t="s">
        <v>13</v>
      </c>
      <c r="E73" s="294" t="s">
        <v>758</v>
      </c>
      <c r="F73" s="295" t="s">
        <v>712</v>
      </c>
      <c r="G73" s="225">
        <f t="shared" si="11"/>
        <v>27062400</v>
      </c>
      <c r="H73" s="225">
        <f>'dod3'!E68</f>
        <v>27062400</v>
      </c>
      <c r="I73" s="225">
        <f>'dod3'!J68</f>
        <v>0</v>
      </c>
      <c r="J73" s="225">
        <f>'dod3'!K68</f>
        <v>0</v>
      </c>
    </row>
    <row r="74" spans="1:10" s="123" customFormat="1" ht="183" x14ac:dyDescent="0.2">
      <c r="A74" s="270" t="s">
        <v>371</v>
      </c>
      <c r="B74" s="270" t="s">
        <v>363</v>
      </c>
      <c r="C74" s="270" t="s">
        <v>279</v>
      </c>
      <c r="D74" s="270" t="s">
        <v>14</v>
      </c>
      <c r="E74" s="294" t="s">
        <v>758</v>
      </c>
      <c r="F74" s="295" t="s">
        <v>712</v>
      </c>
      <c r="G74" s="225">
        <f t="shared" si="11"/>
        <v>2700000</v>
      </c>
      <c r="H74" s="225">
        <f>'dod3'!E69</f>
        <v>2700000</v>
      </c>
      <c r="I74" s="225">
        <f>'dod3'!J69</f>
        <v>0</v>
      </c>
      <c r="J74" s="225">
        <f>'dod3'!K69</f>
        <v>0</v>
      </c>
    </row>
    <row r="75" spans="1:10" s="123" customFormat="1" ht="183" x14ac:dyDescent="0.2">
      <c r="A75" s="270" t="s">
        <v>372</v>
      </c>
      <c r="B75" s="270" t="s">
        <v>364</v>
      </c>
      <c r="C75" s="270" t="s">
        <v>279</v>
      </c>
      <c r="D75" s="270" t="s">
        <v>15</v>
      </c>
      <c r="E75" s="294" t="s">
        <v>758</v>
      </c>
      <c r="F75" s="295" t="s">
        <v>712</v>
      </c>
      <c r="G75" s="225">
        <f>H75+I75</f>
        <v>39337958</v>
      </c>
      <c r="H75" s="225">
        <f>'dod3'!E70</f>
        <v>39337958</v>
      </c>
      <c r="I75" s="225">
        <f>'dod3'!J70</f>
        <v>0</v>
      </c>
      <c r="J75" s="225">
        <f>'dod3'!K70</f>
        <v>0</v>
      </c>
    </row>
    <row r="76" spans="1:10" s="123" customFormat="1" ht="183" x14ac:dyDescent="0.2">
      <c r="A76" s="270" t="s">
        <v>929</v>
      </c>
      <c r="B76" s="270" t="s">
        <v>931</v>
      </c>
      <c r="C76" s="270" t="s">
        <v>279</v>
      </c>
      <c r="D76" s="270" t="s">
        <v>930</v>
      </c>
      <c r="E76" s="294" t="s">
        <v>758</v>
      </c>
      <c r="F76" s="295" t="s">
        <v>712</v>
      </c>
      <c r="G76" s="225">
        <f>H76+I76</f>
        <v>150000</v>
      </c>
      <c r="H76" s="225">
        <f>'dod3'!E71</f>
        <v>150000</v>
      </c>
      <c r="I76" s="225">
        <f>'dod3'!J71</f>
        <v>0</v>
      </c>
      <c r="J76" s="225">
        <f>'dod3'!K71</f>
        <v>0</v>
      </c>
    </row>
    <row r="77" spans="1:10" ht="183" x14ac:dyDescent="0.2">
      <c r="A77" s="270" t="s">
        <v>382</v>
      </c>
      <c r="B77" s="270" t="s">
        <v>373</v>
      </c>
      <c r="C77" s="270" t="s">
        <v>303</v>
      </c>
      <c r="D77" s="270" t="s">
        <v>9</v>
      </c>
      <c r="E77" s="294" t="s">
        <v>758</v>
      </c>
      <c r="F77" s="295" t="s">
        <v>712</v>
      </c>
      <c r="G77" s="225">
        <f t="shared" si="11"/>
        <v>179080</v>
      </c>
      <c r="H77" s="225">
        <f>'dod3'!E72</f>
        <v>179080</v>
      </c>
      <c r="I77" s="225">
        <f>'dod3'!J72</f>
        <v>0</v>
      </c>
      <c r="J77" s="225">
        <f>'dod3'!K72</f>
        <v>0</v>
      </c>
    </row>
    <row r="78" spans="1:10" s="123" customFormat="1" ht="183" x14ac:dyDescent="0.2">
      <c r="A78" s="270" t="s">
        <v>556</v>
      </c>
      <c r="B78" s="270" t="s">
        <v>557</v>
      </c>
      <c r="C78" s="270" t="s">
        <v>295</v>
      </c>
      <c r="D78" s="270" t="s">
        <v>555</v>
      </c>
      <c r="E78" s="294" t="s">
        <v>758</v>
      </c>
      <c r="F78" s="295" t="s">
        <v>712</v>
      </c>
      <c r="G78" s="225">
        <f t="shared" si="11"/>
        <v>78472603.400000006</v>
      </c>
      <c r="H78" s="225">
        <f>'dod3'!E73</f>
        <v>78472603.400000006</v>
      </c>
      <c r="I78" s="225">
        <f>'dod3'!J73</f>
        <v>0</v>
      </c>
      <c r="J78" s="225">
        <f>'dod3'!K73</f>
        <v>0</v>
      </c>
    </row>
    <row r="79" spans="1:10" s="123" customFormat="1" ht="228.75" x14ac:dyDescent="0.2">
      <c r="A79" s="270" t="s">
        <v>615</v>
      </c>
      <c r="B79" s="270" t="s">
        <v>616</v>
      </c>
      <c r="C79" s="270" t="s">
        <v>295</v>
      </c>
      <c r="D79" s="270" t="s">
        <v>617</v>
      </c>
      <c r="E79" s="294" t="s">
        <v>758</v>
      </c>
      <c r="F79" s="295" t="s">
        <v>712</v>
      </c>
      <c r="G79" s="225">
        <f t="shared" si="11"/>
        <v>25694626.600000001</v>
      </c>
      <c r="H79" s="225">
        <f>'dod3'!E74</f>
        <v>25694626.600000001</v>
      </c>
      <c r="I79" s="225">
        <f>'dod3'!J74</f>
        <v>0</v>
      </c>
      <c r="J79" s="225">
        <f>'dod3'!K74</f>
        <v>0</v>
      </c>
    </row>
    <row r="80" spans="1:10" s="123" customFormat="1" ht="183" x14ac:dyDescent="0.2">
      <c r="A80" s="270" t="s">
        <v>553</v>
      </c>
      <c r="B80" s="270" t="s">
        <v>554</v>
      </c>
      <c r="C80" s="270" t="s">
        <v>295</v>
      </c>
      <c r="D80" s="270" t="s">
        <v>511</v>
      </c>
      <c r="E80" s="294" t="s">
        <v>758</v>
      </c>
      <c r="F80" s="295" t="s">
        <v>712</v>
      </c>
      <c r="G80" s="225">
        <f t="shared" si="11"/>
        <v>13918200</v>
      </c>
      <c r="H80" s="225">
        <f>'dod3'!E75</f>
        <v>13918200</v>
      </c>
      <c r="I80" s="225">
        <f>'dod3'!J75</f>
        <v>0</v>
      </c>
      <c r="J80" s="225">
        <f>'dod3'!K75</f>
        <v>0</v>
      </c>
    </row>
    <row r="81" spans="1:10" s="123" customFormat="1" ht="274.5" x14ac:dyDescent="0.2">
      <c r="A81" s="270" t="s">
        <v>560</v>
      </c>
      <c r="B81" s="270" t="s">
        <v>561</v>
      </c>
      <c r="C81" s="270" t="s">
        <v>279</v>
      </c>
      <c r="D81" s="270" t="s">
        <v>562</v>
      </c>
      <c r="E81" s="294" t="s">
        <v>758</v>
      </c>
      <c r="F81" s="295" t="s">
        <v>712</v>
      </c>
      <c r="G81" s="225">
        <f t="shared" si="11"/>
        <v>1200000</v>
      </c>
      <c r="H81" s="225">
        <f>'dod3'!E76</f>
        <v>1200000</v>
      </c>
      <c r="I81" s="225">
        <f>'dod3'!J76</f>
        <v>0</v>
      </c>
      <c r="J81" s="225">
        <f>'dod3'!K76</f>
        <v>0</v>
      </c>
    </row>
    <row r="82" spans="1:10" s="123" customFormat="1" ht="320.25" x14ac:dyDescent="0.2">
      <c r="A82" s="270" t="s">
        <v>558</v>
      </c>
      <c r="B82" s="270" t="s">
        <v>559</v>
      </c>
      <c r="C82" s="270" t="s">
        <v>295</v>
      </c>
      <c r="D82" s="270" t="s">
        <v>563</v>
      </c>
      <c r="E82" s="294" t="s">
        <v>758</v>
      </c>
      <c r="F82" s="295" t="s">
        <v>712</v>
      </c>
      <c r="G82" s="225">
        <f t="shared" si="11"/>
        <v>264192</v>
      </c>
      <c r="H82" s="225">
        <f>'dod3'!E77</f>
        <v>264192</v>
      </c>
      <c r="I82" s="225">
        <f>'dod3'!J77</f>
        <v>0</v>
      </c>
      <c r="J82" s="225">
        <f>'dod3'!K77</f>
        <v>0</v>
      </c>
    </row>
    <row r="83" spans="1:10" s="123" customFormat="1" ht="370.5" customHeight="1" x14ac:dyDescent="0.65">
      <c r="A83" s="422" t="s">
        <v>911</v>
      </c>
      <c r="B83" s="422" t="s">
        <v>912</v>
      </c>
      <c r="C83" s="422" t="s">
        <v>279</v>
      </c>
      <c r="D83" s="382" t="s">
        <v>913</v>
      </c>
      <c r="E83" s="485" t="s">
        <v>758</v>
      </c>
      <c r="F83" s="404" t="s">
        <v>712</v>
      </c>
      <c r="G83" s="416">
        <f t="shared" si="11"/>
        <v>67000</v>
      </c>
      <c r="H83" s="416">
        <f>'dod3'!Q78</f>
        <v>67000</v>
      </c>
      <c r="I83" s="416">
        <f>'dod3'!R78</f>
        <v>0</v>
      </c>
      <c r="J83" s="416">
        <f>'dod3'!T78</f>
        <v>0</v>
      </c>
    </row>
    <row r="84" spans="1:10" s="123" customFormat="1" ht="331.5" customHeight="1" x14ac:dyDescent="0.2">
      <c r="A84" s="403"/>
      <c r="B84" s="403"/>
      <c r="C84" s="403"/>
      <c r="D84" s="216" t="s">
        <v>914</v>
      </c>
      <c r="E84" s="403"/>
      <c r="F84" s="403"/>
      <c r="G84" s="403"/>
      <c r="H84" s="403"/>
      <c r="I84" s="403"/>
      <c r="J84" s="403"/>
    </row>
    <row r="85" spans="1:10" ht="163.5" customHeight="1" x14ac:dyDescent="0.2">
      <c r="A85" s="270" t="s">
        <v>383</v>
      </c>
      <c r="B85" s="270" t="s">
        <v>374</v>
      </c>
      <c r="C85" s="270" t="s">
        <v>302</v>
      </c>
      <c r="D85" s="270" t="s">
        <v>512</v>
      </c>
      <c r="E85" s="294" t="s">
        <v>758</v>
      </c>
      <c r="F85" s="295" t="s">
        <v>712</v>
      </c>
      <c r="G85" s="225">
        <f t="shared" ref="G85" si="12">H85+I85</f>
        <v>152280</v>
      </c>
      <c r="H85" s="225">
        <f>'dod3'!E80</f>
        <v>152280</v>
      </c>
      <c r="I85" s="225">
        <f>'dod3'!J80</f>
        <v>0</v>
      </c>
      <c r="J85" s="225">
        <f>'dod3'!K80</f>
        <v>0</v>
      </c>
    </row>
    <row r="86" spans="1:10" ht="301.7" customHeight="1" x14ac:dyDescent="0.2">
      <c r="A86" s="270" t="s">
        <v>404</v>
      </c>
      <c r="B86" s="270" t="s">
        <v>402</v>
      </c>
      <c r="C86" s="270" t="s">
        <v>296</v>
      </c>
      <c r="D86" s="270" t="s">
        <v>35</v>
      </c>
      <c r="E86" s="294" t="s">
        <v>758</v>
      </c>
      <c r="F86" s="295" t="s">
        <v>712</v>
      </c>
      <c r="G86" s="225">
        <f>H86+I86</f>
        <v>18300084</v>
      </c>
      <c r="H86" s="225">
        <f>'dod3'!E81</f>
        <v>17985684</v>
      </c>
      <c r="I86" s="225">
        <f>'dod3'!J81</f>
        <v>314400</v>
      </c>
      <c r="J86" s="225">
        <f>'dod3'!K81</f>
        <v>205000</v>
      </c>
    </row>
    <row r="87" spans="1:10" ht="183" x14ac:dyDescent="0.2">
      <c r="A87" s="270" t="s">
        <v>405</v>
      </c>
      <c r="B87" s="270" t="s">
        <v>403</v>
      </c>
      <c r="C87" s="270" t="s">
        <v>295</v>
      </c>
      <c r="D87" s="270" t="s">
        <v>513</v>
      </c>
      <c r="E87" s="294" t="s">
        <v>758</v>
      </c>
      <c r="F87" s="295" t="s">
        <v>712</v>
      </c>
      <c r="G87" s="225">
        <f>H87+I87</f>
        <v>5516573</v>
      </c>
      <c r="H87" s="225">
        <f>'dod3'!E82-H88</f>
        <v>5287323</v>
      </c>
      <c r="I87" s="225">
        <f>'dod3'!J82-I88</f>
        <v>229250</v>
      </c>
      <c r="J87" s="225">
        <f>'dod3'!K82-J88</f>
        <v>229250</v>
      </c>
    </row>
    <row r="88" spans="1:10" ht="228.75" x14ac:dyDescent="0.2">
      <c r="A88" s="270" t="s">
        <v>405</v>
      </c>
      <c r="B88" s="270" t="s">
        <v>403</v>
      </c>
      <c r="C88" s="270" t="s">
        <v>295</v>
      </c>
      <c r="D88" s="270" t="s">
        <v>513</v>
      </c>
      <c r="E88" s="294" t="s">
        <v>752</v>
      </c>
      <c r="F88" s="323" t="s">
        <v>751</v>
      </c>
      <c r="G88" s="225">
        <f>H88+I88</f>
        <v>115000</v>
      </c>
      <c r="H88" s="225">
        <f>49000+21000</f>
        <v>70000</v>
      </c>
      <c r="I88" s="225">
        <v>45000</v>
      </c>
      <c r="J88" s="225">
        <v>45000</v>
      </c>
    </row>
    <row r="89" spans="1:10" ht="409.5" x14ac:dyDescent="0.2">
      <c r="A89" s="270" t="s">
        <v>400</v>
      </c>
      <c r="B89" s="270" t="s">
        <v>401</v>
      </c>
      <c r="C89" s="270" t="s">
        <v>295</v>
      </c>
      <c r="D89" s="270" t="s">
        <v>514</v>
      </c>
      <c r="E89" s="294" t="s">
        <v>758</v>
      </c>
      <c r="F89" s="295" t="s">
        <v>712</v>
      </c>
      <c r="G89" s="225">
        <f>H89+I89</f>
        <v>1554600</v>
      </c>
      <c r="H89" s="225">
        <f>'dod3'!E83</f>
        <v>1554600</v>
      </c>
      <c r="I89" s="225">
        <f>'dod3'!J83</f>
        <v>0</v>
      </c>
      <c r="J89" s="225">
        <f>'dod3'!K83</f>
        <v>0</v>
      </c>
    </row>
    <row r="90" spans="1:10" ht="274.5" x14ac:dyDescent="0.2">
      <c r="A90" s="270" t="s">
        <v>515</v>
      </c>
      <c r="B90" s="270" t="s">
        <v>516</v>
      </c>
      <c r="C90" s="270" t="s">
        <v>295</v>
      </c>
      <c r="D90" s="270" t="s">
        <v>564</v>
      </c>
      <c r="E90" s="294" t="s">
        <v>758</v>
      </c>
      <c r="F90" s="295" t="s">
        <v>712</v>
      </c>
      <c r="G90" s="225">
        <f>H90+I90</f>
        <v>135534</v>
      </c>
      <c r="H90" s="225">
        <f>'dod3'!E84</f>
        <v>135534</v>
      </c>
      <c r="I90" s="225">
        <f>'dod3'!J84</f>
        <v>0</v>
      </c>
      <c r="J90" s="225">
        <f>'dod3'!K84</f>
        <v>0</v>
      </c>
    </row>
    <row r="91" spans="1:10" ht="183" x14ac:dyDescent="0.2">
      <c r="A91" s="270" t="s">
        <v>517</v>
      </c>
      <c r="B91" s="270" t="s">
        <v>518</v>
      </c>
      <c r="C91" s="270" t="s">
        <v>295</v>
      </c>
      <c r="D91" s="270" t="s">
        <v>565</v>
      </c>
      <c r="E91" s="294" t="s">
        <v>758</v>
      </c>
      <c r="F91" s="295" t="s">
        <v>712</v>
      </c>
      <c r="G91" s="225">
        <f t="shared" ref="G91" si="13">H91+I91</f>
        <v>168</v>
      </c>
      <c r="H91" s="225">
        <f>'dod3'!E85</f>
        <v>168</v>
      </c>
      <c r="I91" s="225">
        <f>'dod3'!J85</f>
        <v>0</v>
      </c>
      <c r="J91" s="225">
        <f>'dod3'!K85</f>
        <v>0</v>
      </c>
    </row>
    <row r="92" spans="1:10" ht="366" x14ac:dyDescent="0.2">
      <c r="A92" s="270" t="s">
        <v>568</v>
      </c>
      <c r="B92" s="270" t="s">
        <v>567</v>
      </c>
      <c r="C92" s="270" t="s">
        <v>79</v>
      </c>
      <c r="D92" s="270" t="s">
        <v>566</v>
      </c>
      <c r="E92" s="294" t="s">
        <v>758</v>
      </c>
      <c r="F92" s="295" t="s">
        <v>712</v>
      </c>
      <c r="G92" s="225">
        <f>H92+I92</f>
        <v>828500</v>
      </c>
      <c r="H92" s="225">
        <f>'dod3'!E86-H93</f>
        <v>828500</v>
      </c>
      <c r="I92" s="225">
        <f>'dod3'!J86-I93</f>
        <v>0</v>
      </c>
      <c r="J92" s="225">
        <f>'dod3'!K86-J93</f>
        <v>0</v>
      </c>
    </row>
    <row r="93" spans="1:10" ht="366" x14ac:dyDescent="0.2">
      <c r="A93" s="270" t="s">
        <v>568</v>
      </c>
      <c r="B93" s="270" t="s">
        <v>567</v>
      </c>
      <c r="C93" s="270" t="s">
        <v>79</v>
      </c>
      <c r="D93" s="270" t="s">
        <v>566</v>
      </c>
      <c r="E93" s="294" t="s">
        <v>760</v>
      </c>
      <c r="F93" s="295" t="s">
        <v>713</v>
      </c>
      <c r="G93" s="225">
        <f>H93+I93</f>
        <v>980000</v>
      </c>
      <c r="H93" s="225">
        <v>980000</v>
      </c>
      <c r="I93" s="225">
        <v>0</v>
      </c>
      <c r="J93" s="225">
        <v>0</v>
      </c>
    </row>
    <row r="94" spans="1:10" ht="228.75" x14ac:dyDescent="0.2">
      <c r="A94" s="270" t="s">
        <v>519</v>
      </c>
      <c r="B94" s="270" t="s">
        <v>520</v>
      </c>
      <c r="C94" s="270" t="s">
        <v>302</v>
      </c>
      <c r="D94" s="270" t="s">
        <v>569</v>
      </c>
      <c r="E94" s="294" t="s">
        <v>758</v>
      </c>
      <c r="F94" s="295" t="s">
        <v>712</v>
      </c>
      <c r="G94" s="225">
        <f>H94+I94</f>
        <v>550000</v>
      </c>
      <c r="H94" s="225">
        <f>'dod3'!E87</f>
        <v>550000</v>
      </c>
      <c r="I94" s="225">
        <f>'dod3'!J87</f>
        <v>0</v>
      </c>
      <c r="J94" s="225">
        <f>'dod3'!K87</f>
        <v>0</v>
      </c>
    </row>
    <row r="95" spans="1:10" ht="137.25" x14ac:dyDescent="0.2">
      <c r="A95" s="270" t="s">
        <v>796</v>
      </c>
      <c r="B95" s="270" t="s">
        <v>632</v>
      </c>
      <c r="C95" s="270" t="s">
        <v>633</v>
      </c>
      <c r="D95" s="270" t="s">
        <v>631</v>
      </c>
      <c r="E95" s="372" t="s">
        <v>816</v>
      </c>
      <c r="F95" s="295" t="s">
        <v>817</v>
      </c>
      <c r="G95" s="225">
        <f>H95+I95</f>
        <v>250000</v>
      </c>
      <c r="H95" s="272">
        <f>'dod3'!E88</f>
        <v>250000</v>
      </c>
      <c r="I95" s="272">
        <f>'dod3'!J88</f>
        <v>0</v>
      </c>
      <c r="J95" s="272">
        <f>'dod3'!K88</f>
        <v>0</v>
      </c>
    </row>
    <row r="96" spans="1:10" ht="409.5" x14ac:dyDescent="0.2">
      <c r="A96" s="422" t="s">
        <v>399</v>
      </c>
      <c r="B96" s="422" t="s">
        <v>286</v>
      </c>
      <c r="C96" s="422" t="s">
        <v>279</v>
      </c>
      <c r="D96" s="214" t="s">
        <v>521</v>
      </c>
      <c r="E96" s="485" t="s">
        <v>758</v>
      </c>
      <c r="F96" s="404" t="s">
        <v>712</v>
      </c>
      <c r="G96" s="416">
        <f t="shared" ref="G96" si="14">H96+I96</f>
        <v>1030700</v>
      </c>
      <c r="H96" s="416">
        <f>'dod3'!E89</f>
        <v>1030700</v>
      </c>
      <c r="I96" s="416">
        <f>'dod3'!J89</f>
        <v>0</v>
      </c>
      <c r="J96" s="416">
        <f>'dod3'!K89</f>
        <v>0</v>
      </c>
    </row>
    <row r="97" spans="1:13" ht="327.75" customHeight="1" x14ac:dyDescent="0.2">
      <c r="A97" s="417"/>
      <c r="B97" s="417"/>
      <c r="C97" s="417"/>
      <c r="D97" s="216" t="s">
        <v>811</v>
      </c>
      <c r="E97" s="417"/>
      <c r="F97" s="417"/>
      <c r="G97" s="488"/>
      <c r="H97" s="417"/>
      <c r="I97" s="417"/>
      <c r="J97" s="417"/>
    </row>
    <row r="98" spans="1:13" ht="91.5" x14ac:dyDescent="0.2">
      <c r="A98" s="403"/>
      <c r="B98" s="403"/>
      <c r="C98" s="403"/>
      <c r="D98" s="216" t="s">
        <v>812</v>
      </c>
      <c r="E98" s="403"/>
      <c r="F98" s="403"/>
      <c r="G98" s="489"/>
      <c r="H98" s="403"/>
      <c r="I98" s="403"/>
      <c r="J98" s="403"/>
    </row>
    <row r="99" spans="1:13" ht="183" x14ac:dyDescent="0.2">
      <c r="A99" s="270" t="s">
        <v>523</v>
      </c>
      <c r="B99" s="270" t="s">
        <v>525</v>
      </c>
      <c r="C99" s="270" t="s">
        <v>287</v>
      </c>
      <c r="D99" s="215" t="s">
        <v>527</v>
      </c>
      <c r="E99" s="294" t="s">
        <v>758</v>
      </c>
      <c r="F99" s="295" t="s">
        <v>712</v>
      </c>
      <c r="G99" s="225">
        <f>H99+I99</f>
        <v>8153805</v>
      </c>
      <c r="H99" s="111">
        <f>'dod3'!E92</f>
        <v>5249475</v>
      </c>
      <c r="I99" s="225">
        <f>'dod3'!J92</f>
        <v>2904330</v>
      </c>
      <c r="J99" s="225">
        <f>'dod3'!K92</f>
        <v>2904330</v>
      </c>
    </row>
    <row r="100" spans="1:13" ht="183" x14ac:dyDescent="0.2">
      <c r="A100" s="270" t="s">
        <v>524</v>
      </c>
      <c r="B100" s="270" t="s">
        <v>526</v>
      </c>
      <c r="C100" s="270" t="s">
        <v>287</v>
      </c>
      <c r="D100" s="215" t="s">
        <v>528</v>
      </c>
      <c r="E100" s="294" t="s">
        <v>758</v>
      </c>
      <c r="F100" s="295" t="s">
        <v>712</v>
      </c>
      <c r="G100" s="225">
        <f>H100+I100</f>
        <v>21659540</v>
      </c>
      <c r="H100" s="225">
        <f>'dod3'!E93-H101</f>
        <v>21460540</v>
      </c>
      <c r="I100" s="225">
        <f>'dod3'!J93-I101</f>
        <v>199000</v>
      </c>
      <c r="J100" s="225">
        <f>'dod3'!K93-J101</f>
        <v>199000</v>
      </c>
    </row>
    <row r="101" spans="1:13" ht="320.25" x14ac:dyDescent="0.2">
      <c r="A101" s="270" t="s">
        <v>524</v>
      </c>
      <c r="B101" s="270" t="s">
        <v>526</v>
      </c>
      <c r="C101" s="270" t="s">
        <v>287</v>
      </c>
      <c r="D101" s="215" t="s">
        <v>528</v>
      </c>
      <c r="E101" s="294" t="s">
        <v>759</v>
      </c>
      <c r="F101" s="295" t="s">
        <v>713</v>
      </c>
      <c r="G101" s="225">
        <f>H101+I101</f>
        <v>2445000</v>
      </c>
      <c r="H101" s="225">
        <f>1925000+300000</f>
        <v>2225000</v>
      </c>
      <c r="I101" s="225">
        <v>220000</v>
      </c>
      <c r="J101" s="225">
        <v>220000</v>
      </c>
      <c r="K101" s="224"/>
    </row>
    <row r="102" spans="1:13" ht="320.25" x14ac:dyDescent="0.2">
      <c r="A102" s="270" t="s">
        <v>608</v>
      </c>
      <c r="B102" s="270" t="s">
        <v>606</v>
      </c>
      <c r="C102" s="270" t="s">
        <v>542</v>
      </c>
      <c r="D102" s="215" t="s">
        <v>607</v>
      </c>
      <c r="E102" s="294" t="s">
        <v>759</v>
      </c>
      <c r="F102" s="295" t="s">
        <v>713</v>
      </c>
      <c r="G102" s="225">
        <f>H102+I102</f>
        <v>3500000</v>
      </c>
      <c r="H102" s="225">
        <f>'dod3'!E94</f>
        <v>0</v>
      </c>
      <c r="I102" s="225">
        <f>'dod3'!J94</f>
        <v>3500000</v>
      </c>
      <c r="J102" s="225">
        <f>'dod3'!K94</f>
        <v>3500000</v>
      </c>
    </row>
    <row r="103" spans="1:13" ht="183" x14ac:dyDescent="0.2">
      <c r="A103" s="270" t="s">
        <v>708</v>
      </c>
      <c r="B103" s="270" t="s">
        <v>709</v>
      </c>
      <c r="C103" s="270" t="s">
        <v>450</v>
      </c>
      <c r="D103" s="215" t="s">
        <v>710</v>
      </c>
      <c r="E103" s="294" t="s">
        <v>758</v>
      </c>
      <c r="F103" s="295" t="s">
        <v>712</v>
      </c>
      <c r="G103" s="225">
        <f>H103+I103</f>
        <v>2000000</v>
      </c>
      <c r="H103" s="225">
        <f>'dod3'!E95</f>
        <v>0</v>
      </c>
      <c r="I103" s="225">
        <f>'dod3'!J95</f>
        <v>2000000</v>
      </c>
      <c r="J103" s="350">
        <f>'dod3'!K95</f>
        <v>2000000</v>
      </c>
    </row>
    <row r="104" spans="1:13" ht="180" x14ac:dyDescent="0.2">
      <c r="A104" s="306">
        <v>1000000</v>
      </c>
      <c r="B104" s="306"/>
      <c r="C104" s="306"/>
      <c r="D104" s="296" t="s">
        <v>43</v>
      </c>
      <c r="E104" s="302"/>
      <c r="F104" s="301"/>
      <c r="G104" s="302">
        <f>G105</f>
        <v>97201613</v>
      </c>
      <c r="H104" s="302">
        <f t="shared" ref="H104:J104" si="15">H105</f>
        <v>81434879</v>
      </c>
      <c r="I104" s="302">
        <f t="shared" si="15"/>
        <v>15766734</v>
      </c>
      <c r="J104" s="302">
        <f t="shared" si="15"/>
        <v>8279954</v>
      </c>
      <c r="K104" s="202" t="b">
        <f>H104='dod3'!E99</f>
        <v>1</v>
      </c>
      <c r="L104" s="202" t="b">
        <f>I104='dod3'!J99</f>
        <v>1</v>
      </c>
      <c r="M104" s="203" t="b">
        <f>J104='dod3'!K99</f>
        <v>1</v>
      </c>
    </row>
    <row r="105" spans="1:13" ht="180" x14ac:dyDescent="0.2">
      <c r="A105" s="307">
        <v>1010000</v>
      </c>
      <c r="B105" s="307"/>
      <c r="C105" s="307"/>
      <c r="D105" s="299" t="s">
        <v>62</v>
      </c>
      <c r="E105" s="301"/>
      <c r="F105" s="301"/>
      <c r="G105" s="301">
        <f>SUM(G106:G118)</f>
        <v>97201613</v>
      </c>
      <c r="H105" s="301">
        <f>SUM(H106:H118)</f>
        <v>81434879</v>
      </c>
      <c r="I105" s="301">
        <f t="shared" ref="I105:J105" si="16">SUM(I106:I118)</f>
        <v>15766734</v>
      </c>
      <c r="J105" s="301">
        <f t="shared" si="16"/>
        <v>8279954</v>
      </c>
    </row>
    <row r="106" spans="1:13" ht="274.5" x14ac:dyDescent="0.2">
      <c r="A106" s="270" t="s">
        <v>34</v>
      </c>
      <c r="B106" s="270" t="s">
        <v>274</v>
      </c>
      <c r="C106" s="270" t="s">
        <v>275</v>
      </c>
      <c r="D106" s="270" t="s">
        <v>273</v>
      </c>
      <c r="E106" s="225" t="s">
        <v>20</v>
      </c>
      <c r="F106" s="225" t="s">
        <v>704</v>
      </c>
      <c r="G106" s="225">
        <f>H106+I106</f>
        <v>54555599</v>
      </c>
      <c r="H106" s="225">
        <f>'dod3'!E100</f>
        <v>46291215</v>
      </c>
      <c r="I106" s="225">
        <f>'dod3'!J100</f>
        <v>8264384</v>
      </c>
      <c r="J106" s="225">
        <f>'dod3'!K100</f>
        <v>1433004</v>
      </c>
    </row>
    <row r="107" spans="1:13" ht="243" customHeight="1" x14ac:dyDescent="0.2">
      <c r="A107" s="270" t="s">
        <v>257</v>
      </c>
      <c r="B107" s="270" t="s">
        <v>258</v>
      </c>
      <c r="C107" s="270" t="s">
        <v>261</v>
      </c>
      <c r="D107" s="270" t="s">
        <v>262</v>
      </c>
      <c r="E107" s="225" t="s">
        <v>20</v>
      </c>
      <c r="F107" s="225" t="s">
        <v>704</v>
      </c>
      <c r="G107" s="225">
        <f t="shared" ref="G107:G114" si="17">H107+I107</f>
        <v>726700</v>
      </c>
      <c r="H107" s="225">
        <f>'dod3'!E101</f>
        <v>726700</v>
      </c>
      <c r="I107" s="225">
        <f>'dod3'!J101</f>
        <v>0</v>
      </c>
      <c r="J107" s="225">
        <f>'dod3'!K101</f>
        <v>0</v>
      </c>
    </row>
    <row r="108" spans="1:13" ht="186" x14ac:dyDescent="0.2">
      <c r="A108" s="270" t="s">
        <v>263</v>
      </c>
      <c r="B108" s="270" t="s">
        <v>264</v>
      </c>
      <c r="C108" s="270" t="s">
        <v>265</v>
      </c>
      <c r="D108" s="270" t="s">
        <v>266</v>
      </c>
      <c r="E108" s="225" t="s">
        <v>20</v>
      </c>
      <c r="F108" s="225" t="s">
        <v>704</v>
      </c>
      <c r="G108" s="225">
        <f t="shared" si="17"/>
        <v>8213475</v>
      </c>
      <c r="H108" s="225">
        <f>'dod3'!E102-H109</f>
        <v>7728475</v>
      </c>
      <c r="I108" s="225">
        <f>'dod3'!J102-I109</f>
        <v>485000</v>
      </c>
      <c r="J108" s="225">
        <f>'dod3'!K102-J109</f>
        <v>400000</v>
      </c>
    </row>
    <row r="109" spans="1:13" ht="228.75" x14ac:dyDescent="0.2">
      <c r="A109" s="270" t="s">
        <v>263</v>
      </c>
      <c r="B109" s="270" t="s">
        <v>264</v>
      </c>
      <c r="C109" s="270" t="s">
        <v>265</v>
      </c>
      <c r="D109" s="270" t="s">
        <v>266</v>
      </c>
      <c r="E109" s="294" t="s">
        <v>752</v>
      </c>
      <c r="F109" s="323" t="s">
        <v>751</v>
      </c>
      <c r="G109" s="225">
        <f t="shared" si="17"/>
        <v>300000</v>
      </c>
      <c r="H109" s="225">
        <f>16250+46800+5000</f>
        <v>68050</v>
      </c>
      <c r="I109" s="225">
        <f>87250+46500+98200</f>
        <v>231950</v>
      </c>
      <c r="J109" s="225">
        <f>87250+46500+98200</f>
        <v>231950</v>
      </c>
    </row>
    <row r="110" spans="1:13" ht="186" x14ac:dyDescent="0.2">
      <c r="A110" s="270" t="s">
        <v>267</v>
      </c>
      <c r="B110" s="270" t="s">
        <v>268</v>
      </c>
      <c r="C110" s="270" t="s">
        <v>265</v>
      </c>
      <c r="D110" s="270" t="s">
        <v>269</v>
      </c>
      <c r="E110" s="225" t="s">
        <v>20</v>
      </c>
      <c r="F110" s="225" t="s">
        <v>704</v>
      </c>
      <c r="G110" s="225">
        <f t="shared" si="17"/>
        <v>6295535</v>
      </c>
      <c r="H110" s="225">
        <f>'dod3'!E103</f>
        <v>1220535</v>
      </c>
      <c r="I110" s="225">
        <f>'dod3'!J103</f>
        <v>5075000</v>
      </c>
      <c r="J110" s="225">
        <f>'dod3'!K103</f>
        <v>5000000</v>
      </c>
    </row>
    <row r="111" spans="1:13" ht="186" x14ac:dyDescent="0.2">
      <c r="A111" s="270" t="s">
        <v>270</v>
      </c>
      <c r="B111" s="270" t="s">
        <v>259</v>
      </c>
      <c r="C111" s="270" t="s">
        <v>271</v>
      </c>
      <c r="D111" s="270" t="s">
        <v>272</v>
      </c>
      <c r="E111" s="225" t="s">
        <v>20</v>
      </c>
      <c r="F111" s="225" t="s">
        <v>704</v>
      </c>
      <c r="G111" s="225">
        <f t="shared" si="17"/>
        <v>7255042</v>
      </c>
      <c r="H111" s="225">
        <f>'dod3'!E104-H112</f>
        <v>5699642</v>
      </c>
      <c r="I111" s="225">
        <f>'dod3'!J104-I112</f>
        <v>1555400</v>
      </c>
      <c r="J111" s="225">
        <f>'dod3'!K104-J112</f>
        <v>1190000</v>
      </c>
    </row>
    <row r="112" spans="1:13" ht="228.75" x14ac:dyDescent="0.2">
      <c r="A112" s="270" t="s">
        <v>270</v>
      </c>
      <c r="B112" s="270" t="s">
        <v>259</v>
      </c>
      <c r="C112" s="270" t="s">
        <v>271</v>
      </c>
      <c r="D112" s="270" t="s">
        <v>272</v>
      </c>
      <c r="E112" s="294" t="s">
        <v>752</v>
      </c>
      <c r="F112" s="323" t="s">
        <v>751</v>
      </c>
      <c r="G112" s="225">
        <f t="shared" si="17"/>
        <v>116500</v>
      </c>
      <c r="H112" s="225">
        <f>86500+30000</f>
        <v>116500</v>
      </c>
      <c r="I112" s="225"/>
      <c r="J112" s="225"/>
    </row>
    <row r="113" spans="1:13" ht="186" x14ac:dyDescent="0.2">
      <c r="A113" s="270" t="s">
        <v>530</v>
      </c>
      <c r="B113" s="270" t="s">
        <v>531</v>
      </c>
      <c r="C113" s="270" t="s">
        <v>276</v>
      </c>
      <c r="D113" s="270" t="s">
        <v>529</v>
      </c>
      <c r="E113" s="225" t="s">
        <v>20</v>
      </c>
      <c r="F113" s="225" t="s">
        <v>704</v>
      </c>
      <c r="G113" s="225">
        <f t="shared" si="17"/>
        <v>12898962</v>
      </c>
      <c r="H113" s="225">
        <f>'dod3'!E105-H114</f>
        <v>12768962</v>
      </c>
      <c r="I113" s="225">
        <f>'dod3'!J105-I114</f>
        <v>130000</v>
      </c>
      <c r="J113" s="225">
        <f>'dod3'!K105-J114</f>
        <v>0</v>
      </c>
    </row>
    <row r="114" spans="1:13" ht="186" x14ac:dyDescent="0.2">
      <c r="A114" s="270" t="s">
        <v>530</v>
      </c>
      <c r="B114" s="270" t="s">
        <v>531</v>
      </c>
      <c r="C114" s="270" t="s">
        <v>276</v>
      </c>
      <c r="D114" s="270" t="s">
        <v>529</v>
      </c>
      <c r="E114" s="225" t="s">
        <v>705</v>
      </c>
      <c r="F114" s="225" t="s">
        <v>706</v>
      </c>
      <c r="G114" s="225">
        <f t="shared" si="17"/>
        <v>514800</v>
      </c>
      <c r="H114" s="225">
        <v>514800</v>
      </c>
      <c r="I114" s="225"/>
      <c r="J114" s="225"/>
    </row>
    <row r="115" spans="1:13" ht="204" customHeight="1" x14ac:dyDescent="0.2">
      <c r="A115" s="270" t="s">
        <v>532</v>
      </c>
      <c r="B115" s="270" t="s">
        <v>533</v>
      </c>
      <c r="C115" s="270" t="s">
        <v>276</v>
      </c>
      <c r="D115" s="270" t="s">
        <v>534</v>
      </c>
      <c r="E115" s="225" t="s">
        <v>20</v>
      </c>
      <c r="F115" s="225" t="s">
        <v>704</v>
      </c>
      <c r="G115" s="225">
        <f t="shared" ref="G115:G118" si="18">H115+I115</f>
        <v>5544680</v>
      </c>
      <c r="H115" s="225">
        <f>'dod3'!E106-H117-H116</f>
        <v>5544680</v>
      </c>
      <c r="I115" s="225">
        <f>'dod3'!J106-I117-I116</f>
        <v>0</v>
      </c>
      <c r="J115" s="225">
        <f>'dod3'!K106-J117-J116</f>
        <v>0</v>
      </c>
    </row>
    <row r="116" spans="1:13" ht="279" x14ac:dyDescent="0.2">
      <c r="A116" s="270" t="s">
        <v>532</v>
      </c>
      <c r="B116" s="270" t="s">
        <v>533</v>
      </c>
      <c r="C116" s="270" t="s">
        <v>276</v>
      </c>
      <c r="D116" s="270" t="s">
        <v>534</v>
      </c>
      <c r="E116" s="225" t="s">
        <v>605</v>
      </c>
      <c r="F116" s="225" t="s">
        <v>719</v>
      </c>
      <c r="G116" s="225">
        <f t="shared" si="18"/>
        <v>395000</v>
      </c>
      <c r="H116" s="225">
        <v>395000</v>
      </c>
      <c r="I116" s="225"/>
      <c r="J116" s="225"/>
    </row>
    <row r="117" spans="1:13" ht="178.5" customHeight="1" x14ac:dyDescent="0.2">
      <c r="A117" s="270" t="s">
        <v>532</v>
      </c>
      <c r="B117" s="270" t="s">
        <v>533</v>
      </c>
      <c r="C117" s="270" t="s">
        <v>276</v>
      </c>
      <c r="D117" s="270" t="s">
        <v>534</v>
      </c>
      <c r="E117" s="225" t="s">
        <v>705</v>
      </c>
      <c r="F117" s="225" t="s">
        <v>706</v>
      </c>
      <c r="G117" s="225">
        <f t="shared" si="18"/>
        <v>360320</v>
      </c>
      <c r="H117" s="225">
        <v>360320</v>
      </c>
      <c r="I117" s="225"/>
      <c r="J117" s="225"/>
    </row>
    <row r="118" spans="1:13" ht="232.5" customHeight="1" x14ac:dyDescent="0.2">
      <c r="A118" s="270" t="s">
        <v>868</v>
      </c>
      <c r="B118" s="270" t="s">
        <v>293</v>
      </c>
      <c r="C118" s="270" t="s">
        <v>256</v>
      </c>
      <c r="D118" s="270" t="s">
        <v>57</v>
      </c>
      <c r="E118" s="225" t="s">
        <v>20</v>
      </c>
      <c r="F118" s="225" t="s">
        <v>704</v>
      </c>
      <c r="G118" s="225">
        <f t="shared" si="18"/>
        <v>25000</v>
      </c>
      <c r="H118" s="225">
        <f>'dod3'!E107</f>
        <v>0</v>
      </c>
      <c r="I118" s="225">
        <f>'dod3'!J107</f>
        <v>25000</v>
      </c>
      <c r="J118" s="225">
        <f>'dod3'!K107</f>
        <v>25000</v>
      </c>
    </row>
    <row r="119" spans="1:13" ht="135" x14ac:dyDescent="0.2">
      <c r="A119" s="306" t="s">
        <v>40</v>
      </c>
      <c r="B119" s="306"/>
      <c r="C119" s="306"/>
      <c r="D119" s="296" t="s">
        <v>41</v>
      </c>
      <c r="E119" s="302"/>
      <c r="F119" s="301"/>
      <c r="G119" s="302">
        <f>G120</f>
        <v>57420077</v>
      </c>
      <c r="H119" s="302">
        <f t="shared" ref="H119:J119" si="19">H120</f>
        <v>52130012</v>
      </c>
      <c r="I119" s="302">
        <f t="shared" si="19"/>
        <v>5290065</v>
      </c>
      <c r="J119" s="302">
        <f t="shared" si="19"/>
        <v>3183421</v>
      </c>
      <c r="K119" s="202" t="b">
        <f>H119='dod3'!E109+'dod4'!F12</f>
        <v>1</v>
      </c>
      <c r="L119" s="202" t="b">
        <f>I119='dod3'!J109+'dod4'!G12</f>
        <v>1</v>
      </c>
      <c r="M119" s="203" t="b">
        <f>J119='dod3'!K109+'dod4'!H12</f>
        <v>1</v>
      </c>
    </row>
    <row r="120" spans="1:13" ht="135" x14ac:dyDescent="0.2">
      <c r="A120" s="307" t="s">
        <v>39</v>
      </c>
      <c r="B120" s="307"/>
      <c r="C120" s="307"/>
      <c r="D120" s="299" t="s">
        <v>58</v>
      </c>
      <c r="E120" s="301"/>
      <c r="F120" s="301"/>
      <c r="G120" s="301">
        <f>SUM(G121:G137)</f>
        <v>57420077</v>
      </c>
      <c r="H120" s="301">
        <f>SUM(H121:H137)</f>
        <v>52130012</v>
      </c>
      <c r="I120" s="301">
        <f t="shared" ref="I120:J120" si="20">SUM(I121:I137)</f>
        <v>5290065</v>
      </c>
      <c r="J120" s="301">
        <f t="shared" si="20"/>
        <v>3183421</v>
      </c>
    </row>
    <row r="121" spans="1:13" ht="228.75" x14ac:dyDescent="0.2">
      <c r="A121" s="270" t="s">
        <v>277</v>
      </c>
      <c r="B121" s="270" t="s">
        <v>278</v>
      </c>
      <c r="C121" s="270" t="s">
        <v>279</v>
      </c>
      <c r="D121" s="270" t="s">
        <v>280</v>
      </c>
      <c r="E121" s="294" t="s">
        <v>761</v>
      </c>
      <c r="F121" s="225" t="s">
        <v>714</v>
      </c>
      <c r="G121" s="225">
        <f t="shared" ref="G121" si="21">H121+I121</f>
        <v>3446621</v>
      </c>
      <c r="H121" s="111">
        <f>'dod3'!E110</f>
        <v>3393343</v>
      </c>
      <c r="I121" s="154">
        <f>'dod3'!J110</f>
        <v>53278</v>
      </c>
      <c r="J121" s="225">
        <f>'dod3'!K110</f>
        <v>53278</v>
      </c>
    </row>
    <row r="122" spans="1:13" ht="228.75" x14ac:dyDescent="0.2">
      <c r="A122" s="270" t="s">
        <v>72</v>
      </c>
      <c r="B122" s="270" t="s">
        <v>260</v>
      </c>
      <c r="C122" s="270" t="s">
        <v>279</v>
      </c>
      <c r="D122" s="270" t="s">
        <v>22</v>
      </c>
      <c r="E122" s="294" t="s">
        <v>761</v>
      </c>
      <c r="F122" s="225" t="s">
        <v>714</v>
      </c>
      <c r="G122" s="225">
        <f t="shared" ref="G122:G123" si="22">H122+I122</f>
        <v>1225790</v>
      </c>
      <c r="H122" s="111">
        <f>'dod3'!E111</f>
        <v>1225790</v>
      </c>
      <c r="I122" s="154">
        <f>'dod3'!J111</f>
        <v>0</v>
      </c>
      <c r="J122" s="225">
        <f>'dod3'!K111</f>
        <v>0</v>
      </c>
    </row>
    <row r="123" spans="1:13" ht="228.75" x14ac:dyDescent="0.2">
      <c r="A123" s="270" t="s">
        <v>284</v>
      </c>
      <c r="B123" s="270" t="s">
        <v>285</v>
      </c>
      <c r="C123" s="270" t="s">
        <v>279</v>
      </c>
      <c r="D123" s="270" t="s">
        <v>23</v>
      </c>
      <c r="E123" s="294" t="s">
        <v>761</v>
      </c>
      <c r="F123" s="225" t="s">
        <v>714</v>
      </c>
      <c r="G123" s="225">
        <f t="shared" si="22"/>
        <v>4748304</v>
      </c>
      <c r="H123" s="111">
        <f>'dod3'!E112</f>
        <v>3279368</v>
      </c>
      <c r="I123" s="154">
        <f>'dod3'!J112</f>
        <v>1468936</v>
      </c>
      <c r="J123" s="225">
        <f>'dod3'!K112</f>
        <v>1143936</v>
      </c>
    </row>
    <row r="124" spans="1:13" ht="228.75" x14ac:dyDescent="0.2">
      <c r="A124" s="270" t="s">
        <v>574</v>
      </c>
      <c r="B124" s="270" t="s">
        <v>575</v>
      </c>
      <c r="C124" s="270" t="s">
        <v>279</v>
      </c>
      <c r="D124" s="270" t="s">
        <v>576</v>
      </c>
      <c r="E124" s="294" t="s">
        <v>761</v>
      </c>
      <c r="F124" s="225" t="s">
        <v>714</v>
      </c>
      <c r="G124" s="225">
        <f t="shared" ref="G124:G127" si="23">H124+I124</f>
        <v>7567144</v>
      </c>
      <c r="H124" s="111">
        <f>'dod3'!E113-H125</f>
        <v>6200441</v>
      </c>
      <c r="I124" s="154">
        <f>'dod3'!J113-I125</f>
        <v>1366703</v>
      </c>
      <c r="J124" s="225">
        <f>'dod3'!K113-J125</f>
        <v>1366703</v>
      </c>
    </row>
    <row r="125" spans="1:13" ht="228.75" x14ac:dyDescent="0.2">
      <c r="A125" s="270" t="s">
        <v>574</v>
      </c>
      <c r="B125" s="270" t="s">
        <v>575</v>
      </c>
      <c r="C125" s="270" t="s">
        <v>279</v>
      </c>
      <c r="D125" s="270" t="s">
        <v>576</v>
      </c>
      <c r="E125" s="294" t="s">
        <v>752</v>
      </c>
      <c r="F125" s="323" t="s">
        <v>751</v>
      </c>
      <c r="G125" s="225">
        <f t="shared" si="23"/>
        <v>104955</v>
      </c>
      <c r="H125" s="111">
        <v>104955</v>
      </c>
      <c r="I125" s="154"/>
      <c r="J125" s="225"/>
    </row>
    <row r="126" spans="1:13" ht="228.75" x14ac:dyDescent="0.2">
      <c r="A126" s="270" t="s">
        <v>73</v>
      </c>
      <c r="B126" s="270" t="s">
        <v>281</v>
      </c>
      <c r="C126" s="270" t="s">
        <v>291</v>
      </c>
      <c r="D126" s="270" t="s">
        <v>74</v>
      </c>
      <c r="E126" s="294" t="s">
        <v>761</v>
      </c>
      <c r="F126" s="225" t="s">
        <v>714</v>
      </c>
      <c r="G126" s="225">
        <f t="shared" si="23"/>
        <v>10046475</v>
      </c>
      <c r="H126" s="225">
        <f>'dod3'!E114</f>
        <v>10046475</v>
      </c>
      <c r="I126" s="154">
        <f>'dod3'!J114</f>
        <v>0</v>
      </c>
      <c r="J126" s="225">
        <f>'dod3'!K114</f>
        <v>0</v>
      </c>
    </row>
    <row r="127" spans="1:13" ht="228.75" x14ac:dyDescent="0.2">
      <c r="A127" s="270" t="s">
        <v>75</v>
      </c>
      <c r="B127" s="270" t="s">
        <v>282</v>
      </c>
      <c r="C127" s="270" t="s">
        <v>291</v>
      </c>
      <c r="D127" s="270" t="s">
        <v>6</v>
      </c>
      <c r="E127" s="294" t="s">
        <v>761</v>
      </c>
      <c r="F127" s="225" t="s">
        <v>714</v>
      </c>
      <c r="G127" s="225">
        <f t="shared" si="23"/>
        <v>1757513</v>
      </c>
      <c r="H127" s="225">
        <f>'dod3'!E115</f>
        <v>1757513</v>
      </c>
      <c r="I127" s="154">
        <f>'dod3'!J115</f>
        <v>0</v>
      </c>
      <c r="J127" s="225">
        <f>'dod3'!K115</f>
        <v>0</v>
      </c>
    </row>
    <row r="128" spans="1:13" ht="228.75" x14ac:dyDescent="0.2">
      <c r="A128" s="270" t="s">
        <v>76</v>
      </c>
      <c r="B128" s="270" t="s">
        <v>283</v>
      </c>
      <c r="C128" s="270" t="s">
        <v>291</v>
      </c>
      <c r="D128" s="270" t="s">
        <v>570</v>
      </c>
      <c r="E128" s="294" t="s">
        <v>761</v>
      </c>
      <c r="F128" s="225" t="s">
        <v>714</v>
      </c>
      <c r="G128" s="225">
        <f t="shared" ref="G128:G129" si="24">H128+I128</f>
        <v>53014</v>
      </c>
      <c r="H128" s="225">
        <f>'dod3'!E116</f>
        <v>53014</v>
      </c>
      <c r="I128" s="154">
        <f>'dod3'!J116</f>
        <v>0</v>
      </c>
      <c r="J128" s="225">
        <f>'dod3'!K116</f>
        <v>0</v>
      </c>
    </row>
    <row r="129" spans="1:13" ht="228.75" x14ac:dyDescent="0.2">
      <c r="A129" s="270" t="s">
        <v>49</v>
      </c>
      <c r="B129" s="270" t="s">
        <v>288</v>
      </c>
      <c r="C129" s="270" t="s">
        <v>291</v>
      </c>
      <c r="D129" s="270" t="s">
        <v>77</v>
      </c>
      <c r="E129" s="294" t="s">
        <v>761</v>
      </c>
      <c r="F129" s="225" t="s">
        <v>714</v>
      </c>
      <c r="G129" s="225">
        <f t="shared" si="24"/>
        <v>20910551</v>
      </c>
      <c r="H129" s="225">
        <f>'dod3'!E117</f>
        <v>18741107</v>
      </c>
      <c r="I129" s="154">
        <f>'dod3'!J117</f>
        <v>2169444</v>
      </c>
      <c r="J129" s="225">
        <f>'dod3'!K117</f>
        <v>519800</v>
      </c>
    </row>
    <row r="130" spans="1:13" ht="228.75" x14ac:dyDescent="0.2">
      <c r="A130" s="270" t="s">
        <v>50</v>
      </c>
      <c r="B130" s="270" t="s">
        <v>289</v>
      </c>
      <c r="C130" s="270" t="s">
        <v>291</v>
      </c>
      <c r="D130" s="270" t="s">
        <v>78</v>
      </c>
      <c r="E130" s="294" t="s">
        <v>761</v>
      </c>
      <c r="F130" s="225" t="s">
        <v>714</v>
      </c>
      <c r="G130" s="225">
        <f t="shared" ref="G130:G131" si="25">H130+I130</f>
        <v>4254685</v>
      </c>
      <c r="H130" s="225">
        <f>'dod3'!E118</f>
        <v>4254685</v>
      </c>
      <c r="I130" s="154">
        <f>'dod3'!J118</f>
        <v>0</v>
      </c>
      <c r="J130" s="225">
        <f>'dod3'!K118</f>
        <v>0</v>
      </c>
    </row>
    <row r="131" spans="1:13" ht="320.25" x14ac:dyDescent="0.2">
      <c r="A131" s="270" t="s">
        <v>917</v>
      </c>
      <c r="B131" s="270" t="s">
        <v>918</v>
      </c>
      <c r="C131" s="270" t="s">
        <v>291</v>
      </c>
      <c r="D131" s="270" t="s">
        <v>919</v>
      </c>
      <c r="E131" s="294" t="s">
        <v>761</v>
      </c>
      <c r="F131" s="225" t="s">
        <v>714</v>
      </c>
      <c r="G131" s="225">
        <f t="shared" si="25"/>
        <v>68296</v>
      </c>
      <c r="H131" s="225">
        <f>'dod3'!E119</f>
        <v>68296</v>
      </c>
      <c r="I131" s="154">
        <f>'dod3'!J119</f>
        <v>0</v>
      </c>
      <c r="J131" s="154">
        <f>'dod3'!K119</f>
        <v>0</v>
      </c>
    </row>
    <row r="132" spans="1:13" ht="274.5" x14ac:dyDescent="0.2">
      <c r="A132" s="204" t="s">
        <v>51</v>
      </c>
      <c r="B132" s="204" t="s">
        <v>290</v>
      </c>
      <c r="C132" s="204" t="s">
        <v>291</v>
      </c>
      <c r="D132" s="270" t="s">
        <v>52</v>
      </c>
      <c r="E132" s="294" t="s">
        <v>761</v>
      </c>
      <c r="F132" s="225" t="s">
        <v>714</v>
      </c>
      <c r="G132" s="225">
        <f t="shared" ref="G132" si="26">H132+I132</f>
        <v>1456611</v>
      </c>
      <c r="H132" s="225">
        <f>'dod3'!E120</f>
        <v>1456611</v>
      </c>
      <c r="I132" s="154">
        <f>'dod3'!J120</f>
        <v>0</v>
      </c>
      <c r="J132" s="225">
        <f>'dod3'!K120</f>
        <v>0</v>
      </c>
    </row>
    <row r="133" spans="1:13" ht="228.75" x14ac:dyDescent="0.2">
      <c r="A133" s="204" t="s">
        <v>53</v>
      </c>
      <c r="B133" s="204" t="s">
        <v>292</v>
      </c>
      <c r="C133" s="204" t="s">
        <v>291</v>
      </c>
      <c r="D133" s="270" t="s">
        <v>54</v>
      </c>
      <c r="E133" s="294" t="s">
        <v>761</v>
      </c>
      <c r="F133" s="225" t="s">
        <v>714</v>
      </c>
      <c r="G133" s="225">
        <f t="shared" ref="G133:G134" si="27">H133+I133</f>
        <v>1221249</v>
      </c>
      <c r="H133" s="225">
        <f>'dod3'!E121-H134</f>
        <v>1179249</v>
      </c>
      <c r="I133" s="154">
        <f>'dod3'!J121-I134</f>
        <v>42000</v>
      </c>
      <c r="J133" s="225">
        <f>'dod3'!K121-J134</f>
        <v>0</v>
      </c>
    </row>
    <row r="134" spans="1:13" ht="228.75" x14ac:dyDescent="0.2">
      <c r="A134" s="204" t="s">
        <v>53</v>
      </c>
      <c r="B134" s="204" t="s">
        <v>292</v>
      </c>
      <c r="C134" s="204" t="s">
        <v>291</v>
      </c>
      <c r="D134" s="270" t="s">
        <v>54</v>
      </c>
      <c r="E134" s="294" t="s">
        <v>752</v>
      </c>
      <c r="F134" s="323" t="s">
        <v>751</v>
      </c>
      <c r="G134" s="225">
        <f t="shared" si="27"/>
        <v>88165</v>
      </c>
      <c r="H134" s="225">
        <v>88165</v>
      </c>
      <c r="I134" s="154"/>
      <c r="J134" s="225"/>
    </row>
    <row r="135" spans="1:13" ht="274.5" x14ac:dyDescent="0.2">
      <c r="A135" s="204" t="s">
        <v>544</v>
      </c>
      <c r="B135" s="204" t="s">
        <v>543</v>
      </c>
      <c r="C135" s="204" t="s">
        <v>542</v>
      </c>
      <c r="D135" s="270" t="s">
        <v>541</v>
      </c>
      <c r="E135" s="294" t="s">
        <v>761</v>
      </c>
      <c r="F135" s="225" t="s">
        <v>714</v>
      </c>
      <c r="G135" s="225">
        <f t="shared" ref="G135:G137" si="28">H135+I135</f>
        <v>21000</v>
      </c>
      <c r="H135" s="225">
        <f>'dod3'!E122</f>
        <v>21000</v>
      </c>
      <c r="I135" s="154">
        <f>'dod3'!J122</f>
        <v>0</v>
      </c>
      <c r="J135" s="225">
        <f>'dod3'!K122</f>
        <v>0</v>
      </c>
    </row>
    <row r="136" spans="1:13" ht="228.75" x14ac:dyDescent="0.2">
      <c r="A136" s="270" t="s">
        <v>920</v>
      </c>
      <c r="B136" s="270" t="s">
        <v>293</v>
      </c>
      <c r="C136" s="270" t="s">
        <v>256</v>
      </c>
      <c r="D136" s="270" t="s">
        <v>57</v>
      </c>
      <c r="E136" s="294" t="s">
        <v>752</v>
      </c>
      <c r="F136" s="323" t="s">
        <v>751</v>
      </c>
      <c r="G136" s="225">
        <f t="shared" si="28"/>
        <v>99704</v>
      </c>
      <c r="H136" s="225">
        <f>'dod3'!E123</f>
        <v>0</v>
      </c>
      <c r="I136" s="154">
        <f>'dod3'!J123</f>
        <v>99704</v>
      </c>
      <c r="J136" s="154">
        <f>'dod3'!K123</f>
        <v>99704</v>
      </c>
    </row>
    <row r="137" spans="1:13" ht="228.75" x14ac:dyDescent="0.2">
      <c r="A137" s="388" t="s">
        <v>597</v>
      </c>
      <c r="B137" s="388" t="s">
        <v>599</v>
      </c>
      <c r="C137" s="388" t="s">
        <v>79</v>
      </c>
      <c r="D137" s="389" t="s">
        <v>814</v>
      </c>
      <c r="E137" s="294" t="s">
        <v>761</v>
      </c>
      <c r="F137" s="225" t="s">
        <v>714</v>
      </c>
      <c r="G137" s="225">
        <f t="shared" si="28"/>
        <v>350000</v>
      </c>
      <c r="H137" s="225">
        <f>'dod4'!F12</f>
        <v>260000</v>
      </c>
      <c r="I137" s="154">
        <f>'dod4'!G12</f>
        <v>90000</v>
      </c>
      <c r="J137" s="225">
        <f>'dod4'!H12</f>
        <v>0</v>
      </c>
    </row>
    <row r="138" spans="1:13" ht="91.5" hidden="1" x14ac:dyDescent="0.2">
      <c r="A138" s="273" t="s">
        <v>639</v>
      </c>
      <c r="B138" s="278" t="s">
        <v>601</v>
      </c>
      <c r="C138" s="278" t="s">
        <v>71</v>
      </c>
      <c r="D138" s="278" t="s">
        <v>602</v>
      </c>
      <c r="E138" s="279"/>
      <c r="F138" s="275"/>
      <c r="G138" s="275"/>
      <c r="H138" s="275"/>
      <c r="I138" s="276"/>
      <c r="J138" s="274"/>
    </row>
    <row r="139" spans="1:13" ht="180" x14ac:dyDescent="0.2">
      <c r="A139" s="296" t="s">
        <v>244</v>
      </c>
      <c r="B139" s="296"/>
      <c r="C139" s="296"/>
      <c r="D139" s="296" t="s">
        <v>42</v>
      </c>
      <c r="E139" s="302"/>
      <c r="F139" s="301"/>
      <c r="G139" s="302">
        <f>G140</f>
        <v>480577299.79000002</v>
      </c>
      <c r="H139" s="302">
        <f t="shared" ref="H139:J139" si="29">H140</f>
        <v>260839789</v>
      </c>
      <c r="I139" s="302">
        <f t="shared" si="29"/>
        <v>219737510.79000002</v>
      </c>
      <c r="J139" s="302">
        <f t="shared" si="29"/>
        <v>219706267.31</v>
      </c>
      <c r="K139" s="202" t="b">
        <f>H139='dod3'!E124-'dod3'!E126+160000</f>
        <v>1</v>
      </c>
      <c r="L139" s="202" t="b">
        <f>I139='dod3'!J125-'dod3'!J126-'dod3'!Q142</f>
        <v>1</v>
      </c>
      <c r="M139" s="203" t="b">
        <f>J139='dod3'!K125-'dod3'!K126</f>
        <v>1</v>
      </c>
    </row>
    <row r="140" spans="1:13" ht="180" x14ac:dyDescent="0.2">
      <c r="A140" s="299" t="s">
        <v>245</v>
      </c>
      <c r="B140" s="299"/>
      <c r="C140" s="299"/>
      <c r="D140" s="299" t="s">
        <v>63</v>
      </c>
      <c r="E140" s="301"/>
      <c r="F140" s="301"/>
      <c r="G140" s="301">
        <f>SUM(G141:G170)</f>
        <v>480577299.79000002</v>
      </c>
      <c r="H140" s="301">
        <f t="shared" ref="H140:J140" si="30">SUM(H141:H170)</f>
        <v>260839789</v>
      </c>
      <c r="I140" s="301">
        <f t="shared" si="30"/>
        <v>219737510.79000002</v>
      </c>
      <c r="J140" s="301">
        <f t="shared" si="30"/>
        <v>219706267.31</v>
      </c>
    </row>
    <row r="141" spans="1:13" ht="228.75" x14ac:dyDescent="0.2">
      <c r="A141" s="270" t="s">
        <v>743</v>
      </c>
      <c r="B141" s="270" t="s">
        <v>341</v>
      </c>
      <c r="C141" s="270" t="s">
        <v>339</v>
      </c>
      <c r="D141" s="270" t="s">
        <v>340</v>
      </c>
      <c r="E141" s="294" t="s">
        <v>746</v>
      </c>
      <c r="F141" s="225" t="s">
        <v>745</v>
      </c>
      <c r="G141" s="111">
        <f t="shared" ref="G141:G142" si="31">H141+I141</f>
        <v>160000</v>
      </c>
      <c r="H141" s="272">
        <v>160000</v>
      </c>
      <c r="I141" s="272">
        <v>0</v>
      </c>
      <c r="J141" s="272">
        <v>0</v>
      </c>
    </row>
    <row r="142" spans="1:13" ht="232.5" x14ac:dyDescent="0.2">
      <c r="A142" s="270" t="s">
        <v>843</v>
      </c>
      <c r="B142" s="270" t="s">
        <v>71</v>
      </c>
      <c r="C142" s="270" t="s">
        <v>70</v>
      </c>
      <c r="D142" s="270" t="s">
        <v>354</v>
      </c>
      <c r="E142" s="111" t="s">
        <v>728</v>
      </c>
      <c r="F142" s="323" t="s">
        <v>732</v>
      </c>
      <c r="G142" s="111">
        <f t="shared" si="31"/>
        <v>49300</v>
      </c>
      <c r="H142" s="272">
        <f>'dod3'!E127</f>
        <v>49300</v>
      </c>
      <c r="I142" s="272">
        <f>'dod3'!J127</f>
        <v>0</v>
      </c>
      <c r="J142" s="272">
        <f>'dod3'!K127</f>
        <v>0</v>
      </c>
    </row>
    <row r="143" spans="1:13" ht="232.5" x14ac:dyDescent="0.2">
      <c r="A143" s="422" t="s">
        <v>417</v>
      </c>
      <c r="B143" s="422" t="s">
        <v>418</v>
      </c>
      <c r="C143" s="422" t="s">
        <v>542</v>
      </c>
      <c r="D143" s="422" t="s">
        <v>419</v>
      </c>
      <c r="E143" s="111" t="s">
        <v>728</v>
      </c>
      <c r="F143" s="323" t="s">
        <v>732</v>
      </c>
      <c r="G143" s="483">
        <f>H143+I143</f>
        <v>4600000</v>
      </c>
      <c r="H143" s="483">
        <f>'dod3'!E128-H144</f>
        <v>50000</v>
      </c>
      <c r="I143" s="487">
        <f>'dod3'!J128-I144</f>
        <v>4550000</v>
      </c>
      <c r="J143" s="416">
        <f>'dod3'!K128-J144</f>
        <v>4550000</v>
      </c>
    </row>
    <row r="144" spans="1:13" ht="228.75" x14ac:dyDescent="0.2">
      <c r="A144" s="484"/>
      <c r="B144" s="484"/>
      <c r="C144" s="484"/>
      <c r="D144" s="484"/>
      <c r="E144" s="323" t="s">
        <v>729</v>
      </c>
      <c r="F144" s="323" t="s">
        <v>733</v>
      </c>
      <c r="G144" s="492"/>
      <c r="H144" s="492"/>
      <c r="I144" s="494"/>
      <c r="J144" s="490"/>
    </row>
    <row r="145" spans="1:10" ht="228.75" x14ac:dyDescent="0.2">
      <c r="A145" s="484"/>
      <c r="B145" s="484"/>
      <c r="C145" s="484"/>
      <c r="D145" s="484"/>
      <c r="E145" s="323" t="s">
        <v>956</v>
      </c>
      <c r="F145" s="323" t="s">
        <v>957</v>
      </c>
      <c r="G145" s="492"/>
      <c r="H145" s="492"/>
      <c r="I145" s="494"/>
      <c r="J145" s="490"/>
    </row>
    <row r="146" spans="1:10" ht="228.75" x14ac:dyDescent="0.2">
      <c r="A146" s="428"/>
      <c r="B146" s="428"/>
      <c r="C146" s="428"/>
      <c r="D146" s="428"/>
      <c r="E146" s="323" t="s">
        <v>958</v>
      </c>
      <c r="F146" s="323" t="s">
        <v>959</v>
      </c>
      <c r="G146" s="493"/>
      <c r="H146" s="493"/>
      <c r="I146" s="495"/>
      <c r="J146" s="491"/>
    </row>
    <row r="147" spans="1:10" ht="232.5" x14ac:dyDescent="0.2">
      <c r="A147" s="270" t="s">
        <v>641</v>
      </c>
      <c r="B147" s="270" t="s">
        <v>642</v>
      </c>
      <c r="C147" s="270" t="s">
        <v>420</v>
      </c>
      <c r="D147" s="270" t="s">
        <v>643</v>
      </c>
      <c r="E147" s="111" t="s">
        <v>728</v>
      </c>
      <c r="F147" s="323" t="s">
        <v>732</v>
      </c>
      <c r="G147" s="111">
        <f t="shared" ref="G147:G160" si="32">H147+I147</f>
        <v>18000000</v>
      </c>
      <c r="H147" s="111">
        <f>'dod3'!E129</f>
        <v>18000000</v>
      </c>
      <c r="I147" s="154">
        <f>'dod3'!J129</f>
        <v>0</v>
      </c>
      <c r="J147" s="225">
        <f>'dod3'!K129</f>
        <v>0</v>
      </c>
    </row>
    <row r="148" spans="1:10" ht="232.5" x14ac:dyDescent="0.2">
      <c r="A148" s="270" t="s">
        <v>424</v>
      </c>
      <c r="B148" s="270" t="s">
        <v>425</v>
      </c>
      <c r="C148" s="270" t="s">
        <v>420</v>
      </c>
      <c r="D148" s="270" t="s">
        <v>426</v>
      </c>
      <c r="E148" s="111" t="s">
        <v>728</v>
      </c>
      <c r="F148" s="323" t="s">
        <v>732</v>
      </c>
      <c r="G148" s="111">
        <f t="shared" si="32"/>
        <v>10553700</v>
      </c>
      <c r="H148" s="111">
        <f>'dod3'!E130</f>
        <v>10553700</v>
      </c>
      <c r="I148" s="154">
        <f>'dod3'!J130</f>
        <v>0</v>
      </c>
      <c r="J148" s="225">
        <f>'dod3'!K130</f>
        <v>0</v>
      </c>
    </row>
    <row r="149" spans="1:10" ht="232.5" x14ac:dyDescent="0.2">
      <c r="A149" s="270" t="s">
        <v>447</v>
      </c>
      <c r="B149" s="270" t="s">
        <v>448</v>
      </c>
      <c r="C149" s="270" t="s">
        <v>420</v>
      </c>
      <c r="D149" s="270" t="s">
        <v>449</v>
      </c>
      <c r="E149" s="111" t="s">
        <v>728</v>
      </c>
      <c r="F149" s="323" t="s">
        <v>732</v>
      </c>
      <c r="G149" s="111">
        <f t="shared" si="32"/>
        <v>5000000</v>
      </c>
      <c r="H149" s="111">
        <f>'dod3'!E131</f>
        <v>0</v>
      </c>
      <c r="I149" s="154">
        <f>'dod3'!J131</f>
        <v>5000000</v>
      </c>
      <c r="J149" s="225">
        <f>'dod3'!K131</f>
        <v>5000000</v>
      </c>
    </row>
    <row r="150" spans="1:10" ht="232.5" x14ac:dyDescent="0.2">
      <c r="A150" s="270" t="s">
        <v>421</v>
      </c>
      <c r="B150" s="270" t="s">
        <v>422</v>
      </c>
      <c r="C150" s="270" t="s">
        <v>420</v>
      </c>
      <c r="D150" s="270" t="s">
        <v>423</v>
      </c>
      <c r="E150" s="111" t="s">
        <v>728</v>
      </c>
      <c r="F150" s="323" t="s">
        <v>732</v>
      </c>
      <c r="G150" s="111">
        <f t="shared" si="32"/>
        <v>24000000</v>
      </c>
      <c r="H150" s="111">
        <f>'dod3'!E132-H151</f>
        <v>0</v>
      </c>
      <c r="I150" s="154">
        <f>'dod3'!J132-I151</f>
        <v>24000000</v>
      </c>
      <c r="J150" s="225">
        <f>'dod3'!K132-J151</f>
        <v>24000000</v>
      </c>
    </row>
    <row r="151" spans="1:10" ht="228.75" x14ac:dyDescent="0.2">
      <c r="A151" s="270" t="s">
        <v>421</v>
      </c>
      <c r="B151" s="270" t="s">
        <v>422</v>
      </c>
      <c r="C151" s="270" t="s">
        <v>420</v>
      </c>
      <c r="D151" s="270" t="s">
        <v>423</v>
      </c>
      <c r="E151" s="294" t="s">
        <v>752</v>
      </c>
      <c r="F151" s="323" t="s">
        <v>751</v>
      </c>
      <c r="G151" s="111">
        <f t="shared" si="32"/>
        <v>271028</v>
      </c>
      <c r="H151" s="111"/>
      <c r="I151" s="154">
        <v>271028</v>
      </c>
      <c r="J151" s="225">
        <v>271028</v>
      </c>
    </row>
    <row r="152" spans="1:10" ht="232.5" x14ac:dyDescent="0.2">
      <c r="A152" s="270" t="s">
        <v>441</v>
      </c>
      <c r="B152" s="270" t="s">
        <v>442</v>
      </c>
      <c r="C152" s="270" t="s">
        <v>420</v>
      </c>
      <c r="D152" s="270" t="s">
        <v>443</v>
      </c>
      <c r="E152" s="111" t="s">
        <v>728</v>
      </c>
      <c r="F152" s="323" t="s">
        <v>732</v>
      </c>
      <c r="G152" s="111">
        <f t="shared" si="32"/>
        <v>470575</v>
      </c>
      <c r="H152" s="111">
        <f>'dod3'!E133</f>
        <v>470575</v>
      </c>
      <c r="I152" s="154">
        <f>'dod3'!J133</f>
        <v>0</v>
      </c>
      <c r="J152" s="225">
        <f>'dod3'!K133</f>
        <v>0</v>
      </c>
    </row>
    <row r="153" spans="1:10" ht="194.25" customHeight="1" x14ac:dyDescent="0.2">
      <c r="A153" s="422" t="s">
        <v>427</v>
      </c>
      <c r="B153" s="422" t="s">
        <v>428</v>
      </c>
      <c r="C153" s="422" t="s">
        <v>420</v>
      </c>
      <c r="D153" s="422" t="s">
        <v>429</v>
      </c>
      <c r="E153" s="111" t="s">
        <v>728</v>
      </c>
      <c r="F153" s="323" t="s">
        <v>732</v>
      </c>
      <c r="G153" s="483">
        <f t="shared" si="32"/>
        <v>141452901</v>
      </c>
      <c r="H153" s="483">
        <f>'dod3'!E134</f>
        <v>119082180</v>
      </c>
      <c r="I153" s="483">
        <f>'dod3'!J134</f>
        <v>22370721</v>
      </c>
      <c r="J153" s="483">
        <f>'dod3'!K134</f>
        <v>22370721</v>
      </c>
    </row>
    <row r="154" spans="1:10" ht="232.5" x14ac:dyDescent="0.2">
      <c r="A154" s="403"/>
      <c r="B154" s="403"/>
      <c r="C154" s="403"/>
      <c r="D154" s="403"/>
      <c r="E154" s="111" t="s">
        <v>958</v>
      </c>
      <c r="F154" s="323" t="s">
        <v>959</v>
      </c>
      <c r="G154" s="403"/>
      <c r="H154" s="403"/>
      <c r="I154" s="403"/>
      <c r="J154" s="403"/>
    </row>
    <row r="155" spans="1:10" ht="232.5" x14ac:dyDescent="0.2">
      <c r="A155" s="270" t="s">
        <v>451</v>
      </c>
      <c r="B155" s="270" t="s">
        <v>452</v>
      </c>
      <c r="C155" s="270" t="s">
        <v>450</v>
      </c>
      <c r="D155" s="270" t="s">
        <v>453</v>
      </c>
      <c r="E155" s="111" t="s">
        <v>728</v>
      </c>
      <c r="F155" s="323" t="s">
        <v>732</v>
      </c>
      <c r="G155" s="111">
        <f t="shared" si="32"/>
        <v>8428600</v>
      </c>
      <c r="H155" s="111">
        <f>'dod3'!E135</f>
        <v>0</v>
      </c>
      <c r="I155" s="154">
        <f>'dod3'!J135</f>
        <v>8428600</v>
      </c>
      <c r="J155" s="225">
        <f>'dod3'!K135</f>
        <v>8428600</v>
      </c>
    </row>
    <row r="156" spans="1:10" ht="232.5" x14ac:dyDescent="0.2">
      <c r="A156" s="270" t="s">
        <v>870</v>
      </c>
      <c r="B156" s="270" t="s">
        <v>572</v>
      </c>
      <c r="C156" s="270" t="s">
        <v>256</v>
      </c>
      <c r="D156" s="270" t="s">
        <v>398</v>
      </c>
      <c r="E156" s="111" t="s">
        <v>728</v>
      </c>
      <c r="F156" s="323" t="s">
        <v>732</v>
      </c>
      <c r="G156" s="111">
        <f t="shared" si="32"/>
        <v>30278000</v>
      </c>
      <c r="H156" s="111">
        <f>'dod3'!E136</f>
        <v>0</v>
      </c>
      <c r="I156" s="154">
        <f>'dod3'!J136</f>
        <v>30278000</v>
      </c>
      <c r="J156" s="225">
        <f>'dod3'!K136</f>
        <v>30278000</v>
      </c>
    </row>
    <row r="157" spans="1:10" ht="232.5" x14ac:dyDescent="0.2">
      <c r="A157" s="270" t="s">
        <v>722</v>
      </c>
      <c r="B157" s="270" t="s">
        <v>723</v>
      </c>
      <c r="C157" s="270" t="s">
        <v>724</v>
      </c>
      <c r="D157" s="270" t="s">
        <v>725</v>
      </c>
      <c r="E157" s="111" t="s">
        <v>728</v>
      </c>
      <c r="F157" s="323" t="s">
        <v>732</v>
      </c>
      <c r="G157" s="111">
        <f t="shared" si="32"/>
        <v>16387634</v>
      </c>
      <c r="H157" s="111">
        <f>'dod3'!E137</f>
        <v>16387634</v>
      </c>
      <c r="I157" s="154">
        <f>'dod3'!J137</f>
        <v>0</v>
      </c>
      <c r="J157" s="225">
        <f>'dod3'!K137</f>
        <v>0</v>
      </c>
    </row>
    <row r="158" spans="1:10" ht="183" x14ac:dyDescent="0.2">
      <c r="A158" s="270" t="s">
        <v>430</v>
      </c>
      <c r="B158" s="270" t="s">
        <v>431</v>
      </c>
      <c r="C158" s="270" t="s">
        <v>433</v>
      </c>
      <c r="D158" s="270" t="s">
        <v>432</v>
      </c>
      <c r="E158" s="340" t="s">
        <v>730</v>
      </c>
      <c r="F158" s="323" t="s">
        <v>735</v>
      </c>
      <c r="G158" s="111">
        <f t="shared" si="32"/>
        <v>25850135</v>
      </c>
      <c r="H158" s="111">
        <f>'dod3'!E138</f>
        <v>25850135</v>
      </c>
      <c r="I158" s="154">
        <f>'dod3'!J138</f>
        <v>0</v>
      </c>
      <c r="J158" s="225">
        <f>'dod3'!K138</f>
        <v>0</v>
      </c>
    </row>
    <row r="159" spans="1:10" ht="232.5" x14ac:dyDescent="0.2">
      <c r="A159" s="270" t="s">
        <v>434</v>
      </c>
      <c r="B159" s="270" t="s">
        <v>435</v>
      </c>
      <c r="C159" s="270" t="s">
        <v>437</v>
      </c>
      <c r="D159" s="270" t="s">
        <v>436</v>
      </c>
      <c r="E159" s="111" t="s">
        <v>728</v>
      </c>
      <c r="F159" s="323" t="s">
        <v>732</v>
      </c>
      <c r="G159" s="111">
        <f t="shared" si="32"/>
        <v>152183444.11000001</v>
      </c>
      <c r="H159" s="111">
        <f>'dod3'!E139</f>
        <v>68735275</v>
      </c>
      <c r="I159" s="154">
        <f>'dod3'!J139</f>
        <v>83448169.109999999</v>
      </c>
      <c r="J159" s="225">
        <f>'dod3'!K139</f>
        <v>83416925.629999995</v>
      </c>
    </row>
    <row r="160" spans="1:10" ht="228.75" x14ac:dyDescent="0.2">
      <c r="A160" s="422" t="s">
        <v>438</v>
      </c>
      <c r="B160" s="422" t="s">
        <v>317</v>
      </c>
      <c r="C160" s="422" t="s">
        <v>318</v>
      </c>
      <c r="D160" s="422" t="s">
        <v>67</v>
      </c>
      <c r="E160" s="219" t="s">
        <v>728</v>
      </c>
      <c r="F160" s="323" t="s">
        <v>732</v>
      </c>
      <c r="G160" s="483">
        <f t="shared" si="32"/>
        <v>250000</v>
      </c>
      <c r="H160" s="483">
        <f>'dod3'!E140</f>
        <v>250000</v>
      </c>
      <c r="I160" s="487"/>
      <c r="J160" s="416"/>
    </row>
    <row r="161" spans="1:13" ht="232.5" x14ac:dyDescent="0.2">
      <c r="A161" s="484"/>
      <c r="B161" s="484"/>
      <c r="C161" s="484"/>
      <c r="D161" s="484"/>
      <c r="E161" s="111" t="s">
        <v>958</v>
      </c>
      <c r="F161" s="323" t="s">
        <v>959</v>
      </c>
      <c r="G161" s="492"/>
      <c r="H161" s="492"/>
      <c r="I161" s="494"/>
      <c r="J161" s="490"/>
    </row>
    <row r="162" spans="1:13" ht="409.5" x14ac:dyDescent="0.2">
      <c r="A162" s="403"/>
      <c r="B162" s="403"/>
      <c r="C162" s="403"/>
      <c r="D162" s="403"/>
      <c r="E162" s="339" t="s">
        <v>734</v>
      </c>
      <c r="F162" s="219" t="s">
        <v>736</v>
      </c>
      <c r="G162" s="403"/>
      <c r="H162" s="403"/>
      <c r="I162" s="403"/>
      <c r="J162" s="403"/>
    </row>
    <row r="163" spans="1:13" ht="114" hidden="1" customHeight="1" x14ac:dyDescent="0.2">
      <c r="A163" s="270"/>
      <c r="B163" s="270"/>
      <c r="C163" s="270"/>
      <c r="D163" s="270"/>
      <c r="E163" s="219"/>
      <c r="F163" s="219"/>
      <c r="G163" s="404">
        <f>H164+I164</f>
        <v>1000000</v>
      </c>
      <c r="H163" s="111"/>
      <c r="I163" s="154"/>
      <c r="J163" s="225"/>
    </row>
    <row r="164" spans="1:13" ht="409.5" x14ac:dyDescent="0.2">
      <c r="A164" s="422" t="s">
        <v>438</v>
      </c>
      <c r="B164" s="422" t="s">
        <v>317</v>
      </c>
      <c r="C164" s="422" t="s">
        <v>318</v>
      </c>
      <c r="D164" s="422" t="s">
        <v>67</v>
      </c>
      <c r="E164" s="323" t="s">
        <v>737</v>
      </c>
      <c r="F164" s="219" t="s">
        <v>820</v>
      </c>
      <c r="G164" s="503"/>
      <c r="H164" s="404"/>
      <c r="I164" s="404">
        <v>1000000</v>
      </c>
      <c r="J164" s="404">
        <v>1000000</v>
      </c>
    </row>
    <row r="165" spans="1:13" ht="232.5" x14ac:dyDescent="0.2">
      <c r="A165" s="403"/>
      <c r="B165" s="403"/>
      <c r="C165" s="403"/>
      <c r="D165" s="403"/>
      <c r="E165" s="111" t="s">
        <v>958</v>
      </c>
      <c r="F165" s="323" t="s">
        <v>959</v>
      </c>
      <c r="G165" s="420"/>
      <c r="H165" s="503"/>
      <c r="I165" s="503"/>
      <c r="J165" s="503"/>
    </row>
    <row r="166" spans="1:13" ht="409.6" customHeight="1" x14ac:dyDescent="0.2">
      <c r="A166" s="422" t="s">
        <v>438</v>
      </c>
      <c r="B166" s="422" t="s">
        <v>317</v>
      </c>
      <c r="C166" s="422" t="s">
        <v>318</v>
      </c>
      <c r="D166" s="422" t="s">
        <v>67</v>
      </c>
      <c r="E166" s="338" t="s">
        <v>731</v>
      </c>
      <c r="F166" s="323" t="s">
        <v>821</v>
      </c>
      <c r="G166" s="404">
        <f>H166+I166</f>
        <v>250000</v>
      </c>
      <c r="H166" s="404"/>
      <c r="I166" s="404">
        <v>250000</v>
      </c>
      <c r="J166" s="404">
        <v>250000</v>
      </c>
    </row>
    <row r="167" spans="1:13" ht="232.5" x14ac:dyDescent="0.2">
      <c r="A167" s="403"/>
      <c r="B167" s="403"/>
      <c r="C167" s="403"/>
      <c r="D167" s="403"/>
      <c r="E167" s="111" t="s">
        <v>958</v>
      </c>
      <c r="F167" s="323" t="s">
        <v>959</v>
      </c>
      <c r="G167" s="503"/>
      <c r="H167" s="503"/>
      <c r="I167" s="503"/>
      <c r="J167" s="503"/>
    </row>
    <row r="168" spans="1:13" ht="232.5" x14ac:dyDescent="0.2">
      <c r="A168" s="270" t="s">
        <v>455</v>
      </c>
      <c r="B168" s="270" t="s">
        <v>293</v>
      </c>
      <c r="C168" s="270" t="s">
        <v>256</v>
      </c>
      <c r="D168" s="270" t="s">
        <v>57</v>
      </c>
      <c r="E168" s="111" t="s">
        <v>728</v>
      </c>
      <c r="F168" s="323" t="s">
        <v>732</v>
      </c>
      <c r="G168" s="111">
        <f>H168+I168</f>
        <v>40140992.68</v>
      </c>
      <c r="H168" s="111">
        <f>'dod3'!E141</f>
        <v>0</v>
      </c>
      <c r="I168" s="154">
        <f>'dod3'!J141</f>
        <v>40140992.68</v>
      </c>
      <c r="J168" s="225">
        <f>'dod3'!K141</f>
        <v>40140992.68</v>
      </c>
    </row>
    <row r="169" spans="1:13" ht="232.5" x14ac:dyDescent="0.2">
      <c r="A169" s="270" t="s">
        <v>439</v>
      </c>
      <c r="B169" s="270" t="s">
        <v>440</v>
      </c>
      <c r="C169" s="270" t="s">
        <v>387</v>
      </c>
      <c r="D169" s="270" t="s">
        <v>540</v>
      </c>
      <c r="E169" s="111" t="s">
        <v>728</v>
      </c>
      <c r="F169" s="323" t="s">
        <v>732</v>
      </c>
      <c r="G169" s="111">
        <f>H169+I169</f>
        <v>0</v>
      </c>
      <c r="H169" s="111"/>
      <c r="I169" s="154">
        <f t="shared" ref="I169" si="33">J169</f>
        <v>0</v>
      </c>
      <c r="J169" s="271"/>
    </row>
    <row r="170" spans="1:13" ht="409.5" x14ac:dyDescent="0.2">
      <c r="A170" s="270" t="s">
        <v>385</v>
      </c>
      <c r="B170" s="270" t="s">
        <v>386</v>
      </c>
      <c r="C170" s="270" t="s">
        <v>387</v>
      </c>
      <c r="D170" s="270" t="s">
        <v>384</v>
      </c>
      <c r="E170" s="323" t="s">
        <v>810</v>
      </c>
      <c r="F170" s="323" t="s">
        <v>738</v>
      </c>
      <c r="G170" s="111">
        <f>H170+I170</f>
        <v>1250990</v>
      </c>
      <c r="H170" s="111">
        <f>'dod3'!E144</f>
        <v>1250990</v>
      </c>
      <c r="I170" s="154">
        <f>'dod3'!J144</f>
        <v>0</v>
      </c>
      <c r="J170" s="225">
        <f>'dod3'!K144</f>
        <v>0</v>
      </c>
    </row>
    <row r="171" spans="1:13" ht="315" x14ac:dyDescent="0.2">
      <c r="A171" s="296" t="s">
        <v>44</v>
      </c>
      <c r="B171" s="296"/>
      <c r="C171" s="296"/>
      <c r="D171" s="296" t="s">
        <v>635</v>
      </c>
      <c r="E171" s="302"/>
      <c r="F171" s="302"/>
      <c r="G171" s="302">
        <f>G172</f>
        <v>73387300</v>
      </c>
      <c r="H171" s="302">
        <f>H172</f>
        <v>610700</v>
      </c>
      <c r="I171" s="302">
        <f>I172</f>
        <v>72776600</v>
      </c>
      <c r="J171" s="302">
        <f>J172</f>
        <v>72776600</v>
      </c>
    </row>
    <row r="172" spans="1:13" ht="270" x14ac:dyDescent="0.2">
      <c r="A172" s="299" t="s">
        <v>45</v>
      </c>
      <c r="B172" s="299"/>
      <c r="C172" s="299"/>
      <c r="D172" s="299" t="s">
        <v>634</v>
      </c>
      <c r="E172" s="301"/>
      <c r="F172" s="301"/>
      <c r="G172" s="301">
        <f>G176+G177+G178+G174+G175+G179+G173</f>
        <v>73387300</v>
      </c>
      <c r="H172" s="301">
        <f>H176+H177+H178+H174+H175+H179+H173</f>
        <v>610700</v>
      </c>
      <c r="I172" s="301">
        <f>I176+I177+I178+I174+I175+I179+I173</f>
        <v>72776600</v>
      </c>
      <c r="J172" s="301">
        <f>J176+J177+J178+J174+J175+J179+J173</f>
        <v>72776600</v>
      </c>
      <c r="K172" s="202" t="b">
        <f>H172='dod3'!E146-'dod3'!E147+55000</f>
        <v>1</v>
      </c>
      <c r="L172" s="202" t="b">
        <f>I172='dod3'!J146</f>
        <v>1</v>
      </c>
      <c r="M172" s="203" t="b">
        <f>J172='dod3'!K146</f>
        <v>1</v>
      </c>
    </row>
    <row r="173" spans="1:13" ht="228.75" x14ac:dyDescent="0.2">
      <c r="A173" s="270" t="s">
        <v>739</v>
      </c>
      <c r="B173" s="270" t="s">
        <v>341</v>
      </c>
      <c r="C173" s="270" t="s">
        <v>339</v>
      </c>
      <c r="D173" s="270" t="s">
        <v>340</v>
      </c>
      <c r="E173" s="294" t="s">
        <v>746</v>
      </c>
      <c r="F173" s="225" t="s">
        <v>745</v>
      </c>
      <c r="G173" s="225">
        <f>H173+I173</f>
        <v>65400</v>
      </c>
      <c r="H173" s="225">
        <v>55000</v>
      </c>
      <c r="I173" s="225">
        <v>10400</v>
      </c>
      <c r="J173" s="225">
        <v>10400</v>
      </c>
      <c r="K173" s="354"/>
      <c r="L173" s="354"/>
      <c r="M173" s="353"/>
    </row>
    <row r="174" spans="1:13" ht="137.25" x14ac:dyDescent="0.2">
      <c r="A174" s="270" t="s">
        <v>840</v>
      </c>
      <c r="B174" s="270" t="s">
        <v>71</v>
      </c>
      <c r="C174" s="270" t="s">
        <v>70</v>
      </c>
      <c r="D174" s="270" t="s">
        <v>354</v>
      </c>
      <c r="E174" s="294" t="s">
        <v>818</v>
      </c>
      <c r="F174" s="295" t="s">
        <v>819</v>
      </c>
      <c r="G174" s="225">
        <f>H174+I174</f>
        <v>555700</v>
      </c>
      <c r="H174" s="225">
        <f>'dod3'!E148</f>
        <v>555700</v>
      </c>
      <c r="I174" s="225">
        <f>'dod3'!J148</f>
        <v>0</v>
      </c>
      <c r="J174" s="225">
        <f>'dod3'!K148</f>
        <v>0</v>
      </c>
    </row>
    <row r="175" spans="1:13" ht="320.25" x14ac:dyDescent="0.2">
      <c r="A175" s="270" t="s">
        <v>846</v>
      </c>
      <c r="B175" s="270" t="s">
        <v>848</v>
      </c>
      <c r="C175" s="270" t="s">
        <v>291</v>
      </c>
      <c r="D175" s="270" t="s">
        <v>847</v>
      </c>
      <c r="E175" s="294" t="s">
        <v>818</v>
      </c>
      <c r="F175" s="295" t="s">
        <v>819</v>
      </c>
      <c r="G175" s="225">
        <f>H175+I175</f>
        <v>8500000</v>
      </c>
      <c r="H175" s="225">
        <f>'dod3'!E149</f>
        <v>0</v>
      </c>
      <c r="I175" s="225">
        <f>'dod3'!J149</f>
        <v>8500000</v>
      </c>
      <c r="J175" s="225">
        <f>'dod3'!K149</f>
        <v>8500000</v>
      </c>
    </row>
    <row r="176" spans="1:13" ht="137.25" x14ac:dyDescent="0.2">
      <c r="A176" s="351" t="s">
        <v>469</v>
      </c>
      <c r="B176" s="351" t="s">
        <v>470</v>
      </c>
      <c r="C176" s="351" t="s">
        <v>450</v>
      </c>
      <c r="D176" s="351" t="s">
        <v>468</v>
      </c>
      <c r="E176" s="294" t="s">
        <v>818</v>
      </c>
      <c r="F176" s="295" t="s">
        <v>819</v>
      </c>
      <c r="G176" s="225">
        <f>I176</f>
        <v>23700000</v>
      </c>
      <c r="H176" s="225"/>
      <c r="I176" s="225">
        <f>'dod3'!J150</f>
        <v>23700000</v>
      </c>
      <c r="J176" s="350">
        <f>I176</f>
        <v>23700000</v>
      </c>
    </row>
    <row r="177" spans="1:13" ht="137.25" x14ac:dyDescent="0.2">
      <c r="A177" s="351" t="s">
        <v>471</v>
      </c>
      <c r="B177" s="351" t="s">
        <v>472</v>
      </c>
      <c r="C177" s="351" t="s">
        <v>450</v>
      </c>
      <c r="D177" s="351" t="s">
        <v>473</v>
      </c>
      <c r="E177" s="294" t="s">
        <v>818</v>
      </c>
      <c r="F177" s="295" t="s">
        <v>819</v>
      </c>
      <c r="G177" s="225">
        <f t="shared" ref="G177:G178" si="34">I177</f>
        <v>1400000</v>
      </c>
      <c r="H177" s="225"/>
      <c r="I177" s="225">
        <f>'dod3'!J151</f>
        <v>1400000</v>
      </c>
      <c r="J177" s="350">
        <f>I177</f>
        <v>1400000</v>
      </c>
    </row>
    <row r="178" spans="1:13" ht="137.25" x14ac:dyDescent="0.2">
      <c r="A178" s="270" t="s">
        <v>475</v>
      </c>
      <c r="B178" s="270" t="s">
        <v>476</v>
      </c>
      <c r="C178" s="270" t="s">
        <v>450</v>
      </c>
      <c r="D178" s="270" t="s">
        <v>813</v>
      </c>
      <c r="E178" s="294" t="s">
        <v>818</v>
      </c>
      <c r="F178" s="295" t="s">
        <v>819</v>
      </c>
      <c r="G178" s="225">
        <f t="shared" si="34"/>
        <v>13166200</v>
      </c>
      <c r="H178" s="225"/>
      <c r="I178" s="225">
        <f>'dod3'!J152</f>
        <v>13166200</v>
      </c>
      <c r="J178" s="225">
        <f>I178</f>
        <v>13166200</v>
      </c>
    </row>
    <row r="179" spans="1:13" ht="137.25" x14ac:dyDescent="0.2">
      <c r="A179" s="270" t="s">
        <v>845</v>
      </c>
      <c r="B179" s="270" t="s">
        <v>572</v>
      </c>
      <c r="C179" s="270" t="s">
        <v>256</v>
      </c>
      <c r="D179" s="270" t="s">
        <v>398</v>
      </c>
      <c r="E179" s="294" t="s">
        <v>818</v>
      </c>
      <c r="F179" s="295" t="s">
        <v>819</v>
      </c>
      <c r="G179" s="225">
        <f>H179+I179</f>
        <v>26000000</v>
      </c>
      <c r="H179" s="225">
        <f>'dod3'!E153</f>
        <v>0</v>
      </c>
      <c r="I179" s="225">
        <f>'dod3'!J153</f>
        <v>26000000</v>
      </c>
      <c r="J179" s="225">
        <f>'dod3'!K153</f>
        <v>26000000</v>
      </c>
    </row>
    <row r="180" spans="1:13" ht="315" x14ac:dyDescent="0.2">
      <c r="A180" s="296" t="s">
        <v>246</v>
      </c>
      <c r="B180" s="296"/>
      <c r="C180" s="296"/>
      <c r="D180" s="296" t="s">
        <v>876</v>
      </c>
      <c r="E180" s="302"/>
      <c r="F180" s="302"/>
      <c r="G180" s="302">
        <f>G181</f>
        <v>555000</v>
      </c>
      <c r="H180" s="302">
        <f t="shared" ref="H180:J180" si="35">H181</f>
        <v>55000</v>
      </c>
      <c r="I180" s="302">
        <f t="shared" si="35"/>
        <v>500000</v>
      </c>
      <c r="J180" s="302">
        <f t="shared" si="35"/>
        <v>500000</v>
      </c>
    </row>
    <row r="181" spans="1:13" ht="315" x14ac:dyDescent="0.2">
      <c r="A181" s="299" t="s">
        <v>247</v>
      </c>
      <c r="B181" s="299"/>
      <c r="C181" s="299"/>
      <c r="D181" s="299" t="s">
        <v>877</v>
      </c>
      <c r="E181" s="301"/>
      <c r="F181" s="301"/>
      <c r="G181" s="301">
        <f>G183+G182</f>
        <v>555000</v>
      </c>
      <c r="H181" s="301">
        <f t="shared" ref="H181:J181" si="36">H183+H182</f>
        <v>55000</v>
      </c>
      <c r="I181" s="301">
        <f t="shared" si="36"/>
        <v>500000</v>
      </c>
      <c r="J181" s="301">
        <f t="shared" si="36"/>
        <v>500000</v>
      </c>
      <c r="K181" s="202" t="b">
        <f>H181='dod3'!E155-'dod3'!E156+55000</f>
        <v>1</v>
      </c>
      <c r="L181" s="202" t="b">
        <f>I181='dod3'!J155</f>
        <v>1</v>
      </c>
      <c r="M181" s="203" t="b">
        <f>J181='dod3'!K155</f>
        <v>1</v>
      </c>
    </row>
    <row r="182" spans="1:13" ht="228.75" x14ac:dyDescent="0.2">
      <c r="A182" s="270" t="s">
        <v>741</v>
      </c>
      <c r="B182" s="270" t="s">
        <v>341</v>
      </c>
      <c r="C182" s="270" t="s">
        <v>339</v>
      </c>
      <c r="D182" s="270" t="s">
        <v>340</v>
      </c>
      <c r="E182" s="294" t="s">
        <v>746</v>
      </c>
      <c r="F182" s="225" t="s">
        <v>745</v>
      </c>
      <c r="G182" s="225">
        <f>H182+I182</f>
        <v>55000</v>
      </c>
      <c r="H182" s="225">
        <v>55000</v>
      </c>
      <c r="I182" s="225"/>
      <c r="J182" s="225"/>
    </row>
    <row r="183" spans="1:13" ht="180.75" customHeight="1" x14ac:dyDescent="0.2">
      <c r="A183" s="270" t="s">
        <v>460</v>
      </c>
      <c r="B183" s="270" t="s">
        <v>461</v>
      </c>
      <c r="C183" s="270" t="s">
        <v>450</v>
      </c>
      <c r="D183" s="270" t="s">
        <v>462</v>
      </c>
      <c r="E183" s="294" t="s">
        <v>818</v>
      </c>
      <c r="F183" s="295" t="s">
        <v>819</v>
      </c>
      <c r="G183" s="225">
        <f>H183+I183</f>
        <v>500000</v>
      </c>
      <c r="H183" s="271"/>
      <c r="I183" s="225">
        <f>'dod3'!J157</f>
        <v>500000</v>
      </c>
      <c r="J183" s="225">
        <f>'dod3'!K157</f>
        <v>500000</v>
      </c>
    </row>
    <row r="184" spans="1:13" ht="135" x14ac:dyDescent="0.2">
      <c r="A184" s="296" t="s">
        <v>252</v>
      </c>
      <c r="B184" s="296"/>
      <c r="C184" s="296"/>
      <c r="D184" s="296" t="s">
        <v>577</v>
      </c>
      <c r="E184" s="302"/>
      <c r="F184" s="301"/>
      <c r="G184" s="302">
        <f>G185</f>
        <v>8469000</v>
      </c>
      <c r="H184" s="302">
        <f t="shared" ref="H184:J184" si="37">H185</f>
        <v>6199000</v>
      </c>
      <c r="I184" s="302">
        <f t="shared" si="37"/>
        <v>2270000</v>
      </c>
      <c r="J184" s="302">
        <f t="shared" si="37"/>
        <v>2270000</v>
      </c>
      <c r="K184" s="202" t="b">
        <f>H184='dod3'!E159</f>
        <v>1</v>
      </c>
      <c r="L184" s="202" t="b">
        <f>I184='dod3'!J159</f>
        <v>1</v>
      </c>
      <c r="M184" s="203" t="b">
        <f>J184='dod3'!K159</f>
        <v>1</v>
      </c>
    </row>
    <row r="185" spans="1:13" ht="135" x14ac:dyDescent="0.2">
      <c r="A185" s="299" t="s">
        <v>253</v>
      </c>
      <c r="B185" s="299"/>
      <c r="C185" s="299"/>
      <c r="D185" s="299" t="s">
        <v>578</v>
      </c>
      <c r="E185" s="301"/>
      <c r="F185" s="301"/>
      <c r="G185" s="301">
        <f>SUM(G186:G192)</f>
        <v>8469000</v>
      </c>
      <c r="H185" s="301">
        <f t="shared" ref="H185:J185" si="38">SUM(H186:H192)</f>
        <v>6199000</v>
      </c>
      <c r="I185" s="301">
        <f t="shared" si="38"/>
        <v>2270000</v>
      </c>
      <c r="J185" s="301">
        <f t="shared" si="38"/>
        <v>2270000</v>
      </c>
    </row>
    <row r="186" spans="1:13" ht="228.75" hidden="1" x14ac:dyDescent="0.2">
      <c r="A186" s="270" t="s">
        <v>571</v>
      </c>
      <c r="B186" s="270" t="s">
        <v>572</v>
      </c>
      <c r="C186" s="270" t="s">
        <v>256</v>
      </c>
      <c r="D186" s="270" t="s">
        <v>398</v>
      </c>
      <c r="E186" s="294" t="s">
        <v>752</v>
      </c>
      <c r="F186" s="323" t="s">
        <v>751</v>
      </c>
      <c r="G186" s="111">
        <f t="shared" ref="G186:G189" si="39">H186+I186</f>
        <v>0</v>
      </c>
      <c r="H186" s="225">
        <v>0</v>
      </c>
      <c r="I186" s="225">
        <f>(2000000)-2000000</f>
        <v>0</v>
      </c>
      <c r="J186" s="225">
        <f>(2000000)-2000000</f>
        <v>0</v>
      </c>
      <c r="K186" s="202" t="e">
        <f>H186+#REF!='dod3'!E160</f>
        <v>#REF!</v>
      </c>
      <c r="L186" s="202" t="e">
        <f>I186+#REF!='dod3'!J160</f>
        <v>#REF!</v>
      </c>
      <c r="M186" s="203" t="e">
        <f>J186+#REF!='dod3'!K160</f>
        <v>#REF!</v>
      </c>
    </row>
    <row r="187" spans="1:13" ht="183" x14ac:dyDescent="0.2">
      <c r="A187" s="270" t="s">
        <v>396</v>
      </c>
      <c r="B187" s="270" t="s">
        <v>397</v>
      </c>
      <c r="C187" s="270" t="s">
        <v>395</v>
      </c>
      <c r="D187" s="270" t="s">
        <v>394</v>
      </c>
      <c r="E187" s="294" t="s">
        <v>822</v>
      </c>
      <c r="F187" s="323" t="s">
        <v>823</v>
      </c>
      <c r="G187" s="111">
        <f>H187+I187</f>
        <v>3285000</v>
      </c>
      <c r="H187" s="225">
        <f>(2456650)-200000+828350</f>
        <v>3085000</v>
      </c>
      <c r="I187" s="225">
        <v>200000</v>
      </c>
      <c r="J187" s="225">
        <v>200000</v>
      </c>
      <c r="K187" s="202" t="b">
        <f>H187+H188='dod3'!E161</f>
        <v>1</v>
      </c>
      <c r="L187" s="202" t="b">
        <f>I187+I188='dod3'!J161</f>
        <v>1</v>
      </c>
      <c r="M187" s="203" t="b">
        <f>J187+J188='dod3'!K161</f>
        <v>1</v>
      </c>
    </row>
    <row r="188" spans="1:13" ht="137.25" x14ac:dyDescent="0.2">
      <c r="A188" s="270" t="s">
        <v>396</v>
      </c>
      <c r="B188" s="270" t="s">
        <v>397</v>
      </c>
      <c r="C188" s="270" t="s">
        <v>395</v>
      </c>
      <c r="D188" s="270" t="s">
        <v>394</v>
      </c>
      <c r="E188" s="294" t="s">
        <v>604</v>
      </c>
      <c r="F188" s="323" t="s">
        <v>753</v>
      </c>
      <c r="G188" s="111">
        <f t="shared" si="39"/>
        <v>770000</v>
      </c>
      <c r="H188" s="225">
        <v>200000</v>
      </c>
      <c r="I188" s="225">
        <v>570000</v>
      </c>
      <c r="J188" s="225">
        <v>570000</v>
      </c>
    </row>
    <row r="189" spans="1:13" ht="232.5" x14ac:dyDescent="0.2">
      <c r="A189" s="270" t="s">
        <v>388</v>
      </c>
      <c r="B189" s="270" t="s">
        <v>390</v>
      </c>
      <c r="C189" s="270" t="s">
        <v>318</v>
      </c>
      <c r="D189" s="270" t="s">
        <v>389</v>
      </c>
      <c r="E189" s="225" t="s">
        <v>754</v>
      </c>
      <c r="F189" s="323" t="s">
        <v>755</v>
      </c>
      <c r="G189" s="111">
        <f t="shared" si="39"/>
        <v>420000</v>
      </c>
      <c r="H189" s="225">
        <v>420000</v>
      </c>
      <c r="I189" s="225">
        <v>0</v>
      </c>
      <c r="J189" s="225">
        <v>0</v>
      </c>
      <c r="K189" s="202" t="b">
        <f>H189='dod3'!E162</f>
        <v>1</v>
      </c>
      <c r="L189" s="202" t="b">
        <f>I189='dod3'!J162</f>
        <v>1</v>
      </c>
      <c r="M189" s="203" t="b">
        <f>J189='dod3'!K162</f>
        <v>1</v>
      </c>
    </row>
    <row r="190" spans="1:13" ht="279" x14ac:dyDescent="0.2">
      <c r="A190" s="270" t="s">
        <v>392</v>
      </c>
      <c r="B190" s="270" t="s">
        <v>393</v>
      </c>
      <c r="C190" s="270" t="s">
        <v>256</v>
      </c>
      <c r="D190" s="270" t="s">
        <v>391</v>
      </c>
      <c r="E190" s="225" t="s">
        <v>824</v>
      </c>
      <c r="F190" s="323" t="s">
        <v>825</v>
      </c>
      <c r="G190" s="111">
        <f t="shared" ref="G190:G192" si="40">H190+I190</f>
        <v>1794000</v>
      </c>
      <c r="H190" s="225">
        <v>1794000</v>
      </c>
      <c r="I190" s="225">
        <v>0</v>
      </c>
      <c r="J190" s="225">
        <v>0</v>
      </c>
      <c r="K190" s="202" t="b">
        <f>'dod3'!E163=H190+H191</f>
        <v>1</v>
      </c>
      <c r="L190" s="202" t="b">
        <f>'dod3'!J163=I190+I191</f>
        <v>1</v>
      </c>
      <c r="M190" s="385" t="b">
        <f>'dod3'!K163=J190+J191</f>
        <v>1</v>
      </c>
    </row>
    <row r="191" spans="1:13" ht="232.5" x14ac:dyDescent="0.2">
      <c r="A191" s="270" t="s">
        <v>392</v>
      </c>
      <c r="B191" s="270" t="s">
        <v>393</v>
      </c>
      <c r="C191" s="270" t="s">
        <v>256</v>
      </c>
      <c r="D191" s="270" t="s">
        <v>391</v>
      </c>
      <c r="E191" s="225" t="s">
        <v>916</v>
      </c>
      <c r="F191" s="323" t="s">
        <v>915</v>
      </c>
      <c r="G191" s="111">
        <f t="shared" si="40"/>
        <v>900000</v>
      </c>
      <c r="H191" s="225">
        <f>800000-100000</f>
        <v>700000</v>
      </c>
      <c r="I191" s="225">
        <v>200000</v>
      </c>
      <c r="J191" s="225">
        <v>200000</v>
      </c>
      <c r="K191" s="202"/>
      <c r="L191" s="202"/>
      <c r="M191" s="203"/>
    </row>
    <row r="192" spans="1:13" ht="137.25" x14ac:dyDescent="0.2">
      <c r="A192" s="270" t="s">
        <v>932</v>
      </c>
      <c r="B192" s="270" t="s">
        <v>601</v>
      </c>
      <c r="C192" s="270" t="s">
        <v>71</v>
      </c>
      <c r="D192" s="270" t="s">
        <v>602</v>
      </c>
      <c r="E192" s="294" t="s">
        <v>818</v>
      </c>
      <c r="F192" s="295" t="s">
        <v>819</v>
      </c>
      <c r="G192" s="111">
        <f t="shared" si="40"/>
        <v>1300000</v>
      </c>
      <c r="H192" s="225"/>
      <c r="I192" s="225">
        <f>500000+800000</f>
        <v>1300000</v>
      </c>
      <c r="J192" s="225">
        <f>500000+800000</f>
        <v>1300000</v>
      </c>
      <c r="K192" s="202" t="b">
        <f>H192='dod3'!E164</f>
        <v>1</v>
      </c>
      <c r="L192" s="202" t="b">
        <f>I192='dod3'!J164</f>
        <v>1</v>
      </c>
      <c r="M192" s="385" t="b">
        <f>J192='dod3'!K164</f>
        <v>1</v>
      </c>
    </row>
    <row r="193" spans="1:13" ht="225" x14ac:dyDescent="0.2">
      <c r="A193" s="296" t="s">
        <v>250</v>
      </c>
      <c r="B193" s="296"/>
      <c r="C193" s="296"/>
      <c r="D193" s="296" t="s">
        <v>874</v>
      </c>
      <c r="E193" s="302"/>
      <c r="F193" s="302"/>
      <c r="G193" s="302">
        <f>G194</f>
        <v>1025905.96</v>
      </c>
      <c r="H193" s="302">
        <f t="shared" ref="H193:J193" si="41">H194</f>
        <v>35000</v>
      </c>
      <c r="I193" s="302">
        <f t="shared" si="41"/>
        <v>990905.96</v>
      </c>
      <c r="J193" s="302">
        <f t="shared" si="41"/>
        <v>0</v>
      </c>
      <c r="K193" s="202" t="b">
        <f>H193='dod3'!E166-'dod3'!E167+35000</f>
        <v>1</v>
      </c>
      <c r="L193" s="202" t="b">
        <f>I193='dod3'!J166</f>
        <v>1</v>
      </c>
      <c r="M193" s="203" t="b">
        <f>J193='dod3'!K166</f>
        <v>1</v>
      </c>
    </row>
    <row r="194" spans="1:13" ht="225" x14ac:dyDescent="0.2">
      <c r="A194" s="299" t="s">
        <v>251</v>
      </c>
      <c r="B194" s="299"/>
      <c r="C194" s="299"/>
      <c r="D194" s="299" t="s">
        <v>875</v>
      </c>
      <c r="E194" s="301"/>
      <c r="F194" s="301"/>
      <c r="G194" s="301">
        <f>SUM(G195:G198)</f>
        <v>1025905.96</v>
      </c>
      <c r="H194" s="301">
        <f>SUM(H195:H198)</f>
        <v>35000</v>
      </c>
      <c r="I194" s="301">
        <f t="shared" ref="I194:J194" si="42">SUM(I195:I198)</f>
        <v>990905.96</v>
      </c>
      <c r="J194" s="301">
        <f t="shared" si="42"/>
        <v>0</v>
      </c>
    </row>
    <row r="195" spans="1:13" ht="228.75" x14ac:dyDescent="0.2">
      <c r="A195" s="270" t="s">
        <v>744</v>
      </c>
      <c r="B195" s="270" t="s">
        <v>341</v>
      </c>
      <c r="C195" s="270" t="s">
        <v>339</v>
      </c>
      <c r="D195" s="270" t="s">
        <v>340</v>
      </c>
      <c r="E195" s="294" t="s">
        <v>746</v>
      </c>
      <c r="F195" s="225" t="s">
        <v>745</v>
      </c>
      <c r="G195" s="225">
        <f>H195+I195</f>
        <v>35000</v>
      </c>
      <c r="H195" s="225">
        <v>35000</v>
      </c>
      <c r="I195" s="225"/>
      <c r="J195" s="225"/>
    </row>
    <row r="196" spans="1:13" ht="137.25" x14ac:dyDescent="0.2">
      <c r="A196" s="270" t="s">
        <v>463</v>
      </c>
      <c r="B196" s="270" t="s">
        <v>464</v>
      </c>
      <c r="C196" s="270" t="s">
        <v>81</v>
      </c>
      <c r="D196" s="270" t="s">
        <v>82</v>
      </c>
      <c r="E196" s="294" t="s">
        <v>762</v>
      </c>
      <c r="F196" s="323" t="s">
        <v>763</v>
      </c>
      <c r="G196" s="111">
        <f t="shared" ref="G196:G198" si="43">H196+I196</f>
        <v>834616</v>
      </c>
      <c r="H196" s="225">
        <f>'dod3'!E168</f>
        <v>0</v>
      </c>
      <c r="I196" s="225">
        <f>'dod3'!J168</f>
        <v>834616</v>
      </c>
      <c r="J196" s="350">
        <f>'dod3'!K168</f>
        <v>0</v>
      </c>
    </row>
    <row r="197" spans="1:13" ht="137.25" x14ac:dyDescent="0.2">
      <c r="A197" s="270" t="s">
        <v>830</v>
      </c>
      <c r="B197" s="270" t="s">
        <v>831</v>
      </c>
      <c r="C197" s="270" t="s">
        <v>855</v>
      </c>
      <c r="D197" s="270" t="s">
        <v>854</v>
      </c>
      <c r="E197" s="294" t="s">
        <v>762</v>
      </c>
      <c r="F197" s="323" t="s">
        <v>763</v>
      </c>
      <c r="G197" s="111">
        <f>H197+I197</f>
        <v>56289.96</v>
      </c>
      <c r="H197" s="225">
        <f>'dod3'!E169</f>
        <v>0</v>
      </c>
      <c r="I197" s="225">
        <f>'dod3'!J169</f>
        <v>56289.96</v>
      </c>
      <c r="J197" s="350">
        <f>'dod3'!K169</f>
        <v>0</v>
      </c>
    </row>
    <row r="198" spans="1:13" ht="137.25" x14ac:dyDescent="0.2">
      <c r="A198" s="270" t="s">
        <v>465</v>
      </c>
      <c r="B198" s="270" t="s">
        <v>466</v>
      </c>
      <c r="C198" s="270" t="s">
        <v>83</v>
      </c>
      <c r="D198" s="270" t="s">
        <v>467</v>
      </c>
      <c r="E198" s="294" t="s">
        <v>762</v>
      </c>
      <c r="F198" s="323" t="s">
        <v>763</v>
      </c>
      <c r="G198" s="111">
        <f t="shared" si="43"/>
        <v>100000</v>
      </c>
      <c r="H198" s="225">
        <f>'dod3'!E170</f>
        <v>0</v>
      </c>
      <c r="I198" s="225">
        <f>'dod3'!J170</f>
        <v>100000</v>
      </c>
      <c r="J198" s="350">
        <f>'dod3'!K170</f>
        <v>0</v>
      </c>
    </row>
    <row r="199" spans="1:13" ht="360" x14ac:dyDescent="0.2">
      <c r="A199" s="296" t="s">
        <v>248</v>
      </c>
      <c r="B199" s="296"/>
      <c r="C199" s="296"/>
      <c r="D199" s="296" t="s">
        <v>878</v>
      </c>
      <c r="E199" s="302"/>
      <c r="F199" s="301"/>
      <c r="G199" s="302">
        <f>G200</f>
        <v>555000</v>
      </c>
      <c r="H199" s="302">
        <f t="shared" ref="H199:J199" si="44">H200</f>
        <v>55000</v>
      </c>
      <c r="I199" s="302">
        <f t="shared" si="44"/>
        <v>500000</v>
      </c>
      <c r="J199" s="302">
        <f t="shared" si="44"/>
        <v>500000</v>
      </c>
      <c r="K199" s="202" t="b">
        <f>H199='dod3'!E172-'dod3'!E173+55000</f>
        <v>1</v>
      </c>
      <c r="L199" s="202" t="b">
        <f>I199='dod3'!J172</f>
        <v>1</v>
      </c>
      <c r="M199" s="203" t="b">
        <f>J199='dod3'!K172</f>
        <v>1</v>
      </c>
    </row>
    <row r="200" spans="1:13" ht="360" x14ac:dyDescent="0.2">
      <c r="A200" s="299" t="s">
        <v>249</v>
      </c>
      <c r="B200" s="299"/>
      <c r="C200" s="299"/>
      <c r="D200" s="299" t="s">
        <v>879</v>
      </c>
      <c r="E200" s="301"/>
      <c r="F200" s="301"/>
      <c r="G200" s="301">
        <f>SUM(G201:G203)</f>
        <v>555000</v>
      </c>
      <c r="H200" s="301">
        <f t="shared" ref="H200:J200" si="45">SUM(H201:H203)</f>
        <v>55000</v>
      </c>
      <c r="I200" s="301">
        <f t="shared" si="45"/>
        <v>500000</v>
      </c>
      <c r="J200" s="301">
        <f t="shared" si="45"/>
        <v>500000</v>
      </c>
    </row>
    <row r="201" spans="1:13" ht="228.75" x14ac:dyDescent="0.2">
      <c r="A201" s="270" t="s">
        <v>740</v>
      </c>
      <c r="B201" s="270" t="s">
        <v>341</v>
      </c>
      <c r="C201" s="270" t="s">
        <v>339</v>
      </c>
      <c r="D201" s="270" t="s">
        <v>340</v>
      </c>
      <c r="E201" s="294" t="s">
        <v>746</v>
      </c>
      <c r="F201" s="225" t="s">
        <v>745</v>
      </c>
      <c r="G201" s="225">
        <f>H201+I201</f>
        <v>55000</v>
      </c>
      <c r="H201" s="225">
        <v>55000</v>
      </c>
      <c r="I201" s="225"/>
      <c r="J201" s="225"/>
    </row>
    <row r="202" spans="1:13" ht="137.25" x14ac:dyDescent="0.2">
      <c r="A202" s="270" t="s">
        <v>457</v>
      </c>
      <c r="B202" s="270" t="s">
        <v>458</v>
      </c>
      <c r="C202" s="270" t="s">
        <v>459</v>
      </c>
      <c r="D202" s="270" t="s">
        <v>456</v>
      </c>
      <c r="E202" s="294" t="s">
        <v>818</v>
      </c>
      <c r="F202" s="295" t="s">
        <v>819</v>
      </c>
      <c r="G202" s="111">
        <f t="shared" ref="G202:G203" si="46">H202+I202</f>
        <v>410000</v>
      </c>
      <c r="H202" s="225">
        <f>'dod3'!E174</f>
        <v>0</v>
      </c>
      <c r="I202" s="225">
        <f>'dod3'!J174</f>
        <v>410000</v>
      </c>
      <c r="J202" s="225">
        <f>'dod3'!K174</f>
        <v>410000</v>
      </c>
    </row>
    <row r="203" spans="1:13" ht="137.25" x14ac:dyDescent="0.2">
      <c r="A203" s="270" t="s">
        <v>610</v>
      </c>
      <c r="B203" s="270" t="s">
        <v>611</v>
      </c>
      <c r="C203" s="270" t="s">
        <v>256</v>
      </c>
      <c r="D203" s="270" t="s">
        <v>612</v>
      </c>
      <c r="E203" s="294" t="s">
        <v>818</v>
      </c>
      <c r="F203" s="295" t="s">
        <v>819</v>
      </c>
      <c r="G203" s="111">
        <f t="shared" si="46"/>
        <v>90000</v>
      </c>
      <c r="H203" s="225">
        <f>'dod3'!E175</f>
        <v>0</v>
      </c>
      <c r="I203" s="225">
        <f>'dod3'!J175</f>
        <v>90000</v>
      </c>
      <c r="J203" s="225">
        <f>'dod3'!K175</f>
        <v>90000</v>
      </c>
    </row>
    <row r="204" spans="1:13" ht="135" x14ac:dyDescent="0.2">
      <c r="A204" s="296" t="s">
        <v>254</v>
      </c>
      <c r="B204" s="296"/>
      <c r="C204" s="296"/>
      <c r="D204" s="296" t="s">
        <v>48</v>
      </c>
      <c r="E204" s="302"/>
      <c r="F204" s="301"/>
      <c r="G204" s="302">
        <f>G205</f>
        <v>90000</v>
      </c>
      <c r="H204" s="302">
        <f t="shared" ref="H204:J204" si="47">H205</f>
        <v>40000</v>
      </c>
      <c r="I204" s="302">
        <f t="shared" si="47"/>
        <v>50000</v>
      </c>
      <c r="J204" s="302">
        <f t="shared" si="47"/>
        <v>50000</v>
      </c>
    </row>
    <row r="205" spans="1:13" ht="135" x14ac:dyDescent="0.2">
      <c r="A205" s="299" t="s">
        <v>255</v>
      </c>
      <c r="B205" s="299"/>
      <c r="C205" s="299"/>
      <c r="D205" s="299" t="s">
        <v>66</v>
      </c>
      <c r="E205" s="301"/>
      <c r="F205" s="301"/>
      <c r="G205" s="301">
        <f>SUM(G206)</f>
        <v>90000</v>
      </c>
      <c r="H205" s="301">
        <f t="shared" ref="H205:J205" si="48">SUM(H206)</f>
        <v>40000</v>
      </c>
      <c r="I205" s="301">
        <f t="shared" si="48"/>
        <v>50000</v>
      </c>
      <c r="J205" s="301">
        <f t="shared" si="48"/>
        <v>50000</v>
      </c>
    </row>
    <row r="206" spans="1:13" ht="228.75" x14ac:dyDescent="0.2">
      <c r="A206" s="270" t="s">
        <v>742</v>
      </c>
      <c r="B206" s="270" t="s">
        <v>341</v>
      </c>
      <c r="C206" s="270" t="s">
        <v>339</v>
      </c>
      <c r="D206" s="270" t="s">
        <v>340</v>
      </c>
      <c r="E206" s="294" t="s">
        <v>746</v>
      </c>
      <c r="F206" s="225" t="s">
        <v>745</v>
      </c>
      <c r="G206" s="111">
        <f>H206+I206</f>
        <v>90000</v>
      </c>
      <c r="H206" s="225">
        <v>40000</v>
      </c>
      <c r="I206" s="225">
        <f>'dod3'!J178</f>
        <v>50000</v>
      </c>
      <c r="J206" s="225">
        <f>'dod3'!K178</f>
        <v>50000</v>
      </c>
    </row>
    <row r="207" spans="1:13" ht="81.75" customHeight="1" x14ac:dyDescent="1.1499999999999999">
      <c r="A207" s="188" t="s">
        <v>651</v>
      </c>
      <c r="B207" s="188" t="s">
        <v>651</v>
      </c>
      <c r="C207" s="188" t="s">
        <v>651</v>
      </c>
      <c r="D207" s="189" t="s">
        <v>669</v>
      </c>
      <c r="E207" s="188" t="s">
        <v>651</v>
      </c>
      <c r="F207" s="188" t="s">
        <v>651</v>
      </c>
      <c r="G207" s="143">
        <f>G12+G27+G120+G44+G59+G105+G140+G172+G181+G205+G185+G194+G200</f>
        <v>3017811162.5700002</v>
      </c>
      <c r="H207" s="143">
        <f>H12+H27+H120+H44+H59+H105+H140+H172+H181+H205+H185+H194+H200</f>
        <v>2518381673.7799997</v>
      </c>
      <c r="I207" s="143">
        <f>I12+I27+I120+I44+I59+I105+I140+I172+I181+I205+I185+I194+I200</f>
        <v>499429488.79000002</v>
      </c>
      <c r="J207" s="143">
        <f>J12+J27+J120+J44+J58+J105+J140+J172+J181+J205+J185+J194+J200</f>
        <v>379146734.35000002</v>
      </c>
      <c r="K207" s="248" t="b">
        <f>G207=H207+I207</f>
        <v>1</v>
      </c>
    </row>
    <row r="208" spans="1:13" ht="31.7" customHeight="1" x14ac:dyDescent="0.2">
      <c r="A208" s="424" t="s">
        <v>454</v>
      </c>
      <c r="B208" s="425"/>
      <c r="C208" s="425"/>
      <c r="D208" s="425"/>
      <c r="E208" s="425"/>
      <c r="F208" s="425"/>
      <c r="G208" s="425"/>
      <c r="H208" s="425"/>
      <c r="I208" s="425"/>
      <c r="J208" s="425"/>
    </row>
    <row r="209" spans="1:17" ht="31.7" customHeight="1" x14ac:dyDescent="0.2">
      <c r="A209" s="121"/>
      <c r="B209" s="122"/>
      <c r="C209" s="122"/>
      <c r="D209" s="122"/>
      <c r="E209" s="122"/>
      <c r="F209" s="122"/>
      <c r="G209" s="122"/>
      <c r="H209" s="122"/>
      <c r="I209" s="122"/>
      <c r="J209" s="122"/>
    </row>
    <row r="210" spans="1:17" ht="61.5" customHeight="1" x14ac:dyDescent="0.65">
      <c r="A210" s="7"/>
      <c r="B210" s="7"/>
      <c r="C210" s="7"/>
      <c r="D210" s="423" t="s">
        <v>949</v>
      </c>
      <c r="E210" s="423"/>
      <c r="F210" s="423"/>
      <c r="G210" s="423"/>
      <c r="H210" s="423"/>
      <c r="I210" s="423"/>
      <c r="J210" s="423"/>
      <c r="K210" s="423"/>
      <c r="L210" s="423"/>
      <c r="M210" s="423"/>
      <c r="N210" s="423"/>
      <c r="O210" s="423"/>
      <c r="P210" s="423"/>
      <c r="Q210" s="423"/>
    </row>
    <row r="211" spans="1:17" ht="45.75" x14ac:dyDescent="0.55000000000000004">
      <c r="D211" s="185"/>
      <c r="E211" s="21"/>
      <c r="F211" s="133"/>
      <c r="G211" s="185"/>
      <c r="H211" s="185"/>
      <c r="I211" s="133"/>
      <c r="J211" s="21"/>
      <c r="K211" s="13"/>
      <c r="L211" s="13"/>
      <c r="M211" s="13"/>
      <c r="N211" s="13"/>
      <c r="O211" s="13"/>
      <c r="P211" s="13"/>
      <c r="Q211" s="13"/>
    </row>
    <row r="212" spans="1:17" ht="45.75" x14ac:dyDescent="0.65">
      <c r="D212" s="423" t="s">
        <v>231</v>
      </c>
      <c r="E212" s="423"/>
      <c r="F212" s="423"/>
      <c r="G212" s="423"/>
      <c r="H212" s="423"/>
      <c r="I212" s="423"/>
      <c r="J212" s="423"/>
      <c r="K212" s="13"/>
      <c r="L212" s="13"/>
      <c r="M212" s="13"/>
      <c r="N212" s="13"/>
      <c r="O212" s="13"/>
      <c r="P212" s="13"/>
      <c r="Q212" s="13"/>
    </row>
    <row r="213" spans="1:17" x14ac:dyDescent="0.2">
      <c r="E213" s="4"/>
      <c r="F213" s="3"/>
    </row>
    <row r="214" spans="1:17" x14ac:dyDescent="0.2">
      <c r="E214" s="4"/>
      <c r="F214" s="3"/>
    </row>
    <row r="215" spans="1:17" ht="62.25" x14ac:dyDescent="0.8">
      <c r="A215"/>
      <c r="B215"/>
      <c r="C215"/>
      <c r="D215"/>
      <c r="E215" s="21"/>
      <c r="F215" s="133"/>
      <c r="I215"/>
      <c r="J215" s="159"/>
    </row>
    <row r="216" spans="1:17" ht="45.75" x14ac:dyDescent="0.2">
      <c r="E216" s="22"/>
      <c r="F216" s="185"/>
    </row>
    <row r="217" spans="1:17" ht="45.75" x14ac:dyDescent="0.2">
      <c r="A217"/>
      <c r="B217"/>
      <c r="C217"/>
      <c r="D217"/>
      <c r="E217" s="21"/>
      <c r="F217" s="133"/>
      <c r="I217"/>
      <c r="J217"/>
    </row>
    <row r="218" spans="1:17" ht="45.75" x14ac:dyDescent="0.2">
      <c r="E218" s="22"/>
      <c r="F218" s="185"/>
    </row>
    <row r="219" spans="1:17" ht="45.75" x14ac:dyDescent="0.2">
      <c r="E219" s="22"/>
      <c r="F219" s="185"/>
    </row>
    <row r="220" spans="1:17" ht="45.75" x14ac:dyDescent="0.2">
      <c r="E220" s="22"/>
      <c r="F220" s="185"/>
    </row>
    <row r="221" spans="1:17" ht="45.75" x14ac:dyDescent="0.2">
      <c r="A221"/>
      <c r="B221"/>
      <c r="C221"/>
      <c r="D221"/>
      <c r="E221" s="22"/>
      <c r="F221" s="185"/>
      <c r="G221"/>
      <c r="H221"/>
      <c r="I221"/>
      <c r="J221"/>
    </row>
    <row r="222" spans="1:17" ht="45.75" x14ac:dyDescent="0.2">
      <c r="A222"/>
      <c r="B222"/>
      <c r="C222"/>
      <c r="D222"/>
      <c r="E222" s="22"/>
      <c r="F222" s="185"/>
      <c r="G222"/>
      <c r="H222"/>
      <c r="I222"/>
      <c r="J222"/>
    </row>
    <row r="223" spans="1:17" ht="45.75" x14ac:dyDescent="0.2">
      <c r="A223"/>
      <c r="B223"/>
      <c r="C223"/>
      <c r="D223"/>
      <c r="E223" s="22"/>
      <c r="F223" s="185"/>
      <c r="G223"/>
      <c r="H223"/>
      <c r="I223"/>
      <c r="J223"/>
    </row>
    <row r="224" spans="1:17" ht="45.75" x14ac:dyDescent="0.2">
      <c r="A224"/>
      <c r="B224"/>
      <c r="C224"/>
      <c r="D224"/>
      <c r="E224" s="22"/>
      <c r="F224" s="185"/>
      <c r="G224"/>
      <c r="H224"/>
      <c r="I224"/>
      <c r="J224"/>
    </row>
  </sheetData>
  <mergeCells count="85">
    <mergeCell ref="H164:H165"/>
    <mergeCell ref="I164:I165"/>
    <mergeCell ref="J164:J165"/>
    <mergeCell ref="A166:A167"/>
    <mergeCell ref="B166:B167"/>
    <mergeCell ref="C166:C167"/>
    <mergeCell ref="D166:D167"/>
    <mergeCell ref="G166:G167"/>
    <mergeCell ref="H166:H167"/>
    <mergeCell ref="I166:I167"/>
    <mergeCell ref="J166:J167"/>
    <mergeCell ref="A164:A165"/>
    <mergeCell ref="B164:B165"/>
    <mergeCell ref="C164:C165"/>
    <mergeCell ref="D164:D165"/>
    <mergeCell ref="G163:G165"/>
    <mergeCell ref="J143:J146"/>
    <mergeCell ref="C143:C146"/>
    <mergeCell ref="D143:D146"/>
    <mergeCell ref="G143:G146"/>
    <mergeCell ref="H143:H146"/>
    <mergeCell ref="I143:I146"/>
    <mergeCell ref="J83:J84"/>
    <mergeCell ref="A24:A25"/>
    <mergeCell ref="B24:B25"/>
    <mergeCell ref="C24:C25"/>
    <mergeCell ref="D24:D25"/>
    <mergeCell ref="G24:G25"/>
    <mergeCell ref="A83:A84"/>
    <mergeCell ref="B83:B84"/>
    <mergeCell ref="C83:C84"/>
    <mergeCell ref="E83:E84"/>
    <mergeCell ref="F83:F84"/>
    <mergeCell ref="J160:J162"/>
    <mergeCell ref="H8:H9"/>
    <mergeCell ref="I8:J8"/>
    <mergeCell ref="G96:G98"/>
    <mergeCell ref="H96:H98"/>
    <mergeCell ref="I96:I98"/>
    <mergeCell ref="J96:J98"/>
    <mergeCell ref="H24:H25"/>
    <mergeCell ref="G153:G154"/>
    <mergeCell ref="H153:H154"/>
    <mergeCell ref="I153:I154"/>
    <mergeCell ref="I24:I25"/>
    <mergeCell ref="J24:J25"/>
    <mergeCell ref="G83:G84"/>
    <mergeCell ref="H83:H84"/>
    <mergeCell ref="I83:I84"/>
    <mergeCell ref="C8:C9"/>
    <mergeCell ref="D8:D9"/>
    <mergeCell ref="D210:Q210"/>
    <mergeCell ref="D212:J212"/>
    <mergeCell ref="A208:J208"/>
    <mergeCell ref="A160:A162"/>
    <mergeCell ref="B160:B162"/>
    <mergeCell ref="C160:C162"/>
    <mergeCell ref="D160:D162"/>
    <mergeCell ref="G160:G162"/>
    <mergeCell ref="K42:M42"/>
    <mergeCell ref="F8:F9"/>
    <mergeCell ref="G8:G9"/>
    <mergeCell ref="H160:H162"/>
    <mergeCell ref="I160:I162"/>
    <mergeCell ref="I1:J1"/>
    <mergeCell ref="I2:J2"/>
    <mergeCell ref="I3:J3"/>
    <mergeCell ref="A5:J5"/>
    <mergeCell ref="A6:J6"/>
    <mergeCell ref="J153:J154"/>
    <mergeCell ref="E8:E9"/>
    <mergeCell ref="F24:F25"/>
    <mergeCell ref="A153:A154"/>
    <mergeCell ref="B153:B154"/>
    <mergeCell ref="C153:C154"/>
    <mergeCell ref="D153:D154"/>
    <mergeCell ref="A143:A146"/>
    <mergeCell ref="B143:B146"/>
    <mergeCell ref="A96:A98"/>
    <mergeCell ref="B96:B98"/>
    <mergeCell ref="C96:C98"/>
    <mergeCell ref="E96:E98"/>
    <mergeCell ref="F96:F98"/>
    <mergeCell ref="A8:A9"/>
    <mergeCell ref="B8:B9"/>
  </mergeCells>
  <pageMargins left="0.23622047244094491" right="0.27559055118110237" top="0.27559055118110237" bottom="0.15748031496062992" header="0.23622047244094491" footer="0.27559055118110237"/>
  <pageSetup paperSize="9" scale="18" fitToHeight="0" orientation="landscape" r:id="rId1"/>
  <headerFooter alignWithMargins="0">
    <oddFooter>&amp;C&amp;"Times New Roman Cyr,курсив"Сторінка &amp;P з &amp;N</oddFooter>
  </headerFooter>
  <rowBreaks count="1" manualBreakCount="1">
    <brk id="39"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3:L15"/>
  <sheetViews>
    <sheetView view="pageBreakPreview" topLeftCell="A8" zoomScaleNormal="100" zoomScaleSheetLayoutView="100" workbookViewId="0">
      <selection activeCell="D25" sqref="D25"/>
    </sheetView>
  </sheetViews>
  <sheetFormatPr defaultColWidth="9.140625" defaultRowHeight="12.75" x14ac:dyDescent="0.2"/>
  <cols>
    <col min="1" max="1" width="13.85546875" style="257" customWidth="1"/>
    <col min="2" max="2" width="13.7109375" style="257" customWidth="1"/>
    <col min="3" max="3" width="13.85546875" style="257" customWidth="1"/>
    <col min="4" max="4" width="20.85546875" style="257" customWidth="1"/>
    <col min="5" max="5" width="12.28515625" style="257" customWidth="1"/>
    <col min="6" max="6" width="17" style="257" customWidth="1"/>
    <col min="7" max="7" width="14" style="257" customWidth="1"/>
    <col min="8" max="8" width="11.7109375" style="257" customWidth="1"/>
    <col min="9" max="9" width="12" style="257" customWidth="1"/>
    <col min="10" max="11" width="12.140625" style="257" customWidth="1"/>
    <col min="12" max="12" width="11.5703125" style="257" customWidth="1"/>
    <col min="13" max="16384" width="9.140625" style="257"/>
  </cols>
  <sheetData>
    <row r="3" spans="1:12" ht="15.75" customHeight="1" x14ac:dyDescent="0.2">
      <c r="A3" s="256"/>
      <c r="B3" s="256"/>
      <c r="C3" s="256"/>
      <c r="D3" s="256"/>
      <c r="E3" s="256"/>
      <c r="F3" s="256"/>
      <c r="G3" s="256"/>
      <c r="H3" s="256"/>
      <c r="I3" s="256"/>
      <c r="J3" s="497" t="s">
        <v>771</v>
      </c>
      <c r="K3" s="497"/>
      <c r="L3" s="497"/>
    </row>
    <row r="4" spans="1:12" ht="15.75" x14ac:dyDescent="0.2">
      <c r="A4" s="258"/>
      <c r="B4" s="258"/>
      <c r="C4" s="258"/>
      <c r="D4" s="258"/>
      <c r="E4" s="258"/>
      <c r="F4" s="258"/>
      <c r="G4" s="258"/>
      <c r="H4" s="258"/>
      <c r="I4" s="258"/>
      <c r="J4" s="258"/>
      <c r="K4" s="258"/>
      <c r="L4" s="258"/>
    </row>
    <row r="5" spans="1:12" ht="15.75" x14ac:dyDescent="0.2">
      <c r="A5" s="258"/>
      <c r="B5" s="258"/>
      <c r="C5" s="258"/>
      <c r="D5" s="258"/>
      <c r="E5" s="258"/>
      <c r="F5" s="258"/>
      <c r="G5" s="258"/>
      <c r="H5" s="258"/>
      <c r="I5" s="258"/>
      <c r="J5" s="258"/>
      <c r="K5" s="258"/>
      <c r="L5" s="258"/>
    </row>
    <row r="6" spans="1:12" ht="18.75" customHeight="1" x14ac:dyDescent="0.2">
      <c r="A6" s="498" t="s">
        <v>772</v>
      </c>
      <c r="B6" s="498"/>
      <c r="C6" s="498"/>
      <c r="D6" s="498"/>
      <c r="E6" s="498"/>
      <c r="F6" s="498"/>
      <c r="G6" s="498"/>
      <c r="H6" s="498"/>
      <c r="I6" s="498"/>
      <c r="J6" s="498"/>
      <c r="K6" s="498"/>
      <c r="L6" s="498"/>
    </row>
    <row r="7" spans="1:12" ht="40.700000000000003" customHeight="1" x14ac:dyDescent="0.2">
      <c r="A7" s="499" t="s">
        <v>773</v>
      </c>
      <c r="B7" s="499"/>
      <c r="C7" s="499"/>
      <c r="D7" s="499"/>
      <c r="E7" s="499"/>
      <c r="F7" s="499"/>
      <c r="G7" s="499"/>
      <c r="H7" s="499"/>
      <c r="I7" s="499"/>
      <c r="J7" s="499"/>
      <c r="K7" s="499"/>
      <c r="L7" s="499"/>
    </row>
    <row r="8" spans="1:12" ht="33.75" customHeight="1" x14ac:dyDescent="0.2">
      <c r="A8" s="496" t="s">
        <v>774</v>
      </c>
      <c r="B8" s="496" t="s">
        <v>775</v>
      </c>
      <c r="C8" s="496" t="s">
        <v>776</v>
      </c>
      <c r="D8" s="496" t="s">
        <v>777</v>
      </c>
      <c r="E8" s="496" t="s">
        <v>778</v>
      </c>
      <c r="F8" s="496" t="s">
        <v>779</v>
      </c>
      <c r="G8" s="496" t="s">
        <v>780</v>
      </c>
      <c r="H8" s="496" t="s">
        <v>781</v>
      </c>
      <c r="I8" s="496" t="s">
        <v>782</v>
      </c>
      <c r="J8" s="496"/>
      <c r="K8" s="496"/>
      <c r="L8" s="496" t="s">
        <v>783</v>
      </c>
    </row>
    <row r="9" spans="1:12" ht="163.5" customHeight="1" x14ac:dyDescent="0.2">
      <c r="A9" s="496"/>
      <c r="B9" s="496"/>
      <c r="C9" s="496"/>
      <c r="D9" s="496"/>
      <c r="E9" s="496"/>
      <c r="F9" s="496"/>
      <c r="G9" s="496"/>
      <c r="H9" s="496"/>
      <c r="I9" s="259" t="s">
        <v>784</v>
      </c>
      <c r="J9" s="259" t="s">
        <v>785</v>
      </c>
      <c r="K9" s="259" t="s">
        <v>786</v>
      </c>
      <c r="L9" s="496"/>
    </row>
    <row r="10" spans="1:12" x14ac:dyDescent="0.2">
      <c r="A10" s="260">
        <v>1</v>
      </c>
      <c r="B10" s="260">
        <v>2</v>
      </c>
      <c r="C10" s="260">
        <v>3</v>
      </c>
      <c r="D10" s="260">
        <v>4</v>
      </c>
      <c r="E10" s="260">
        <v>5</v>
      </c>
      <c r="F10" s="260">
        <v>6</v>
      </c>
      <c r="G10" s="260">
        <v>7</v>
      </c>
      <c r="H10" s="260">
        <v>8</v>
      </c>
      <c r="I10" s="260">
        <v>9</v>
      </c>
      <c r="J10" s="260">
        <v>10</v>
      </c>
      <c r="K10" s="260">
        <v>11</v>
      </c>
      <c r="L10" s="260">
        <v>12</v>
      </c>
    </row>
    <row r="11" spans="1:12" ht="110.25" x14ac:dyDescent="0.2">
      <c r="A11" s="261" t="s">
        <v>316</v>
      </c>
      <c r="B11" s="262">
        <v>7640</v>
      </c>
      <c r="C11" s="261" t="s">
        <v>318</v>
      </c>
      <c r="D11" s="262" t="s">
        <v>787</v>
      </c>
      <c r="E11" s="262" t="s">
        <v>788</v>
      </c>
      <c r="F11" s="262" t="s">
        <v>789</v>
      </c>
      <c r="G11" s="262" t="s">
        <v>790</v>
      </c>
      <c r="H11" s="262" t="s">
        <v>791</v>
      </c>
      <c r="I11" s="262" t="s">
        <v>792</v>
      </c>
      <c r="J11" s="263">
        <v>11839.748</v>
      </c>
      <c r="K11" s="263">
        <v>11839.748</v>
      </c>
      <c r="L11" s="263">
        <v>1183.9749999999999</v>
      </c>
    </row>
    <row r="12" spans="1:12" ht="12.75" customHeight="1" x14ac:dyDescent="0.2">
      <c r="A12" s="264" t="s">
        <v>793</v>
      </c>
      <c r="B12" s="264" t="s">
        <v>793</v>
      </c>
      <c r="C12" s="264" t="s">
        <v>793</v>
      </c>
      <c r="D12" s="265" t="s">
        <v>669</v>
      </c>
      <c r="E12" s="264" t="s">
        <v>793</v>
      </c>
      <c r="F12" s="264" t="s">
        <v>793</v>
      </c>
      <c r="G12" s="264" t="s">
        <v>793</v>
      </c>
      <c r="H12" s="264" t="s">
        <v>793</v>
      </c>
      <c r="I12" s="264" t="s">
        <v>793</v>
      </c>
      <c r="J12" s="263">
        <v>11839.748</v>
      </c>
      <c r="K12" s="263">
        <v>11839.748</v>
      </c>
      <c r="L12" s="263">
        <v>1183.9749999999999</v>
      </c>
    </row>
    <row r="13" spans="1:12" ht="15" x14ac:dyDescent="0.2">
      <c r="A13" s="266"/>
    </row>
    <row r="14" spans="1:12" ht="15.75" x14ac:dyDescent="0.2">
      <c r="B14" s="256" t="s">
        <v>944</v>
      </c>
      <c r="I14" s="266"/>
      <c r="K14" s="256" t="s">
        <v>947</v>
      </c>
    </row>
    <row r="15" spans="1:12" ht="15.75" x14ac:dyDescent="0.2">
      <c r="B15" s="256" t="s">
        <v>170</v>
      </c>
      <c r="G15" s="266"/>
      <c r="K15" s="256" t="s">
        <v>171</v>
      </c>
    </row>
  </sheetData>
  <mergeCells count="13">
    <mergeCell ref="H8:H9"/>
    <mergeCell ref="I8:K8"/>
    <mergeCell ref="L8:L9"/>
    <mergeCell ref="J3:L3"/>
    <mergeCell ref="A6:L6"/>
    <mergeCell ref="A7:L7"/>
    <mergeCell ref="A8:A9"/>
    <mergeCell ref="B8:B9"/>
    <mergeCell ref="C8:C9"/>
    <mergeCell ref="D8:D9"/>
    <mergeCell ref="E8:E9"/>
    <mergeCell ref="F8:F9"/>
    <mergeCell ref="G8:G9"/>
  </mergeCells>
  <pageMargins left="0.19685039370078741" right="0.19685039370078741" top="0.19685039370078741" bottom="0.19685039370078741" header="0" footer="0"/>
  <pageSetup paperSize="9" scale="8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13</vt:i4>
      </vt:variant>
      <vt:variant>
        <vt:lpstr>Іменовані діапазони</vt:lpstr>
      </vt:variant>
      <vt:variant>
        <vt:i4>19</vt:i4>
      </vt:variant>
    </vt:vector>
  </HeadingPairs>
  <TitlesOfParts>
    <vt:vector size="32" baseType="lpstr">
      <vt:lpstr>дод1</vt:lpstr>
      <vt:lpstr>dod2</vt:lpstr>
      <vt:lpstr>dod3</vt:lpstr>
      <vt:lpstr>dod4</vt:lpstr>
      <vt:lpstr>dod5</vt:lpstr>
      <vt:lpstr>dod6</vt:lpstr>
      <vt:lpstr>dod7</vt:lpstr>
      <vt:lpstr>dod8</vt:lpstr>
      <vt:lpstr>dod9</vt:lpstr>
      <vt:lpstr>dod3 - базовий бюджет</vt:lpstr>
      <vt:lpstr>РІЗНИЦЯ</vt:lpstr>
      <vt:lpstr>dod3 - до МВК</vt:lpstr>
      <vt:lpstr>Різниця - МВК</vt:lpstr>
      <vt:lpstr>'dod3'!Заголовки_для_друку</vt:lpstr>
      <vt:lpstr>'dod3 - базовий бюджет'!Заголовки_для_друку</vt:lpstr>
      <vt:lpstr>'dod3 - до МВК'!Заголовки_для_друку</vt:lpstr>
      <vt:lpstr>'dod5'!Заголовки_для_друку</vt:lpstr>
      <vt:lpstr>'dod8'!Заголовки_для_друку</vt:lpstr>
      <vt:lpstr>РІЗНИЦЯ!Заголовки_для_друку</vt:lpstr>
      <vt:lpstr>'Різниця - МВК'!Заголовки_для_друку</vt:lpstr>
      <vt:lpstr>'dod2'!Область_друку</vt:lpstr>
      <vt:lpstr>'dod3'!Область_друку</vt:lpstr>
      <vt:lpstr>'dod3 - базовий бюджет'!Область_друку</vt:lpstr>
      <vt:lpstr>'dod3 - до МВК'!Область_друку</vt:lpstr>
      <vt:lpstr>'dod4'!Область_друку</vt:lpstr>
      <vt:lpstr>'dod5'!Область_друку</vt:lpstr>
      <vt:lpstr>'dod6'!Область_друку</vt:lpstr>
      <vt:lpstr>'dod7'!Область_друку</vt:lpstr>
      <vt:lpstr>'dod8'!Область_друку</vt:lpstr>
      <vt:lpstr>дод1!Область_друку</vt:lpstr>
      <vt:lpstr>РІЗНИЦЯ!Область_друку</vt:lpstr>
      <vt:lpstr>'Різниця - МВК'!Область_друку</vt:lpstr>
    </vt:vector>
  </TitlesOfParts>
  <Company>Міське фінуправління</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Власюк Олена</dc:creator>
  <cp:lastModifiedBy>Ковтун Денис Леонідович</cp:lastModifiedBy>
  <cp:lastPrinted>2019-03-25T13:07:00Z</cp:lastPrinted>
  <dcterms:created xsi:type="dcterms:W3CDTF">2001-12-03T09:30:42Z</dcterms:created>
  <dcterms:modified xsi:type="dcterms:W3CDTF">2019-04-03T11:11:12Z</dcterms:modified>
</cp:coreProperties>
</file>