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O:\BUDJET\2018\Рішення від .12. 2018 року №\"/>
    </mc:Choice>
  </mc:AlternateContent>
  <xr:revisionPtr revIDLastSave="0" documentId="13_ncr:1_{E5556084-0CD8-44CB-AF3B-7039F8184789}" xr6:coauthVersionLast="38" xr6:coauthVersionMax="38" xr10:uidLastSave="{00000000-0000-0000-0000-000000000000}"/>
  <bookViews>
    <workbookView xWindow="0" yWindow="0" windowWidth="28800" windowHeight="12270" tabRatio="585" activeTab="7" xr2:uid="{00000000-000D-0000-FFFF-FFFF00000000}"/>
  </bookViews>
  <sheets>
    <sheet name="дод1" sheetId="105" r:id="rId1"/>
    <sheet name="dod2" sheetId="118" r:id="rId2"/>
    <sheet name="dod3" sheetId="97" r:id="rId3"/>
    <sheet name="dod4" sheetId="107" r:id="rId4"/>
    <sheet name="dod5" sheetId="98" r:id="rId5"/>
    <sheet name="dod6" sheetId="108" r:id="rId6"/>
    <sheet name="dod7" sheetId="116" r:id="rId7"/>
    <sheet name="dod8" sheetId="104" r:id="rId8"/>
    <sheet name="dod3 жовтень" sheetId="119" r:id="rId9"/>
    <sheet name="Різниця" sheetId="120" r:id="rId10"/>
  </sheets>
  <externalReferences>
    <externalReference r:id="rId11"/>
  </externalReferences>
  <definedNames>
    <definedName name="_GoBack" localSheetId="4">'dod5'!#REF!</definedName>
    <definedName name="_xlnm.Print_Titles" localSheetId="2">'dod3'!$11:$11</definedName>
    <definedName name="_xlnm.Print_Titles" localSheetId="8">'dod3 жовтень'!$11:$11</definedName>
    <definedName name="_xlnm.Print_Titles" localSheetId="9">Різниця!$11:$11</definedName>
    <definedName name="_xlnm.Print_Area" localSheetId="1">'dod2'!$A$1:$F$37</definedName>
    <definedName name="_xlnm.Print_Area" localSheetId="2">'dod3'!$A$1:$P$226</definedName>
    <definedName name="_xlnm.Print_Area" localSheetId="8">'dod3 жовтень'!$A$1:$P$209</definedName>
    <definedName name="_xlnm.Print_Area" localSheetId="3">'dod4'!$B$1:$Q$18</definedName>
    <definedName name="_xlnm.Print_Area" localSheetId="4">'dod5'!$B$1:$J$279</definedName>
    <definedName name="_xlnm.Print_Area" localSheetId="5">'dod6'!$A$1:$E$35</definedName>
    <definedName name="_xlnm.Print_Area" localSheetId="6">'dod7'!$A$1:$F$23</definedName>
    <definedName name="_xlnm.Print_Area" localSheetId="7">'dod8'!$B$1:$I$219</definedName>
    <definedName name="_xlnm.Print_Area" localSheetId="0">дод1!$A$1:$F$113</definedName>
    <definedName name="_xlnm.Print_Area" localSheetId="9">Різниця!$A$1:$P$226</definedName>
    <definedName name="С16" localSheetId="1">#REF!</definedName>
    <definedName name="С16" localSheetId="8">#REF!</definedName>
    <definedName name="С16" localSheetId="0">#REF!</definedName>
    <definedName name="С16" localSheetId="9">#REF!</definedName>
    <definedName name="С16">#REF!</definedName>
  </definedNames>
  <calcPr calcId="181029"/>
</workbook>
</file>

<file path=xl/calcChain.xml><?xml version="1.0" encoding="utf-8"?>
<calcChain xmlns="http://schemas.openxmlformats.org/spreadsheetml/2006/main">
  <c r="G221" i="120" l="1"/>
  <c r="F221" i="120"/>
  <c r="E221" i="120"/>
  <c r="P221" i="97"/>
  <c r="G221" i="97"/>
  <c r="F221" i="97"/>
  <c r="E221" i="97"/>
  <c r="G33" i="97"/>
  <c r="F33" i="97"/>
  <c r="H212" i="104" l="1"/>
  <c r="H207" i="104"/>
  <c r="H63" i="104"/>
  <c r="H8" i="104"/>
  <c r="G18" i="104"/>
  <c r="M221" i="120" l="1"/>
  <c r="O221" i="120"/>
  <c r="N221" i="120"/>
  <c r="J221" i="120"/>
  <c r="J221" i="97"/>
  <c r="H221" i="120"/>
  <c r="H221" i="97"/>
  <c r="Q221" i="97"/>
  <c r="O221" i="97"/>
  <c r="N221" i="97"/>
  <c r="M221" i="97"/>
  <c r="F29" i="97"/>
  <c r="J49" i="98" l="1"/>
  <c r="O49" i="97"/>
  <c r="J24" i="98" l="1"/>
  <c r="J23" i="98"/>
  <c r="O33" i="97"/>
  <c r="J17" i="98" l="1"/>
  <c r="O29" i="97"/>
  <c r="H215" i="97"/>
  <c r="G215" i="97"/>
  <c r="F215" i="97"/>
  <c r="G210" i="97"/>
  <c r="F210" i="97"/>
  <c r="G202" i="97"/>
  <c r="F202" i="97"/>
  <c r="G189" i="97"/>
  <c r="F189" i="97"/>
  <c r="G181" i="97"/>
  <c r="F181" i="97"/>
  <c r="F45" i="97"/>
  <c r="G45" i="97"/>
  <c r="H155" i="97"/>
  <c r="F155" i="97"/>
  <c r="G155" i="97"/>
  <c r="F61" i="97"/>
  <c r="G61" i="97"/>
  <c r="F14" i="97"/>
  <c r="G14" i="97"/>
  <c r="O173" i="97" l="1"/>
  <c r="M33" i="97" l="1"/>
  <c r="J114" i="98" l="1"/>
  <c r="O157" i="97"/>
  <c r="P221" i="120" l="1"/>
  <c r="F17" i="120" l="1"/>
  <c r="H17" i="120"/>
  <c r="I17" i="120"/>
  <c r="K17" i="120"/>
  <c r="L17" i="120"/>
  <c r="M17" i="120"/>
  <c r="O17" i="120"/>
  <c r="F215" i="120"/>
  <c r="G215" i="120"/>
  <c r="H215" i="120"/>
  <c r="I215" i="120"/>
  <c r="K215" i="120"/>
  <c r="L215" i="120"/>
  <c r="M215" i="120"/>
  <c r="F216" i="120"/>
  <c r="G216" i="120"/>
  <c r="H216" i="120"/>
  <c r="I216" i="120"/>
  <c r="K216" i="120"/>
  <c r="L216" i="120"/>
  <c r="M216" i="120"/>
  <c r="N216" i="120"/>
  <c r="O216" i="120"/>
  <c r="G217" i="120"/>
  <c r="H217" i="120"/>
  <c r="I217" i="120"/>
  <c r="K217" i="120"/>
  <c r="L217" i="120"/>
  <c r="M217" i="120"/>
  <c r="N217" i="120"/>
  <c r="O217" i="120"/>
  <c r="F218" i="120"/>
  <c r="G218" i="120"/>
  <c r="H218" i="120"/>
  <c r="I218" i="120"/>
  <c r="K218" i="120"/>
  <c r="L218" i="120"/>
  <c r="M218" i="120"/>
  <c r="N218" i="120"/>
  <c r="O218" i="120"/>
  <c r="F210" i="120"/>
  <c r="G210" i="120"/>
  <c r="H210" i="120"/>
  <c r="I210" i="120"/>
  <c r="K210" i="120"/>
  <c r="L210" i="120"/>
  <c r="M210" i="120"/>
  <c r="F211" i="120"/>
  <c r="G211" i="120"/>
  <c r="H211" i="120"/>
  <c r="I211" i="120"/>
  <c r="K211" i="120"/>
  <c r="L211" i="120"/>
  <c r="M211" i="120"/>
  <c r="F212" i="120"/>
  <c r="G212" i="120"/>
  <c r="H212" i="120"/>
  <c r="I212" i="120"/>
  <c r="K212" i="120"/>
  <c r="L212" i="120"/>
  <c r="L209" i="120" s="1"/>
  <c r="L208" i="120" s="1"/>
  <c r="M212" i="120"/>
  <c r="O212" i="120"/>
  <c r="F202" i="120"/>
  <c r="G202" i="120"/>
  <c r="H202" i="120"/>
  <c r="I202" i="120"/>
  <c r="K202" i="120"/>
  <c r="L202" i="120"/>
  <c r="M202" i="120"/>
  <c r="O202" i="120"/>
  <c r="F204" i="120"/>
  <c r="G204" i="120"/>
  <c r="H204" i="120"/>
  <c r="I204" i="120"/>
  <c r="K204" i="120"/>
  <c r="L204" i="120"/>
  <c r="M204" i="120"/>
  <c r="O204" i="120"/>
  <c r="F205" i="120"/>
  <c r="G205" i="120"/>
  <c r="H205" i="120"/>
  <c r="I205" i="120"/>
  <c r="K205" i="120"/>
  <c r="L205" i="120"/>
  <c r="M205" i="120"/>
  <c r="O205" i="120"/>
  <c r="F206" i="120"/>
  <c r="G206" i="120"/>
  <c r="H206" i="120"/>
  <c r="I206" i="120"/>
  <c r="K206" i="120"/>
  <c r="L206" i="120"/>
  <c r="M206" i="120"/>
  <c r="O206" i="120"/>
  <c r="F207" i="120"/>
  <c r="G207" i="120"/>
  <c r="H207" i="120"/>
  <c r="I207" i="120"/>
  <c r="K207" i="120"/>
  <c r="L207" i="120"/>
  <c r="M207" i="120"/>
  <c r="O207" i="120"/>
  <c r="E206" i="120"/>
  <c r="E207" i="120"/>
  <c r="O197" i="120"/>
  <c r="N197" i="120"/>
  <c r="M197" i="120"/>
  <c r="L197" i="120"/>
  <c r="K197" i="120"/>
  <c r="I197" i="120"/>
  <c r="H197" i="120"/>
  <c r="G197" i="120"/>
  <c r="F197" i="120"/>
  <c r="G199" i="120"/>
  <c r="H199" i="120"/>
  <c r="I199" i="120"/>
  <c r="K199" i="120"/>
  <c r="L199" i="120"/>
  <c r="M199" i="120"/>
  <c r="G194" i="120"/>
  <c r="H194" i="120"/>
  <c r="I194" i="120"/>
  <c r="K194" i="120"/>
  <c r="L194" i="120"/>
  <c r="M194" i="120"/>
  <c r="O194" i="120"/>
  <c r="G195" i="120"/>
  <c r="H195" i="120"/>
  <c r="I195" i="120"/>
  <c r="K195" i="120"/>
  <c r="L195" i="120"/>
  <c r="M195" i="120"/>
  <c r="O195" i="120"/>
  <c r="G196" i="120"/>
  <c r="H196" i="120"/>
  <c r="I196" i="120"/>
  <c r="L196" i="120"/>
  <c r="M196" i="120"/>
  <c r="F193" i="120"/>
  <c r="G193" i="120"/>
  <c r="G192" i="120" s="1"/>
  <c r="G191" i="120" s="1"/>
  <c r="H193" i="120"/>
  <c r="I193" i="120"/>
  <c r="K193" i="120"/>
  <c r="L193" i="120"/>
  <c r="M193" i="120"/>
  <c r="F190" i="120"/>
  <c r="G190" i="120"/>
  <c r="H190" i="120"/>
  <c r="I190" i="120"/>
  <c r="I188" i="120" s="1"/>
  <c r="I187" i="120" s="1"/>
  <c r="K190" i="120"/>
  <c r="L190" i="120"/>
  <c r="M190" i="120"/>
  <c r="F189" i="120"/>
  <c r="G189" i="120"/>
  <c r="H189" i="120"/>
  <c r="I189" i="120"/>
  <c r="K189" i="120"/>
  <c r="L189" i="120"/>
  <c r="M189" i="120"/>
  <c r="O189" i="120"/>
  <c r="F183" i="120"/>
  <c r="G183" i="120"/>
  <c r="H183" i="120"/>
  <c r="I183" i="120"/>
  <c r="K183" i="120"/>
  <c r="L183" i="120"/>
  <c r="M183" i="120"/>
  <c r="F184" i="120"/>
  <c r="G184" i="120"/>
  <c r="H184" i="120"/>
  <c r="I184" i="120"/>
  <c r="K184" i="120"/>
  <c r="L184" i="120"/>
  <c r="M184" i="120"/>
  <c r="F185" i="120"/>
  <c r="G185" i="120"/>
  <c r="H185" i="120"/>
  <c r="I185" i="120"/>
  <c r="K185" i="120"/>
  <c r="L185" i="120"/>
  <c r="M185" i="120"/>
  <c r="F186" i="120"/>
  <c r="G186" i="120"/>
  <c r="H186" i="120"/>
  <c r="I186" i="120"/>
  <c r="K186" i="120"/>
  <c r="L186" i="120"/>
  <c r="M186" i="120"/>
  <c r="F181" i="120"/>
  <c r="G181" i="120"/>
  <c r="H181" i="120"/>
  <c r="I181" i="120"/>
  <c r="K181" i="120"/>
  <c r="L181" i="120"/>
  <c r="M181" i="120"/>
  <c r="O181" i="120"/>
  <c r="F177" i="120"/>
  <c r="G177" i="120"/>
  <c r="H177" i="120"/>
  <c r="I177" i="120"/>
  <c r="K177" i="120"/>
  <c r="L177" i="120"/>
  <c r="M177" i="120"/>
  <c r="O177" i="120"/>
  <c r="H178" i="120"/>
  <c r="I178" i="120"/>
  <c r="K178" i="120"/>
  <c r="L178" i="120"/>
  <c r="M178" i="120"/>
  <c r="O178" i="120"/>
  <c r="O175" i="120"/>
  <c r="N175" i="120"/>
  <c r="M175" i="120"/>
  <c r="L175" i="120"/>
  <c r="K175" i="120"/>
  <c r="I175" i="120"/>
  <c r="H175" i="120"/>
  <c r="G175" i="120"/>
  <c r="F175" i="120"/>
  <c r="F174" i="120"/>
  <c r="G174" i="120"/>
  <c r="H174" i="120"/>
  <c r="I174" i="120"/>
  <c r="L174" i="120"/>
  <c r="M174" i="120"/>
  <c r="G157" i="120"/>
  <c r="H157" i="120"/>
  <c r="I157" i="120"/>
  <c r="K157" i="120"/>
  <c r="L157" i="120"/>
  <c r="M157" i="120"/>
  <c r="G158" i="120"/>
  <c r="H158" i="120"/>
  <c r="I158" i="120"/>
  <c r="K158" i="120"/>
  <c r="L158" i="120"/>
  <c r="M158" i="120"/>
  <c r="O158" i="120"/>
  <c r="G159" i="120"/>
  <c r="H159" i="120"/>
  <c r="I159" i="120"/>
  <c r="K159" i="120"/>
  <c r="L159" i="120"/>
  <c r="M159" i="120"/>
  <c r="O159" i="120"/>
  <c r="F160" i="120"/>
  <c r="G160" i="120"/>
  <c r="H160" i="120"/>
  <c r="I160" i="120"/>
  <c r="K160" i="120"/>
  <c r="L160" i="120"/>
  <c r="M160" i="120"/>
  <c r="F161" i="120"/>
  <c r="G161" i="120"/>
  <c r="H161" i="120"/>
  <c r="I161" i="120"/>
  <c r="K161" i="120"/>
  <c r="L161" i="120"/>
  <c r="M161" i="120"/>
  <c r="G162" i="120"/>
  <c r="H162" i="120"/>
  <c r="I162" i="120"/>
  <c r="K162" i="120"/>
  <c r="L162" i="120"/>
  <c r="M162" i="120"/>
  <c r="O162" i="120"/>
  <c r="G163" i="120"/>
  <c r="H163" i="120"/>
  <c r="I163" i="120"/>
  <c r="K163" i="120"/>
  <c r="L163" i="120"/>
  <c r="M163" i="120"/>
  <c r="F164" i="120"/>
  <c r="G164" i="120"/>
  <c r="H164" i="120"/>
  <c r="I164" i="120"/>
  <c r="K164" i="120"/>
  <c r="L164" i="120"/>
  <c r="M164" i="120"/>
  <c r="E165" i="120"/>
  <c r="F165" i="120"/>
  <c r="G165" i="120"/>
  <c r="H165" i="120"/>
  <c r="I165" i="120"/>
  <c r="K165" i="120"/>
  <c r="L165" i="120"/>
  <c r="M165" i="120"/>
  <c r="O165" i="120"/>
  <c r="G166" i="120"/>
  <c r="H166" i="120"/>
  <c r="I166" i="120"/>
  <c r="L166" i="120"/>
  <c r="M166" i="120"/>
  <c r="F167" i="120"/>
  <c r="G167" i="120"/>
  <c r="H167" i="120"/>
  <c r="I167" i="120"/>
  <c r="K167" i="120"/>
  <c r="L167" i="120"/>
  <c r="M167" i="120"/>
  <c r="G168" i="120"/>
  <c r="H168" i="120"/>
  <c r="I168" i="120"/>
  <c r="L168" i="120"/>
  <c r="M168" i="120"/>
  <c r="G169" i="120"/>
  <c r="H169" i="120"/>
  <c r="I169" i="120"/>
  <c r="K169" i="120"/>
  <c r="L169" i="120"/>
  <c r="M169" i="120"/>
  <c r="O169" i="120"/>
  <c r="G170" i="120"/>
  <c r="H170" i="120"/>
  <c r="I170" i="120"/>
  <c r="L170" i="120"/>
  <c r="M170" i="120"/>
  <c r="G171" i="120"/>
  <c r="H171" i="120"/>
  <c r="I171" i="120"/>
  <c r="K171" i="120"/>
  <c r="L171" i="120"/>
  <c r="M171" i="120"/>
  <c r="G172" i="120"/>
  <c r="H172" i="120"/>
  <c r="I172" i="120"/>
  <c r="K172" i="120"/>
  <c r="L172" i="120"/>
  <c r="M172" i="120"/>
  <c r="F173" i="120"/>
  <c r="G173" i="120"/>
  <c r="H173" i="120"/>
  <c r="I173" i="120"/>
  <c r="K173" i="120"/>
  <c r="L173" i="120"/>
  <c r="M173" i="120"/>
  <c r="G156" i="120"/>
  <c r="H156" i="120"/>
  <c r="I156" i="120"/>
  <c r="L156" i="120"/>
  <c r="M156" i="120"/>
  <c r="F155" i="120"/>
  <c r="G155" i="120"/>
  <c r="H155" i="120"/>
  <c r="I155" i="120"/>
  <c r="K155" i="120"/>
  <c r="L155" i="120"/>
  <c r="M155" i="120"/>
  <c r="O155" i="120"/>
  <c r="H131" i="120"/>
  <c r="I131" i="120"/>
  <c r="K131" i="120"/>
  <c r="L131" i="120"/>
  <c r="M131" i="120"/>
  <c r="G133" i="120"/>
  <c r="H133" i="120"/>
  <c r="I133" i="120"/>
  <c r="K133" i="120"/>
  <c r="L133" i="120"/>
  <c r="M133" i="120"/>
  <c r="O133" i="120"/>
  <c r="I134" i="120"/>
  <c r="K134" i="120"/>
  <c r="L134" i="120"/>
  <c r="M134" i="120"/>
  <c r="I135" i="120"/>
  <c r="K135" i="120"/>
  <c r="L135" i="120"/>
  <c r="M135" i="120"/>
  <c r="O135" i="120"/>
  <c r="I136" i="120"/>
  <c r="L136" i="120"/>
  <c r="M136" i="120"/>
  <c r="G137" i="120"/>
  <c r="H137" i="120"/>
  <c r="I137" i="120"/>
  <c r="K137" i="120"/>
  <c r="L137" i="120"/>
  <c r="M137" i="120"/>
  <c r="O137" i="120"/>
  <c r="G138" i="120"/>
  <c r="H138" i="120"/>
  <c r="I138" i="120"/>
  <c r="K138" i="120"/>
  <c r="L138" i="120"/>
  <c r="M138" i="120"/>
  <c r="O138" i="120"/>
  <c r="I139" i="120"/>
  <c r="F140" i="120"/>
  <c r="G140" i="120"/>
  <c r="H140" i="120"/>
  <c r="I140" i="120"/>
  <c r="K140" i="120"/>
  <c r="L140" i="120"/>
  <c r="M140" i="120"/>
  <c r="O140" i="120"/>
  <c r="I142" i="120"/>
  <c r="K142" i="120"/>
  <c r="L142" i="120"/>
  <c r="G143" i="120"/>
  <c r="H143" i="120"/>
  <c r="I143" i="120"/>
  <c r="K143" i="120"/>
  <c r="L143" i="120"/>
  <c r="M143" i="120"/>
  <c r="O143" i="120"/>
  <c r="I144" i="120"/>
  <c r="G145" i="120"/>
  <c r="H145" i="120"/>
  <c r="I145" i="120"/>
  <c r="K145" i="120"/>
  <c r="L145" i="120"/>
  <c r="M145" i="120"/>
  <c r="O145" i="120"/>
  <c r="G147" i="120"/>
  <c r="H147" i="120"/>
  <c r="I147" i="120"/>
  <c r="K147" i="120"/>
  <c r="L147" i="120"/>
  <c r="M147" i="120"/>
  <c r="O147" i="120"/>
  <c r="H148" i="120"/>
  <c r="I148" i="120"/>
  <c r="L148" i="120"/>
  <c r="M148" i="120"/>
  <c r="G149" i="120"/>
  <c r="H149" i="120"/>
  <c r="I149" i="120"/>
  <c r="K149" i="120"/>
  <c r="L149" i="120"/>
  <c r="M149" i="120"/>
  <c r="O149" i="120"/>
  <c r="F150" i="120"/>
  <c r="G150" i="120"/>
  <c r="H150" i="120"/>
  <c r="I150" i="120"/>
  <c r="K150" i="120"/>
  <c r="L150" i="120"/>
  <c r="M150" i="120"/>
  <c r="O150" i="120"/>
  <c r="F151" i="120"/>
  <c r="G151" i="120"/>
  <c r="H151" i="120"/>
  <c r="I151" i="120"/>
  <c r="K151" i="120"/>
  <c r="L151" i="120"/>
  <c r="M151" i="120"/>
  <c r="G152" i="120"/>
  <c r="H152" i="120"/>
  <c r="I152" i="120"/>
  <c r="K152" i="120"/>
  <c r="L152" i="120"/>
  <c r="M152" i="120"/>
  <c r="O152" i="120"/>
  <c r="F119" i="120"/>
  <c r="G119" i="120"/>
  <c r="H119" i="120"/>
  <c r="I119" i="120"/>
  <c r="K119" i="120"/>
  <c r="L119" i="120"/>
  <c r="M119" i="120"/>
  <c r="O119" i="120"/>
  <c r="F120" i="120"/>
  <c r="G120" i="120"/>
  <c r="H120" i="120"/>
  <c r="I120" i="120"/>
  <c r="K120" i="120"/>
  <c r="L120" i="120"/>
  <c r="M120" i="120"/>
  <c r="F121" i="120"/>
  <c r="G121" i="120"/>
  <c r="H121" i="120"/>
  <c r="I121" i="120"/>
  <c r="K121" i="120"/>
  <c r="L121" i="120"/>
  <c r="M121" i="120"/>
  <c r="G122" i="120"/>
  <c r="H122" i="120"/>
  <c r="I122" i="120"/>
  <c r="K122" i="120"/>
  <c r="L122" i="120"/>
  <c r="M122" i="120"/>
  <c r="G123" i="120"/>
  <c r="H123" i="120"/>
  <c r="I123" i="120"/>
  <c r="K123" i="120"/>
  <c r="L123" i="120"/>
  <c r="M123" i="120"/>
  <c r="O123" i="120"/>
  <c r="I124" i="120"/>
  <c r="H125" i="120"/>
  <c r="I125" i="120"/>
  <c r="K125" i="120"/>
  <c r="L125" i="120"/>
  <c r="M125" i="120"/>
  <c r="G126" i="120"/>
  <c r="H126" i="120"/>
  <c r="I126" i="120"/>
  <c r="K126" i="120"/>
  <c r="L126" i="120"/>
  <c r="M126" i="120"/>
  <c r="O126" i="120"/>
  <c r="F127" i="120"/>
  <c r="G127" i="120"/>
  <c r="H127" i="120"/>
  <c r="I127" i="120"/>
  <c r="K127" i="120"/>
  <c r="L127" i="120"/>
  <c r="M127" i="120"/>
  <c r="G118" i="120"/>
  <c r="H118" i="120"/>
  <c r="I118" i="120"/>
  <c r="K118" i="120"/>
  <c r="L118" i="120"/>
  <c r="M118" i="120"/>
  <c r="O114" i="120"/>
  <c r="N114" i="120"/>
  <c r="M114" i="120"/>
  <c r="L114" i="120"/>
  <c r="K114" i="120"/>
  <c r="I114" i="120"/>
  <c r="H114" i="120"/>
  <c r="G114" i="120"/>
  <c r="F114" i="120"/>
  <c r="F113" i="120"/>
  <c r="G113" i="120"/>
  <c r="H113" i="120"/>
  <c r="I113" i="120"/>
  <c r="L113" i="120"/>
  <c r="M113" i="120"/>
  <c r="I109" i="120"/>
  <c r="K109" i="120"/>
  <c r="L109" i="120"/>
  <c r="M109" i="120"/>
  <c r="G110" i="120"/>
  <c r="H110" i="120"/>
  <c r="I110" i="120"/>
  <c r="K110" i="120"/>
  <c r="L110" i="120"/>
  <c r="M110" i="120"/>
  <c r="I111" i="120"/>
  <c r="F112" i="120"/>
  <c r="G112" i="120"/>
  <c r="H112" i="120"/>
  <c r="I112" i="120"/>
  <c r="K112" i="120"/>
  <c r="L112" i="120"/>
  <c r="M112" i="120"/>
  <c r="O106" i="120"/>
  <c r="M106" i="120"/>
  <c r="L106" i="120"/>
  <c r="K106" i="120"/>
  <c r="I106" i="120"/>
  <c r="H106" i="120"/>
  <c r="G106" i="120"/>
  <c r="F106" i="120"/>
  <c r="I108" i="120"/>
  <c r="O103" i="120"/>
  <c r="M103" i="120"/>
  <c r="L103" i="120"/>
  <c r="K103" i="120"/>
  <c r="I103" i="120"/>
  <c r="H103" i="120"/>
  <c r="G103" i="120"/>
  <c r="F103" i="120"/>
  <c r="E103" i="120"/>
  <c r="F102" i="120"/>
  <c r="G102" i="120"/>
  <c r="H102" i="120"/>
  <c r="I102" i="120"/>
  <c r="L102" i="120"/>
  <c r="M102" i="120"/>
  <c r="E102" i="120"/>
  <c r="O101" i="120"/>
  <c r="M101" i="120"/>
  <c r="L101" i="120"/>
  <c r="K101" i="120"/>
  <c r="I101" i="120"/>
  <c r="H101" i="120"/>
  <c r="F101" i="120"/>
  <c r="G95" i="120"/>
  <c r="H95" i="120"/>
  <c r="I95" i="120"/>
  <c r="K95" i="120"/>
  <c r="L95" i="120"/>
  <c r="M95" i="120"/>
  <c r="O95" i="120"/>
  <c r="F96" i="120"/>
  <c r="G96" i="120"/>
  <c r="H96" i="120"/>
  <c r="I96" i="120"/>
  <c r="K96" i="120"/>
  <c r="L96" i="120"/>
  <c r="M96" i="120"/>
  <c r="O96" i="120"/>
  <c r="F97" i="120"/>
  <c r="G97" i="120"/>
  <c r="H97" i="120"/>
  <c r="I97" i="120"/>
  <c r="K97" i="120"/>
  <c r="L97" i="120"/>
  <c r="M97" i="120"/>
  <c r="O97" i="120"/>
  <c r="F98" i="120"/>
  <c r="I98" i="120"/>
  <c r="I99" i="120"/>
  <c r="G100" i="120"/>
  <c r="H100" i="120"/>
  <c r="I100" i="120"/>
  <c r="K100" i="120"/>
  <c r="L100" i="120"/>
  <c r="M100" i="120"/>
  <c r="O100" i="120"/>
  <c r="G86" i="120"/>
  <c r="H86" i="120"/>
  <c r="I86" i="120"/>
  <c r="K86" i="120"/>
  <c r="L86" i="120"/>
  <c r="M86" i="120"/>
  <c r="O86" i="120"/>
  <c r="G87" i="120"/>
  <c r="H87" i="120"/>
  <c r="I87" i="120"/>
  <c r="K87" i="120"/>
  <c r="L87" i="120"/>
  <c r="M87" i="120"/>
  <c r="N87" i="120"/>
  <c r="O87" i="120"/>
  <c r="G88" i="120"/>
  <c r="H88" i="120"/>
  <c r="I88" i="120"/>
  <c r="K88" i="120"/>
  <c r="L88" i="120"/>
  <c r="M88" i="120"/>
  <c r="N88" i="120"/>
  <c r="O88" i="120"/>
  <c r="F89" i="120"/>
  <c r="G89" i="120"/>
  <c r="H89" i="120"/>
  <c r="I89" i="120"/>
  <c r="K89" i="120"/>
  <c r="L89" i="120"/>
  <c r="M89" i="120"/>
  <c r="N89" i="120"/>
  <c r="O89" i="120"/>
  <c r="F90" i="120"/>
  <c r="G90" i="120"/>
  <c r="H90" i="120"/>
  <c r="I90" i="120"/>
  <c r="K90" i="120"/>
  <c r="L90" i="120"/>
  <c r="M90" i="120"/>
  <c r="O90" i="120"/>
  <c r="I92" i="120"/>
  <c r="K92" i="120"/>
  <c r="L92" i="120"/>
  <c r="M92" i="120"/>
  <c r="I93" i="120"/>
  <c r="K93" i="120"/>
  <c r="L93" i="120"/>
  <c r="M93" i="120"/>
  <c r="G94" i="120"/>
  <c r="H94" i="120"/>
  <c r="I94" i="120"/>
  <c r="K94" i="120"/>
  <c r="L94" i="120"/>
  <c r="M94" i="120"/>
  <c r="O94" i="120"/>
  <c r="G85" i="120"/>
  <c r="H85" i="120"/>
  <c r="I85" i="120"/>
  <c r="K85" i="120"/>
  <c r="L85" i="120"/>
  <c r="M85" i="120"/>
  <c r="O85" i="120"/>
  <c r="O83" i="120"/>
  <c r="M83" i="120"/>
  <c r="L83" i="120"/>
  <c r="K83" i="120"/>
  <c r="I83" i="120"/>
  <c r="H83" i="120"/>
  <c r="G83" i="120"/>
  <c r="F79" i="120"/>
  <c r="G79" i="120"/>
  <c r="H79" i="120"/>
  <c r="I79" i="120"/>
  <c r="K79" i="120"/>
  <c r="L79" i="120"/>
  <c r="M79" i="120"/>
  <c r="O79" i="120"/>
  <c r="F80" i="120"/>
  <c r="G80" i="120"/>
  <c r="H80" i="120"/>
  <c r="I80" i="120"/>
  <c r="K80" i="120"/>
  <c r="L80" i="120"/>
  <c r="M80" i="120"/>
  <c r="O80" i="120"/>
  <c r="F81" i="120"/>
  <c r="G81" i="120"/>
  <c r="H81" i="120"/>
  <c r="I81" i="120"/>
  <c r="K81" i="120"/>
  <c r="L81" i="120"/>
  <c r="M81" i="120"/>
  <c r="O81" i="120"/>
  <c r="F82" i="120"/>
  <c r="G82" i="120"/>
  <c r="H82" i="120"/>
  <c r="I82" i="120"/>
  <c r="K82" i="120"/>
  <c r="L82" i="120"/>
  <c r="M82" i="120"/>
  <c r="O82" i="120"/>
  <c r="F72" i="120"/>
  <c r="G72" i="120"/>
  <c r="H72" i="120"/>
  <c r="I72" i="120"/>
  <c r="K72" i="120"/>
  <c r="L72" i="120"/>
  <c r="M72" i="120"/>
  <c r="O72" i="120"/>
  <c r="G73" i="120"/>
  <c r="H73" i="120"/>
  <c r="I73" i="120"/>
  <c r="K73" i="120"/>
  <c r="L73" i="120"/>
  <c r="M73" i="120"/>
  <c r="O73" i="120"/>
  <c r="F75" i="120"/>
  <c r="G75" i="120"/>
  <c r="H75" i="120"/>
  <c r="I75" i="120"/>
  <c r="K75" i="120"/>
  <c r="L75" i="120"/>
  <c r="M75" i="120"/>
  <c r="O75" i="120"/>
  <c r="F76" i="120"/>
  <c r="G76" i="120"/>
  <c r="H76" i="120"/>
  <c r="I76" i="120"/>
  <c r="K76" i="120"/>
  <c r="L76" i="120"/>
  <c r="M76" i="120"/>
  <c r="O76" i="120"/>
  <c r="G77" i="120"/>
  <c r="H77" i="120"/>
  <c r="I77" i="120"/>
  <c r="K77" i="120"/>
  <c r="L77" i="120"/>
  <c r="M77" i="120"/>
  <c r="O77" i="120"/>
  <c r="F78" i="120"/>
  <c r="G78" i="120"/>
  <c r="H78" i="120"/>
  <c r="I78" i="120"/>
  <c r="K78" i="120"/>
  <c r="L78" i="120"/>
  <c r="M78" i="120"/>
  <c r="O78" i="120"/>
  <c r="G69" i="120"/>
  <c r="H69" i="120"/>
  <c r="I69" i="120"/>
  <c r="K69" i="120"/>
  <c r="L69" i="120"/>
  <c r="M69" i="120"/>
  <c r="O69" i="120"/>
  <c r="G70" i="120"/>
  <c r="H70" i="120"/>
  <c r="I70" i="120"/>
  <c r="K70" i="120"/>
  <c r="L70" i="120"/>
  <c r="M70" i="120"/>
  <c r="O70" i="120"/>
  <c r="G71" i="120"/>
  <c r="H71" i="120"/>
  <c r="I71" i="120"/>
  <c r="K71" i="120"/>
  <c r="L71" i="120"/>
  <c r="M71" i="120"/>
  <c r="O71" i="120"/>
  <c r="F63" i="120"/>
  <c r="G63" i="120"/>
  <c r="H63" i="120"/>
  <c r="I63" i="120"/>
  <c r="K63" i="120"/>
  <c r="L63" i="120"/>
  <c r="M63" i="120"/>
  <c r="O63" i="120"/>
  <c r="F64" i="120"/>
  <c r="G64" i="120"/>
  <c r="H64" i="120"/>
  <c r="I64" i="120"/>
  <c r="K64" i="120"/>
  <c r="L64" i="120"/>
  <c r="M64" i="120"/>
  <c r="O64" i="120"/>
  <c r="F66" i="120"/>
  <c r="G66" i="120"/>
  <c r="H66" i="120"/>
  <c r="I66" i="120"/>
  <c r="K66" i="120"/>
  <c r="L66" i="120"/>
  <c r="M66" i="120"/>
  <c r="O66" i="120"/>
  <c r="G67" i="120"/>
  <c r="H67" i="120"/>
  <c r="I67" i="120"/>
  <c r="K67" i="120"/>
  <c r="L67" i="120"/>
  <c r="M67" i="120"/>
  <c r="O67" i="120"/>
  <c r="F61" i="120"/>
  <c r="G61" i="120"/>
  <c r="H61" i="120"/>
  <c r="I61" i="120"/>
  <c r="K61" i="120"/>
  <c r="L61" i="120"/>
  <c r="M61" i="120"/>
  <c r="O61" i="120"/>
  <c r="G47" i="120"/>
  <c r="H47" i="120"/>
  <c r="I47" i="120"/>
  <c r="L47" i="120"/>
  <c r="M47" i="120"/>
  <c r="G48" i="120"/>
  <c r="H48" i="120"/>
  <c r="I48" i="120"/>
  <c r="L48" i="120"/>
  <c r="M48" i="120"/>
  <c r="G49" i="120"/>
  <c r="H49" i="120"/>
  <c r="I49" i="120"/>
  <c r="L49" i="120"/>
  <c r="M49" i="120"/>
  <c r="G50" i="120"/>
  <c r="H50" i="120"/>
  <c r="I50" i="120"/>
  <c r="L50" i="120"/>
  <c r="M50" i="120"/>
  <c r="G51" i="120"/>
  <c r="H51" i="120"/>
  <c r="I51" i="120"/>
  <c r="K51" i="120"/>
  <c r="L51" i="120"/>
  <c r="M51" i="120"/>
  <c r="I52" i="120"/>
  <c r="O52" i="120"/>
  <c r="G53" i="120"/>
  <c r="H53" i="120"/>
  <c r="I53" i="120"/>
  <c r="K53" i="120"/>
  <c r="L53" i="120"/>
  <c r="M53" i="120"/>
  <c r="O53" i="120"/>
  <c r="G54" i="120"/>
  <c r="H54" i="120"/>
  <c r="I54" i="120"/>
  <c r="K54" i="120"/>
  <c r="L54" i="120"/>
  <c r="M54" i="120"/>
  <c r="O54" i="120"/>
  <c r="I55" i="120"/>
  <c r="H56" i="120"/>
  <c r="I56" i="120"/>
  <c r="K56" i="120"/>
  <c r="L56" i="120"/>
  <c r="M56" i="120"/>
  <c r="F57" i="120"/>
  <c r="G57" i="120"/>
  <c r="H57" i="120"/>
  <c r="I57" i="120"/>
  <c r="K57" i="120"/>
  <c r="L57" i="120"/>
  <c r="M57" i="120"/>
  <c r="O57" i="120"/>
  <c r="G58" i="120"/>
  <c r="H58" i="120"/>
  <c r="I58" i="120"/>
  <c r="K58" i="120"/>
  <c r="L58" i="120"/>
  <c r="M58" i="120"/>
  <c r="G46" i="120"/>
  <c r="H46" i="120"/>
  <c r="I46" i="120"/>
  <c r="K46" i="120"/>
  <c r="L46" i="120"/>
  <c r="M46" i="120"/>
  <c r="F45" i="120"/>
  <c r="G45" i="120"/>
  <c r="H45" i="120"/>
  <c r="I45" i="120"/>
  <c r="K45" i="120"/>
  <c r="L45" i="120"/>
  <c r="M45" i="120"/>
  <c r="O45" i="120"/>
  <c r="I33" i="120"/>
  <c r="M33" i="120"/>
  <c r="I34" i="120"/>
  <c r="K34" i="120"/>
  <c r="L34" i="120"/>
  <c r="M34" i="120"/>
  <c r="O34" i="120"/>
  <c r="I35" i="120"/>
  <c r="K35" i="120"/>
  <c r="L35" i="120"/>
  <c r="M35" i="120"/>
  <c r="I36" i="120"/>
  <c r="L36" i="120"/>
  <c r="M36" i="120"/>
  <c r="I37" i="120"/>
  <c r="H38" i="120"/>
  <c r="I38" i="120"/>
  <c r="K38" i="120"/>
  <c r="L38" i="120"/>
  <c r="M38" i="120"/>
  <c r="I39" i="120"/>
  <c r="I40" i="120"/>
  <c r="K40" i="120"/>
  <c r="L40" i="120"/>
  <c r="M40" i="120"/>
  <c r="G41" i="120"/>
  <c r="H41" i="120"/>
  <c r="I41" i="120"/>
  <c r="K41" i="120"/>
  <c r="L41" i="120"/>
  <c r="M41" i="120"/>
  <c r="N41" i="120"/>
  <c r="O41" i="120"/>
  <c r="F42" i="120"/>
  <c r="G42" i="120"/>
  <c r="H42" i="120"/>
  <c r="I42" i="120"/>
  <c r="K42" i="120"/>
  <c r="L42" i="120"/>
  <c r="M42" i="120"/>
  <c r="I32" i="120"/>
  <c r="K32" i="120"/>
  <c r="L32" i="120"/>
  <c r="M32" i="120"/>
  <c r="G26" i="120"/>
  <c r="H26" i="120"/>
  <c r="I26" i="120"/>
  <c r="K26" i="120"/>
  <c r="L26" i="120"/>
  <c r="M26" i="120"/>
  <c r="F27" i="120"/>
  <c r="G27" i="120"/>
  <c r="H27" i="120"/>
  <c r="I27" i="120"/>
  <c r="J27" i="120"/>
  <c r="K27" i="120"/>
  <c r="L27" i="120"/>
  <c r="M27" i="120"/>
  <c r="O27" i="120"/>
  <c r="F28" i="120"/>
  <c r="G28" i="120"/>
  <c r="H28" i="120"/>
  <c r="I28" i="120"/>
  <c r="K28" i="120"/>
  <c r="L28" i="120"/>
  <c r="M28" i="120"/>
  <c r="G29" i="120"/>
  <c r="H29" i="120"/>
  <c r="I29" i="120"/>
  <c r="K29" i="120"/>
  <c r="L29" i="120"/>
  <c r="M29" i="120"/>
  <c r="E28" i="120"/>
  <c r="O24" i="120"/>
  <c r="M24" i="120"/>
  <c r="L24" i="120"/>
  <c r="I24" i="120"/>
  <c r="H24" i="120"/>
  <c r="G24" i="120"/>
  <c r="F24" i="120"/>
  <c r="E19" i="120"/>
  <c r="F19" i="120"/>
  <c r="G19" i="120"/>
  <c r="H19" i="120"/>
  <c r="I19" i="120"/>
  <c r="K19" i="120"/>
  <c r="L19" i="120"/>
  <c r="M19" i="120"/>
  <c r="O19" i="120"/>
  <c r="G20" i="120"/>
  <c r="H20" i="120"/>
  <c r="I20" i="120"/>
  <c r="K20" i="120"/>
  <c r="L20" i="120"/>
  <c r="M20" i="120"/>
  <c r="O20" i="120"/>
  <c r="F21" i="120"/>
  <c r="G21" i="120"/>
  <c r="H21" i="120"/>
  <c r="I21" i="120"/>
  <c r="K21" i="120"/>
  <c r="L21" i="120"/>
  <c r="M21" i="120"/>
  <c r="F22" i="120"/>
  <c r="G22" i="120"/>
  <c r="H22" i="120"/>
  <c r="I22" i="120"/>
  <c r="K22" i="120"/>
  <c r="L22" i="120"/>
  <c r="M22" i="120"/>
  <c r="O22" i="120"/>
  <c r="F23" i="120"/>
  <c r="G23" i="120"/>
  <c r="H23" i="120"/>
  <c r="I23" i="120"/>
  <c r="L23" i="120"/>
  <c r="M23" i="120"/>
  <c r="L18" i="120"/>
  <c r="M18" i="120"/>
  <c r="H16" i="120"/>
  <c r="I16" i="120"/>
  <c r="K16" i="120"/>
  <c r="L16" i="120"/>
  <c r="M16" i="120"/>
  <c r="O16" i="120"/>
  <c r="I15" i="120"/>
  <c r="K15" i="120"/>
  <c r="L15" i="120"/>
  <c r="M15" i="120"/>
  <c r="I14" i="120"/>
  <c r="K14" i="120"/>
  <c r="L14" i="120"/>
  <c r="M14" i="120"/>
  <c r="M214" i="120"/>
  <c r="M213" i="120" s="1"/>
  <c r="I213" i="120"/>
  <c r="M209" i="120"/>
  <c r="M208" i="120" s="1"/>
  <c r="I209" i="120"/>
  <c r="H209" i="120"/>
  <c r="H208" i="120" s="1"/>
  <c r="I208" i="120"/>
  <c r="L188" i="120"/>
  <c r="L187" i="120" s="1"/>
  <c r="K188" i="120"/>
  <c r="K187" i="120" s="1"/>
  <c r="G188" i="120"/>
  <c r="G187" i="120" s="1"/>
  <c r="I116" i="120"/>
  <c r="I59" i="120"/>
  <c r="I43" i="120"/>
  <c r="I12" i="120"/>
  <c r="J201" i="119"/>
  <c r="E201" i="119"/>
  <c r="J200" i="119"/>
  <c r="F200" i="119"/>
  <c r="E200" i="119" s="1"/>
  <c r="J199" i="119"/>
  <c r="E199" i="119"/>
  <c r="O198" i="119"/>
  <c r="N198" i="119"/>
  <c r="N197" i="119" s="1"/>
  <c r="M198" i="119"/>
  <c r="L198" i="119"/>
  <c r="L197" i="119" s="1"/>
  <c r="K198" i="119"/>
  <c r="J198" i="119"/>
  <c r="J197" i="119" s="1"/>
  <c r="H198" i="119"/>
  <c r="H197" i="119" s="1"/>
  <c r="G198" i="119"/>
  <c r="G197" i="119" s="1"/>
  <c r="F198" i="119"/>
  <c r="O197" i="119"/>
  <c r="M197" i="119"/>
  <c r="K197" i="119"/>
  <c r="I197" i="119"/>
  <c r="F197" i="119"/>
  <c r="N196" i="119"/>
  <c r="J196" i="119" s="1"/>
  <c r="E196" i="119"/>
  <c r="O195" i="119"/>
  <c r="E195" i="119"/>
  <c r="M194" i="119"/>
  <c r="M193" i="119" s="1"/>
  <c r="L194" i="119"/>
  <c r="K194" i="119"/>
  <c r="K193" i="119" s="1"/>
  <c r="I194" i="119"/>
  <c r="I193" i="119" s="1"/>
  <c r="H194" i="119"/>
  <c r="H193" i="119" s="1"/>
  <c r="G194" i="119"/>
  <c r="G193" i="119" s="1"/>
  <c r="F194" i="119"/>
  <c r="F193" i="119" s="1"/>
  <c r="L193" i="119"/>
  <c r="N192" i="119"/>
  <c r="J192" i="119" s="1"/>
  <c r="P192" i="119" s="1"/>
  <c r="N191" i="119"/>
  <c r="J191" i="119" s="1"/>
  <c r="P191" i="119" s="1"/>
  <c r="N190" i="119"/>
  <c r="J190" i="119"/>
  <c r="E190" i="119"/>
  <c r="P190" i="119" s="1"/>
  <c r="N189" i="119"/>
  <c r="J189" i="119" s="1"/>
  <c r="E189" i="119"/>
  <c r="O188" i="119"/>
  <c r="O187" i="119" s="1"/>
  <c r="O186" i="119" s="1"/>
  <c r="M188" i="119"/>
  <c r="M187" i="119" s="1"/>
  <c r="L188" i="119"/>
  <c r="L187" i="119" s="1"/>
  <c r="L186" i="119" s="1"/>
  <c r="K188" i="119"/>
  <c r="I188" i="119"/>
  <c r="I187" i="119" s="1"/>
  <c r="I186" i="119" s="1"/>
  <c r="H188" i="119"/>
  <c r="H187" i="119" s="1"/>
  <c r="H186" i="119" s="1"/>
  <c r="G188" i="119"/>
  <c r="G187" i="119" s="1"/>
  <c r="G186" i="119" s="1"/>
  <c r="F188" i="119"/>
  <c r="E188" i="119" s="1"/>
  <c r="K187" i="119"/>
  <c r="K186" i="119" s="1"/>
  <c r="M186" i="119"/>
  <c r="E186" i="119"/>
  <c r="O185" i="119"/>
  <c r="N185" i="119" s="1"/>
  <c r="J185" i="119" s="1"/>
  <c r="F185" i="119"/>
  <c r="E185" i="119" s="1"/>
  <c r="K184" i="119"/>
  <c r="K180" i="119" s="1"/>
  <c r="F184" i="119"/>
  <c r="N183" i="119"/>
  <c r="J183" i="119" s="1"/>
  <c r="F183" i="119"/>
  <c r="E183" i="119" s="1"/>
  <c r="N182" i="119"/>
  <c r="J182" i="119" s="1"/>
  <c r="F182" i="119"/>
  <c r="E182" i="119" s="1"/>
  <c r="O181" i="119"/>
  <c r="N181" i="119" s="1"/>
  <c r="E181" i="119"/>
  <c r="M180" i="119"/>
  <c r="M179" i="119" s="1"/>
  <c r="L180" i="119"/>
  <c r="I180" i="119"/>
  <c r="H180" i="119"/>
  <c r="H179" i="119" s="1"/>
  <c r="G180" i="119"/>
  <c r="G179" i="119" s="1"/>
  <c r="L179" i="119"/>
  <c r="I179" i="119"/>
  <c r="O178" i="119"/>
  <c r="E178" i="119"/>
  <c r="E177" i="119" s="1"/>
  <c r="F177" i="119" s="1"/>
  <c r="F176" i="119" s="1"/>
  <c r="M177" i="119"/>
  <c r="M176" i="119" s="1"/>
  <c r="L177" i="119"/>
  <c r="K177" i="119"/>
  <c r="I177" i="119"/>
  <c r="I176" i="119" s="1"/>
  <c r="H177" i="119"/>
  <c r="H176" i="119" s="1"/>
  <c r="G177" i="119"/>
  <c r="L176" i="119"/>
  <c r="K176" i="119"/>
  <c r="G176" i="119"/>
  <c r="O175" i="119"/>
  <c r="N175" i="119" s="1"/>
  <c r="J175" i="119" s="1"/>
  <c r="E175" i="119"/>
  <c r="O174" i="119"/>
  <c r="N174" i="119" s="1"/>
  <c r="J174" i="119" s="1"/>
  <c r="E174" i="119"/>
  <c r="O173" i="119"/>
  <c r="N173" i="119" s="1"/>
  <c r="E173" i="119"/>
  <c r="O172" i="119"/>
  <c r="N172" i="119" s="1"/>
  <c r="J172" i="119" s="1"/>
  <c r="E172" i="119"/>
  <c r="M171" i="119"/>
  <c r="M170" i="119" s="1"/>
  <c r="M169" i="119" s="1"/>
  <c r="L171" i="119"/>
  <c r="L170" i="119" s="1"/>
  <c r="L169" i="119" s="1"/>
  <c r="K171" i="119"/>
  <c r="K170" i="119" s="1"/>
  <c r="K169" i="119" s="1"/>
  <c r="I171" i="119"/>
  <c r="I170" i="119" s="1"/>
  <c r="I169" i="119" s="1"/>
  <c r="H171" i="119"/>
  <c r="H170" i="119" s="1"/>
  <c r="H169" i="119" s="1"/>
  <c r="G171" i="119"/>
  <c r="G170" i="119" s="1"/>
  <c r="G169" i="119" s="1"/>
  <c r="F171" i="119"/>
  <c r="N168" i="119"/>
  <c r="J168" i="119" s="1"/>
  <c r="G168" i="119"/>
  <c r="F168" i="119"/>
  <c r="E168" i="119" s="1"/>
  <c r="N167" i="119"/>
  <c r="J167" i="119" s="1"/>
  <c r="E167" i="119"/>
  <c r="O166" i="119"/>
  <c r="O173" i="120" s="1"/>
  <c r="E166" i="119"/>
  <c r="O165" i="119"/>
  <c r="N165" i="119" s="1"/>
  <c r="J165" i="119" s="1"/>
  <c r="F165" i="119"/>
  <c r="E165" i="119" s="1"/>
  <c r="O164" i="119"/>
  <c r="N164" i="119" s="1"/>
  <c r="F164" i="119"/>
  <c r="F163" i="119" s="1"/>
  <c r="E163" i="119" s="1"/>
  <c r="E164" i="119"/>
  <c r="K163" i="119"/>
  <c r="N162" i="119"/>
  <c r="J162" i="119"/>
  <c r="F162" i="119"/>
  <c r="E162" i="119" s="1"/>
  <c r="O161" i="119"/>
  <c r="N161" i="119" s="1"/>
  <c r="K161" i="119"/>
  <c r="O160" i="119"/>
  <c r="N160" i="119" s="1"/>
  <c r="J160" i="119" s="1"/>
  <c r="E160" i="119"/>
  <c r="K159" i="119"/>
  <c r="F159" i="119"/>
  <c r="E159" i="119" s="1"/>
  <c r="N158" i="119"/>
  <c r="J158" i="119" s="1"/>
  <c r="P158" i="119" s="1"/>
  <c r="O157" i="119"/>
  <c r="N157" i="119" s="1"/>
  <c r="J157" i="119" s="1"/>
  <c r="E157" i="119"/>
  <c r="O156" i="119"/>
  <c r="N156" i="119" s="1"/>
  <c r="J156" i="119" s="1"/>
  <c r="F156" i="119"/>
  <c r="E156" i="119" s="1"/>
  <c r="N155" i="119"/>
  <c r="J155" i="119" s="1"/>
  <c r="F155" i="119"/>
  <c r="E155" i="119" s="1"/>
  <c r="O154" i="119"/>
  <c r="N154" i="119" s="1"/>
  <c r="J154" i="119" s="1"/>
  <c r="P154" i="119" s="1"/>
  <c r="E154" i="119"/>
  <c r="O153" i="119"/>
  <c r="N153" i="119" s="1"/>
  <c r="J153" i="119" s="1"/>
  <c r="E153" i="119"/>
  <c r="N152" i="119"/>
  <c r="J152" i="119" s="1"/>
  <c r="P152" i="119" s="1"/>
  <c r="F152" i="119"/>
  <c r="E152" i="119" s="1"/>
  <c r="N151" i="119"/>
  <c r="J151" i="119" s="1"/>
  <c r="E151" i="119"/>
  <c r="O150" i="119"/>
  <c r="O157" i="120" s="1"/>
  <c r="F150" i="119"/>
  <c r="E150" i="119" s="1"/>
  <c r="K149" i="119"/>
  <c r="F149" i="119"/>
  <c r="M148" i="119"/>
  <c r="M147" i="119" s="1"/>
  <c r="L148" i="119"/>
  <c r="L147" i="119" s="1"/>
  <c r="I148" i="119"/>
  <c r="H148" i="119"/>
  <c r="H147" i="119" s="1"/>
  <c r="G148" i="119"/>
  <c r="G147" i="119" s="1"/>
  <c r="I147" i="119"/>
  <c r="N146" i="119"/>
  <c r="J146" i="119" s="1"/>
  <c r="F146" i="119"/>
  <c r="E146" i="119" s="1"/>
  <c r="O145" i="119"/>
  <c r="N145" i="119" s="1"/>
  <c r="J145" i="119" s="1"/>
  <c r="E145" i="119"/>
  <c r="N144" i="119"/>
  <c r="J144" i="119" s="1"/>
  <c r="E144" i="119"/>
  <c r="N143" i="119"/>
  <c r="J143" i="119" s="1"/>
  <c r="F143" i="119"/>
  <c r="E143" i="119" s="1"/>
  <c r="O142" i="119"/>
  <c r="K142" i="119"/>
  <c r="K140" i="119" s="1"/>
  <c r="G142" i="119"/>
  <c r="G140" i="119" s="1"/>
  <c r="F142" i="119"/>
  <c r="E142" i="119" s="1"/>
  <c r="N141" i="119"/>
  <c r="F141" i="119"/>
  <c r="E141" i="119" s="1"/>
  <c r="M140" i="119"/>
  <c r="L140" i="119"/>
  <c r="I140" i="119"/>
  <c r="H140" i="119"/>
  <c r="N139" i="119"/>
  <c r="J139" i="119" s="1"/>
  <c r="E139" i="119"/>
  <c r="O138" i="119"/>
  <c r="M138" i="119"/>
  <c r="L138" i="119"/>
  <c r="K138" i="119"/>
  <c r="H138" i="119"/>
  <c r="G138" i="119"/>
  <c r="F138" i="119"/>
  <c r="E138" i="119"/>
  <c r="N137" i="119"/>
  <c r="J137" i="119" s="1"/>
  <c r="F137" i="119"/>
  <c r="E137" i="119" s="1"/>
  <c r="O136" i="119"/>
  <c r="N136" i="119"/>
  <c r="M136" i="119"/>
  <c r="H136" i="119"/>
  <c r="G136" i="119"/>
  <c r="F136" i="119"/>
  <c r="E136" i="119" s="1"/>
  <c r="O135" i="119"/>
  <c r="L135" i="119"/>
  <c r="K135" i="119"/>
  <c r="I135" i="119"/>
  <c r="H135" i="119"/>
  <c r="G135" i="119"/>
  <c r="N134" i="119"/>
  <c r="J134" i="119" s="1"/>
  <c r="E134" i="119"/>
  <c r="O133" i="119"/>
  <c r="M133" i="119"/>
  <c r="L133" i="119"/>
  <c r="K133" i="119"/>
  <c r="H133" i="119"/>
  <c r="G133" i="119"/>
  <c r="F133" i="119"/>
  <c r="E133" i="119" s="1"/>
  <c r="N132" i="119"/>
  <c r="J132" i="119" s="1"/>
  <c r="F132" i="119"/>
  <c r="E132" i="119" s="1"/>
  <c r="N131" i="119"/>
  <c r="J131" i="119" s="1"/>
  <c r="F131" i="119"/>
  <c r="O130" i="119"/>
  <c r="N130" i="119" s="1"/>
  <c r="J130" i="119" s="1"/>
  <c r="K130" i="119"/>
  <c r="H130" i="119"/>
  <c r="G130" i="119"/>
  <c r="N129" i="119"/>
  <c r="J129" i="119" s="1"/>
  <c r="H129" i="119"/>
  <c r="G129" i="119"/>
  <c r="F129" i="119"/>
  <c r="E129" i="119" s="1"/>
  <c r="O128" i="119"/>
  <c r="N128" i="119" s="1"/>
  <c r="J128" i="119" s="1"/>
  <c r="G128" i="119"/>
  <c r="G126" i="119" s="1"/>
  <c r="F128" i="119"/>
  <c r="E128" i="119" s="1"/>
  <c r="N127" i="119"/>
  <c r="J127" i="119" s="1"/>
  <c r="F127" i="119"/>
  <c r="M126" i="119"/>
  <c r="L126" i="119"/>
  <c r="K126" i="119"/>
  <c r="I126" i="119"/>
  <c r="H126" i="119"/>
  <c r="O125" i="119"/>
  <c r="N125" i="119" s="1"/>
  <c r="J125" i="119" s="1"/>
  <c r="G125" i="119"/>
  <c r="G124" i="119" s="1"/>
  <c r="F125" i="119"/>
  <c r="M124" i="119"/>
  <c r="L124" i="119"/>
  <c r="K124" i="119"/>
  <c r="I124" i="119"/>
  <c r="H124" i="119"/>
  <c r="O121" i="119"/>
  <c r="N121" i="119" s="1"/>
  <c r="J121" i="119" s="1"/>
  <c r="E121" i="119"/>
  <c r="N120" i="119"/>
  <c r="J120" i="119" s="1"/>
  <c r="F120" i="119"/>
  <c r="E120" i="119" s="1"/>
  <c r="O119" i="119"/>
  <c r="O118" i="119" s="1"/>
  <c r="G119" i="119"/>
  <c r="F119" i="119"/>
  <c r="F118" i="119" s="1"/>
  <c r="E119" i="119"/>
  <c r="M118" i="119"/>
  <c r="M111" i="119" s="1"/>
  <c r="M110" i="119" s="1"/>
  <c r="L118" i="119"/>
  <c r="L111" i="119" s="1"/>
  <c r="L110" i="119" s="1"/>
  <c r="K118" i="119"/>
  <c r="H118" i="119"/>
  <c r="G118" i="119"/>
  <c r="G111" i="119" s="1"/>
  <c r="G110" i="119" s="1"/>
  <c r="E118" i="119"/>
  <c r="N117" i="119"/>
  <c r="J117" i="119" s="1"/>
  <c r="F117" i="119"/>
  <c r="E117" i="119" s="1"/>
  <c r="P117" i="119" s="1"/>
  <c r="O116" i="119"/>
  <c r="N116" i="119" s="1"/>
  <c r="J116" i="119" s="1"/>
  <c r="F116" i="119"/>
  <c r="E116" i="119" s="1"/>
  <c r="O115" i="119"/>
  <c r="N115" i="119" s="1"/>
  <c r="J115" i="119" s="1"/>
  <c r="E115" i="119"/>
  <c r="O114" i="119"/>
  <c r="N114" i="119" s="1"/>
  <c r="J114" i="119" s="1"/>
  <c r="E114" i="119"/>
  <c r="N113" i="119"/>
  <c r="E113" i="119"/>
  <c r="O112" i="119"/>
  <c r="N112" i="119" s="1"/>
  <c r="J112" i="119" s="1"/>
  <c r="F112" i="119"/>
  <c r="E112" i="119" s="1"/>
  <c r="K111" i="119"/>
  <c r="K110" i="119" s="1"/>
  <c r="H111" i="119"/>
  <c r="H110" i="119" s="1"/>
  <c r="I110" i="119"/>
  <c r="O109" i="119"/>
  <c r="N109" i="119" s="1"/>
  <c r="J109" i="119" s="1"/>
  <c r="E109" i="119"/>
  <c r="M108" i="119"/>
  <c r="L108" i="119"/>
  <c r="K108" i="119"/>
  <c r="H108" i="119"/>
  <c r="G108" i="119"/>
  <c r="F108" i="119"/>
  <c r="E108" i="119" s="1"/>
  <c r="O107" i="119"/>
  <c r="N107" i="119" s="1"/>
  <c r="J107" i="119" s="1"/>
  <c r="F107" i="119"/>
  <c r="E107" i="119" s="1"/>
  <c r="O106" i="119"/>
  <c r="N106" i="119" s="1"/>
  <c r="H106" i="119"/>
  <c r="G106" i="119"/>
  <c r="G105" i="119" s="1"/>
  <c r="F106" i="119"/>
  <c r="E106" i="119" s="1"/>
  <c r="M105" i="119"/>
  <c r="L105" i="119"/>
  <c r="K105" i="119"/>
  <c r="H105" i="119"/>
  <c r="N103" i="119"/>
  <c r="J103" i="119" s="1"/>
  <c r="E103" i="119"/>
  <c r="N100" i="119"/>
  <c r="J100" i="119"/>
  <c r="P100" i="119" s="1"/>
  <c r="O99" i="119"/>
  <c r="N99" i="119" s="1"/>
  <c r="J99" i="119" s="1"/>
  <c r="P99" i="119" s="1"/>
  <c r="K99" i="119"/>
  <c r="N98" i="119"/>
  <c r="J98" i="119" s="1"/>
  <c r="F98" i="119"/>
  <c r="E98" i="119" s="1"/>
  <c r="O97" i="119"/>
  <c r="N97" i="119" s="1"/>
  <c r="M97" i="119"/>
  <c r="M96" i="119" s="1"/>
  <c r="L97" i="119"/>
  <c r="L96" i="119" s="1"/>
  <c r="K97" i="119"/>
  <c r="H97" i="119"/>
  <c r="G97" i="119"/>
  <c r="G96" i="119" s="1"/>
  <c r="H96" i="119"/>
  <c r="E96" i="119"/>
  <c r="N95" i="119"/>
  <c r="J95" i="119" s="1"/>
  <c r="E95" i="119"/>
  <c r="N94" i="119"/>
  <c r="J94" i="119" s="1"/>
  <c r="E94" i="119"/>
  <c r="N93" i="119"/>
  <c r="J93" i="119" s="1"/>
  <c r="F93" i="119"/>
  <c r="E93" i="119"/>
  <c r="N92" i="119"/>
  <c r="J92" i="119" s="1"/>
  <c r="F92" i="119"/>
  <c r="E92" i="119" s="1"/>
  <c r="O91" i="119"/>
  <c r="N91" i="119"/>
  <c r="J91" i="119" s="1"/>
  <c r="H91" i="119"/>
  <c r="G91" i="119"/>
  <c r="F91" i="119"/>
  <c r="O90" i="119"/>
  <c r="H90" i="119"/>
  <c r="G90" i="119"/>
  <c r="G89" i="119" s="1"/>
  <c r="F90" i="119"/>
  <c r="E90" i="119" s="1"/>
  <c r="M89" i="119"/>
  <c r="L89" i="119"/>
  <c r="K89" i="119"/>
  <c r="I89" i="119"/>
  <c r="H89" i="119"/>
  <c r="N88" i="119"/>
  <c r="J88" i="119" s="1"/>
  <c r="E88" i="119"/>
  <c r="J87" i="119"/>
  <c r="E87" i="119"/>
  <c r="P87" i="119" s="1"/>
  <c r="J86" i="119"/>
  <c r="F86" i="119"/>
  <c r="E86" i="119"/>
  <c r="J85" i="119"/>
  <c r="F85" i="119"/>
  <c r="F87" i="120" s="1"/>
  <c r="N84" i="119"/>
  <c r="J84" i="119" s="1"/>
  <c r="F84" i="119"/>
  <c r="F86" i="120" s="1"/>
  <c r="N83" i="119"/>
  <c r="J83" i="119" s="1"/>
  <c r="F83" i="119"/>
  <c r="N81" i="119"/>
  <c r="J81" i="119" s="1"/>
  <c r="N80" i="119"/>
  <c r="J80" i="119" s="1"/>
  <c r="E80" i="119"/>
  <c r="N79" i="119"/>
  <c r="J79" i="119" s="1"/>
  <c r="E79" i="119"/>
  <c r="N78" i="119"/>
  <c r="J78" i="119" s="1"/>
  <c r="E78" i="119"/>
  <c r="N77" i="119"/>
  <c r="J77" i="119" s="1"/>
  <c r="E77" i="119"/>
  <c r="N76" i="119"/>
  <c r="J76" i="119" s="1"/>
  <c r="E76" i="119"/>
  <c r="N75" i="119"/>
  <c r="F75" i="119"/>
  <c r="E75" i="119" s="1"/>
  <c r="N74" i="119"/>
  <c r="J74" i="119"/>
  <c r="E74" i="119"/>
  <c r="P74" i="119" s="1"/>
  <c r="N73" i="119"/>
  <c r="J73" i="119" s="1"/>
  <c r="E73" i="119"/>
  <c r="O72" i="119"/>
  <c r="M72" i="119"/>
  <c r="L72" i="119"/>
  <c r="K72" i="119"/>
  <c r="I72" i="119"/>
  <c r="H72" i="119"/>
  <c r="G72" i="119"/>
  <c r="N71" i="119"/>
  <c r="J71" i="119" s="1"/>
  <c r="F71" i="119"/>
  <c r="E71" i="119" s="1"/>
  <c r="N70" i="119"/>
  <c r="J70" i="119" s="1"/>
  <c r="E70" i="119"/>
  <c r="N69" i="119"/>
  <c r="J69" i="119" s="1"/>
  <c r="E69" i="119"/>
  <c r="N68" i="119"/>
  <c r="J68" i="119" s="1"/>
  <c r="F68" i="119"/>
  <c r="N67" i="119"/>
  <c r="J67" i="119" s="1"/>
  <c r="E67" i="119"/>
  <c r="O66" i="119"/>
  <c r="M66" i="119"/>
  <c r="L66" i="119"/>
  <c r="K66" i="119"/>
  <c r="I66" i="119"/>
  <c r="H66" i="119"/>
  <c r="G66" i="119"/>
  <c r="N65" i="119"/>
  <c r="J65" i="119" s="1"/>
  <c r="F65" i="119"/>
  <c r="F63" i="119" s="1"/>
  <c r="E63" i="119" s="1"/>
  <c r="N64" i="119"/>
  <c r="E64" i="119"/>
  <c r="O63" i="119"/>
  <c r="M63" i="119"/>
  <c r="L63" i="119"/>
  <c r="K63" i="119"/>
  <c r="I63" i="119"/>
  <c r="H63" i="119"/>
  <c r="G63" i="119"/>
  <c r="N62" i="119"/>
  <c r="J62" i="119" s="1"/>
  <c r="E62" i="119"/>
  <c r="P62" i="119" s="1"/>
  <c r="N61" i="119"/>
  <c r="E61" i="119"/>
  <c r="O60" i="119"/>
  <c r="M60" i="119"/>
  <c r="L60" i="119"/>
  <c r="K60" i="119"/>
  <c r="I60" i="119"/>
  <c r="H60" i="119"/>
  <c r="G60" i="119"/>
  <c r="F60" i="119"/>
  <c r="E60" i="119" s="1"/>
  <c r="I58" i="119"/>
  <c r="O57" i="119"/>
  <c r="N57" i="119" s="1"/>
  <c r="J57" i="119" s="1"/>
  <c r="F57" i="119"/>
  <c r="E57" i="119" s="1"/>
  <c r="N56" i="119"/>
  <c r="J56" i="119" s="1"/>
  <c r="E56" i="119"/>
  <c r="O55" i="119"/>
  <c r="O54" i="119" s="1"/>
  <c r="F55" i="119"/>
  <c r="M54" i="119"/>
  <c r="L54" i="119"/>
  <c r="K54" i="119"/>
  <c r="H54" i="119"/>
  <c r="G54" i="119"/>
  <c r="N53" i="119"/>
  <c r="F53" i="119"/>
  <c r="E53" i="119" s="1"/>
  <c r="N52" i="119"/>
  <c r="J52" i="119" s="1"/>
  <c r="F52" i="119"/>
  <c r="M51" i="119"/>
  <c r="L51" i="119"/>
  <c r="K51" i="119"/>
  <c r="H51" i="119"/>
  <c r="G51" i="119"/>
  <c r="O50" i="119"/>
  <c r="F50" i="119"/>
  <c r="F49" i="119" s="1"/>
  <c r="E49" i="119" s="1"/>
  <c r="K49" i="119"/>
  <c r="O48" i="119"/>
  <c r="N48" i="119" s="1"/>
  <c r="K48" i="119"/>
  <c r="F48" i="119"/>
  <c r="E48" i="119" s="1"/>
  <c r="O47" i="119"/>
  <c r="N47" i="119" s="1"/>
  <c r="K47" i="119"/>
  <c r="F47" i="119"/>
  <c r="E47" i="119" s="1"/>
  <c r="O46" i="119"/>
  <c r="N46" i="119" s="1"/>
  <c r="K46" i="119"/>
  <c r="F46" i="119"/>
  <c r="E46" i="119" s="1"/>
  <c r="O45" i="119"/>
  <c r="N45" i="119" s="1"/>
  <c r="J45" i="119" s="1"/>
  <c r="F45" i="119"/>
  <c r="E45" i="119" s="1"/>
  <c r="M44" i="119"/>
  <c r="M43" i="119" s="1"/>
  <c r="I43" i="119"/>
  <c r="O42" i="119"/>
  <c r="N42" i="119" s="1"/>
  <c r="J42" i="119" s="1"/>
  <c r="E42" i="119"/>
  <c r="J41" i="119"/>
  <c r="F41" i="119"/>
  <c r="E41" i="119" s="1"/>
  <c r="O40" i="119"/>
  <c r="H40" i="119"/>
  <c r="H39" i="119" s="1"/>
  <c r="G40" i="119"/>
  <c r="G39" i="119" s="1"/>
  <c r="F40" i="119"/>
  <c r="E40" i="119" s="1"/>
  <c r="M39" i="119"/>
  <c r="L39" i="119"/>
  <c r="K39" i="119"/>
  <c r="O38" i="119"/>
  <c r="N38" i="119" s="1"/>
  <c r="J38" i="119" s="1"/>
  <c r="G38" i="119"/>
  <c r="F38" i="119"/>
  <c r="E38" i="119" s="1"/>
  <c r="N37" i="119"/>
  <c r="M37" i="119"/>
  <c r="M37" i="120" s="1"/>
  <c r="L37" i="119"/>
  <c r="K37" i="119"/>
  <c r="H37" i="119"/>
  <c r="G37" i="119"/>
  <c r="F37" i="119"/>
  <c r="E37" i="119" s="1"/>
  <c r="O36" i="119"/>
  <c r="N36" i="119" s="1"/>
  <c r="J36" i="119" s="1"/>
  <c r="H36" i="119"/>
  <c r="G36" i="119"/>
  <c r="F36" i="119"/>
  <c r="E36" i="119"/>
  <c r="O35" i="119"/>
  <c r="N35" i="119" s="1"/>
  <c r="J35" i="119" s="1"/>
  <c r="H35" i="119"/>
  <c r="G35" i="119"/>
  <c r="F35" i="119"/>
  <c r="E35" i="119" s="1"/>
  <c r="P35" i="119" s="1"/>
  <c r="N34" i="119"/>
  <c r="J34" i="119" s="1"/>
  <c r="H34" i="119"/>
  <c r="G34" i="119"/>
  <c r="F34" i="119"/>
  <c r="E34" i="119" s="1"/>
  <c r="O33" i="119"/>
  <c r="N33" i="119" s="1"/>
  <c r="L33" i="119"/>
  <c r="L31" i="119" s="1"/>
  <c r="L30" i="119" s="1"/>
  <c r="K33" i="119"/>
  <c r="H33" i="119"/>
  <c r="G33" i="119"/>
  <c r="G33" i="120" s="1"/>
  <c r="F33" i="119"/>
  <c r="E33" i="119" s="1"/>
  <c r="O32" i="119"/>
  <c r="H32" i="119"/>
  <c r="G32" i="119"/>
  <c r="F32" i="119"/>
  <c r="E32" i="119" s="1"/>
  <c r="I31" i="119"/>
  <c r="O29" i="119"/>
  <c r="F29" i="119"/>
  <c r="E29" i="119" s="1"/>
  <c r="O28" i="119"/>
  <c r="N28" i="119" s="1"/>
  <c r="J28" i="119" s="1"/>
  <c r="P28" i="119" s="1"/>
  <c r="N27" i="119"/>
  <c r="E27" i="119"/>
  <c r="P27" i="119" s="1"/>
  <c r="O26" i="119"/>
  <c r="N26" i="119" s="1"/>
  <c r="J26" i="119" s="1"/>
  <c r="F26" i="119"/>
  <c r="E26" i="119" s="1"/>
  <c r="N24" i="119"/>
  <c r="N23" i="119" s="1"/>
  <c r="K24" i="119"/>
  <c r="E24" i="119"/>
  <c r="O23" i="119"/>
  <c r="E23" i="119"/>
  <c r="N22" i="119"/>
  <c r="J22" i="119" s="1"/>
  <c r="P22" i="119" s="1"/>
  <c r="E22" i="119"/>
  <c r="O21" i="119"/>
  <c r="N21" i="119" s="1"/>
  <c r="J21" i="119" s="1"/>
  <c r="P21" i="119" s="1"/>
  <c r="E21" i="119"/>
  <c r="N20" i="119"/>
  <c r="J20" i="119" s="1"/>
  <c r="F20" i="119"/>
  <c r="E20" i="119" s="1"/>
  <c r="N19" i="119"/>
  <c r="J19" i="119" s="1"/>
  <c r="P19" i="119" s="1"/>
  <c r="O18" i="119"/>
  <c r="N18" i="119" s="1"/>
  <c r="K18" i="119"/>
  <c r="I18" i="119"/>
  <c r="H18" i="119"/>
  <c r="G18" i="119"/>
  <c r="F18" i="119"/>
  <c r="E18" i="119"/>
  <c r="N17" i="119"/>
  <c r="N17" i="120" s="1"/>
  <c r="G17" i="119"/>
  <c r="G17" i="120" s="1"/>
  <c r="E17" i="119"/>
  <c r="N16" i="119"/>
  <c r="J16" i="119" s="1"/>
  <c r="G16" i="119"/>
  <c r="F16" i="119"/>
  <c r="E16" i="119" s="1"/>
  <c r="O15" i="119"/>
  <c r="N15" i="119" s="1"/>
  <c r="J15" i="119" s="1"/>
  <c r="H15" i="119"/>
  <c r="H15" i="120" s="1"/>
  <c r="G15" i="119"/>
  <c r="G15" i="120" s="1"/>
  <c r="F15" i="119"/>
  <c r="F15" i="120" s="1"/>
  <c r="O14" i="119"/>
  <c r="N14" i="119" s="1"/>
  <c r="H14" i="119"/>
  <c r="H13" i="119" s="1"/>
  <c r="G14" i="119"/>
  <c r="G14" i="120" s="1"/>
  <c r="F14" i="119"/>
  <c r="F14" i="120" s="1"/>
  <c r="M13" i="119"/>
  <c r="M12" i="119" s="1"/>
  <c r="L13" i="119"/>
  <c r="L12" i="119" s="1"/>
  <c r="I12" i="119"/>
  <c r="F89" i="119" l="1"/>
  <c r="E89" i="119" s="1"/>
  <c r="F97" i="119"/>
  <c r="E97" i="119" s="1"/>
  <c r="P109" i="119"/>
  <c r="I123" i="119"/>
  <c r="I122" i="119" s="1"/>
  <c r="P144" i="119"/>
  <c r="N188" i="119"/>
  <c r="N187" i="119" s="1"/>
  <c r="M188" i="120"/>
  <c r="M187" i="120" s="1"/>
  <c r="H188" i="120"/>
  <c r="H187" i="120" s="1"/>
  <c r="H192" i="120"/>
  <c r="H191" i="120" s="1"/>
  <c r="G214" i="120"/>
  <c r="G213" i="120" s="1"/>
  <c r="P41" i="119"/>
  <c r="F72" i="119"/>
  <c r="E72" i="119" s="1"/>
  <c r="P73" i="119"/>
  <c r="P77" i="119"/>
  <c r="P95" i="119"/>
  <c r="P115" i="119"/>
  <c r="P129" i="119"/>
  <c r="P151" i="119"/>
  <c r="O184" i="119"/>
  <c r="J188" i="119"/>
  <c r="H44" i="119"/>
  <c r="H43" i="119" s="1"/>
  <c r="F51" i="119"/>
  <c r="E51" i="119" s="1"/>
  <c r="P71" i="119"/>
  <c r="P80" i="119"/>
  <c r="P86" i="119"/>
  <c r="N166" i="119"/>
  <c r="J166" i="119" s="1"/>
  <c r="N119" i="119"/>
  <c r="J119" i="119" s="1"/>
  <c r="P182" i="119"/>
  <c r="P16" i="119"/>
  <c r="N138" i="119"/>
  <c r="J138" i="119" s="1"/>
  <c r="P138" i="119" s="1"/>
  <c r="H31" i="119"/>
  <c r="H30" i="119" s="1"/>
  <c r="P36" i="119"/>
  <c r="P42" i="119"/>
  <c r="G44" i="119"/>
  <c r="G43" i="119" s="1"/>
  <c r="H59" i="119"/>
  <c r="H58" i="119" s="1"/>
  <c r="M59" i="119"/>
  <c r="M58" i="119" s="1"/>
  <c r="E111" i="119"/>
  <c r="E110" i="119" s="1"/>
  <c r="F140" i="119"/>
  <c r="E140" i="119" s="1"/>
  <c r="O159" i="119"/>
  <c r="N159" i="119" s="1"/>
  <c r="F161" i="119"/>
  <c r="E161" i="119" s="1"/>
  <c r="P189" i="119"/>
  <c r="N24" i="120"/>
  <c r="E14" i="119"/>
  <c r="J17" i="119"/>
  <c r="J17" i="120" s="1"/>
  <c r="J37" i="119"/>
  <c r="L44" i="119"/>
  <c r="L43" i="119" s="1"/>
  <c r="P79" i="119"/>
  <c r="E85" i="119"/>
  <c r="P85" i="119" s="1"/>
  <c r="P93" i="119"/>
  <c r="O126" i="119"/>
  <c r="N126" i="119" s="1"/>
  <c r="P132" i="119"/>
  <c r="P139" i="119"/>
  <c r="P146" i="119"/>
  <c r="I192" i="120"/>
  <c r="I191" i="120" s="1"/>
  <c r="P107" i="119"/>
  <c r="E15" i="119"/>
  <c r="E15" i="120" s="1"/>
  <c r="J24" i="119"/>
  <c r="P24" i="119" s="1"/>
  <c r="N55" i="119"/>
  <c r="P76" i="119"/>
  <c r="E84" i="119"/>
  <c r="P84" i="119" s="1"/>
  <c r="E91" i="119"/>
  <c r="P91" i="119" s="1"/>
  <c r="G123" i="119"/>
  <c r="G122" i="119" s="1"/>
  <c r="P145" i="119"/>
  <c r="N150" i="119"/>
  <c r="J150" i="119" s="1"/>
  <c r="P150" i="119" s="1"/>
  <c r="P155" i="119"/>
  <c r="E176" i="119"/>
  <c r="P188" i="119"/>
  <c r="P201" i="119"/>
  <c r="I31" i="120"/>
  <c r="M192" i="120"/>
  <c r="M191" i="120" s="1"/>
  <c r="J126" i="119"/>
  <c r="K123" i="119"/>
  <c r="M142" i="120"/>
  <c r="M135" i="119"/>
  <c r="M123" i="119" s="1"/>
  <c r="M122" i="119" s="1"/>
  <c r="P34" i="119"/>
  <c r="N118" i="119"/>
  <c r="J118" i="119" s="1"/>
  <c r="O31" i="119"/>
  <c r="N32" i="119"/>
  <c r="J32" i="119" s="1"/>
  <c r="P32" i="119" s="1"/>
  <c r="N40" i="119"/>
  <c r="O39" i="119"/>
  <c r="E125" i="119"/>
  <c r="P125" i="119" s="1"/>
  <c r="F124" i="119"/>
  <c r="E124" i="119" s="1"/>
  <c r="P128" i="119"/>
  <c r="L123" i="119"/>
  <c r="L122" i="119" s="1"/>
  <c r="N163" i="119"/>
  <c r="J163" i="119" s="1"/>
  <c r="P163" i="119" s="1"/>
  <c r="J164" i="119"/>
  <c r="P164" i="119" s="1"/>
  <c r="N29" i="119"/>
  <c r="J29" i="119" s="1"/>
  <c r="O29" i="120"/>
  <c r="N90" i="119"/>
  <c r="J90" i="119" s="1"/>
  <c r="O89" i="119"/>
  <c r="J97" i="119"/>
  <c r="P97" i="119" s="1"/>
  <c r="P17" i="119"/>
  <c r="P17" i="120" s="1"/>
  <c r="E17" i="120"/>
  <c r="E55" i="119"/>
  <c r="F54" i="119"/>
  <c r="E54" i="119" s="1"/>
  <c r="N66" i="119"/>
  <c r="J66" i="119" s="1"/>
  <c r="E68" i="119"/>
  <c r="P68" i="119" s="1"/>
  <c r="F66" i="119"/>
  <c r="E66" i="119" s="1"/>
  <c r="P66" i="119" s="1"/>
  <c r="J113" i="119"/>
  <c r="P162" i="119"/>
  <c r="O163" i="119"/>
  <c r="P199" i="119"/>
  <c r="G31" i="119"/>
  <c r="G30" i="119" s="1"/>
  <c r="J48" i="119"/>
  <c r="P48" i="119" s="1"/>
  <c r="N135" i="119"/>
  <c r="H123" i="119"/>
  <c r="H122" i="119" s="1"/>
  <c r="P143" i="119"/>
  <c r="K148" i="119"/>
  <c r="K147" i="119" s="1"/>
  <c r="P153" i="119"/>
  <c r="P160" i="119"/>
  <c r="P165" i="119"/>
  <c r="O15" i="120"/>
  <c r="K24" i="120"/>
  <c r="F29" i="120"/>
  <c r="O49" i="120"/>
  <c r="J18" i="119"/>
  <c r="P20" i="119"/>
  <c r="K23" i="119"/>
  <c r="K13" i="119" s="1"/>
  <c r="K12" i="119" s="1"/>
  <c r="P57" i="119"/>
  <c r="L59" i="119"/>
  <c r="L58" i="119" s="1"/>
  <c r="P78" i="119"/>
  <c r="P90" i="119"/>
  <c r="N89" i="119"/>
  <c r="J89" i="119" s="1"/>
  <c r="P89" i="119" s="1"/>
  <c r="P94" i="119"/>
  <c r="G59" i="119"/>
  <c r="G58" i="119" s="1"/>
  <c r="P114" i="119"/>
  <c r="P121" i="119"/>
  <c r="O124" i="119"/>
  <c r="O149" i="119"/>
  <c r="N149" i="119" s="1"/>
  <c r="J159" i="119"/>
  <c r="P168" i="119"/>
  <c r="P175" i="119"/>
  <c r="F187" i="119"/>
  <c r="F186" i="119" s="1"/>
  <c r="E194" i="119"/>
  <c r="E193" i="119" s="1"/>
  <c r="N15" i="120"/>
  <c r="J15" i="120"/>
  <c r="F33" i="120"/>
  <c r="G13" i="119"/>
  <c r="G12" i="119" s="1"/>
  <c r="P26" i="119"/>
  <c r="P29" i="119"/>
  <c r="P38" i="119"/>
  <c r="M31" i="119"/>
  <c r="M30" i="119" s="1"/>
  <c r="F39" i="119"/>
  <c r="E39" i="119" s="1"/>
  <c r="J47" i="119"/>
  <c r="P47" i="119" s="1"/>
  <c r="E65" i="119"/>
  <c r="P65" i="119" s="1"/>
  <c r="F67" i="120"/>
  <c r="P69" i="119"/>
  <c r="J135" i="119"/>
  <c r="J136" i="119"/>
  <c r="P136" i="119" s="1"/>
  <c r="P172" i="119"/>
  <c r="L13" i="120"/>
  <c r="L12" i="120" s="1"/>
  <c r="O33" i="120"/>
  <c r="I154" i="120"/>
  <c r="I153" i="120" s="1"/>
  <c r="M154" i="120"/>
  <c r="M153" i="120" s="1"/>
  <c r="L214" i="120"/>
  <c r="L213" i="120" s="1"/>
  <c r="H214" i="120"/>
  <c r="H213" i="120" s="1"/>
  <c r="K214" i="120"/>
  <c r="K213" i="120" s="1"/>
  <c r="L192" i="120"/>
  <c r="L191" i="120" s="1"/>
  <c r="K209" i="120"/>
  <c r="K208" i="120" s="1"/>
  <c r="F209" i="120"/>
  <c r="F208" i="120" s="1"/>
  <c r="G209" i="120"/>
  <c r="G208" i="120" s="1"/>
  <c r="H154" i="120"/>
  <c r="H153" i="120" s="1"/>
  <c r="L154" i="120"/>
  <c r="L153" i="120" s="1"/>
  <c r="M13" i="120"/>
  <c r="M12" i="120" s="1"/>
  <c r="I30" i="120"/>
  <c r="P37" i="119"/>
  <c r="H12" i="119"/>
  <c r="P18" i="119"/>
  <c r="E31" i="119"/>
  <c r="O30" i="119"/>
  <c r="R31" i="119"/>
  <c r="J33" i="119"/>
  <c r="J106" i="119"/>
  <c r="P106" i="119" s="1"/>
  <c r="N105" i="119"/>
  <c r="J105" i="119" s="1"/>
  <c r="G202" i="119"/>
  <c r="E213" i="119" s="1"/>
  <c r="J14" i="119"/>
  <c r="P14" i="119" s="1"/>
  <c r="P45" i="119"/>
  <c r="E44" i="119"/>
  <c r="P92" i="119"/>
  <c r="N50" i="119"/>
  <c r="J50" i="119" s="1"/>
  <c r="O49" i="119"/>
  <c r="N49" i="119" s="1"/>
  <c r="J49" i="119" s="1"/>
  <c r="P49" i="119" s="1"/>
  <c r="J61" i="119"/>
  <c r="P61" i="119" s="1"/>
  <c r="N60" i="119"/>
  <c r="N142" i="119"/>
  <c r="N140" i="119" s="1"/>
  <c r="J140" i="119" s="1"/>
  <c r="P140" i="119" s="1"/>
  <c r="O140" i="119"/>
  <c r="O123" i="119" s="1"/>
  <c r="J173" i="119"/>
  <c r="P173" i="119" s="1"/>
  <c r="N171" i="119"/>
  <c r="F13" i="119"/>
  <c r="O13" i="119"/>
  <c r="I202" i="119"/>
  <c r="O96" i="119"/>
  <c r="N96" i="119" s="1"/>
  <c r="P116" i="119"/>
  <c r="P118" i="119"/>
  <c r="K179" i="119"/>
  <c r="N186" i="119"/>
  <c r="J187" i="119"/>
  <c r="L202" i="119"/>
  <c r="J213" i="119" s="1"/>
  <c r="K44" i="119"/>
  <c r="J46" i="119"/>
  <c r="P46" i="119" s="1"/>
  <c r="E50" i="119"/>
  <c r="P56" i="119"/>
  <c r="J60" i="119"/>
  <c r="P60" i="119" s="1"/>
  <c r="P67" i="119"/>
  <c r="E83" i="119"/>
  <c r="P83" i="119" s="1"/>
  <c r="F81" i="119"/>
  <c r="E81" i="119" s="1"/>
  <c r="P81" i="119" s="1"/>
  <c r="P98" i="119"/>
  <c r="O105" i="119"/>
  <c r="P120" i="119"/>
  <c r="E127" i="119"/>
  <c r="F126" i="119"/>
  <c r="E131" i="119"/>
  <c r="P131" i="119" s="1"/>
  <c r="F130" i="119"/>
  <c r="E130" i="119" s="1"/>
  <c r="P130" i="119" s="1"/>
  <c r="N178" i="119"/>
  <c r="O177" i="119"/>
  <c r="O176" i="119" s="1"/>
  <c r="N184" i="119"/>
  <c r="O180" i="119"/>
  <c r="E198" i="119"/>
  <c r="P200" i="119"/>
  <c r="J55" i="119"/>
  <c r="N54" i="119"/>
  <c r="J54" i="119" s="1"/>
  <c r="J72" i="119"/>
  <c r="P72" i="119" s="1"/>
  <c r="N180" i="119"/>
  <c r="N179" i="119" s="1"/>
  <c r="I30" i="119"/>
  <c r="J53" i="119"/>
  <c r="P53" i="119" s="1"/>
  <c r="N51" i="119"/>
  <c r="J51" i="119" s="1"/>
  <c r="P51" i="119" s="1"/>
  <c r="K96" i="119"/>
  <c r="K59" i="119"/>
  <c r="P119" i="119"/>
  <c r="K122" i="119"/>
  <c r="E149" i="119"/>
  <c r="F148" i="119"/>
  <c r="F147" i="119" s="1"/>
  <c r="K31" i="119"/>
  <c r="K30" i="119" s="1"/>
  <c r="E52" i="119"/>
  <c r="P52" i="119" s="1"/>
  <c r="J64" i="119"/>
  <c r="P64" i="119" s="1"/>
  <c r="N63" i="119"/>
  <c r="J63" i="119" s="1"/>
  <c r="P63" i="119" s="1"/>
  <c r="P70" i="119"/>
  <c r="J75" i="119"/>
  <c r="P75" i="119" s="1"/>
  <c r="N72" i="119"/>
  <c r="P88" i="119"/>
  <c r="P103" i="119"/>
  <c r="F105" i="119"/>
  <c r="E105" i="119" s="1"/>
  <c r="P112" i="119"/>
  <c r="P113" i="119"/>
  <c r="N124" i="119"/>
  <c r="J124" i="119" s="1"/>
  <c r="P156" i="119"/>
  <c r="P159" i="119"/>
  <c r="P185" i="119"/>
  <c r="O108" i="119"/>
  <c r="N108" i="119" s="1"/>
  <c r="J108" i="119" s="1"/>
  <c r="P108" i="119" s="1"/>
  <c r="F111" i="119"/>
  <c r="F110" i="119" s="1"/>
  <c r="O111" i="119"/>
  <c r="P127" i="119"/>
  <c r="P137" i="119"/>
  <c r="P167" i="119"/>
  <c r="P174" i="119"/>
  <c r="P183" i="119"/>
  <c r="E184" i="119"/>
  <c r="F180" i="119"/>
  <c r="F179" i="119" s="1"/>
  <c r="N195" i="119"/>
  <c r="J195" i="119" s="1"/>
  <c r="P195" i="119" s="1"/>
  <c r="O194" i="119"/>
  <c r="J133" i="119"/>
  <c r="P133" i="119" s="1"/>
  <c r="P134" i="119"/>
  <c r="J141" i="119"/>
  <c r="P141" i="119" s="1"/>
  <c r="P157" i="119"/>
  <c r="J161" i="119"/>
  <c r="P161" i="119" s="1"/>
  <c r="P166" i="119"/>
  <c r="E171" i="119"/>
  <c r="F170" i="119"/>
  <c r="F169" i="119" s="1"/>
  <c r="J184" i="119"/>
  <c r="N133" i="119"/>
  <c r="F135" i="119"/>
  <c r="E135" i="119" s="1"/>
  <c r="O171" i="119"/>
  <c r="O170" i="119" s="1"/>
  <c r="J181" i="119"/>
  <c r="P181" i="119" s="1"/>
  <c r="P196" i="119"/>
  <c r="P55" i="119" l="1"/>
  <c r="H202" i="119"/>
  <c r="E214" i="119" s="1"/>
  <c r="J142" i="119"/>
  <c r="P142" i="119" s="1"/>
  <c r="P184" i="119"/>
  <c r="P124" i="119"/>
  <c r="O59" i="119"/>
  <c r="P15" i="119"/>
  <c r="P15" i="120" s="1"/>
  <c r="N148" i="119"/>
  <c r="N147" i="119" s="1"/>
  <c r="J149" i="119"/>
  <c r="P149" i="119" s="1"/>
  <c r="J40" i="119"/>
  <c r="P40" i="119" s="1"/>
  <c r="N39" i="119"/>
  <c r="J39" i="119" s="1"/>
  <c r="J31" i="119" s="1"/>
  <c r="O148" i="119"/>
  <c r="O147" i="119" s="1"/>
  <c r="P54" i="119"/>
  <c r="N13" i="119"/>
  <c r="J23" i="119"/>
  <c r="P23" i="119" s="1"/>
  <c r="P135" i="119"/>
  <c r="F44" i="119"/>
  <c r="F43" i="119" s="1"/>
  <c r="P39" i="119"/>
  <c r="N123" i="119"/>
  <c r="N122" i="119" s="1"/>
  <c r="O44" i="119"/>
  <c r="F31" i="119"/>
  <c r="F30" i="119" s="1"/>
  <c r="N111" i="119"/>
  <c r="O58" i="119"/>
  <c r="R59" i="119"/>
  <c r="J178" i="119"/>
  <c r="P178" i="119" s="1"/>
  <c r="N177" i="119"/>
  <c r="K43" i="119"/>
  <c r="O12" i="119"/>
  <c r="R13" i="119"/>
  <c r="E43" i="119"/>
  <c r="N59" i="119"/>
  <c r="N58" i="119" s="1"/>
  <c r="K58" i="119"/>
  <c r="R180" i="119"/>
  <c r="O179" i="119"/>
  <c r="J148" i="119"/>
  <c r="J147" i="119" s="1"/>
  <c r="E126" i="119"/>
  <c r="F123" i="119"/>
  <c r="F122" i="119" s="1"/>
  <c r="P50" i="119"/>
  <c r="P187" i="119"/>
  <c r="J186" i="119"/>
  <c r="F59" i="119"/>
  <c r="F58" i="119" s="1"/>
  <c r="F202" i="119" s="1"/>
  <c r="E13" i="119"/>
  <c r="F12" i="119"/>
  <c r="M202" i="119"/>
  <c r="J214" i="119" s="1"/>
  <c r="O110" i="119"/>
  <c r="R111" i="119"/>
  <c r="E30" i="119"/>
  <c r="O169" i="119"/>
  <c r="R170" i="119"/>
  <c r="O193" i="119"/>
  <c r="N194" i="119"/>
  <c r="E180" i="119"/>
  <c r="R123" i="119"/>
  <c r="O122" i="119"/>
  <c r="J96" i="119"/>
  <c r="P96" i="119" s="1"/>
  <c r="J180" i="119"/>
  <c r="J179" i="119" s="1"/>
  <c r="P33" i="119"/>
  <c r="E170" i="119"/>
  <c r="E169" i="119" s="1"/>
  <c r="E148" i="119"/>
  <c r="E197" i="119"/>
  <c r="P198" i="119"/>
  <c r="P105" i="119"/>
  <c r="E59" i="119"/>
  <c r="K202" i="119"/>
  <c r="R44" i="119"/>
  <c r="N170" i="119"/>
  <c r="J171" i="119"/>
  <c r="P171" i="119" s="1"/>
  <c r="N12" i="119"/>
  <c r="J13" i="119"/>
  <c r="N44" i="119"/>
  <c r="N43" i="119" s="1"/>
  <c r="J59" i="119" l="1"/>
  <c r="J58" i="119" s="1"/>
  <c r="J30" i="119"/>
  <c r="P31" i="119"/>
  <c r="N31" i="119"/>
  <c r="N30" i="119" s="1"/>
  <c r="J123" i="119"/>
  <c r="J122" i="119" s="1"/>
  <c r="R148" i="119"/>
  <c r="J44" i="119"/>
  <c r="O202" i="119"/>
  <c r="Q202" i="119" s="1"/>
  <c r="O43" i="119"/>
  <c r="R149" i="119"/>
  <c r="N110" i="119"/>
  <c r="J111" i="119"/>
  <c r="P59" i="119"/>
  <c r="E58" i="119"/>
  <c r="E12" i="119"/>
  <c r="E147" i="119"/>
  <c r="P148" i="119"/>
  <c r="Q187" i="119"/>
  <c r="P186" i="119"/>
  <c r="R187" i="119"/>
  <c r="Q198" i="119"/>
  <c r="P197" i="119"/>
  <c r="E179" i="119"/>
  <c r="P180" i="119"/>
  <c r="J194" i="119"/>
  <c r="N193" i="119"/>
  <c r="Q31" i="119"/>
  <c r="P30" i="119"/>
  <c r="J177" i="119"/>
  <c r="N176" i="119"/>
  <c r="P13" i="119"/>
  <c r="J12" i="119"/>
  <c r="N169" i="119"/>
  <c r="J170" i="119"/>
  <c r="E123" i="119"/>
  <c r="P126" i="119"/>
  <c r="N202" i="119" l="1"/>
  <c r="J43" i="119"/>
  <c r="P44" i="119"/>
  <c r="J110" i="119"/>
  <c r="P111" i="119"/>
  <c r="P123" i="119"/>
  <c r="E122" i="119"/>
  <c r="P177" i="119"/>
  <c r="J176" i="119"/>
  <c r="P194" i="119"/>
  <c r="J193" i="119"/>
  <c r="E202" i="119"/>
  <c r="P12" i="119"/>
  <c r="Q13" i="119"/>
  <c r="Q180" i="119"/>
  <c r="P179" i="119"/>
  <c r="Q148" i="119"/>
  <c r="P147" i="119"/>
  <c r="J169" i="119"/>
  <c r="P170" i="119"/>
  <c r="J202" i="119"/>
  <c r="P58" i="119"/>
  <c r="Q59" i="119"/>
  <c r="Q44" i="119" l="1"/>
  <c r="P43" i="119"/>
  <c r="P202" i="119"/>
  <c r="F212" i="119" s="1"/>
  <c r="Q111" i="119"/>
  <c r="P110" i="119"/>
  <c r="E212" i="119"/>
  <c r="Q177" i="119"/>
  <c r="P176" i="119"/>
  <c r="R177" i="119"/>
  <c r="Q170" i="119"/>
  <c r="P169" i="119"/>
  <c r="Q194" i="119"/>
  <c r="P193" i="119"/>
  <c r="R194" i="119"/>
  <c r="Q123" i="119"/>
  <c r="P122" i="119"/>
  <c r="T202" i="119" l="1"/>
  <c r="P214" i="119"/>
  <c r="P216" i="119" s="1"/>
  <c r="P210" i="119"/>
  <c r="P215" i="119" l="1"/>
  <c r="J264" i="98"/>
  <c r="J273" i="98"/>
  <c r="O210" i="97"/>
  <c r="O210" i="120" s="1"/>
  <c r="O215" i="97"/>
  <c r="O215" i="120" s="1"/>
  <c r="O214" i="120" s="1"/>
  <c r="O213" i="120" s="1"/>
  <c r="G12" i="104"/>
  <c r="K196" i="97" l="1"/>
  <c r="K196" i="120" s="1"/>
  <c r="K192" i="120" s="1"/>
  <c r="J197" i="97"/>
  <c r="J197" i="120" s="1"/>
  <c r="E197" i="97"/>
  <c r="E197" i="120" s="1"/>
  <c r="J114" i="97"/>
  <c r="J114" i="120" s="1"/>
  <c r="E114" i="97"/>
  <c r="E114" i="120" s="1"/>
  <c r="O113" i="97"/>
  <c r="O113" i="120" s="1"/>
  <c r="N113" i="97"/>
  <c r="N113" i="120" s="1"/>
  <c r="K113" i="97"/>
  <c r="K113" i="120" s="1"/>
  <c r="E113" i="97"/>
  <c r="E113" i="120" s="1"/>
  <c r="N174" i="97"/>
  <c r="N174" i="120" s="1"/>
  <c r="K174" i="97"/>
  <c r="K174" i="120" s="1"/>
  <c r="E175" i="97"/>
  <c r="E175" i="120" s="1"/>
  <c r="O174" i="97"/>
  <c r="O174" i="120" s="1"/>
  <c r="E174" i="97"/>
  <c r="E174" i="120" s="1"/>
  <c r="K191" i="120" l="1"/>
  <c r="J113" i="97"/>
  <c r="J113" i="120" s="1"/>
  <c r="P197" i="97"/>
  <c r="P197" i="120" s="1"/>
  <c r="P114" i="97"/>
  <c r="P114" i="120" s="1"/>
  <c r="J175" i="97"/>
  <c r="J174" i="97"/>
  <c r="J44" i="98"/>
  <c r="J46" i="98"/>
  <c r="J239" i="98"/>
  <c r="J240" i="98"/>
  <c r="J229" i="98"/>
  <c r="J216" i="98"/>
  <c r="J219" i="98"/>
  <c r="J220" i="98"/>
  <c r="J218" i="98"/>
  <c r="J214" i="98"/>
  <c r="G214" i="98"/>
  <c r="O185" i="97"/>
  <c r="O185" i="120" s="1"/>
  <c r="O184" i="97"/>
  <c r="O184" i="120" s="1"/>
  <c r="O183" i="97"/>
  <c r="O183" i="120" s="1"/>
  <c r="P175" i="97" l="1"/>
  <c r="P175" i="120" s="1"/>
  <c r="J175" i="120"/>
  <c r="P174" i="97"/>
  <c r="P174" i="120" s="1"/>
  <c r="J174" i="120"/>
  <c r="P113" i="97"/>
  <c r="P113" i="120" s="1"/>
  <c r="J196" i="98"/>
  <c r="J167" i="98"/>
  <c r="J165" i="98"/>
  <c r="J164" i="98"/>
  <c r="J162" i="98"/>
  <c r="J160" i="98"/>
  <c r="J187" i="98"/>
  <c r="J141" i="98"/>
  <c r="O172" i="97"/>
  <c r="O172" i="120" s="1"/>
  <c r="J140" i="98"/>
  <c r="O171" i="97"/>
  <c r="O171" i="120" s="1"/>
  <c r="J123" i="98" l="1"/>
  <c r="J121" i="98"/>
  <c r="J120" i="98"/>
  <c r="O164" i="97"/>
  <c r="O164" i="120" s="1"/>
  <c r="J117" i="98"/>
  <c r="O163" i="97"/>
  <c r="O163" i="120" s="1"/>
  <c r="J115" i="98"/>
  <c r="O160" i="97"/>
  <c r="O160" i="120" s="1"/>
  <c r="F171" i="97"/>
  <c r="F171" i="120" s="1"/>
  <c r="F163" i="97"/>
  <c r="F163" i="120" s="1"/>
  <c r="F162" i="97"/>
  <c r="F162" i="120" s="1"/>
  <c r="F159" i="97"/>
  <c r="F159" i="120" s="1"/>
  <c r="F158" i="97"/>
  <c r="F158" i="120" s="1"/>
  <c r="F48" i="97" l="1"/>
  <c r="F48" i="120" s="1"/>
  <c r="F51" i="97"/>
  <c r="F51" i="120" s="1"/>
  <c r="F56" i="97"/>
  <c r="F56" i="120" s="1"/>
  <c r="G56" i="97"/>
  <c r="G56" i="120" s="1"/>
  <c r="F46" i="97"/>
  <c r="F46" i="120" s="1"/>
  <c r="F47" i="97"/>
  <c r="F47" i="120" s="1"/>
  <c r="F49" i="97"/>
  <c r="F49" i="120" s="1"/>
  <c r="F53" i="97"/>
  <c r="F53" i="120" s="1"/>
  <c r="F110" i="97"/>
  <c r="F110" i="120" s="1"/>
  <c r="F70" i="97" l="1"/>
  <c r="F70" i="120" s="1"/>
  <c r="F69" i="97"/>
  <c r="F69" i="120" s="1"/>
  <c r="F145" i="97"/>
  <c r="F145" i="120" s="1"/>
  <c r="J97" i="98"/>
  <c r="O134" i="97"/>
  <c r="O134" i="120" s="1"/>
  <c r="G134" i="97"/>
  <c r="G134" i="120" s="1"/>
  <c r="F134" i="97"/>
  <c r="F134" i="120" s="1"/>
  <c r="H134" i="97"/>
  <c r="H134" i="120" s="1"/>
  <c r="H142" i="97"/>
  <c r="H142" i="120" s="1"/>
  <c r="F142" i="97" l="1"/>
  <c r="F142" i="120" s="1"/>
  <c r="G34" i="97"/>
  <c r="G34" i="120" s="1"/>
  <c r="F34" i="97"/>
  <c r="F34" i="120" s="1"/>
  <c r="F32" i="97"/>
  <c r="F32" i="120" s="1"/>
  <c r="O37" i="97"/>
  <c r="O37" i="120" s="1"/>
  <c r="H37" i="97"/>
  <c r="H37" i="120" s="1"/>
  <c r="F37" i="97"/>
  <c r="F37" i="120" s="1"/>
  <c r="O32" i="97"/>
  <c r="O32" i="120" s="1"/>
  <c r="F40" i="97"/>
  <c r="F40" i="120" s="1"/>
  <c r="G40" i="97"/>
  <c r="G40" i="120" s="1"/>
  <c r="F36" i="97"/>
  <c r="F36" i="120" s="1"/>
  <c r="G36" i="97"/>
  <c r="G36" i="120" s="1"/>
  <c r="G32" i="97"/>
  <c r="G32" i="120" s="1"/>
  <c r="F26" i="97"/>
  <c r="F26" i="120" s="1"/>
  <c r="I23" i="104"/>
  <c r="J9" i="98" l="1"/>
  <c r="O15" i="97"/>
  <c r="H15" i="97"/>
  <c r="G15" i="97"/>
  <c r="F15" i="97"/>
  <c r="I212" i="104"/>
  <c r="H211" i="104"/>
  <c r="H210" i="104" s="1"/>
  <c r="G211" i="104"/>
  <c r="J272" i="98"/>
  <c r="J271" i="98" s="1"/>
  <c r="O214" i="97"/>
  <c r="R214" i="97" s="1"/>
  <c r="L214" i="97"/>
  <c r="M214" i="97"/>
  <c r="K214" i="97"/>
  <c r="H214" i="97"/>
  <c r="G214" i="97"/>
  <c r="N215" i="97"/>
  <c r="E215" i="97"/>
  <c r="E215" i="120" s="1"/>
  <c r="I207" i="104"/>
  <c r="N214" i="97" l="1"/>
  <c r="J214" i="97" s="1"/>
  <c r="N215" i="120"/>
  <c r="N214" i="120" s="1"/>
  <c r="J215" i="97"/>
  <c r="J215" i="120" s="1"/>
  <c r="I211" i="104"/>
  <c r="G210" i="104"/>
  <c r="M209" i="97"/>
  <c r="L209" i="97"/>
  <c r="K209" i="97"/>
  <c r="H209" i="97"/>
  <c r="G209" i="97"/>
  <c r="F209" i="97"/>
  <c r="N210" i="97"/>
  <c r="E210" i="97"/>
  <c r="E210" i="120" s="1"/>
  <c r="I199" i="104"/>
  <c r="J260" i="98"/>
  <c r="J259" i="98" s="1"/>
  <c r="N202" i="97"/>
  <c r="E202" i="97"/>
  <c r="E202" i="120" s="1"/>
  <c r="I186" i="104"/>
  <c r="N189" i="97"/>
  <c r="N189" i="120" s="1"/>
  <c r="M188" i="97"/>
  <c r="L188" i="97"/>
  <c r="K188" i="97"/>
  <c r="H188" i="97"/>
  <c r="G188" i="97"/>
  <c r="E189" i="97"/>
  <c r="E189" i="120" s="1"/>
  <c r="J211" i="104" l="1"/>
  <c r="J202" i="97"/>
  <c r="J202" i="120" s="1"/>
  <c r="N202" i="120"/>
  <c r="J210" i="97"/>
  <c r="J210" i="120" s="1"/>
  <c r="N210" i="120"/>
  <c r="N213" i="120"/>
  <c r="J214" i="120"/>
  <c r="J213" i="120" s="1"/>
  <c r="J189" i="97"/>
  <c r="J189" i="120" s="1"/>
  <c r="P215" i="97"/>
  <c r="P215" i="120" s="1"/>
  <c r="I210" i="104"/>
  <c r="N181" i="97"/>
  <c r="E181" i="97"/>
  <c r="E181" i="120" s="1"/>
  <c r="I154" i="104"/>
  <c r="M154" i="97"/>
  <c r="L154" i="97"/>
  <c r="H154" i="97"/>
  <c r="N155" i="97"/>
  <c r="E155" i="97"/>
  <c r="E155" i="120" s="1"/>
  <c r="I63" i="104"/>
  <c r="P189" i="97" l="1"/>
  <c r="P189" i="120" s="1"/>
  <c r="P202" i="97"/>
  <c r="P202" i="120" s="1"/>
  <c r="P210" i="97"/>
  <c r="P210" i="120" s="1"/>
  <c r="J155" i="97"/>
  <c r="J155" i="120" s="1"/>
  <c r="N155" i="120"/>
  <c r="J181" i="97"/>
  <c r="J181" i="120" s="1"/>
  <c r="N181" i="120"/>
  <c r="P181" i="97"/>
  <c r="P181" i="120" s="1"/>
  <c r="P155" i="97" l="1"/>
  <c r="P155" i="120" s="1"/>
  <c r="I45" i="104"/>
  <c r="N45" i="97"/>
  <c r="E45" i="97"/>
  <c r="E45" i="120" s="1"/>
  <c r="J45" i="97" l="1"/>
  <c r="J45" i="120" s="1"/>
  <c r="N45" i="120"/>
  <c r="P45" i="97"/>
  <c r="P45" i="120" s="1"/>
  <c r="J30" i="98" l="1"/>
  <c r="J22" i="98"/>
  <c r="K36" i="97" l="1"/>
  <c r="K36" i="120" s="1"/>
  <c r="O36" i="97" l="1"/>
  <c r="K33" i="97"/>
  <c r="K33" i="120" s="1"/>
  <c r="N33" i="97"/>
  <c r="N33" i="120" s="1"/>
  <c r="N32" i="97"/>
  <c r="N32" i="120" s="1"/>
  <c r="N36" i="97" l="1"/>
  <c r="N36" i="120" s="1"/>
  <c r="O36" i="120"/>
  <c r="F73" i="97"/>
  <c r="F73" i="120" s="1"/>
  <c r="F71" i="97"/>
  <c r="F71" i="120" s="1"/>
  <c r="H14" i="97"/>
  <c r="H14" i="120" s="1"/>
  <c r="H13" i="120" s="1"/>
  <c r="N61" i="97"/>
  <c r="N101" i="97"/>
  <c r="G101" i="97"/>
  <c r="G101" i="120" s="1"/>
  <c r="E101" i="97"/>
  <c r="E101" i="120" s="1"/>
  <c r="E61" i="97"/>
  <c r="E61" i="120" s="1"/>
  <c r="G35" i="97"/>
  <c r="G35" i="120" s="1"/>
  <c r="F35" i="97"/>
  <c r="F35" i="120" s="1"/>
  <c r="H12" i="120" l="1"/>
  <c r="J61" i="97"/>
  <c r="J61" i="120" s="1"/>
  <c r="N61" i="120"/>
  <c r="J101" i="97"/>
  <c r="J101" i="120" s="1"/>
  <c r="N101" i="120"/>
  <c r="I22" i="104"/>
  <c r="P61" i="97" l="1"/>
  <c r="P61" i="120" s="1"/>
  <c r="P101" i="97"/>
  <c r="P101" i="120" s="1"/>
  <c r="I49" i="104"/>
  <c r="E158" i="97" l="1"/>
  <c r="E158" i="120" s="1"/>
  <c r="L132" i="97" l="1"/>
  <c r="L132" i="120" s="1"/>
  <c r="M132" i="97"/>
  <c r="M132" i="120" s="1"/>
  <c r="G191" i="104" l="1"/>
  <c r="F194" i="97"/>
  <c r="F194" i="120" s="1"/>
  <c r="F217" i="97"/>
  <c r="F214" i="97" l="1"/>
  <c r="K211" i="104" s="1"/>
  <c r="F217" i="120"/>
  <c r="F214" i="120" s="1"/>
  <c r="F213" i="120" s="1"/>
  <c r="J40" i="98"/>
  <c r="O46" i="97"/>
  <c r="O46" i="120" s="1"/>
  <c r="J55" i="98"/>
  <c r="O58" i="97"/>
  <c r="O58" i="120" s="1"/>
  <c r="F135" i="97"/>
  <c r="F135" i="120" s="1"/>
  <c r="J108" i="98"/>
  <c r="O151" i="97"/>
  <c r="O151" i="120" s="1"/>
  <c r="J116" i="98"/>
  <c r="O161" i="97"/>
  <c r="O161" i="120" s="1"/>
  <c r="F169" i="97"/>
  <c r="F169" i="120" s="1"/>
  <c r="I243" i="98" l="1"/>
  <c r="G243" i="98"/>
  <c r="H231" i="98"/>
  <c r="G229" i="98"/>
  <c r="I229" i="98" s="1"/>
  <c r="G227" i="98"/>
  <c r="I227" i="98" s="1"/>
  <c r="I223" i="98"/>
  <c r="G223" i="98"/>
  <c r="I222" i="98"/>
  <c r="G222" i="98"/>
  <c r="G219" i="98"/>
  <c r="G217" i="98"/>
  <c r="G216" i="98"/>
  <c r="D25" i="108" l="1"/>
  <c r="D28" i="108"/>
  <c r="J29" i="98" l="1"/>
  <c r="O35" i="97"/>
  <c r="O35" i="120" s="1"/>
  <c r="J145" i="98" l="1"/>
  <c r="J144" i="98"/>
  <c r="F137" i="97"/>
  <c r="F137" i="120" s="1"/>
  <c r="J104" i="98"/>
  <c r="N145" i="97"/>
  <c r="N145" i="120" s="1"/>
  <c r="E145" i="97"/>
  <c r="E145" i="120" s="1"/>
  <c r="O144" i="97"/>
  <c r="O144" i="120" s="1"/>
  <c r="M144" i="97"/>
  <c r="M144" i="120" s="1"/>
  <c r="L144" i="97"/>
  <c r="L144" i="120" s="1"/>
  <c r="K144" i="97"/>
  <c r="K144" i="120" s="1"/>
  <c r="H144" i="97"/>
  <c r="H144" i="120" s="1"/>
  <c r="G144" i="97"/>
  <c r="G144" i="120" s="1"/>
  <c r="F144" i="97"/>
  <c r="F144" i="120" s="1"/>
  <c r="N140" i="97"/>
  <c r="N140" i="120" s="1"/>
  <c r="G13" i="104"/>
  <c r="O28" i="97"/>
  <c r="O28" i="120" s="1"/>
  <c r="J145" i="97" l="1"/>
  <c r="J145" i="120" s="1"/>
  <c r="N144" i="97"/>
  <c r="H143" i="104"/>
  <c r="E144" i="97"/>
  <c r="E144" i="120" s="1"/>
  <c r="G143" i="104"/>
  <c r="P145" i="97"/>
  <c r="P145" i="120" s="1"/>
  <c r="J144" i="97" l="1"/>
  <c r="J144" i="120" s="1"/>
  <c r="N144" i="120"/>
  <c r="I143" i="104"/>
  <c r="G142" i="104"/>
  <c r="P144" i="97"/>
  <c r="P144" i="120" s="1"/>
  <c r="H142" i="104"/>
  <c r="I142" i="104" l="1"/>
  <c r="F152" i="97" l="1"/>
  <c r="F152" i="120" s="1"/>
  <c r="D102" i="105" l="1"/>
  <c r="C108" i="105"/>
  <c r="J16" i="98" l="1"/>
  <c r="H7" i="104"/>
  <c r="J8" i="98"/>
  <c r="O14" i="97"/>
  <c r="O14" i="120" s="1"/>
  <c r="N135" i="97" l="1"/>
  <c r="N135" i="120" s="1"/>
  <c r="H135" i="97"/>
  <c r="H135" i="120" s="1"/>
  <c r="G135" i="97"/>
  <c r="G135" i="120" s="1"/>
  <c r="J107" i="98"/>
  <c r="O148" i="97"/>
  <c r="O148" i="120" s="1"/>
  <c r="F148" i="97"/>
  <c r="F148" i="120" s="1"/>
  <c r="F133" i="97"/>
  <c r="F133" i="120" s="1"/>
  <c r="J96" i="98"/>
  <c r="I88" i="98"/>
  <c r="I87" i="98"/>
  <c r="J86" i="98"/>
  <c r="J79" i="98"/>
  <c r="F126" i="97"/>
  <c r="F126" i="120" s="1"/>
  <c r="O122" i="97"/>
  <c r="O122" i="120" s="1"/>
  <c r="O118" i="97"/>
  <c r="O118" i="120" s="1"/>
  <c r="J237" i="98"/>
  <c r="J244" i="98"/>
  <c r="J236" i="98"/>
  <c r="J234" i="98"/>
  <c r="J233" i="98"/>
  <c r="J232" i="98"/>
  <c r="J238" i="98"/>
  <c r="J231" i="98"/>
  <c r="J243" i="98"/>
  <c r="I230" i="98"/>
  <c r="J230" i="98"/>
  <c r="J223" i="98"/>
  <c r="J222" i="98"/>
  <c r="J221" i="98"/>
  <c r="J217" i="98"/>
  <c r="H229" i="98"/>
  <c r="H227" i="98"/>
  <c r="J227" i="98"/>
  <c r="J225" i="98"/>
  <c r="J226" i="98"/>
  <c r="O186" i="97"/>
  <c r="O186" i="120" s="1"/>
  <c r="F172" i="97"/>
  <c r="F172" i="120" s="1"/>
  <c r="O92" i="97"/>
  <c r="O92" i="120" s="1"/>
  <c r="F58" i="97"/>
  <c r="F58" i="120" s="1"/>
  <c r="O48" i="97"/>
  <c r="O48" i="120" s="1"/>
  <c r="G48" i="104"/>
  <c r="G132" i="97" l="1"/>
  <c r="G132" i="120" s="1"/>
  <c r="H132" i="97"/>
  <c r="H132" i="120" s="1"/>
  <c r="L37" i="97"/>
  <c r="L37" i="120" s="1"/>
  <c r="K37" i="97"/>
  <c r="K37" i="120" s="1"/>
  <c r="J43" i="98" l="1"/>
  <c r="O47" i="97"/>
  <c r="O47" i="120" s="1"/>
  <c r="O167" i="97" l="1"/>
  <c r="O167" i="120" s="1"/>
  <c r="J174" i="98" l="1"/>
  <c r="I51" i="104"/>
  <c r="G50" i="104"/>
  <c r="G60" i="104" l="1"/>
  <c r="G59" i="104"/>
  <c r="G46" i="104"/>
  <c r="G108" i="104"/>
  <c r="J76" i="98"/>
  <c r="O112" i="97"/>
  <c r="O112" i="120" s="1"/>
  <c r="F100" i="97"/>
  <c r="F100" i="120" s="1"/>
  <c r="J71" i="98"/>
  <c r="O110" i="97"/>
  <c r="O110" i="120" s="1"/>
  <c r="J74" i="98"/>
  <c r="G74" i="98"/>
  <c r="H74" i="98" s="1"/>
  <c r="J73" i="98"/>
  <c r="G73" i="98"/>
  <c r="H73" i="98" s="1"/>
  <c r="H72" i="98"/>
  <c r="J70" i="98" l="1"/>
  <c r="J69" i="98" s="1"/>
  <c r="O109" i="97"/>
  <c r="O109" i="120" s="1"/>
  <c r="J163" i="98" l="1"/>
  <c r="F109" i="97"/>
  <c r="F109" i="120" s="1"/>
  <c r="H92" i="97"/>
  <c r="H92" i="120" s="1"/>
  <c r="G92" i="97"/>
  <c r="G92" i="120" s="1"/>
  <c r="F92" i="97"/>
  <c r="F92" i="120" s="1"/>
  <c r="I164" i="104" l="1"/>
  <c r="J208" i="98"/>
  <c r="J179" i="98"/>
  <c r="J172" i="98"/>
  <c r="J173" i="98"/>
  <c r="J156" i="98"/>
  <c r="J155" i="98"/>
  <c r="J150" i="98"/>
  <c r="J151" i="98"/>
  <c r="J124" i="98"/>
  <c r="J122" i="98"/>
  <c r="I120" i="98"/>
  <c r="J119" i="98"/>
  <c r="J133" i="98" l="1"/>
  <c r="N167" i="97"/>
  <c r="N167" i="120" s="1"/>
  <c r="E167" i="97"/>
  <c r="E167" i="120" s="1"/>
  <c r="O166" i="97"/>
  <c r="O166" i="120" s="1"/>
  <c r="K166" i="97"/>
  <c r="K166" i="120" s="1"/>
  <c r="F166" i="97"/>
  <c r="F166" i="120" s="1"/>
  <c r="N158" i="97"/>
  <c r="N158" i="120" s="1"/>
  <c r="F157" i="97"/>
  <c r="F156" i="97" l="1"/>
  <c r="F156" i="120" s="1"/>
  <c r="F157" i="120"/>
  <c r="N166" i="97"/>
  <c r="N166" i="120" s="1"/>
  <c r="E166" i="97"/>
  <c r="E166" i="120" s="1"/>
  <c r="J167" i="97"/>
  <c r="G157" i="104"/>
  <c r="J158" i="97"/>
  <c r="J158" i="120" s="1"/>
  <c r="J166" i="97"/>
  <c r="J166" i="120" s="1"/>
  <c r="J54" i="98"/>
  <c r="O56" i="97"/>
  <c r="O56" i="120" s="1"/>
  <c r="F55" i="97"/>
  <c r="J51" i="98"/>
  <c r="J50" i="98" s="1"/>
  <c r="O51" i="97"/>
  <c r="O51" i="120" s="1"/>
  <c r="F147" i="97"/>
  <c r="F147" i="120" s="1"/>
  <c r="J48" i="98"/>
  <c r="J47" i="98"/>
  <c r="N48" i="97"/>
  <c r="N48" i="120" s="1"/>
  <c r="K48" i="97"/>
  <c r="K48" i="120" s="1"/>
  <c r="G178" i="97"/>
  <c r="N47" i="97"/>
  <c r="N47" i="120" s="1"/>
  <c r="K47" i="97"/>
  <c r="K47" i="120" s="1"/>
  <c r="J252" i="98"/>
  <c r="J247" i="98"/>
  <c r="O190" i="97"/>
  <c r="J268" i="98"/>
  <c r="J263" i="98" s="1"/>
  <c r="O211" i="97"/>
  <c r="O209" i="97" s="1"/>
  <c r="G192" i="104"/>
  <c r="G195" i="104"/>
  <c r="H195" i="104"/>
  <c r="J258" i="98"/>
  <c r="O199" i="97"/>
  <c r="F199" i="97"/>
  <c r="G196" i="104"/>
  <c r="H190" i="104"/>
  <c r="J255" i="98"/>
  <c r="O193" i="97"/>
  <c r="O193" i="120" s="1"/>
  <c r="G193" i="104"/>
  <c r="F195" i="97"/>
  <c r="F195" i="120" s="1"/>
  <c r="J35" i="98"/>
  <c r="O40" i="97"/>
  <c r="O40" i="120" s="1"/>
  <c r="G38" i="97"/>
  <c r="G38" i="120" s="1"/>
  <c r="F38" i="97"/>
  <c r="F38" i="120" s="1"/>
  <c r="G37" i="97"/>
  <c r="G37" i="120" s="1"/>
  <c r="H36" i="97"/>
  <c r="H36" i="120" s="1"/>
  <c r="H34" i="97"/>
  <c r="H34" i="120" s="1"/>
  <c r="J28" i="98"/>
  <c r="J27" i="98"/>
  <c r="H33" i="97"/>
  <c r="H33" i="120" s="1"/>
  <c r="O196" i="97" l="1"/>
  <c r="O196" i="120" s="1"/>
  <c r="O199" i="120"/>
  <c r="G154" i="97"/>
  <c r="G178" i="120"/>
  <c r="G154" i="120" s="1"/>
  <c r="G153" i="120" s="1"/>
  <c r="O211" i="120"/>
  <c r="O209" i="120" s="1"/>
  <c r="O208" i="120" s="1"/>
  <c r="E55" i="97"/>
  <c r="E55" i="120" s="1"/>
  <c r="F55" i="120"/>
  <c r="F192" i="120"/>
  <c r="F191" i="120" s="1"/>
  <c r="O192" i="120"/>
  <c r="O191" i="120" s="1"/>
  <c r="F196" i="97"/>
  <c r="F196" i="120" s="1"/>
  <c r="F199" i="120"/>
  <c r="O188" i="97"/>
  <c r="O190" i="120"/>
  <c r="O188" i="120" s="1"/>
  <c r="O187" i="120" s="1"/>
  <c r="P158" i="97"/>
  <c r="P158" i="120" s="1"/>
  <c r="P167" i="97"/>
  <c r="P167" i="120" s="1"/>
  <c r="J167" i="120"/>
  <c r="G53" i="104"/>
  <c r="G58" i="104"/>
  <c r="G47" i="104"/>
  <c r="G55" i="104"/>
  <c r="H157" i="104"/>
  <c r="I157" i="104" s="1"/>
  <c r="P166" i="97"/>
  <c r="P166" i="120" s="1"/>
  <c r="J91" i="98" l="1"/>
  <c r="O127" i="97"/>
  <c r="O127" i="120" s="1"/>
  <c r="J90" i="98"/>
  <c r="O125" i="97"/>
  <c r="O125" i="120" s="1"/>
  <c r="F125" i="97"/>
  <c r="F125" i="120" s="1"/>
  <c r="F123" i="97"/>
  <c r="F123" i="120" s="1"/>
  <c r="H88" i="98"/>
  <c r="J87" i="98"/>
  <c r="F122" i="97"/>
  <c r="F122" i="120" s="1"/>
  <c r="J83" i="98"/>
  <c r="J84" i="98"/>
  <c r="O121" i="97"/>
  <c r="O121" i="120" s="1"/>
  <c r="J82" i="98"/>
  <c r="O120" i="97"/>
  <c r="O120" i="120" s="1"/>
  <c r="I80" i="98"/>
  <c r="H80" i="98" s="1"/>
  <c r="F118" i="97"/>
  <c r="F118" i="120" s="1"/>
  <c r="N152" i="97"/>
  <c r="N152" i="120" s="1"/>
  <c r="E152" i="97"/>
  <c r="E152" i="120" s="1"/>
  <c r="J109" i="98"/>
  <c r="G148" i="97"/>
  <c r="G148" i="120" s="1"/>
  <c r="F143" i="97"/>
  <c r="F143" i="120" s="1"/>
  <c r="J100" i="98"/>
  <c r="J103" i="98"/>
  <c r="O142" i="97"/>
  <c r="O142" i="120" s="1"/>
  <c r="G142" i="97"/>
  <c r="G142" i="120" s="1"/>
  <c r="F138" i="97"/>
  <c r="F138" i="120" s="1"/>
  <c r="J152" i="97" l="1"/>
  <c r="D22" i="108"/>
  <c r="D27" i="108"/>
  <c r="D20" i="108"/>
  <c r="D26" i="108"/>
  <c r="D21" i="108"/>
  <c r="D23" i="108"/>
  <c r="P152" i="97" l="1"/>
  <c r="P152" i="120" s="1"/>
  <c r="J152" i="120"/>
  <c r="N28" i="97"/>
  <c r="N28" i="120" s="1"/>
  <c r="G14" i="104"/>
  <c r="H14" i="104"/>
  <c r="H16" i="104"/>
  <c r="G20" i="104"/>
  <c r="H19" i="104"/>
  <c r="J13" i="98"/>
  <c r="J12" i="98"/>
  <c r="O21" i="97"/>
  <c r="O21" i="120" s="1"/>
  <c r="H11" i="104"/>
  <c r="G11" i="104"/>
  <c r="J14" i="98"/>
  <c r="O26" i="97"/>
  <c r="O26" i="120" s="1"/>
  <c r="F16" i="97"/>
  <c r="F16" i="120" s="1"/>
  <c r="J28" i="97" l="1"/>
  <c r="J28" i="120" s="1"/>
  <c r="H13" i="104" l="1"/>
  <c r="I13" i="104" s="1"/>
  <c r="P28" i="97"/>
  <c r="P28" i="120" s="1"/>
  <c r="D61" i="105"/>
  <c r="C63" i="105"/>
  <c r="C51" i="105"/>
  <c r="J65" i="98" l="1"/>
  <c r="N103" i="97"/>
  <c r="N103" i="120" s="1"/>
  <c r="O102" i="97"/>
  <c r="O102" i="120" s="1"/>
  <c r="K102" i="97"/>
  <c r="K102" i="120" s="1"/>
  <c r="F85" i="97"/>
  <c r="F85" i="120" s="1"/>
  <c r="J103" i="97" l="1"/>
  <c r="N102" i="97"/>
  <c r="N102" i="120" s="1"/>
  <c r="N37" i="97"/>
  <c r="N37" i="120" s="1"/>
  <c r="P103" i="97" l="1"/>
  <c r="P103" i="120" s="1"/>
  <c r="J103" i="120"/>
  <c r="J102" i="97"/>
  <c r="J102" i="120" s="1"/>
  <c r="J10" i="98"/>
  <c r="P102" i="97" l="1"/>
  <c r="P102" i="120" s="1"/>
  <c r="F77" i="97" l="1"/>
  <c r="F77" i="120" s="1"/>
  <c r="F54" i="97"/>
  <c r="F54" i="120" s="1"/>
  <c r="H40" i="97"/>
  <c r="H40" i="120" s="1"/>
  <c r="H32" i="97"/>
  <c r="H32" i="120" s="1"/>
  <c r="H13" i="97"/>
  <c r="O18" i="97"/>
  <c r="O18" i="120" s="1"/>
  <c r="N19" i="97"/>
  <c r="N19" i="120" s="1"/>
  <c r="K18" i="97"/>
  <c r="K18" i="120" s="1"/>
  <c r="F18" i="97"/>
  <c r="F18" i="120" s="1"/>
  <c r="G18" i="97"/>
  <c r="G18" i="120" s="1"/>
  <c r="H18" i="97"/>
  <c r="H18" i="120" s="1"/>
  <c r="I18" i="97"/>
  <c r="I18" i="120" s="1"/>
  <c r="E18" i="97"/>
  <c r="E18" i="120" s="1"/>
  <c r="F52" i="97" l="1"/>
  <c r="F52" i="120" s="1"/>
  <c r="G56" i="104"/>
  <c r="N18" i="97"/>
  <c r="N18" i="120" s="1"/>
  <c r="J19" i="97"/>
  <c r="J19" i="120" s="1"/>
  <c r="G54" i="104" l="1"/>
  <c r="J18" i="97"/>
  <c r="J18" i="120" s="1"/>
  <c r="P19" i="97"/>
  <c r="P19" i="120" s="1"/>
  <c r="P18" i="97" l="1"/>
  <c r="P18" i="120" s="1"/>
  <c r="G16" i="97"/>
  <c r="G16" i="120" s="1"/>
  <c r="G13" i="120" s="1"/>
  <c r="N17" i="97"/>
  <c r="G12" i="120" l="1"/>
  <c r="G13" i="97"/>
  <c r="E17" i="97"/>
  <c r="J17" i="97"/>
  <c r="F41" i="97"/>
  <c r="F41" i="120" s="1"/>
  <c r="P17" i="97" l="1"/>
  <c r="G15" i="104"/>
  <c r="G7" i="104"/>
  <c r="I209" i="97" l="1"/>
  <c r="I38" i="104" l="1"/>
  <c r="I31" i="104"/>
  <c r="C107" i="105" l="1"/>
  <c r="D11" i="108" l="1"/>
  <c r="J64" i="98"/>
  <c r="J149" i="98"/>
  <c r="J142" i="98" s="1"/>
  <c r="J139" i="98"/>
  <c r="H120" i="98"/>
  <c r="I125" i="98"/>
  <c r="H125" i="98" s="1"/>
  <c r="J125" i="98"/>
  <c r="J118" i="98" s="1"/>
  <c r="F93" i="97"/>
  <c r="F93" i="120" s="1"/>
  <c r="F88" i="97"/>
  <c r="F88" i="120" s="1"/>
  <c r="E86" i="97"/>
  <c r="E86" i="120" s="1"/>
  <c r="N86" i="97"/>
  <c r="N86" i="120" s="1"/>
  <c r="F17" i="116"/>
  <c r="F8" i="116"/>
  <c r="N207" i="97"/>
  <c r="N207" i="120" s="1"/>
  <c r="N206" i="97"/>
  <c r="N206" i="120" s="1"/>
  <c r="N204" i="97"/>
  <c r="N204" i="120" s="1"/>
  <c r="N205" i="97"/>
  <c r="N205" i="120" s="1"/>
  <c r="N212" i="97"/>
  <c r="N212" i="120" s="1"/>
  <c r="E212" i="97"/>
  <c r="E212" i="120" s="1"/>
  <c r="J246" i="98"/>
  <c r="R188" i="97" s="1"/>
  <c r="I108" i="104"/>
  <c r="H110" i="104"/>
  <c r="H109" i="104" s="1"/>
  <c r="N112" i="97"/>
  <c r="N112" i="120" s="1"/>
  <c r="E112" i="97"/>
  <c r="E112" i="120" s="1"/>
  <c r="O111" i="97"/>
  <c r="O111" i="120" s="1"/>
  <c r="M111" i="97"/>
  <c r="M111" i="120" s="1"/>
  <c r="L111" i="97"/>
  <c r="L111" i="120" s="1"/>
  <c r="K111" i="97"/>
  <c r="K111" i="120" s="1"/>
  <c r="H111" i="97"/>
  <c r="H111" i="120" s="1"/>
  <c r="G111" i="97"/>
  <c r="G111" i="120" s="1"/>
  <c r="F111" i="97"/>
  <c r="F111" i="120" s="1"/>
  <c r="J75" i="98"/>
  <c r="O93" i="97"/>
  <c r="O93" i="120" s="1"/>
  <c r="H93" i="97"/>
  <c r="H93" i="120" s="1"/>
  <c r="G93" i="97"/>
  <c r="G93" i="120" s="1"/>
  <c r="J62" i="98"/>
  <c r="J61" i="98" l="1"/>
  <c r="E111" i="97"/>
  <c r="E111" i="120" s="1"/>
  <c r="J212" i="97"/>
  <c r="J212" i="120" s="1"/>
  <c r="N111" i="97"/>
  <c r="N111" i="120" s="1"/>
  <c r="J112" i="97"/>
  <c r="J112" i="120" s="1"/>
  <c r="G209" i="104"/>
  <c r="G110" i="104"/>
  <c r="G109" i="104" s="1"/>
  <c r="I109" i="104" s="1"/>
  <c r="J86" i="97"/>
  <c r="J86" i="120" s="1"/>
  <c r="N171" i="97"/>
  <c r="N171" i="120" s="1"/>
  <c r="G88" i="104"/>
  <c r="D24" i="108"/>
  <c r="P86" i="97" l="1"/>
  <c r="P86" i="120" s="1"/>
  <c r="H88" i="104"/>
  <c r="I88" i="104" s="1"/>
  <c r="J111" i="97"/>
  <c r="J111" i="120" s="1"/>
  <c r="P112" i="97"/>
  <c r="P112" i="120" s="1"/>
  <c r="H209" i="104"/>
  <c r="I209" i="104" s="1"/>
  <c r="P212" i="97"/>
  <c r="P212" i="120" s="1"/>
  <c r="N170" i="97"/>
  <c r="N170" i="120" s="1"/>
  <c r="I110" i="104"/>
  <c r="I14" i="104"/>
  <c r="I15" i="104"/>
  <c r="I16" i="104"/>
  <c r="I17" i="104"/>
  <c r="I18" i="104"/>
  <c r="I19" i="104"/>
  <c r="I20" i="104"/>
  <c r="I21" i="104"/>
  <c r="N29" i="97"/>
  <c r="N29" i="120" s="1"/>
  <c r="E29" i="97"/>
  <c r="J14" i="104" s="1"/>
  <c r="F20" i="97"/>
  <c r="F20" i="120" s="1"/>
  <c r="F13" i="120" s="1"/>
  <c r="I8" i="104"/>
  <c r="J7" i="98"/>
  <c r="F178" i="97"/>
  <c r="F178" i="120" s="1"/>
  <c r="J41" i="97"/>
  <c r="J41" i="120" s="1"/>
  <c r="L33" i="97"/>
  <c r="L33" i="120" s="1"/>
  <c r="H30" i="104"/>
  <c r="G30" i="104"/>
  <c r="H27" i="104"/>
  <c r="G27" i="104"/>
  <c r="J36" i="98"/>
  <c r="O42" i="97"/>
  <c r="O42" i="120" s="1"/>
  <c r="O39" i="97"/>
  <c r="O39" i="120" s="1"/>
  <c r="J34" i="98"/>
  <c r="J21" i="98" s="1"/>
  <c r="O38" i="97"/>
  <c r="O38" i="120" s="1"/>
  <c r="F12" i="120" l="1"/>
  <c r="E13" i="120"/>
  <c r="E12" i="120" s="1"/>
  <c r="O31" i="120"/>
  <c r="O30" i="120" s="1"/>
  <c r="E29" i="120"/>
  <c r="P111" i="97"/>
  <c r="P111" i="120" s="1"/>
  <c r="F13" i="97"/>
  <c r="J29" i="97"/>
  <c r="I7" i="104"/>
  <c r="K14" i="104" l="1"/>
  <c r="J29" i="120"/>
  <c r="P29" i="97"/>
  <c r="P29" i="120" s="1"/>
  <c r="G151" i="104"/>
  <c r="H151" i="104"/>
  <c r="H150" i="104" s="1"/>
  <c r="J106" i="98"/>
  <c r="J94" i="98"/>
  <c r="O131" i="97"/>
  <c r="O131" i="120" s="1"/>
  <c r="F131" i="97"/>
  <c r="F131" i="120" s="1"/>
  <c r="G131" i="97"/>
  <c r="G131" i="120" s="1"/>
  <c r="J99" i="98"/>
  <c r="H102" i="98"/>
  <c r="I103" i="98"/>
  <c r="H103" i="98" s="1"/>
  <c r="I123" i="104"/>
  <c r="N127" i="97"/>
  <c r="N127" i="120" s="1"/>
  <c r="N123" i="97"/>
  <c r="N123" i="120" s="1"/>
  <c r="E127" i="97"/>
  <c r="E127" i="120" s="1"/>
  <c r="E123" i="97"/>
  <c r="E123" i="120" s="1"/>
  <c r="J89" i="98"/>
  <c r="J78" i="98" s="1"/>
  <c r="G125" i="97"/>
  <c r="G125" i="120" s="1"/>
  <c r="H243" i="98"/>
  <c r="H241" i="98"/>
  <c r="H223" i="98"/>
  <c r="H222" i="98"/>
  <c r="H87" i="98"/>
  <c r="H48" i="98"/>
  <c r="H46" i="98"/>
  <c r="H41" i="98"/>
  <c r="H28" i="98"/>
  <c r="H27" i="98"/>
  <c r="H13" i="98"/>
  <c r="H196" i="104"/>
  <c r="J257" i="98"/>
  <c r="J254" i="98" s="1"/>
  <c r="G190" i="104"/>
  <c r="J93" i="98" l="1"/>
  <c r="J127" i="97"/>
  <c r="J127" i="120" s="1"/>
  <c r="G118" i="104"/>
  <c r="J123" i="97"/>
  <c r="J123" i="120" s="1"/>
  <c r="G125" i="104"/>
  <c r="I192" i="104"/>
  <c r="G240" i="98"/>
  <c r="H239" i="98"/>
  <c r="G230" i="98"/>
  <c r="H125" i="104" l="1"/>
  <c r="I125" i="104" s="1"/>
  <c r="P127" i="97"/>
  <c r="P127" i="120" s="1"/>
  <c r="H118" i="104"/>
  <c r="I118" i="104" s="1"/>
  <c r="P123" i="97"/>
  <c r="P123" i="120" s="1"/>
  <c r="H240" i="98"/>
  <c r="H230" i="98"/>
  <c r="H221" i="98"/>
  <c r="G220" i="98"/>
  <c r="G218" i="98"/>
  <c r="H217" i="98"/>
  <c r="H220" i="98" l="1"/>
  <c r="H218" i="98"/>
  <c r="H219" i="98"/>
  <c r="J213" i="98"/>
  <c r="J212" i="98" s="1"/>
  <c r="H216" i="98" l="1"/>
  <c r="H214" i="98"/>
  <c r="J53" i="98"/>
  <c r="J38" i="98" s="1"/>
  <c r="N49" i="97" l="1"/>
  <c r="N49" i="120" s="1"/>
  <c r="K49" i="97"/>
  <c r="K49" i="120" s="1"/>
  <c r="O55" i="97"/>
  <c r="O55" i="120" s="1"/>
  <c r="N58" i="97"/>
  <c r="N58" i="120" s="1"/>
  <c r="E58" i="97"/>
  <c r="E58" i="120" s="1"/>
  <c r="J58" i="97" l="1"/>
  <c r="J58" i="120" s="1"/>
  <c r="P58" i="97" l="1"/>
  <c r="P58" i="120" s="1"/>
  <c r="H60" i="104"/>
  <c r="I60" i="104" s="1"/>
  <c r="G52" i="97"/>
  <c r="G52" i="120" s="1"/>
  <c r="H52" i="97"/>
  <c r="H52" i="120" s="1"/>
  <c r="K52" i="97"/>
  <c r="K52" i="120" s="1"/>
  <c r="L52" i="97"/>
  <c r="L52" i="120" s="1"/>
  <c r="M52" i="97"/>
  <c r="M52" i="120" s="1"/>
  <c r="N54" i="97"/>
  <c r="N54" i="120" s="1"/>
  <c r="E54" i="97"/>
  <c r="E54" i="120" s="1"/>
  <c r="N53" i="97"/>
  <c r="N53" i="120" s="1"/>
  <c r="E53" i="97"/>
  <c r="E53" i="120" s="1"/>
  <c r="J54" i="97" l="1"/>
  <c r="J54" i="120" s="1"/>
  <c r="J53" i="97"/>
  <c r="J53" i="120" s="1"/>
  <c r="N52" i="97"/>
  <c r="N52" i="120" s="1"/>
  <c r="E52" i="97"/>
  <c r="E52" i="120" s="1"/>
  <c r="F33" i="118"/>
  <c r="F31" i="118"/>
  <c r="F30" i="118"/>
  <c r="F29" i="118"/>
  <c r="F14" i="118"/>
  <c r="F13" i="118"/>
  <c r="F12" i="118"/>
  <c r="E11" i="118"/>
  <c r="D11" i="118"/>
  <c r="C11" i="118"/>
  <c r="O132" i="97"/>
  <c r="O132" i="120" s="1"/>
  <c r="K132" i="97"/>
  <c r="K132" i="120" s="1"/>
  <c r="F132" i="97"/>
  <c r="F132" i="120" s="1"/>
  <c r="J135" i="97"/>
  <c r="J135" i="120" s="1"/>
  <c r="E135" i="97"/>
  <c r="E135" i="120" s="1"/>
  <c r="N132" i="97" l="1"/>
  <c r="N132" i="120" s="1"/>
  <c r="P53" i="97"/>
  <c r="P53" i="120" s="1"/>
  <c r="H55" i="104"/>
  <c r="I55" i="104" s="1"/>
  <c r="H56" i="104"/>
  <c r="I56" i="104" s="1"/>
  <c r="P54" i="97"/>
  <c r="P54" i="120" s="1"/>
  <c r="H133" i="104"/>
  <c r="G133" i="104"/>
  <c r="J52" i="97"/>
  <c r="J52" i="120" s="1"/>
  <c r="F11" i="118"/>
  <c r="P135" i="97"/>
  <c r="P135" i="120" s="1"/>
  <c r="H54" i="104" l="1"/>
  <c r="I54" i="104" s="1"/>
  <c r="I133" i="104"/>
  <c r="P52" i="97"/>
  <c r="P52" i="120" s="1"/>
  <c r="E98" i="97" l="1"/>
  <c r="E98" i="120" s="1"/>
  <c r="G100" i="104" l="1"/>
  <c r="F94" i="97"/>
  <c r="F94" i="120" s="1"/>
  <c r="J88" i="97"/>
  <c r="J88" i="120" s="1"/>
  <c r="E88" i="97"/>
  <c r="E88" i="120" s="1"/>
  <c r="J87" i="97"/>
  <c r="J87" i="120" s="1"/>
  <c r="J89" i="97"/>
  <c r="J89" i="120" s="1"/>
  <c r="N85" i="97"/>
  <c r="N85" i="120" s="1"/>
  <c r="E85" i="97"/>
  <c r="E85" i="120" s="1"/>
  <c r="E89" i="97"/>
  <c r="E89" i="120" s="1"/>
  <c r="H89" i="104" l="1"/>
  <c r="E87" i="97"/>
  <c r="E87" i="120" s="1"/>
  <c r="J85" i="97"/>
  <c r="J85" i="120" s="1"/>
  <c r="H91" i="104"/>
  <c r="H90" i="104"/>
  <c r="G90" i="104"/>
  <c r="G87" i="104"/>
  <c r="P89" i="97"/>
  <c r="P89" i="120" s="1"/>
  <c r="F83" i="97"/>
  <c r="F83" i="120" s="1"/>
  <c r="P88" i="97"/>
  <c r="P88" i="120" s="1"/>
  <c r="G91" i="104"/>
  <c r="P85" i="97" l="1"/>
  <c r="P85" i="120" s="1"/>
  <c r="P87" i="97"/>
  <c r="P87" i="120" s="1"/>
  <c r="I90" i="104"/>
  <c r="H87" i="104"/>
  <c r="H85" i="104" s="1"/>
  <c r="G89" i="104"/>
  <c r="I89" i="104" s="1"/>
  <c r="I91" i="104"/>
  <c r="N165" i="97"/>
  <c r="N165" i="120" s="1"/>
  <c r="H35" i="97"/>
  <c r="H35" i="120" s="1"/>
  <c r="D12" i="105"/>
  <c r="J165" i="97" l="1"/>
  <c r="J165" i="120" s="1"/>
  <c r="G85" i="104"/>
  <c r="I85" i="104" s="1"/>
  <c r="I87" i="104"/>
  <c r="F149" i="97"/>
  <c r="F149" i="120" s="1"/>
  <c r="N150" i="97"/>
  <c r="N150" i="120" s="1"/>
  <c r="E150" i="97"/>
  <c r="E150" i="120" s="1"/>
  <c r="N149" i="97"/>
  <c r="N149" i="120" s="1"/>
  <c r="C26" i="105"/>
  <c r="P165" i="97" l="1"/>
  <c r="P165" i="120" s="1"/>
  <c r="H166" i="104"/>
  <c r="I166" i="104" s="1"/>
  <c r="J150" i="97"/>
  <c r="J150" i="120" s="1"/>
  <c r="G148" i="104"/>
  <c r="E149" i="97"/>
  <c r="E149" i="120" s="1"/>
  <c r="J149" i="97"/>
  <c r="J149" i="120" s="1"/>
  <c r="I31" i="97"/>
  <c r="I120" i="104"/>
  <c r="I122" i="104"/>
  <c r="H148" i="104" l="1"/>
  <c r="I148" i="104" s="1"/>
  <c r="H147" i="104"/>
  <c r="P150" i="97"/>
  <c r="P150" i="120" s="1"/>
  <c r="P149" i="97"/>
  <c r="P149" i="120" s="1"/>
  <c r="G147" i="104"/>
  <c r="H41" i="104"/>
  <c r="I147" i="104" l="1"/>
  <c r="G109" i="97"/>
  <c r="G109" i="120" s="1"/>
  <c r="H109" i="97"/>
  <c r="H109" i="120" s="1"/>
  <c r="G39" i="97" l="1"/>
  <c r="G39" i="120" s="1"/>
  <c r="G31" i="120" s="1"/>
  <c r="F39" i="97"/>
  <c r="F39" i="120" s="1"/>
  <c r="F31" i="120" s="1"/>
  <c r="E41" i="97"/>
  <c r="E41" i="120" s="1"/>
  <c r="M108" i="97"/>
  <c r="M108" i="120" s="1"/>
  <c r="L108" i="97"/>
  <c r="L108" i="120" s="1"/>
  <c r="K108" i="97"/>
  <c r="K108" i="120" s="1"/>
  <c r="H108" i="97"/>
  <c r="H108" i="120" s="1"/>
  <c r="G108" i="97"/>
  <c r="G108" i="120" s="1"/>
  <c r="F108" i="97"/>
  <c r="F108" i="120" s="1"/>
  <c r="O124" i="97"/>
  <c r="O124" i="120" s="1"/>
  <c r="O117" i="120" s="1"/>
  <c r="O116" i="120" s="1"/>
  <c r="M124" i="97"/>
  <c r="M124" i="120" s="1"/>
  <c r="M117" i="120" s="1"/>
  <c r="M116" i="120" s="1"/>
  <c r="L124" i="97"/>
  <c r="L124" i="120" s="1"/>
  <c r="L117" i="120" s="1"/>
  <c r="L116" i="120" s="1"/>
  <c r="K124" i="97"/>
  <c r="K124" i="120" s="1"/>
  <c r="K117" i="120" s="1"/>
  <c r="H124" i="97"/>
  <c r="H124" i="120" s="1"/>
  <c r="H117" i="120" s="1"/>
  <c r="H116" i="120" s="1"/>
  <c r="G124" i="97"/>
  <c r="G124" i="120" s="1"/>
  <c r="G117" i="120" s="1"/>
  <c r="G116" i="120" s="1"/>
  <c r="F124" i="97"/>
  <c r="F124" i="120" s="1"/>
  <c r="F117" i="120" s="1"/>
  <c r="F116" i="120" s="1"/>
  <c r="N126" i="97"/>
  <c r="N126" i="120" s="1"/>
  <c r="E126" i="97"/>
  <c r="E126" i="120" s="1"/>
  <c r="N125" i="97"/>
  <c r="N125" i="120" s="1"/>
  <c r="E125" i="97"/>
  <c r="E125" i="120" s="1"/>
  <c r="O108" i="97"/>
  <c r="O108" i="120" s="1"/>
  <c r="N110" i="97"/>
  <c r="N110" i="120" s="1"/>
  <c r="E110" i="97"/>
  <c r="E110" i="120" s="1"/>
  <c r="N109" i="97"/>
  <c r="N109" i="120" s="1"/>
  <c r="E109" i="97"/>
  <c r="E109" i="120" s="1"/>
  <c r="F95" i="97"/>
  <c r="F95" i="120" s="1"/>
  <c r="N95" i="97"/>
  <c r="N95" i="120" s="1"/>
  <c r="N94" i="97"/>
  <c r="N94" i="120" s="1"/>
  <c r="M55" i="97"/>
  <c r="L55" i="97"/>
  <c r="K55" i="97"/>
  <c r="K55" i="120" s="1"/>
  <c r="G55" i="97"/>
  <c r="H55" i="97"/>
  <c r="N57" i="97"/>
  <c r="N57" i="120" s="1"/>
  <c r="E57" i="97"/>
  <c r="E57" i="120" s="1"/>
  <c r="N56" i="97"/>
  <c r="N56" i="120" s="1"/>
  <c r="M39" i="97"/>
  <c r="M39" i="120" s="1"/>
  <c r="M31" i="120" s="1"/>
  <c r="L39" i="97"/>
  <c r="L39" i="120" s="1"/>
  <c r="L31" i="120" s="1"/>
  <c r="K39" i="97"/>
  <c r="K39" i="120" s="1"/>
  <c r="K31" i="120" s="1"/>
  <c r="K30" i="120" s="1"/>
  <c r="E40" i="97"/>
  <c r="E40" i="120" s="1"/>
  <c r="H39" i="97"/>
  <c r="H39" i="120" s="1"/>
  <c r="H31" i="120" s="1"/>
  <c r="N40" i="97"/>
  <c r="N40" i="120" s="1"/>
  <c r="L30" i="120" l="1"/>
  <c r="L44" i="97"/>
  <c r="L55" i="120"/>
  <c r="L44" i="120" s="1"/>
  <c r="L43" i="120" s="1"/>
  <c r="F30" i="120"/>
  <c r="G44" i="97"/>
  <c r="G55" i="120"/>
  <c r="G44" i="120" s="1"/>
  <c r="G43" i="120" s="1"/>
  <c r="H30" i="120"/>
  <c r="M30" i="120"/>
  <c r="H44" i="97"/>
  <c r="H55" i="120"/>
  <c r="H44" i="120" s="1"/>
  <c r="H43" i="120" s="1"/>
  <c r="M44" i="97"/>
  <c r="M55" i="120"/>
  <c r="M44" i="120" s="1"/>
  <c r="M43" i="120" s="1"/>
  <c r="K116" i="120"/>
  <c r="G30" i="120"/>
  <c r="G57" i="104"/>
  <c r="F31" i="97"/>
  <c r="G121" i="104"/>
  <c r="F117" i="97"/>
  <c r="L117" i="97"/>
  <c r="L31" i="97"/>
  <c r="J95" i="97"/>
  <c r="J95" i="120" s="1"/>
  <c r="J125" i="97"/>
  <c r="J125" i="120" s="1"/>
  <c r="G117" i="97"/>
  <c r="M117" i="97"/>
  <c r="M31" i="97"/>
  <c r="E95" i="97"/>
  <c r="E95" i="120" s="1"/>
  <c r="G124" i="104"/>
  <c r="H117" i="97"/>
  <c r="O117" i="97"/>
  <c r="R117" i="97" s="1"/>
  <c r="K31" i="97"/>
  <c r="J109" i="97"/>
  <c r="J109" i="120" s="1"/>
  <c r="J126" i="97"/>
  <c r="J126" i="120" s="1"/>
  <c r="K117" i="97"/>
  <c r="G107" i="104"/>
  <c r="G106" i="104"/>
  <c r="N39" i="97"/>
  <c r="N39" i="120" s="1"/>
  <c r="G40" i="104"/>
  <c r="J57" i="97"/>
  <c r="J57" i="120" s="1"/>
  <c r="J56" i="97"/>
  <c r="J56" i="120" s="1"/>
  <c r="E56" i="97"/>
  <c r="E56" i="120" s="1"/>
  <c r="N124" i="97"/>
  <c r="N124" i="120" s="1"/>
  <c r="P41" i="97"/>
  <c r="P41" i="120" s="1"/>
  <c r="G41" i="104"/>
  <c r="I41" i="104" s="1"/>
  <c r="N108" i="97"/>
  <c r="N108" i="120" s="1"/>
  <c r="J110" i="97"/>
  <c r="J110" i="120" s="1"/>
  <c r="J40" i="97"/>
  <c r="J40" i="120" s="1"/>
  <c r="N55" i="97"/>
  <c r="N55" i="120" s="1"/>
  <c r="H59" i="104" l="1"/>
  <c r="I59" i="104" s="1"/>
  <c r="P125" i="97"/>
  <c r="P125" i="120" s="1"/>
  <c r="P109" i="97"/>
  <c r="P109" i="120" s="1"/>
  <c r="H58" i="104"/>
  <c r="I58" i="104" s="1"/>
  <c r="P126" i="97"/>
  <c r="P126" i="120" s="1"/>
  <c r="P57" i="97"/>
  <c r="P57" i="120" s="1"/>
  <c r="P95" i="97"/>
  <c r="P95" i="120" s="1"/>
  <c r="H124" i="104"/>
  <c r="I124" i="104" s="1"/>
  <c r="H121" i="104"/>
  <c r="I121" i="104" s="1"/>
  <c r="H107" i="104"/>
  <c r="I107" i="104" s="1"/>
  <c r="H106" i="104"/>
  <c r="I106" i="104" s="1"/>
  <c r="P56" i="97"/>
  <c r="P56" i="120" s="1"/>
  <c r="P110" i="97"/>
  <c r="P110" i="120" s="1"/>
  <c r="P40" i="97"/>
  <c r="P40" i="120" s="1"/>
  <c r="H40" i="104"/>
  <c r="I40" i="104" s="1"/>
  <c r="I163" i="104" l="1"/>
  <c r="H194" i="104"/>
  <c r="H189" i="104" s="1"/>
  <c r="G194" i="104"/>
  <c r="G189" i="104" s="1"/>
  <c r="I30" i="104"/>
  <c r="I27" i="104"/>
  <c r="J113" i="98"/>
  <c r="J111" i="98" s="1"/>
  <c r="E21" i="97" l="1"/>
  <c r="E21" i="120" s="1"/>
  <c r="N21" i="97"/>
  <c r="N21" i="120" s="1"/>
  <c r="J21" i="97" l="1"/>
  <c r="J21" i="120" s="1"/>
  <c r="H10" i="104" l="1"/>
  <c r="I10" i="104" s="1"/>
  <c r="P21" i="97"/>
  <c r="P21" i="120" s="1"/>
  <c r="D74" i="105"/>
  <c r="F18" i="116" l="1"/>
  <c r="H31" i="97" l="1"/>
  <c r="G31" i="97" l="1"/>
  <c r="I85" i="98" l="1"/>
  <c r="H85" i="98" s="1"/>
  <c r="I109" i="98"/>
  <c r="H109" i="98" s="1"/>
  <c r="J211" i="98" l="1"/>
  <c r="N186" i="97" l="1"/>
  <c r="N186" i="120" s="1"/>
  <c r="E186" i="97"/>
  <c r="E186" i="120" s="1"/>
  <c r="N185" i="97"/>
  <c r="N185" i="120" s="1"/>
  <c r="E185" i="97"/>
  <c r="E185" i="120" s="1"/>
  <c r="N184" i="97"/>
  <c r="N184" i="120" s="1"/>
  <c r="N183" i="97"/>
  <c r="N183" i="120" s="1"/>
  <c r="E184" i="97"/>
  <c r="E184" i="120" s="1"/>
  <c r="E183" i="97"/>
  <c r="E183" i="120" s="1"/>
  <c r="O182" i="97"/>
  <c r="M182" i="97"/>
  <c r="L182" i="97"/>
  <c r="K182" i="97"/>
  <c r="I182" i="97"/>
  <c r="I182" i="120" s="1"/>
  <c r="I180" i="120" s="1"/>
  <c r="I179" i="120" s="1"/>
  <c r="H182" i="97"/>
  <c r="G182" i="97"/>
  <c r="F182" i="97"/>
  <c r="F180" i="97" l="1"/>
  <c r="F182" i="120"/>
  <c r="F180" i="120" s="1"/>
  <c r="F179" i="120" s="1"/>
  <c r="K180" i="97"/>
  <c r="K182" i="120"/>
  <c r="K180" i="120" s="1"/>
  <c r="G180" i="97"/>
  <c r="G182" i="120"/>
  <c r="G180" i="120" s="1"/>
  <c r="G179" i="120" s="1"/>
  <c r="L180" i="97"/>
  <c r="L182" i="120"/>
  <c r="L180" i="120" s="1"/>
  <c r="L179" i="120" s="1"/>
  <c r="H180" i="97"/>
  <c r="H182" i="120"/>
  <c r="H180" i="120" s="1"/>
  <c r="H179" i="120" s="1"/>
  <c r="M180" i="97"/>
  <c r="M182" i="120"/>
  <c r="M180" i="120" s="1"/>
  <c r="M179" i="120" s="1"/>
  <c r="O180" i="97"/>
  <c r="O182" i="120"/>
  <c r="O180" i="120" s="1"/>
  <c r="O179" i="120" s="1"/>
  <c r="E182" i="97"/>
  <c r="G180" i="104"/>
  <c r="J185" i="97"/>
  <c r="J185" i="120" s="1"/>
  <c r="G183" i="104"/>
  <c r="G182" i="104"/>
  <c r="G181" i="104"/>
  <c r="I180" i="97"/>
  <c r="R180" i="97"/>
  <c r="J184" i="97"/>
  <c r="J184" i="120" s="1"/>
  <c r="J186" i="97"/>
  <c r="J186" i="120" s="1"/>
  <c r="N182" i="97"/>
  <c r="J183" i="97"/>
  <c r="J183" i="120" s="1"/>
  <c r="I188" i="97"/>
  <c r="J205" i="97"/>
  <c r="J205" i="120" s="1"/>
  <c r="J204" i="97"/>
  <c r="J204" i="120" s="1"/>
  <c r="E204" i="97"/>
  <c r="E204" i="120" s="1"/>
  <c r="O203" i="97"/>
  <c r="M203" i="97"/>
  <c r="L203" i="97"/>
  <c r="K203" i="97"/>
  <c r="I203" i="97"/>
  <c r="I203" i="120" s="1"/>
  <c r="I201" i="120" s="1"/>
  <c r="I200" i="120" s="1"/>
  <c r="H203" i="97"/>
  <c r="G203" i="97"/>
  <c r="F203" i="97"/>
  <c r="E205" i="97"/>
  <c r="E205" i="120" s="1"/>
  <c r="E180" i="97" l="1"/>
  <c r="E182" i="120"/>
  <c r="E180" i="120" s="1"/>
  <c r="E179" i="120" s="1"/>
  <c r="F201" i="97"/>
  <c r="F203" i="120"/>
  <c r="F201" i="120" s="1"/>
  <c r="F200" i="120" s="1"/>
  <c r="K201" i="97"/>
  <c r="K203" i="120"/>
  <c r="K201" i="120" s="1"/>
  <c r="H201" i="97"/>
  <c r="H203" i="120"/>
  <c r="H201" i="120" s="1"/>
  <c r="H200" i="120" s="1"/>
  <c r="M201" i="97"/>
  <c r="M203" i="120"/>
  <c r="M201" i="120" s="1"/>
  <c r="M200" i="120" s="1"/>
  <c r="K179" i="120"/>
  <c r="O201" i="97"/>
  <c r="S201" i="97" s="1"/>
  <c r="O203" i="120"/>
  <c r="O201" i="120" s="1"/>
  <c r="G201" i="97"/>
  <c r="G203" i="120"/>
  <c r="G201" i="120" s="1"/>
  <c r="G200" i="120" s="1"/>
  <c r="L201" i="97"/>
  <c r="L203" i="120"/>
  <c r="L201" i="120" s="1"/>
  <c r="L200" i="120" s="1"/>
  <c r="N180" i="97"/>
  <c r="J180" i="97" s="1"/>
  <c r="N182" i="120"/>
  <c r="N180" i="120" s="1"/>
  <c r="N179" i="120" s="1"/>
  <c r="P186" i="97"/>
  <c r="P186" i="120" s="1"/>
  <c r="I201" i="97"/>
  <c r="E203" i="97"/>
  <c r="G201" i="104"/>
  <c r="G179" i="104"/>
  <c r="G178" i="104" s="1"/>
  <c r="J178" i="104" s="1"/>
  <c r="H181" i="104"/>
  <c r="I181" i="104" s="1"/>
  <c r="H182" i="104"/>
  <c r="I182" i="104" s="1"/>
  <c r="P184" i="97"/>
  <c r="P184" i="120" s="1"/>
  <c r="P185" i="97"/>
  <c r="P185" i="120" s="1"/>
  <c r="H183" i="104"/>
  <c r="I183" i="104" s="1"/>
  <c r="J182" i="97"/>
  <c r="J182" i="120" s="1"/>
  <c r="P183" i="97"/>
  <c r="P183" i="120" s="1"/>
  <c r="H180" i="104"/>
  <c r="P204" i="97"/>
  <c r="P204" i="120" s="1"/>
  <c r="H201" i="104"/>
  <c r="N203" i="97"/>
  <c r="P205" i="97"/>
  <c r="P205" i="120" s="1"/>
  <c r="I154" i="97"/>
  <c r="N173" i="97"/>
  <c r="N173" i="120" s="1"/>
  <c r="E173" i="97"/>
  <c r="E173" i="120" s="1"/>
  <c r="N164" i="97"/>
  <c r="N164" i="120" s="1"/>
  <c r="E164" i="97"/>
  <c r="E164" i="120" s="1"/>
  <c r="N160" i="97"/>
  <c r="N160" i="120" s="1"/>
  <c r="E160" i="97"/>
  <c r="E160" i="120" s="1"/>
  <c r="N22" i="97"/>
  <c r="N22" i="120" s="1"/>
  <c r="E22" i="97"/>
  <c r="E22" i="120" s="1"/>
  <c r="N162" i="97"/>
  <c r="N162" i="120" s="1"/>
  <c r="E162" i="97"/>
  <c r="E162" i="120" s="1"/>
  <c r="N178" i="97"/>
  <c r="N178" i="120" s="1"/>
  <c r="E178" i="97"/>
  <c r="E178" i="120" s="1"/>
  <c r="N177" i="97"/>
  <c r="N177" i="120" s="1"/>
  <c r="E177" i="97"/>
  <c r="E177" i="120" s="1"/>
  <c r="N172" i="97"/>
  <c r="N172" i="120" s="1"/>
  <c r="E172" i="97"/>
  <c r="E172" i="120" s="1"/>
  <c r="J171" i="97"/>
  <c r="J171" i="120" s="1"/>
  <c r="E171" i="97"/>
  <c r="E171" i="120" s="1"/>
  <c r="O170" i="97"/>
  <c r="O170" i="120" s="1"/>
  <c r="K170" i="97"/>
  <c r="K170" i="120" s="1"/>
  <c r="F170" i="97"/>
  <c r="F170" i="120" s="1"/>
  <c r="N201" i="97" l="1"/>
  <c r="N203" i="120"/>
  <c r="N201" i="120" s="1"/>
  <c r="N200" i="120" s="1"/>
  <c r="J180" i="120"/>
  <c r="E201" i="97"/>
  <c r="E203" i="120"/>
  <c r="E201" i="120" s="1"/>
  <c r="O200" i="120"/>
  <c r="S201" i="120"/>
  <c r="K200" i="120"/>
  <c r="J201" i="120"/>
  <c r="J200" i="120" s="1"/>
  <c r="G159" i="104"/>
  <c r="G177" i="104"/>
  <c r="I201" i="104"/>
  <c r="H172" i="104"/>
  <c r="H171" i="104" s="1"/>
  <c r="J177" i="97"/>
  <c r="J177" i="120" s="1"/>
  <c r="J162" i="97"/>
  <c r="J172" i="97"/>
  <c r="J172" i="120" s="1"/>
  <c r="J178" i="97"/>
  <c r="J178" i="120" s="1"/>
  <c r="J164" i="97"/>
  <c r="J164" i="120" s="1"/>
  <c r="J160" i="97"/>
  <c r="J160" i="120" s="1"/>
  <c r="J173" i="97"/>
  <c r="J173" i="120" s="1"/>
  <c r="E170" i="97"/>
  <c r="E170" i="120" s="1"/>
  <c r="G176" i="104"/>
  <c r="G172" i="104"/>
  <c r="G171" i="104" s="1"/>
  <c r="G175" i="104"/>
  <c r="G161" i="104"/>
  <c r="G173" i="104"/>
  <c r="G165" i="104"/>
  <c r="G174" i="104"/>
  <c r="J22" i="97"/>
  <c r="J22" i="120" s="1"/>
  <c r="P182" i="97"/>
  <c r="P182" i="120" s="1"/>
  <c r="H179" i="104"/>
  <c r="I180" i="104"/>
  <c r="J203" i="97"/>
  <c r="J203" i="120" s="1"/>
  <c r="J170" i="97"/>
  <c r="J170" i="120" s="1"/>
  <c r="P171" i="97"/>
  <c r="P171" i="120" s="1"/>
  <c r="P162" i="97" l="1"/>
  <c r="P162" i="120" s="1"/>
  <c r="J162" i="120"/>
  <c r="J179" i="120"/>
  <c r="P180" i="120"/>
  <c r="P201" i="120"/>
  <c r="E200" i="120"/>
  <c r="P177" i="97"/>
  <c r="P177" i="120" s="1"/>
  <c r="P178" i="97"/>
  <c r="P178" i="120" s="1"/>
  <c r="P172" i="97"/>
  <c r="P172" i="120" s="1"/>
  <c r="P160" i="97"/>
  <c r="P160" i="120" s="1"/>
  <c r="P164" i="97"/>
  <c r="P164" i="120" s="1"/>
  <c r="P173" i="97"/>
  <c r="P173" i="120" s="1"/>
  <c r="P22" i="97"/>
  <c r="P22" i="120" s="1"/>
  <c r="I171" i="104"/>
  <c r="H165" i="104"/>
  <c r="I165" i="104" s="1"/>
  <c r="H173" i="104"/>
  <c r="I173" i="104" s="1"/>
  <c r="H161" i="104"/>
  <c r="I161" i="104" s="1"/>
  <c r="H159" i="104"/>
  <c r="I159" i="104" s="1"/>
  <c r="H176" i="104"/>
  <c r="I176" i="104" s="1"/>
  <c r="H175" i="104"/>
  <c r="I175" i="104" s="1"/>
  <c r="H174" i="104"/>
  <c r="P170" i="97"/>
  <c r="P170" i="120" s="1"/>
  <c r="I172" i="104"/>
  <c r="P203" i="97"/>
  <c r="P203" i="120" s="1"/>
  <c r="H178" i="104"/>
  <c r="K178" i="104" s="1"/>
  <c r="I179" i="104"/>
  <c r="E163" i="97"/>
  <c r="E163" i="120" s="1"/>
  <c r="O168" i="97"/>
  <c r="O168" i="120" s="1"/>
  <c r="K168" i="97"/>
  <c r="K168" i="120" s="1"/>
  <c r="F168" i="97"/>
  <c r="F168" i="120" s="1"/>
  <c r="F154" i="120" s="1"/>
  <c r="F153" i="120" s="1"/>
  <c r="N169" i="97"/>
  <c r="N169" i="120" s="1"/>
  <c r="E169" i="97"/>
  <c r="E169" i="120" s="1"/>
  <c r="N163" i="97"/>
  <c r="N163" i="120" s="1"/>
  <c r="E159" i="97"/>
  <c r="E159" i="120" s="1"/>
  <c r="N159" i="97"/>
  <c r="N159" i="120" s="1"/>
  <c r="O156" i="97"/>
  <c r="K156" i="97"/>
  <c r="F154" i="97"/>
  <c r="E161" i="97"/>
  <c r="E161" i="120" s="1"/>
  <c r="N161" i="97"/>
  <c r="N161" i="120" s="1"/>
  <c r="N157" i="97"/>
  <c r="N157" i="120" s="1"/>
  <c r="E157" i="97"/>
  <c r="E157" i="120" s="1"/>
  <c r="P179" i="120" l="1"/>
  <c r="Q180" i="120"/>
  <c r="K154" i="97"/>
  <c r="K156" i="120"/>
  <c r="K154" i="120" s="1"/>
  <c r="K153" i="120" s="1"/>
  <c r="P200" i="120"/>
  <c r="O154" i="97"/>
  <c r="R156" i="97" s="1"/>
  <c r="O156" i="120"/>
  <c r="O154" i="120" s="1"/>
  <c r="G160" i="104"/>
  <c r="G162" i="104"/>
  <c r="I174" i="104"/>
  <c r="J159" i="97"/>
  <c r="J159" i="120" s="1"/>
  <c r="J161" i="97"/>
  <c r="J161" i="120" s="1"/>
  <c r="N168" i="97"/>
  <c r="N168" i="120" s="1"/>
  <c r="J169" i="97"/>
  <c r="J169" i="120" s="1"/>
  <c r="J163" i="97"/>
  <c r="J163" i="120" s="1"/>
  <c r="G170" i="104"/>
  <c r="G169" i="104" s="1"/>
  <c r="J157" i="97"/>
  <c r="J157" i="120" s="1"/>
  <c r="G156" i="104"/>
  <c r="G158" i="104"/>
  <c r="E168" i="97"/>
  <c r="E168" i="120" s="1"/>
  <c r="R156" i="120" l="1"/>
  <c r="O153" i="120"/>
  <c r="P169" i="97"/>
  <c r="P169" i="120" s="1"/>
  <c r="P157" i="97"/>
  <c r="P157" i="120" s="1"/>
  <c r="P163" i="97"/>
  <c r="P163" i="120" s="1"/>
  <c r="P159" i="97"/>
  <c r="P159" i="120" s="1"/>
  <c r="R154" i="97"/>
  <c r="P161" i="97"/>
  <c r="P161" i="120" s="1"/>
  <c r="G155" i="104"/>
  <c r="J168" i="97"/>
  <c r="J168" i="120" s="1"/>
  <c r="H158" i="104"/>
  <c r="I158" i="104" s="1"/>
  <c r="H170" i="104"/>
  <c r="H160" i="104"/>
  <c r="I160" i="104" s="1"/>
  <c r="H162" i="104"/>
  <c r="I162" i="104" s="1"/>
  <c r="H156" i="104"/>
  <c r="G153" i="104" l="1"/>
  <c r="P168" i="97"/>
  <c r="P168" i="120" s="1"/>
  <c r="H169" i="104"/>
  <c r="I169" i="104" s="1"/>
  <c r="I170" i="104"/>
  <c r="H155" i="104"/>
  <c r="I156" i="104"/>
  <c r="O31" i="97"/>
  <c r="R31" i="97" s="1"/>
  <c r="H153" i="104" l="1"/>
  <c r="I155" i="104"/>
  <c r="F99" i="97"/>
  <c r="F99" i="120" s="1"/>
  <c r="F91" i="97"/>
  <c r="F91" i="120" s="1"/>
  <c r="I153" i="104" l="1"/>
  <c r="E91" i="97"/>
  <c r="E91" i="120" s="1"/>
  <c r="O68" i="97"/>
  <c r="O68" i="120" s="1"/>
  <c r="M68" i="97"/>
  <c r="M68" i="120" s="1"/>
  <c r="L68" i="97"/>
  <c r="L68" i="120" s="1"/>
  <c r="K68" i="97"/>
  <c r="K68" i="120" s="1"/>
  <c r="I68" i="97"/>
  <c r="I68" i="120" s="1"/>
  <c r="H68" i="97"/>
  <c r="H68" i="120" s="1"/>
  <c r="G68" i="97"/>
  <c r="G68" i="120" s="1"/>
  <c r="F68" i="97"/>
  <c r="F68" i="120" s="1"/>
  <c r="J59" i="98"/>
  <c r="J57" i="98" s="1"/>
  <c r="L192" i="97" l="1"/>
  <c r="M192" i="97"/>
  <c r="G192" i="97"/>
  <c r="H192" i="97"/>
  <c r="I192" i="97"/>
  <c r="E194" i="97"/>
  <c r="E194" i="120" s="1"/>
  <c r="N194" i="97"/>
  <c r="N194" i="120" s="1"/>
  <c r="E195" i="97"/>
  <c r="E195" i="120" s="1"/>
  <c r="N195" i="97"/>
  <c r="N195" i="120" s="1"/>
  <c r="E199" i="97"/>
  <c r="E199" i="120" s="1"/>
  <c r="N199" i="97"/>
  <c r="N196" i="97" l="1"/>
  <c r="N196" i="120" s="1"/>
  <c r="N199" i="120"/>
  <c r="K192" i="97"/>
  <c r="J199" i="97"/>
  <c r="J199" i="120" s="1"/>
  <c r="J194" i="97"/>
  <c r="J194" i="120" s="1"/>
  <c r="F192" i="97"/>
  <c r="J195" i="97"/>
  <c r="J195" i="120" s="1"/>
  <c r="O192" i="97"/>
  <c r="R192" i="97" s="1"/>
  <c r="E196" i="97"/>
  <c r="E196" i="120" s="1"/>
  <c r="I194" i="104"/>
  <c r="P199" i="97" l="1"/>
  <c r="P199" i="120" s="1"/>
  <c r="P195" i="97"/>
  <c r="P195" i="120" s="1"/>
  <c r="P194" i="97"/>
  <c r="P194" i="120" s="1"/>
  <c r="J196" i="97"/>
  <c r="J196" i="120" s="1"/>
  <c r="P196" i="97" l="1"/>
  <c r="P196" i="120" s="1"/>
  <c r="F65" i="97"/>
  <c r="F65" i="120" s="1"/>
  <c r="K65" i="97"/>
  <c r="K65" i="120" s="1"/>
  <c r="O62" i="97"/>
  <c r="O62" i="120" s="1"/>
  <c r="M62" i="97"/>
  <c r="M62" i="120" s="1"/>
  <c r="L62" i="97"/>
  <c r="L62" i="120" s="1"/>
  <c r="K62" i="97"/>
  <c r="K62" i="120" s="1"/>
  <c r="I62" i="97"/>
  <c r="I62" i="120" s="1"/>
  <c r="H62" i="97"/>
  <c r="H62" i="120" s="1"/>
  <c r="G62" i="97"/>
  <c r="G62" i="120" s="1"/>
  <c r="F62" i="97"/>
  <c r="F62" i="120" s="1"/>
  <c r="M13" i="97" l="1"/>
  <c r="L13" i="97"/>
  <c r="K23" i="97"/>
  <c r="K23" i="120" s="1"/>
  <c r="K13" i="120" s="1"/>
  <c r="N23" i="97"/>
  <c r="N23" i="120" s="1"/>
  <c r="O23" i="97"/>
  <c r="O23" i="120" s="1"/>
  <c r="O13" i="120" s="1"/>
  <c r="E24" i="97"/>
  <c r="E24" i="120" s="1"/>
  <c r="E23" i="97"/>
  <c r="E23" i="120" s="1"/>
  <c r="K12" i="120" l="1"/>
  <c r="O12" i="120"/>
  <c r="K13" i="97"/>
  <c r="O13" i="97"/>
  <c r="R13" i="97" s="1"/>
  <c r="J23" i="97"/>
  <c r="J23" i="120" s="1"/>
  <c r="J24" i="97"/>
  <c r="J24" i="120" s="1"/>
  <c r="P24" i="97" l="1"/>
  <c r="P24" i="120" s="1"/>
  <c r="P23" i="97"/>
  <c r="P23" i="120" s="1"/>
  <c r="O50" i="97"/>
  <c r="K50" i="97"/>
  <c r="F50" i="97"/>
  <c r="O44" i="97" l="1"/>
  <c r="R44" i="97" s="1"/>
  <c r="O50" i="120"/>
  <c r="O44" i="120" s="1"/>
  <c r="O43" i="120" s="1"/>
  <c r="K44" i="97"/>
  <c r="K50" i="120"/>
  <c r="K44" i="120" s="1"/>
  <c r="F44" i="97"/>
  <c r="F50" i="120"/>
  <c r="F44" i="120" s="1"/>
  <c r="F43" i="120" s="1"/>
  <c r="G52" i="104"/>
  <c r="G44" i="104" s="1"/>
  <c r="N51" i="97"/>
  <c r="N51" i="120" s="1"/>
  <c r="E51" i="97"/>
  <c r="E51" i="120" s="1"/>
  <c r="K43" i="120" l="1"/>
  <c r="J51" i="97"/>
  <c r="J51" i="120" s="1"/>
  <c r="H53" i="104" l="1"/>
  <c r="I53" i="104" s="1"/>
  <c r="P51" i="97"/>
  <c r="P51" i="120" s="1"/>
  <c r="I29" i="104"/>
  <c r="K148" i="97" l="1"/>
  <c r="K148" i="120" s="1"/>
  <c r="N142" i="97" l="1"/>
  <c r="N142" i="120" s="1"/>
  <c r="N118" i="97" l="1"/>
  <c r="N118" i="120" s="1"/>
  <c r="N122" i="97"/>
  <c r="N122" i="120" s="1"/>
  <c r="E216" i="97" l="1"/>
  <c r="E216" i="120" s="1"/>
  <c r="F130" i="97" l="1"/>
  <c r="F130" i="120" s="1"/>
  <c r="G130" i="97"/>
  <c r="G130" i="120" s="1"/>
  <c r="G203" i="104" l="1"/>
  <c r="G204" i="104"/>
  <c r="G202" i="104"/>
  <c r="G200" i="104" s="1"/>
  <c r="G198" i="104" s="1"/>
  <c r="K198" i="104" s="1"/>
  <c r="E133" i="97" l="1"/>
  <c r="E133" i="120" s="1"/>
  <c r="E106" i="97"/>
  <c r="E106" i="120" s="1"/>
  <c r="E50" i="97"/>
  <c r="E50" i="120" s="1"/>
  <c r="E66" i="105" l="1"/>
  <c r="E190" i="97" l="1"/>
  <c r="E188" i="97" l="1"/>
  <c r="E190" i="120"/>
  <c r="E188" i="120" s="1"/>
  <c r="G187" i="104"/>
  <c r="G185" i="104" s="1"/>
  <c r="K185" i="104" s="1"/>
  <c r="E187" i="120" l="1"/>
  <c r="F188" i="120"/>
  <c r="F187" i="120" s="1"/>
  <c r="G184" i="104"/>
  <c r="E211" i="97"/>
  <c r="E209" i="97" l="1"/>
  <c r="E211" i="120"/>
  <c r="E209" i="120" s="1"/>
  <c r="E208" i="120" s="1"/>
  <c r="G208" i="104"/>
  <c r="G206" i="104" s="1"/>
  <c r="K206" i="104" s="1"/>
  <c r="J216" i="97" l="1"/>
  <c r="J216" i="120" s="1"/>
  <c r="G205" i="104" l="1"/>
  <c r="J110" i="98"/>
  <c r="N193" i="97" l="1"/>
  <c r="N193" i="120" s="1"/>
  <c r="N192" i="120" s="1"/>
  <c r="E193" i="97"/>
  <c r="E193" i="120" s="1"/>
  <c r="E192" i="120" s="1"/>
  <c r="E191" i="120" l="1"/>
  <c r="N191" i="120"/>
  <c r="J192" i="120"/>
  <c r="J191" i="120" s="1"/>
  <c r="E192" i="97"/>
  <c r="K189" i="104" s="1"/>
  <c r="N192" i="97"/>
  <c r="J193" i="97"/>
  <c r="J193" i="120" s="1"/>
  <c r="P192" i="120" l="1"/>
  <c r="P193" i="97"/>
  <c r="P193" i="120" s="1"/>
  <c r="Q192" i="120" l="1"/>
  <c r="P191" i="120"/>
  <c r="G131" i="104"/>
  <c r="N12" i="107"/>
  <c r="N13" i="107"/>
  <c r="F11" i="107"/>
  <c r="N11" i="107" s="1"/>
  <c r="O12" i="107" l="1"/>
  <c r="F10" i="107"/>
  <c r="E49" i="97"/>
  <c r="E49" i="120" s="1"/>
  <c r="N10" i="107" l="1"/>
  <c r="F9" i="107"/>
  <c r="N9" i="107" s="1"/>
  <c r="E121" i="97" l="1"/>
  <c r="E121" i="120" s="1"/>
  <c r="D86" i="105"/>
  <c r="D29" i="108"/>
  <c r="G29" i="108" s="1"/>
  <c r="D15" i="108"/>
  <c r="D17" i="108" s="1"/>
  <c r="P14" i="107"/>
  <c r="Q14" i="107" s="1"/>
  <c r="O14" i="107"/>
  <c r="L14" i="107"/>
  <c r="N14" i="107" s="1"/>
  <c r="J14" i="107"/>
  <c r="F14" i="107" s="1"/>
  <c r="H14" i="107"/>
  <c r="O13" i="107"/>
  <c r="C106" i="105"/>
  <c r="C105" i="105"/>
  <c r="C104" i="105"/>
  <c r="C103" i="105"/>
  <c r="C100" i="105"/>
  <c r="C99" i="105"/>
  <c r="C97" i="105"/>
  <c r="C88" i="105"/>
  <c r="C87" i="105"/>
  <c r="E86" i="105"/>
  <c r="C81" i="105"/>
  <c r="C80" i="105"/>
  <c r="F79" i="105"/>
  <c r="F78" i="105" s="1"/>
  <c r="E79" i="105"/>
  <c r="C79" i="105" s="1"/>
  <c r="C77" i="105"/>
  <c r="C76" i="105"/>
  <c r="F75" i="105"/>
  <c r="E75" i="105"/>
  <c r="C75" i="105" s="1"/>
  <c r="C73" i="105"/>
  <c r="C72" i="105"/>
  <c r="D65" i="105"/>
  <c r="C70" i="105"/>
  <c r="C69" i="105"/>
  <c r="C68" i="105"/>
  <c r="C66" i="105"/>
  <c r="C64" i="105"/>
  <c r="C62" i="105"/>
  <c r="E61" i="105"/>
  <c r="C60" i="105"/>
  <c r="C59" i="105"/>
  <c r="C58" i="105"/>
  <c r="D57" i="105"/>
  <c r="C56" i="105"/>
  <c r="C55" i="105"/>
  <c r="C50" i="105"/>
  <c r="C49" i="105"/>
  <c r="D48" i="105"/>
  <c r="C46" i="105"/>
  <c r="F45" i="105"/>
  <c r="C44" i="105"/>
  <c r="C43" i="105"/>
  <c r="C42" i="105"/>
  <c r="E41" i="105"/>
  <c r="D41" i="105"/>
  <c r="C40" i="105"/>
  <c r="C39" i="105"/>
  <c r="D38" i="105"/>
  <c r="C38" i="105" s="1"/>
  <c r="C37" i="105"/>
  <c r="C36" i="105"/>
  <c r="D35" i="105"/>
  <c r="C35" i="105" s="1"/>
  <c r="C34" i="105"/>
  <c r="C33" i="105"/>
  <c r="C32" i="105"/>
  <c r="C31" i="105"/>
  <c r="C30" i="105"/>
  <c r="C29" i="105"/>
  <c r="C28" i="105"/>
  <c r="C27" i="105"/>
  <c r="C25" i="105"/>
  <c r="D24" i="105"/>
  <c r="C20" i="105"/>
  <c r="C19" i="105"/>
  <c r="D18" i="105"/>
  <c r="C18" i="105" s="1"/>
  <c r="C16" i="105"/>
  <c r="C15" i="105"/>
  <c r="C14" i="105"/>
  <c r="C13" i="105"/>
  <c r="C12" i="105"/>
  <c r="I195" i="104"/>
  <c r="M191" i="97"/>
  <c r="L191" i="97"/>
  <c r="K191" i="97"/>
  <c r="G191" i="97"/>
  <c r="H191" i="97"/>
  <c r="I191" i="97"/>
  <c r="N121" i="97"/>
  <c r="N121" i="120" s="1"/>
  <c r="J253" i="98"/>
  <c r="I196" i="104"/>
  <c r="E42" i="97"/>
  <c r="E42" i="120" s="1"/>
  <c r="I190" i="104"/>
  <c r="M30" i="97"/>
  <c r="H30" i="97"/>
  <c r="J6" i="98"/>
  <c r="N16" i="97"/>
  <c r="N16" i="120" s="1"/>
  <c r="E16" i="97"/>
  <c r="E16" i="120" s="1"/>
  <c r="N14" i="97"/>
  <c r="N14" i="120" s="1"/>
  <c r="E14" i="97"/>
  <c r="E14" i="120" s="1"/>
  <c r="H188" i="104"/>
  <c r="E15" i="97"/>
  <c r="N15" i="97"/>
  <c r="E32" i="97"/>
  <c r="E32" i="120" s="1"/>
  <c r="N35" i="97"/>
  <c r="N35" i="120" s="1"/>
  <c r="E38" i="97"/>
  <c r="E38" i="120" s="1"/>
  <c r="E35" i="97"/>
  <c r="E35" i="120" s="1"/>
  <c r="E34" i="97"/>
  <c r="E34" i="120" s="1"/>
  <c r="E36" i="97"/>
  <c r="E36" i="120" s="1"/>
  <c r="I191" i="104"/>
  <c r="I193" i="104"/>
  <c r="H101" i="104"/>
  <c r="J37" i="98"/>
  <c r="J92" i="98"/>
  <c r="N119" i="97"/>
  <c r="N119" i="120" s="1"/>
  <c r="L116" i="97"/>
  <c r="K116" i="97"/>
  <c r="I116" i="97"/>
  <c r="E108" i="97"/>
  <c r="E108" i="120" s="1"/>
  <c r="N93" i="97"/>
  <c r="N93" i="120" s="1"/>
  <c r="N92" i="97"/>
  <c r="N92" i="120" s="1"/>
  <c r="G91" i="97"/>
  <c r="G91" i="120" s="1"/>
  <c r="M91" i="97"/>
  <c r="M91" i="120" s="1"/>
  <c r="L91" i="97"/>
  <c r="L91" i="120" s="1"/>
  <c r="K91" i="97"/>
  <c r="K91" i="120" s="1"/>
  <c r="I91" i="97"/>
  <c r="I91" i="120" s="1"/>
  <c r="H91" i="97"/>
  <c r="H91" i="120" s="1"/>
  <c r="N100" i="97"/>
  <c r="N100" i="120" s="1"/>
  <c r="E100" i="97"/>
  <c r="E100" i="120" s="1"/>
  <c r="O99" i="97"/>
  <c r="O99" i="120" s="1"/>
  <c r="M99" i="97"/>
  <c r="M99" i="120" s="1"/>
  <c r="L99" i="97"/>
  <c r="L99" i="120" s="1"/>
  <c r="K99" i="97"/>
  <c r="K99" i="120" s="1"/>
  <c r="H99" i="97"/>
  <c r="H99" i="120" s="1"/>
  <c r="G99" i="97"/>
  <c r="G99" i="120" s="1"/>
  <c r="N50" i="97"/>
  <c r="N50" i="120" s="1"/>
  <c r="E48" i="97"/>
  <c r="E48" i="120" s="1"/>
  <c r="E47" i="97"/>
  <c r="E47" i="120" s="1"/>
  <c r="N46" i="97"/>
  <c r="N46" i="120" s="1"/>
  <c r="N44" i="120" s="1"/>
  <c r="E46" i="97"/>
  <c r="E46" i="120" s="1"/>
  <c r="M43" i="97"/>
  <c r="L43" i="97"/>
  <c r="K43" i="97"/>
  <c r="H43" i="97"/>
  <c r="I43" i="97"/>
  <c r="N151" i="97"/>
  <c r="N151" i="120" s="1"/>
  <c r="E151" i="97"/>
  <c r="E151" i="120" s="1"/>
  <c r="N148" i="97"/>
  <c r="N148" i="120" s="1"/>
  <c r="F146" i="97"/>
  <c r="F146" i="120" s="1"/>
  <c r="N147" i="97"/>
  <c r="N147" i="120" s="1"/>
  <c r="E147" i="97"/>
  <c r="E147" i="120" s="1"/>
  <c r="O146" i="97"/>
  <c r="O146" i="120" s="1"/>
  <c r="M146" i="97"/>
  <c r="M146" i="120" s="1"/>
  <c r="L146" i="97"/>
  <c r="L146" i="120" s="1"/>
  <c r="K146" i="97"/>
  <c r="K146" i="120" s="1"/>
  <c r="I146" i="97"/>
  <c r="I146" i="120" s="1"/>
  <c r="H146" i="97"/>
  <c r="H146" i="120" s="1"/>
  <c r="N143" i="97"/>
  <c r="N143" i="120" s="1"/>
  <c r="E143" i="97"/>
  <c r="E143" i="120" s="1"/>
  <c r="G141" i="97"/>
  <c r="G141" i="120" s="1"/>
  <c r="F141" i="97"/>
  <c r="F141" i="120" s="1"/>
  <c r="M141" i="97"/>
  <c r="M141" i="120" s="1"/>
  <c r="L141" i="97"/>
  <c r="L141" i="120" s="1"/>
  <c r="I141" i="97"/>
  <c r="I141" i="120" s="1"/>
  <c r="H141" i="97"/>
  <c r="H141" i="120" s="1"/>
  <c r="E140" i="97"/>
  <c r="E140" i="120" s="1"/>
  <c r="O139" i="97"/>
  <c r="O139" i="120" s="1"/>
  <c r="M139" i="97"/>
  <c r="M139" i="120" s="1"/>
  <c r="L139" i="97"/>
  <c r="L139" i="120" s="1"/>
  <c r="K139" i="97"/>
  <c r="K139" i="120" s="1"/>
  <c r="H139" i="97"/>
  <c r="H139" i="120" s="1"/>
  <c r="G139" i="97"/>
  <c r="G139" i="120" s="1"/>
  <c r="F139" i="97"/>
  <c r="F139" i="120" s="1"/>
  <c r="N138" i="97"/>
  <c r="N138" i="120" s="1"/>
  <c r="E138" i="97"/>
  <c r="E138" i="120" s="1"/>
  <c r="N137" i="97"/>
  <c r="N137" i="120" s="1"/>
  <c r="E137" i="97"/>
  <c r="E137" i="120" s="1"/>
  <c r="O136" i="97"/>
  <c r="O136" i="120" s="1"/>
  <c r="K136" i="97"/>
  <c r="K136" i="120" s="1"/>
  <c r="H136" i="97"/>
  <c r="H136" i="120" s="1"/>
  <c r="G136" i="97"/>
  <c r="G136" i="120" s="1"/>
  <c r="F136" i="97"/>
  <c r="F136" i="120" s="1"/>
  <c r="F129" i="120" s="1"/>
  <c r="N134" i="97"/>
  <c r="N134" i="120" s="1"/>
  <c r="E134" i="97"/>
  <c r="E134" i="120" s="1"/>
  <c r="N133" i="97"/>
  <c r="N133" i="120" s="1"/>
  <c r="I132" i="97"/>
  <c r="I132" i="120" s="1"/>
  <c r="N131" i="97"/>
  <c r="N131" i="120" s="1"/>
  <c r="O130" i="97"/>
  <c r="O130" i="120" s="1"/>
  <c r="M130" i="97"/>
  <c r="M130" i="120" s="1"/>
  <c r="L130" i="97"/>
  <c r="L130" i="120" s="1"/>
  <c r="K130" i="97"/>
  <c r="K130" i="120" s="1"/>
  <c r="I130" i="97"/>
  <c r="I130" i="120" s="1"/>
  <c r="H130" i="97"/>
  <c r="H130" i="120" s="1"/>
  <c r="N27" i="97"/>
  <c r="N27" i="120" s="1"/>
  <c r="E27" i="97"/>
  <c r="E27" i="120" s="1"/>
  <c r="I12" i="97"/>
  <c r="E156" i="97"/>
  <c r="E156" i="120" s="1"/>
  <c r="E154" i="120" s="1"/>
  <c r="E153" i="120" s="1"/>
  <c r="H76" i="104"/>
  <c r="H67" i="104"/>
  <c r="I34" i="104"/>
  <c r="E64" i="97"/>
  <c r="E64" i="120" s="1"/>
  <c r="E63" i="97"/>
  <c r="E63" i="120" s="1"/>
  <c r="E77" i="97"/>
  <c r="E77" i="120" s="1"/>
  <c r="E39" i="97"/>
  <c r="E39" i="120" s="1"/>
  <c r="E37" i="97"/>
  <c r="E37" i="120" s="1"/>
  <c r="O213" i="97"/>
  <c r="N213" i="97"/>
  <c r="K213" i="97"/>
  <c r="O65" i="97"/>
  <c r="O65" i="120" s="1"/>
  <c r="M65" i="97"/>
  <c r="M65" i="120" s="1"/>
  <c r="L65" i="97"/>
  <c r="L65" i="120" s="1"/>
  <c r="I65" i="97"/>
  <c r="I65" i="120" s="1"/>
  <c r="H65" i="97"/>
  <c r="H65" i="120" s="1"/>
  <c r="G65" i="97"/>
  <c r="G65" i="120" s="1"/>
  <c r="N67" i="97"/>
  <c r="N67" i="120" s="1"/>
  <c r="N72" i="97"/>
  <c r="N72" i="120" s="1"/>
  <c r="E73" i="97"/>
  <c r="E73" i="120" s="1"/>
  <c r="N73" i="97"/>
  <c r="N73" i="120" s="1"/>
  <c r="O74" i="97"/>
  <c r="O74" i="120" s="1"/>
  <c r="M74" i="97"/>
  <c r="M74" i="120" s="1"/>
  <c r="L74" i="97"/>
  <c r="L74" i="120" s="1"/>
  <c r="K74" i="97"/>
  <c r="K74" i="120" s="1"/>
  <c r="I74" i="97"/>
  <c r="I74" i="120" s="1"/>
  <c r="H74" i="97"/>
  <c r="H74" i="120" s="1"/>
  <c r="G74" i="97"/>
  <c r="G74" i="120" s="1"/>
  <c r="N97" i="97"/>
  <c r="N97" i="120" s="1"/>
  <c r="N63" i="97"/>
  <c r="N63" i="120" s="1"/>
  <c r="N96" i="97"/>
  <c r="N96" i="120" s="1"/>
  <c r="H153" i="97"/>
  <c r="K153" i="97"/>
  <c r="J262" i="98"/>
  <c r="I213" i="97"/>
  <c r="F200" i="97"/>
  <c r="G200" i="97"/>
  <c r="H200" i="97"/>
  <c r="I200" i="97"/>
  <c r="K200" i="97"/>
  <c r="L200" i="97"/>
  <c r="M200" i="97"/>
  <c r="O200" i="97"/>
  <c r="E200" i="97"/>
  <c r="G187" i="97"/>
  <c r="H187" i="97"/>
  <c r="I187" i="97"/>
  <c r="K187" i="97"/>
  <c r="L187" i="97"/>
  <c r="M187" i="97"/>
  <c r="G208" i="97"/>
  <c r="H208" i="97"/>
  <c r="I208" i="97"/>
  <c r="K208" i="97"/>
  <c r="L208" i="97"/>
  <c r="M208" i="97"/>
  <c r="G179" i="97"/>
  <c r="H179" i="97"/>
  <c r="I179" i="97"/>
  <c r="K179" i="97"/>
  <c r="L179" i="97"/>
  <c r="M179" i="97"/>
  <c r="I59" i="97"/>
  <c r="I153" i="97"/>
  <c r="N190" i="97"/>
  <c r="N156" i="97"/>
  <c r="E66" i="97"/>
  <c r="E66" i="120" s="1"/>
  <c r="E71" i="97"/>
  <c r="E71" i="120" s="1"/>
  <c r="E70" i="97"/>
  <c r="E70" i="120" s="1"/>
  <c r="E69" i="97"/>
  <c r="E69" i="120" s="1"/>
  <c r="N66" i="97"/>
  <c r="N66" i="120" s="1"/>
  <c r="N106" i="97"/>
  <c r="N106" i="120" s="1"/>
  <c r="N82" i="97"/>
  <c r="N82" i="120" s="1"/>
  <c r="N90" i="97"/>
  <c r="N90" i="120" s="1"/>
  <c r="N64" i="97"/>
  <c r="N64" i="120" s="1"/>
  <c r="N71" i="97"/>
  <c r="N71" i="120" s="1"/>
  <c r="N70" i="97"/>
  <c r="N70" i="120" s="1"/>
  <c r="N69" i="97"/>
  <c r="N69" i="120" s="1"/>
  <c r="N83" i="97"/>
  <c r="N83" i="120" s="1"/>
  <c r="N75" i="97"/>
  <c r="N75" i="120" s="1"/>
  <c r="N77" i="97"/>
  <c r="N77" i="120" s="1"/>
  <c r="N78" i="97"/>
  <c r="N78" i="120" s="1"/>
  <c r="N79" i="97"/>
  <c r="N79" i="120" s="1"/>
  <c r="N80" i="97"/>
  <c r="N80" i="120" s="1"/>
  <c r="N76" i="97"/>
  <c r="N76" i="120" s="1"/>
  <c r="N81" i="97"/>
  <c r="N81" i="120" s="1"/>
  <c r="N38" i="97"/>
  <c r="N38" i="120" s="1"/>
  <c r="E75" i="97"/>
  <c r="E75" i="120" s="1"/>
  <c r="N211" i="97"/>
  <c r="N209" i="97" s="1"/>
  <c r="J209" i="97" s="1"/>
  <c r="P209" i="97" s="1"/>
  <c r="O187" i="97"/>
  <c r="E83" i="97"/>
  <c r="E83" i="120" s="1"/>
  <c r="E81" i="97"/>
  <c r="E81" i="120" s="1"/>
  <c r="E76" i="97"/>
  <c r="E76" i="120" s="1"/>
  <c r="E80" i="97"/>
  <c r="E80" i="120" s="1"/>
  <c r="E79" i="97"/>
  <c r="E79" i="120" s="1"/>
  <c r="E78" i="97"/>
  <c r="E78" i="120" s="1"/>
  <c r="J206" i="97"/>
  <c r="J206" i="120" s="1"/>
  <c r="J207" i="97"/>
  <c r="J207" i="120" s="1"/>
  <c r="G213" i="97"/>
  <c r="H213" i="97"/>
  <c r="L213" i="97"/>
  <c r="M213" i="97"/>
  <c r="J217" i="97"/>
  <c r="J217" i="120" s="1"/>
  <c r="J218" i="97"/>
  <c r="J218" i="120" s="1"/>
  <c r="F74" i="97"/>
  <c r="F191" i="97"/>
  <c r="E92" i="97"/>
  <c r="E92" i="120" s="1"/>
  <c r="E67" i="97"/>
  <c r="E67" i="120" s="1"/>
  <c r="E131" i="97"/>
  <c r="E131" i="120" s="1"/>
  <c r="G11" i="107"/>
  <c r="G10" i="107" s="1"/>
  <c r="G9" i="107" s="1"/>
  <c r="G14" i="107" s="1"/>
  <c r="I12" i="107"/>
  <c r="Q12" i="107" s="1"/>
  <c r="E93" i="97"/>
  <c r="E93" i="120" s="1"/>
  <c r="I129" i="120" l="1"/>
  <c r="E44" i="120"/>
  <c r="L129" i="120"/>
  <c r="N43" i="120"/>
  <c r="J44" i="120"/>
  <c r="J43" i="120" s="1"/>
  <c r="G60" i="120"/>
  <c r="G59" i="120" s="1"/>
  <c r="M60" i="120"/>
  <c r="M59" i="120" s="1"/>
  <c r="I128" i="120"/>
  <c r="I219" i="120"/>
  <c r="I227" i="120" s="1"/>
  <c r="F60" i="97"/>
  <c r="F74" i="120"/>
  <c r="F60" i="120" s="1"/>
  <c r="F59" i="120" s="1"/>
  <c r="F219" i="120" s="1"/>
  <c r="F227" i="120" s="1"/>
  <c r="N211" i="120"/>
  <c r="N209" i="120" s="1"/>
  <c r="N188" i="97"/>
  <c r="J188" i="97" s="1"/>
  <c r="N190" i="120"/>
  <c r="N188" i="120" s="1"/>
  <c r="L128" i="120"/>
  <c r="F128" i="120"/>
  <c r="H60" i="120"/>
  <c r="H59" i="120" s="1"/>
  <c r="H129" i="120"/>
  <c r="M129" i="120"/>
  <c r="K60" i="120"/>
  <c r="E43" i="120"/>
  <c r="P44" i="120"/>
  <c r="P43" i="120" s="1"/>
  <c r="L60" i="120"/>
  <c r="L59" i="120" s="1"/>
  <c r="N154" i="97"/>
  <c r="J154" i="97" s="1"/>
  <c r="L153" i="104" s="1"/>
  <c r="N156" i="120"/>
  <c r="N154" i="120" s="1"/>
  <c r="K60" i="97"/>
  <c r="L60" i="97"/>
  <c r="E154" i="97"/>
  <c r="K153" i="104" s="1"/>
  <c r="L211" i="104"/>
  <c r="N44" i="97"/>
  <c r="E44" i="97"/>
  <c r="K44" i="104" s="1"/>
  <c r="G60" i="97"/>
  <c r="G59" i="97" s="1"/>
  <c r="M60" i="97"/>
  <c r="M59" i="97" s="1"/>
  <c r="H60" i="97"/>
  <c r="H59" i="97" s="1"/>
  <c r="L59" i="97"/>
  <c r="L129" i="97"/>
  <c r="L128" i="97" s="1"/>
  <c r="H129" i="97"/>
  <c r="H128" i="97" s="1"/>
  <c r="M129" i="97"/>
  <c r="F129" i="97"/>
  <c r="F29" i="108"/>
  <c r="G37" i="104"/>
  <c r="G149" i="104"/>
  <c r="L98" i="97"/>
  <c r="L98" i="120" s="1"/>
  <c r="G98" i="97"/>
  <c r="G98" i="120" s="1"/>
  <c r="M98" i="97"/>
  <c r="M98" i="120" s="1"/>
  <c r="G42" i="104"/>
  <c r="G71" i="104"/>
  <c r="J187" i="97"/>
  <c r="J64" i="97"/>
  <c r="J64" i="120" s="1"/>
  <c r="H98" i="97"/>
  <c r="H98" i="120" s="1"/>
  <c r="O98" i="97"/>
  <c r="O98" i="120" s="1"/>
  <c r="G65" i="104"/>
  <c r="G66" i="104"/>
  <c r="G68" i="104"/>
  <c r="I68" i="104" s="1"/>
  <c r="K98" i="97"/>
  <c r="K98" i="120" s="1"/>
  <c r="J143" i="97"/>
  <c r="J143" i="120" s="1"/>
  <c r="G116" i="104"/>
  <c r="G32" i="104"/>
  <c r="I32" i="104" s="1"/>
  <c r="G35" i="104"/>
  <c r="I129" i="97"/>
  <c r="I128" i="97" s="1"/>
  <c r="C48" i="105"/>
  <c r="G150" i="104"/>
  <c r="I150" i="104" s="1"/>
  <c r="I151" i="104"/>
  <c r="G26" i="104"/>
  <c r="G39" i="104"/>
  <c r="J156" i="97"/>
  <c r="J156" i="120" s="1"/>
  <c r="J69" i="97"/>
  <c r="J69" i="120" s="1"/>
  <c r="N68" i="97"/>
  <c r="N68" i="120" s="1"/>
  <c r="C102" i="105"/>
  <c r="C86" i="105"/>
  <c r="J66" i="97"/>
  <c r="J66" i="120" s="1"/>
  <c r="N65" i="97"/>
  <c r="N65" i="120" s="1"/>
  <c r="N62" i="97"/>
  <c r="N62" i="120" s="1"/>
  <c r="H203" i="104"/>
  <c r="I203" i="104" s="1"/>
  <c r="G33" i="104"/>
  <c r="D52" i="105"/>
  <c r="D45" i="105" s="1"/>
  <c r="H204" i="104"/>
  <c r="I204" i="104" s="1"/>
  <c r="F74" i="105"/>
  <c r="F83" i="105" s="1"/>
  <c r="F109" i="105" s="1"/>
  <c r="E74" i="97"/>
  <c r="E74" i="120" s="1"/>
  <c r="J63" i="97"/>
  <c r="J63" i="120" s="1"/>
  <c r="M153" i="97"/>
  <c r="E65" i="97"/>
  <c r="E65" i="120" s="1"/>
  <c r="L153" i="97"/>
  <c r="E99" i="97"/>
  <c r="E99" i="120" s="1"/>
  <c r="E191" i="97"/>
  <c r="F213" i="97"/>
  <c r="O191" i="97"/>
  <c r="G43" i="97"/>
  <c r="E120" i="97"/>
  <c r="E120" i="120" s="1"/>
  <c r="G69" i="104"/>
  <c r="I69" i="104" s="1"/>
  <c r="P207" i="97"/>
  <c r="P207" i="120" s="1"/>
  <c r="J70" i="97"/>
  <c r="J70" i="120" s="1"/>
  <c r="J190" i="97"/>
  <c r="J190" i="120" s="1"/>
  <c r="J67" i="97"/>
  <c r="J67" i="120" s="1"/>
  <c r="E218" i="97"/>
  <c r="E218" i="120" s="1"/>
  <c r="E90" i="97"/>
  <c r="E90" i="120" s="1"/>
  <c r="J108" i="97"/>
  <c r="J108" i="120" s="1"/>
  <c r="J124" i="97"/>
  <c r="J124" i="120" s="1"/>
  <c r="J106" i="97"/>
  <c r="J106" i="120" s="1"/>
  <c r="E97" i="97"/>
  <c r="E97" i="120" s="1"/>
  <c r="J93" i="97"/>
  <c r="J93" i="120" s="1"/>
  <c r="J119" i="97"/>
  <c r="J119" i="120" s="1"/>
  <c r="E118" i="97"/>
  <c r="E118" i="120" s="1"/>
  <c r="J73" i="97"/>
  <c r="J73" i="120" s="1"/>
  <c r="G153" i="97"/>
  <c r="E82" i="97"/>
  <c r="E82" i="120" s="1"/>
  <c r="P206" i="97"/>
  <c r="P206" i="120" s="1"/>
  <c r="Q201" i="120" s="1"/>
  <c r="J211" i="97"/>
  <c r="J211" i="120" s="1"/>
  <c r="J71" i="97"/>
  <c r="J71" i="120" s="1"/>
  <c r="J72" i="97"/>
  <c r="J72" i="120" s="1"/>
  <c r="E96" i="97"/>
  <c r="E96" i="120" s="1"/>
  <c r="J46" i="97"/>
  <c r="J46" i="120" s="1"/>
  <c r="J48" i="97"/>
  <c r="E122" i="97"/>
  <c r="E122" i="120" s="1"/>
  <c r="J121" i="97"/>
  <c r="J121" i="120" s="1"/>
  <c r="E124" i="97"/>
  <c r="E124" i="120" s="1"/>
  <c r="G82" i="104"/>
  <c r="I82" i="104" s="1"/>
  <c r="J79" i="97"/>
  <c r="J79" i="120" s="1"/>
  <c r="J97" i="97"/>
  <c r="J97" i="120" s="1"/>
  <c r="G79" i="104"/>
  <c r="I79" i="104" s="1"/>
  <c r="G95" i="104"/>
  <c r="G78" i="104"/>
  <c r="I78" i="104" s="1"/>
  <c r="J81" i="97"/>
  <c r="J81" i="120" s="1"/>
  <c r="J78" i="97"/>
  <c r="J78" i="120" s="1"/>
  <c r="J90" i="97"/>
  <c r="J90" i="120" s="1"/>
  <c r="G72" i="104"/>
  <c r="J96" i="97"/>
  <c r="J96" i="120" s="1"/>
  <c r="J55" i="97"/>
  <c r="J55" i="120" s="1"/>
  <c r="G80" i="104"/>
  <c r="I80" i="104" s="1"/>
  <c r="G83" i="104"/>
  <c r="I83" i="104" s="1"/>
  <c r="J76" i="97"/>
  <c r="J76" i="120" s="1"/>
  <c r="J77" i="97"/>
  <c r="J77" i="120" s="1"/>
  <c r="J83" i="97"/>
  <c r="J83" i="120" s="1"/>
  <c r="J82" i="97"/>
  <c r="J82" i="120" s="1"/>
  <c r="G73" i="104"/>
  <c r="I73" i="104" s="1"/>
  <c r="J50" i="97"/>
  <c r="J50" i="120" s="1"/>
  <c r="G102" i="104"/>
  <c r="I102" i="104" s="1"/>
  <c r="J75" i="97"/>
  <c r="J75" i="120" s="1"/>
  <c r="J47" i="97"/>
  <c r="J47" i="120" s="1"/>
  <c r="G105" i="104"/>
  <c r="G75" i="104"/>
  <c r="I75" i="104" s="1"/>
  <c r="G94" i="104"/>
  <c r="G81" i="104"/>
  <c r="I81" i="104" s="1"/>
  <c r="G77" i="104"/>
  <c r="J80" i="97"/>
  <c r="J80" i="120" s="1"/>
  <c r="J100" i="97"/>
  <c r="J100" i="120" s="1"/>
  <c r="E65" i="105"/>
  <c r="E45" i="105" s="1"/>
  <c r="M13" i="107"/>
  <c r="Q13" i="107" s="1"/>
  <c r="C57" i="105"/>
  <c r="K11" i="107"/>
  <c r="K10" i="107" s="1"/>
  <c r="K9" i="107" s="1"/>
  <c r="K14" i="107" s="1"/>
  <c r="E146" i="97"/>
  <c r="E146" i="120" s="1"/>
  <c r="J151" i="97"/>
  <c r="J151" i="120" s="1"/>
  <c r="J36" i="97"/>
  <c r="J36" i="120" s="1"/>
  <c r="K30" i="97"/>
  <c r="J131" i="97"/>
  <c r="J131" i="120" s="1"/>
  <c r="G132" i="104"/>
  <c r="G130" i="104" s="1"/>
  <c r="G146" i="97"/>
  <c r="G146" i="120" s="1"/>
  <c r="G129" i="120" s="1"/>
  <c r="L30" i="97"/>
  <c r="N42" i="97"/>
  <c r="N42" i="120" s="1"/>
  <c r="G129" i="104"/>
  <c r="G128" i="104" s="1"/>
  <c r="N20" i="97"/>
  <c r="N20" i="120" s="1"/>
  <c r="N130" i="97"/>
  <c r="N130" i="120" s="1"/>
  <c r="E136" i="97"/>
  <c r="E136" i="120" s="1"/>
  <c r="N136" i="97"/>
  <c r="N136" i="120" s="1"/>
  <c r="G138" i="104"/>
  <c r="G137" i="104" s="1"/>
  <c r="J148" i="97"/>
  <c r="J148" i="120" s="1"/>
  <c r="N34" i="97"/>
  <c r="N34" i="120" s="1"/>
  <c r="N31" i="120" s="1"/>
  <c r="N30" i="120" s="1"/>
  <c r="E217" i="97"/>
  <c r="J37" i="97"/>
  <c r="J37" i="120" s="1"/>
  <c r="G12" i="97"/>
  <c r="K12" i="97"/>
  <c r="E20" i="97"/>
  <c r="E20" i="120" s="1"/>
  <c r="E130" i="97"/>
  <c r="E130" i="120" s="1"/>
  <c r="E139" i="97"/>
  <c r="E139" i="120" s="1"/>
  <c r="E141" i="97"/>
  <c r="E141" i="120" s="1"/>
  <c r="J147" i="97"/>
  <c r="J147" i="120" s="1"/>
  <c r="N91" i="97"/>
  <c r="N91" i="120" s="1"/>
  <c r="P27" i="97"/>
  <c r="P27" i="120" s="1"/>
  <c r="G136" i="104"/>
  <c r="J15" i="97"/>
  <c r="G36" i="104"/>
  <c r="J138" i="97"/>
  <c r="J138" i="120" s="1"/>
  <c r="G145" i="104"/>
  <c r="J39" i="97"/>
  <c r="J39" i="120" s="1"/>
  <c r="J134" i="97"/>
  <c r="J134" i="120" s="1"/>
  <c r="G135" i="104"/>
  <c r="J35" i="97"/>
  <c r="J35" i="120" s="1"/>
  <c r="J38" i="97"/>
  <c r="J38" i="120" s="1"/>
  <c r="J133" i="97"/>
  <c r="J133" i="120" s="1"/>
  <c r="J137" i="97"/>
  <c r="J137" i="120" s="1"/>
  <c r="C61" i="105"/>
  <c r="E26" i="97"/>
  <c r="E26" i="120" s="1"/>
  <c r="N26" i="97"/>
  <c r="N26" i="120" s="1"/>
  <c r="N13" i="120" s="1"/>
  <c r="O12" i="97"/>
  <c r="J77" i="98"/>
  <c r="H177" i="104"/>
  <c r="J14" i="97"/>
  <c r="J14" i="120" s="1"/>
  <c r="J16" i="97"/>
  <c r="J16" i="120" s="1"/>
  <c r="G141" i="104"/>
  <c r="C41" i="105"/>
  <c r="E78" i="105"/>
  <c r="E74" i="105" s="1"/>
  <c r="C74" i="105" s="1"/>
  <c r="J245" i="98"/>
  <c r="I11" i="107"/>
  <c r="N146" i="97"/>
  <c r="N146" i="120" s="1"/>
  <c r="E148" i="97"/>
  <c r="E148" i="120" s="1"/>
  <c r="E142" i="97"/>
  <c r="E142" i="120" s="1"/>
  <c r="M12" i="97"/>
  <c r="J92" i="97"/>
  <c r="J92" i="120" s="1"/>
  <c r="F43" i="97"/>
  <c r="O91" i="97"/>
  <c r="H116" i="97"/>
  <c r="M116" i="97"/>
  <c r="H12" i="97"/>
  <c r="L12" i="97"/>
  <c r="O30" i="97"/>
  <c r="N120" i="97"/>
  <c r="N120" i="120" s="1"/>
  <c r="N117" i="120" s="1"/>
  <c r="O116" i="97"/>
  <c r="G116" i="97"/>
  <c r="J33" i="97"/>
  <c r="J33" i="120" s="1"/>
  <c r="E119" i="97"/>
  <c r="E119" i="120" s="1"/>
  <c r="F116" i="97"/>
  <c r="I30" i="97"/>
  <c r="J32" i="97"/>
  <c r="J32" i="120" s="1"/>
  <c r="O208" i="97"/>
  <c r="O179" i="97"/>
  <c r="J213" i="97"/>
  <c r="J20" i="98"/>
  <c r="O43" i="97"/>
  <c r="D11" i="105"/>
  <c r="C11" i="105" s="1"/>
  <c r="E72" i="97"/>
  <c r="E72" i="120" s="1"/>
  <c r="N99" i="97"/>
  <c r="N99" i="120" s="1"/>
  <c r="J56" i="98"/>
  <c r="E33" i="97"/>
  <c r="E33" i="120" s="1"/>
  <c r="E31" i="120" s="1"/>
  <c r="N74" i="97"/>
  <c r="N74" i="120" s="1"/>
  <c r="K141" i="97"/>
  <c r="K141" i="120" s="1"/>
  <c r="K129" i="120" s="1"/>
  <c r="O141" i="97"/>
  <c r="O141" i="120" s="1"/>
  <c r="O129" i="120" s="1"/>
  <c r="D23" i="105"/>
  <c r="C24" i="105"/>
  <c r="C71" i="105"/>
  <c r="N116" i="120" l="1"/>
  <c r="J117" i="120"/>
  <c r="J116" i="120" s="1"/>
  <c r="O128" i="120"/>
  <c r="O219" i="120"/>
  <c r="O227" i="120" s="1"/>
  <c r="K128" i="120"/>
  <c r="K219" i="120"/>
  <c r="K227" i="120" s="1"/>
  <c r="N12" i="120"/>
  <c r="J13" i="120"/>
  <c r="G128" i="120"/>
  <c r="G219" i="120"/>
  <c r="G227" i="120" s="1"/>
  <c r="M128" i="120"/>
  <c r="M219" i="120"/>
  <c r="H128" i="120"/>
  <c r="H219" i="120"/>
  <c r="N187" i="120"/>
  <c r="J188" i="120"/>
  <c r="H48" i="104"/>
  <c r="I48" i="104" s="1"/>
  <c r="J48" i="120"/>
  <c r="E214" i="97"/>
  <c r="E217" i="120"/>
  <c r="E214" i="120" s="1"/>
  <c r="N60" i="120"/>
  <c r="N59" i="120" s="1"/>
  <c r="K59" i="120"/>
  <c r="E117" i="120"/>
  <c r="O60" i="97"/>
  <c r="R60" i="97" s="1"/>
  <c r="O91" i="120"/>
  <c r="O60" i="120" s="1"/>
  <c r="O59" i="120" s="1"/>
  <c r="L219" i="120"/>
  <c r="N208" i="120"/>
  <c r="J209" i="120"/>
  <c r="E30" i="120"/>
  <c r="N153" i="120"/>
  <c r="J154" i="120"/>
  <c r="N60" i="97"/>
  <c r="J60" i="97" s="1"/>
  <c r="J274" i="98"/>
  <c r="K129" i="97"/>
  <c r="G129" i="97"/>
  <c r="G128" i="97" s="1"/>
  <c r="O129" i="97"/>
  <c r="R129" i="97" s="1"/>
  <c r="P64" i="97"/>
  <c r="P64" i="120" s="1"/>
  <c r="H52" i="104"/>
  <c r="I52" i="104" s="1"/>
  <c r="H57" i="104"/>
  <c r="I57" i="104" s="1"/>
  <c r="H46" i="104"/>
  <c r="E43" i="97"/>
  <c r="H47" i="104"/>
  <c r="E31" i="97"/>
  <c r="P14" i="97"/>
  <c r="P14" i="120" s="1"/>
  <c r="N13" i="97"/>
  <c r="N12" i="97" s="1"/>
  <c r="P143" i="97"/>
  <c r="P143" i="120" s="1"/>
  <c r="H28" i="104"/>
  <c r="H37" i="104"/>
  <c r="I37" i="104" s="1"/>
  <c r="G28" i="104"/>
  <c r="G25" i="104" s="1"/>
  <c r="G64" i="104"/>
  <c r="N98" i="97"/>
  <c r="N98" i="120" s="1"/>
  <c r="G119" i="104"/>
  <c r="H66" i="104"/>
  <c r="I66" i="104" s="1"/>
  <c r="J65" i="97"/>
  <c r="J65" i="120" s="1"/>
  <c r="J68" i="97"/>
  <c r="J68" i="120" s="1"/>
  <c r="H71" i="104"/>
  <c r="I71" i="104" s="1"/>
  <c r="H119" i="104"/>
  <c r="H98" i="104"/>
  <c r="H99" i="104"/>
  <c r="G98" i="104"/>
  <c r="H65" i="104"/>
  <c r="P66" i="97"/>
  <c r="P66" i="120" s="1"/>
  <c r="E117" i="97"/>
  <c r="E116" i="97" s="1"/>
  <c r="H114" i="104"/>
  <c r="N117" i="97"/>
  <c r="J117" i="97" s="1"/>
  <c r="J116" i="97" s="1"/>
  <c r="G115" i="104"/>
  <c r="H141" i="104"/>
  <c r="I141" i="104" s="1"/>
  <c r="G9" i="104"/>
  <c r="G6" i="104" s="1"/>
  <c r="H39" i="104"/>
  <c r="I39" i="104" s="1"/>
  <c r="H35" i="104"/>
  <c r="I35" i="104" s="1"/>
  <c r="N31" i="97"/>
  <c r="N30" i="97" s="1"/>
  <c r="I77" i="104"/>
  <c r="G76" i="104"/>
  <c r="I76" i="104" s="1"/>
  <c r="H26" i="104"/>
  <c r="P69" i="97"/>
  <c r="P69" i="120" s="1"/>
  <c r="I72" i="104"/>
  <c r="F59" i="97"/>
  <c r="E213" i="97"/>
  <c r="G43" i="104"/>
  <c r="G114" i="104"/>
  <c r="H187" i="104"/>
  <c r="H185" i="104" s="1"/>
  <c r="L185" i="104" s="1"/>
  <c r="H202" i="104"/>
  <c r="H200" i="104" s="1"/>
  <c r="H198" i="104" s="1"/>
  <c r="C52" i="105"/>
  <c r="H208" i="104"/>
  <c r="H206" i="104" s="1"/>
  <c r="L206" i="104" s="1"/>
  <c r="P63" i="97"/>
  <c r="P63" i="120" s="1"/>
  <c r="H33" i="104"/>
  <c r="I33" i="104" s="1"/>
  <c r="E94" i="97"/>
  <c r="E94" i="120" s="1"/>
  <c r="J192" i="97"/>
  <c r="L189" i="104" s="1"/>
  <c r="J91" i="97"/>
  <c r="J91" i="120" s="1"/>
  <c r="J62" i="97"/>
  <c r="J62" i="120" s="1"/>
  <c r="J130" i="97"/>
  <c r="J130" i="120" s="1"/>
  <c r="N43" i="97"/>
  <c r="E62" i="97"/>
  <c r="E62" i="120" s="1"/>
  <c r="J20" i="97"/>
  <c r="J20" i="120" s="1"/>
  <c r="M11" i="107"/>
  <c r="M10" i="107" s="1"/>
  <c r="M9" i="107" s="1"/>
  <c r="M14" i="107" s="1"/>
  <c r="P67" i="97"/>
  <c r="P67" i="120" s="1"/>
  <c r="P106" i="97"/>
  <c r="P106" i="120" s="1"/>
  <c r="P218" i="97"/>
  <c r="P218" i="120" s="1"/>
  <c r="P73" i="97"/>
  <c r="P73" i="120" s="1"/>
  <c r="H95" i="104"/>
  <c r="I95" i="104" s="1"/>
  <c r="P124" i="97"/>
  <c r="P124" i="120" s="1"/>
  <c r="N153" i="97"/>
  <c r="P93" i="97"/>
  <c r="P93" i="120" s="1"/>
  <c r="P70" i="97"/>
  <c r="P70" i="120" s="1"/>
  <c r="G84" i="104"/>
  <c r="G113" i="104"/>
  <c r="H116" i="104"/>
  <c r="G67" i="104"/>
  <c r="P71" i="97"/>
  <c r="P71" i="120" s="1"/>
  <c r="P108" i="97"/>
  <c r="P108" i="120" s="1"/>
  <c r="P46" i="97"/>
  <c r="P46" i="120" s="1"/>
  <c r="P216" i="97"/>
  <c r="P216" i="120" s="1"/>
  <c r="H105" i="104"/>
  <c r="P211" i="97"/>
  <c r="P211" i="120" s="1"/>
  <c r="J122" i="97"/>
  <c r="J122" i="120" s="1"/>
  <c r="P48" i="97"/>
  <c r="P48" i="120" s="1"/>
  <c r="P55" i="97"/>
  <c r="P55" i="120" s="1"/>
  <c r="P78" i="97"/>
  <c r="P78" i="120" s="1"/>
  <c r="J118" i="97"/>
  <c r="J118" i="120" s="1"/>
  <c r="J49" i="97"/>
  <c r="J49" i="120" s="1"/>
  <c r="P121" i="97"/>
  <c r="P121" i="120" s="1"/>
  <c r="P16" i="97"/>
  <c r="P16" i="120" s="1"/>
  <c r="G99" i="104"/>
  <c r="G92" i="104"/>
  <c r="I92" i="104" s="1"/>
  <c r="P75" i="97"/>
  <c r="P75" i="120" s="1"/>
  <c r="G117" i="104"/>
  <c r="P81" i="97"/>
  <c r="P81" i="120" s="1"/>
  <c r="G103" i="104"/>
  <c r="I103" i="104" s="1"/>
  <c r="N187" i="97"/>
  <c r="G93" i="104"/>
  <c r="C78" i="105"/>
  <c r="J74" i="97"/>
  <c r="J74" i="120" s="1"/>
  <c r="J99" i="97"/>
  <c r="J99" i="120" s="1"/>
  <c r="P137" i="97"/>
  <c r="P137" i="120" s="1"/>
  <c r="P35" i="97"/>
  <c r="P35" i="120" s="1"/>
  <c r="P134" i="97"/>
  <c r="P134" i="120" s="1"/>
  <c r="J132" i="97"/>
  <c r="J132" i="120" s="1"/>
  <c r="H149" i="104"/>
  <c r="I149" i="104" s="1"/>
  <c r="H84" i="104"/>
  <c r="J94" i="97"/>
  <c r="J94" i="120" s="1"/>
  <c r="P77" i="97"/>
  <c r="P77" i="120" s="1"/>
  <c r="P100" i="97"/>
  <c r="P100" i="120" s="1"/>
  <c r="P148" i="97"/>
  <c r="P148" i="120" s="1"/>
  <c r="J26" i="97"/>
  <c r="J26" i="120" s="1"/>
  <c r="P133" i="97"/>
  <c r="P133" i="120" s="1"/>
  <c r="N139" i="97"/>
  <c r="N139" i="120" s="1"/>
  <c r="P39" i="97"/>
  <c r="P39" i="120" s="1"/>
  <c r="P37" i="97"/>
  <c r="P37" i="120" s="1"/>
  <c r="J34" i="97"/>
  <c r="J34" i="120" s="1"/>
  <c r="J136" i="97"/>
  <c r="J136" i="120" s="1"/>
  <c r="P36" i="97"/>
  <c r="P36" i="120" s="1"/>
  <c r="P90" i="97"/>
  <c r="P90" i="120" s="1"/>
  <c r="P80" i="97"/>
  <c r="P80" i="120" s="1"/>
  <c r="P47" i="97"/>
  <c r="P47" i="120" s="1"/>
  <c r="P76" i="97"/>
  <c r="P76" i="120" s="1"/>
  <c r="G101" i="104"/>
  <c r="I101" i="104" s="1"/>
  <c r="P83" i="97"/>
  <c r="P83" i="120" s="1"/>
  <c r="P97" i="97"/>
  <c r="P97" i="120" s="1"/>
  <c r="P131" i="97"/>
  <c r="P131" i="120" s="1"/>
  <c r="P82" i="97"/>
  <c r="P82" i="120" s="1"/>
  <c r="P156" i="97"/>
  <c r="P156" i="120" s="1"/>
  <c r="P79" i="97"/>
  <c r="P79" i="120" s="1"/>
  <c r="P50" i="97"/>
  <c r="P50" i="120" s="1"/>
  <c r="P96" i="97"/>
  <c r="P96" i="120" s="1"/>
  <c r="H146" i="104"/>
  <c r="O153" i="97"/>
  <c r="P151" i="97"/>
  <c r="P151" i="120" s="1"/>
  <c r="G134" i="104"/>
  <c r="H129" i="104"/>
  <c r="H128" i="104" s="1"/>
  <c r="E83" i="105"/>
  <c r="E109" i="105" s="1"/>
  <c r="C45" i="105"/>
  <c r="C65" i="105"/>
  <c r="H36" i="104"/>
  <c r="I36" i="104" s="1"/>
  <c r="N141" i="97"/>
  <c r="N141" i="120" s="1"/>
  <c r="P15" i="97"/>
  <c r="H145" i="104"/>
  <c r="G146" i="104"/>
  <c r="P217" i="97"/>
  <c r="P217" i="120" s="1"/>
  <c r="J42" i="97"/>
  <c r="J42" i="120" s="1"/>
  <c r="P147" i="97"/>
  <c r="P147" i="120" s="1"/>
  <c r="J146" i="97"/>
  <c r="J146" i="120" s="1"/>
  <c r="E132" i="97"/>
  <c r="E132" i="120" s="1"/>
  <c r="E129" i="120" s="1"/>
  <c r="H131" i="104"/>
  <c r="H136" i="104"/>
  <c r="I136" i="104" s="1"/>
  <c r="P138" i="97"/>
  <c r="P138" i="120" s="1"/>
  <c r="G140" i="104"/>
  <c r="G139" i="104" s="1"/>
  <c r="P38" i="97"/>
  <c r="P38" i="120" s="1"/>
  <c r="H135" i="104"/>
  <c r="I11" i="104"/>
  <c r="J140" i="97"/>
  <c r="J140" i="120" s="1"/>
  <c r="H132" i="104"/>
  <c r="I132" i="104" s="1"/>
  <c r="I12" i="104"/>
  <c r="I178" i="104"/>
  <c r="P72" i="97"/>
  <c r="P72" i="120" s="1"/>
  <c r="G74" i="104"/>
  <c r="G70" i="104" s="1"/>
  <c r="J120" i="97"/>
  <c r="J120" i="120" s="1"/>
  <c r="I219" i="97"/>
  <c r="I227" i="97" s="1"/>
  <c r="P32" i="97"/>
  <c r="P32" i="120" s="1"/>
  <c r="F128" i="97"/>
  <c r="P92" i="97"/>
  <c r="P92" i="120" s="1"/>
  <c r="H94" i="104"/>
  <c r="I10" i="107"/>
  <c r="P119" i="97"/>
  <c r="P119" i="120" s="1"/>
  <c r="F12" i="97"/>
  <c r="E13" i="97"/>
  <c r="N208" i="97"/>
  <c r="M128" i="97"/>
  <c r="M219" i="97"/>
  <c r="E179" i="97"/>
  <c r="F179" i="97"/>
  <c r="P33" i="97"/>
  <c r="P33" i="120" s="1"/>
  <c r="L219" i="97"/>
  <c r="E68" i="97"/>
  <c r="E68" i="120" s="1"/>
  <c r="I189" i="104"/>
  <c r="G188" i="104"/>
  <c r="I188" i="104" s="1"/>
  <c r="G30" i="97"/>
  <c r="J201" i="97"/>
  <c r="N200" i="97"/>
  <c r="J142" i="97"/>
  <c r="J142" i="120" s="1"/>
  <c r="F30" i="97"/>
  <c r="N179" i="97"/>
  <c r="C23" i="105"/>
  <c r="D10" i="105"/>
  <c r="D83" i="105" s="1"/>
  <c r="K59" i="97"/>
  <c r="H219" i="97"/>
  <c r="E60" i="120" l="1"/>
  <c r="N129" i="120"/>
  <c r="N128" i="120" s="1"/>
  <c r="J31" i="120"/>
  <c r="P31" i="120" s="1"/>
  <c r="P30" i="120" s="1"/>
  <c r="E59" i="120"/>
  <c r="N219" i="120"/>
  <c r="N227" i="120" s="1"/>
  <c r="E128" i="120"/>
  <c r="E219" i="120"/>
  <c r="E213" i="120"/>
  <c r="P214" i="120"/>
  <c r="E230" i="120"/>
  <c r="P117" i="120"/>
  <c r="E116" i="120"/>
  <c r="E231" i="120"/>
  <c r="H227" i="120"/>
  <c r="J208" i="120"/>
  <c r="P209" i="120"/>
  <c r="J60" i="120"/>
  <c r="J59" i="120" s="1"/>
  <c r="J187" i="120"/>
  <c r="P188" i="120"/>
  <c r="L227" i="120"/>
  <c r="J230" i="120"/>
  <c r="J231" i="120"/>
  <c r="M227" i="120"/>
  <c r="J12" i="120"/>
  <c r="P13" i="120"/>
  <c r="P12" i="120" s="1"/>
  <c r="J153" i="120"/>
  <c r="P154" i="120"/>
  <c r="E60" i="97"/>
  <c r="P60" i="97" s="1"/>
  <c r="L198" i="104"/>
  <c r="J231" i="97"/>
  <c r="M227" i="97"/>
  <c r="J230" i="97"/>
  <c r="L227" i="97"/>
  <c r="E231" i="97"/>
  <c r="H227" i="97"/>
  <c r="N59" i="97"/>
  <c r="I46" i="104"/>
  <c r="E129" i="97"/>
  <c r="E128" i="97" s="1"/>
  <c r="N129" i="97"/>
  <c r="J129" i="97" s="1"/>
  <c r="I177" i="104"/>
  <c r="H50" i="104"/>
  <c r="I50" i="104" s="1"/>
  <c r="O59" i="97"/>
  <c r="I47" i="104"/>
  <c r="I206" i="104"/>
  <c r="J206" i="104" s="1"/>
  <c r="K25" i="104"/>
  <c r="I98" i="104"/>
  <c r="H97" i="104"/>
  <c r="H64" i="104"/>
  <c r="I64" i="104" s="1"/>
  <c r="H70" i="104"/>
  <c r="J98" i="97"/>
  <c r="J98" i="120" s="1"/>
  <c r="I65" i="104"/>
  <c r="I119" i="104"/>
  <c r="H96" i="104"/>
  <c r="G96" i="104"/>
  <c r="P130" i="97"/>
  <c r="P130" i="120" s="1"/>
  <c r="H115" i="104"/>
  <c r="I115" i="104" s="1"/>
  <c r="G112" i="104"/>
  <c r="I28" i="104"/>
  <c r="H42" i="104"/>
  <c r="I42" i="104" s="1"/>
  <c r="H130" i="104"/>
  <c r="I130" i="104" s="1"/>
  <c r="J31" i="97"/>
  <c r="J30" i="97" s="1"/>
  <c r="I99" i="104"/>
  <c r="G97" i="104"/>
  <c r="I26" i="104"/>
  <c r="G24" i="104"/>
  <c r="I200" i="104"/>
  <c r="I105" i="104"/>
  <c r="I67" i="104"/>
  <c r="P20" i="97"/>
  <c r="P20" i="120" s="1"/>
  <c r="H9" i="104"/>
  <c r="H6" i="104" s="1"/>
  <c r="I116" i="104"/>
  <c r="P91" i="97"/>
  <c r="P91" i="120" s="1"/>
  <c r="I187" i="104"/>
  <c r="I185" i="104" s="1"/>
  <c r="H205" i="104"/>
  <c r="I208" i="104"/>
  <c r="I202" i="104"/>
  <c r="G219" i="97"/>
  <c r="P94" i="97"/>
  <c r="P94" i="120" s="1"/>
  <c r="G152" i="104"/>
  <c r="P65" i="97"/>
  <c r="P65" i="120" s="1"/>
  <c r="J139" i="97"/>
  <c r="J139" i="120" s="1"/>
  <c r="J44" i="97"/>
  <c r="P62" i="97"/>
  <c r="P62" i="120" s="1"/>
  <c r="I128" i="104"/>
  <c r="G5" i="104"/>
  <c r="I131" i="104"/>
  <c r="I135" i="104"/>
  <c r="H134" i="104"/>
  <c r="I134" i="104" s="1"/>
  <c r="I84" i="104"/>
  <c r="J153" i="97"/>
  <c r="H117" i="104"/>
  <c r="P49" i="97"/>
  <c r="P49" i="120" s="1"/>
  <c r="Q44" i="120" s="1"/>
  <c r="N116" i="97"/>
  <c r="P214" i="97"/>
  <c r="H113" i="104"/>
  <c r="P118" i="97"/>
  <c r="P118" i="120" s="1"/>
  <c r="P122" i="97"/>
  <c r="P122" i="120" s="1"/>
  <c r="I146" i="104"/>
  <c r="I129" i="104"/>
  <c r="O219" i="97"/>
  <c r="Q219" i="97" s="1"/>
  <c r="P74" i="97"/>
  <c r="P74" i="120" s="1"/>
  <c r="P26" i="97"/>
  <c r="P99" i="97"/>
  <c r="P99" i="120" s="1"/>
  <c r="P136" i="97"/>
  <c r="P136" i="120" s="1"/>
  <c r="P146" i="97"/>
  <c r="P146" i="120" s="1"/>
  <c r="P34" i="97"/>
  <c r="P34" i="120" s="1"/>
  <c r="O128" i="97"/>
  <c r="J141" i="97"/>
  <c r="J141" i="120" s="1"/>
  <c r="G144" i="104"/>
  <c r="G127" i="104" s="1"/>
  <c r="J13" i="97"/>
  <c r="J12" i="97" s="1"/>
  <c r="N191" i="97"/>
  <c r="H144" i="104"/>
  <c r="I145" i="104"/>
  <c r="P42" i="97"/>
  <c r="P42" i="120" s="1"/>
  <c r="P132" i="97"/>
  <c r="P132" i="120" s="1"/>
  <c r="H138" i="104"/>
  <c r="P140" i="97"/>
  <c r="P140" i="120" s="1"/>
  <c r="E12" i="97"/>
  <c r="P142" i="97"/>
  <c r="P142" i="120" s="1"/>
  <c r="H140" i="104"/>
  <c r="P120" i="97"/>
  <c r="P120" i="120" s="1"/>
  <c r="I74" i="104"/>
  <c r="I94" i="104"/>
  <c r="H93" i="104"/>
  <c r="I9" i="107"/>
  <c r="J59" i="97"/>
  <c r="F153" i="97"/>
  <c r="J208" i="97"/>
  <c r="P192" i="97"/>
  <c r="J189" i="104" s="1"/>
  <c r="J191" i="97"/>
  <c r="P117" i="97"/>
  <c r="P68" i="97"/>
  <c r="P68" i="120" s="1"/>
  <c r="K128" i="97"/>
  <c r="K219" i="97"/>
  <c r="K227" i="97" s="1"/>
  <c r="P201" i="97"/>
  <c r="G18" i="116" s="1"/>
  <c r="J200" i="97"/>
  <c r="D109" i="105"/>
  <c r="C10" i="105"/>
  <c r="E30" i="97"/>
  <c r="E229" i="120" l="1"/>
  <c r="E227" i="120"/>
  <c r="J30" i="120"/>
  <c r="Q31" i="120"/>
  <c r="J129" i="120"/>
  <c r="K11" i="104"/>
  <c r="P26" i="120"/>
  <c r="Q13" i="120" s="1"/>
  <c r="P187" i="120"/>
  <c r="P116" i="120"/>
  <c r="Q117" i="120"/>
  <c r="Q209" i="120"/>
  <c r="P208" i="120"/>
  <c r="P213" i="120"/>
  <c r="Q214" i="120"/>
  <c r="P60" i="120"/>
  <c r="P153" i="120"/>
  <c r="Q154" i="120"/>
  <c r="Q192" i="97"/>
  <c r="Q214" i="97"/>
  <c r="Q201" i="97"/>
  <c r="R201" i="97"/>
  <c r="G62" i="104"/>
  <c r="K62" i="104" s="1"/>
  <c r="H44" i="104"/>
  <c r="L44" i="104" s="1"/>
  <c r="J43" i="97"/>
  <c r="P44" i="97"/>
  <c r="Q44" i="97" s="1"/>
  <c r="O227" i="97"/>
  <c r="E230" i="97"/>
  <c r="G227" i="97"/>
  <c r="P129" i="97"/>
  <c r="Q129" i="97" s="1"/>
  <c r="K127" i="104"/>
  <c r="N128" i="97"/>
  <c r="P213" i="97"/>
  <c r="G111" i="104"/>
  <c r="K112" i="104"/>
  <c r="I184" i="104"/>
  <c r="I205" i="104"/>
  <c r="H184" i="104"/>
  <c r="P191" i="97"/>
  <c r="P116" i="97"/>
  <c r="Q117" i="97"/>
  <c r="P98" i="97"/>
  <c r="H100" i="104"/>
  <c r="I100" i="104" s="1"/>
  <c r="I96" i="104"/>
  <c r="P200" i="97"/>
  <c r="H112" i="104"/>
  <c r="H25" i="104"/>
  <c r="I113" i="104"/>
  <c r="I117" i="104"/>
  <c r="I97" i="104"/>
  <c r="G126" i="104"/>
  <c r="H197" i="104"/>
  <c r="I198" i="104"/>
  <c r="I197" i="104" s="1"/>
  <c r="J198" i="104" s="1"/>
  <c r="H152" i="104"/>
  <c r="I152" i="104"/>
  <c r="P139" i="97"/>
  <c r="P139" i="120" s="1"/>
  <c r="I138" i="104"/>
  <c r="H137" i="104"/>
  <c r="I137" i="104" s="1"/>
  <c r="K274" i="98"/>
  <c r="P141" i="97"/>
  <c r="P141" i="120" s="1"/>
  <c r="N219" i="97"/>
  <c r="N227" i="97" s="1"/>
  <c r="J128" i="97"/>
  <c r="P13" i="97"/>
  <c r="Q13" i="97" s="1"/>
  <c r="I144" i="104"/>
  <c r="P31" i="97"/>
  <c r="I9" i="104"/>
  <c r="I114" i="104"/>
  <c r="I70" i="104"/>
  <c r="H139" i="104"/>
  <c r="I140" i="104"/>
  <c r="I93" i="104"/>
  <c r="I14" i="107"/>
  <c r="E153" i="97"/>
  <c r="P154" i="97"/>
  <c r="J179" i="97"/>
  <c r="P180" i="97"/>
  <c r="L178" i="104" s="1"/>
  <c r="C109" i="105"/>
  <c r="C83" i="105"/>
  <c r="E59" i="97"/>
  <c r="J128" i="120" l="1"/>
  <c r="P129" i="120"/>
  <c r="J219" i="120"/>
  <c r="J227" i="120" s="1"/>
  <c r="Q154" i="97"/>
  <c r="J153" i="104"/>
  <c r="Q60" i="97"/>
  <c r="P98" i="120"/>
  <c r="Q60" i="120"/>
  <c r="P59" i="120"/>
  <c r="P219" i="120" s="1"/>
  <c r="F229" i="120" s="1"/>
  <c r="Q180" i="97"/>
  <c r="H62" i="104"/>
  <c r="L62" i="104" s="1"/>
  <c r="H127" i="104"/>
  <c r="L127" i="104" s="1"/>
  <c r="G61" i="104"/>
  <c r="G213" i="104" s="1"/>
  <c r="I112" i="104"/>
  <c r="J112" i="104" s="1"/>
  <c r="L112" i="104"/>
  <c r="H24" i="104"/>
  <c r="I24" i="104" s="1"/>
  <c r="L25" i="104"/>
  <c r="P43" i="97"/>
  <c r="P179" i="97"/>
  <c r="P59" i="97"/>
  <c r="P30" i="97"/>
  <c r="Q31" i="97"/>
  <c r="P12" i="97"/>
  <c r="I25" i="104"/>
  <c r="J25" i="104" s="1"/>
  <c r="J219" i="97"/>
  <c r="J227" i="97" s="1"/>
  <c r="H5" i="104"/>
  <c r="I6" i="104"/>
  <c r="P153" i="97"/>
  <c r="H111" i="104"/>
  <c r="I111" i="104" s="1"/>
  <c r="I139" i="104"/>
  <c r="P128" i="120" l="1"/>
  <c r="Q129" i="120"/>
  <c r="P227" i="120"/>
  <c r="I5" i="104"/>
  <c r="I62" i="104"/>
  <c r="J62" i="104" s="1"/>
  <c r="P128" i="97"/>
  <c r="H61" i="104"/>
  <c r="I61" i="104" s="1"/>
  <c r="H126" i="104"/>
  <c r="I126" i="104" s="1"/>
  <c r="I127" i="104"/>
  <c r="J127" i="104" s="1"/>
  <c r="E219" i="97" l="1"/>
  <c r="F188" i="97"/>
  <c r="P188" i="97"/>
  <c r="E187" i="97"/>
  <c r="P190" i="97"/>
  <c r="P190" i="120" s="1"/>
  <c r="Q188" i="120" s="1"/>
  <c r="Q188" i="97" l="1"/>
  <c r="J185" i="104"/>
  <c r="E227" i="97"/>
  <c r="P187" i="97"/>
  <c r="F187" i="97"/>
  <c r="F208" i="97" l="1"/>
  <c r="F219" i="97"/>
  <c r="F227" i="97" s="1"/>
  <c r="E208" i="97"/>
  <c r="Q209" i="97" l="1"/>
  <c r="R209" i="97"/>
  <c r="P219" i="97"/>
  <c r="P208" i="97"/>
  <c r="E229" i="97"/>
  <c r="P227" i="97" l="1"/>
  <c r="F229" i="97"/>
  <c r="I44" i="104"/>
  <c r="J44" i="104" s="1"/>
  <c r="H43" i="104"/>
  <c r="H213" i="104" l="1"/>
  <c r="I213" i="104" s="1"/>
  <c r="I43" i="104"/>
  <c r="J213" i="104" l="1"/>
</calcChain>
</file>

<file path=xl/sharedStrings.xml><?xml version="1.0" encoding="utf-8"?>
<sst xmlns="http://schemas.openxmlformats.org/spreadsheetml/2006/main" count="5689" uniqueCount="1052">
  <si>
    <t>Програма попередження виникнення надзвичайних ситуацій та забезпечення пожежної і техногенної безпеки об'єктів усіх форм власності, розвитку інфраструктури пожежно-рятувальних підрозділів у м.Хмельницькому на 2016-2020 роки</t>
  </si>
  <si>
    <t>Департамент освіти та науки Хмельницької міської ради (головний розпорядник)</t>
  </si>
  <si>
    <t>Департамент освіти та науки Хмельницької міської ради (відповідальний виконавець)</t>
  </si>
  <si>
    <t>Будівництво 2-ї черги водогону від с.Чернелівка Красилівського району до м.Хмельницький</t>
  </si>
  <si>
    <t>Реконструкція з надбудовою приміщень навчально-виховного комплексу №10 по вул. Водопровідній, 9А в м.Хмельницькому</t>
  </si>
  <si>
    <t>Реконструкція з добудовою до приміщення середньої загальноосвітньої школи І-ІІІ ступенів №18 ім. В.Чорновола по вул. Кам"янецькій, 119 в м.Хмельницькому</t>
  </si>
  <si>
    <t>Департамент освіти та науки  Хмельницької міської ради (головний розпорядник)</t>
  </si>
  <si>
    <t>Всього</t>
  </si>
  <si>
    <t>Всього видатків</t>
  </si>
  <si>
    <t>1</t>
  </si>
  <si>
    <t>2</t>
  </si>
  <si>
    <t>Проведення навчально-тренувальних зборів і змагань з неолімпійських видів спорту</t>
  </si>
  <si>
    <t>4</t>
  </si>
  <si>
    <t>Програма впровадження електронного урядування у Хмельницькій  міській раді на 2015-2020 роки</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</si>
  <si>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</si>
  <si>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</si>
  <si>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</si>
  <si>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Пільгове медичне обслуговування осіб, які постраждали внаслідок Чорнобильської катастрофи</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</si>
  <si>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</si>
  <si>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</si>
  <si>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</si>
  <si>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</si>
  <si>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</si>
  <si>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</si>
  <si>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Надання пільг окремим категоріям громадян з оплати послуг зв'язку</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</si>
  <si>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</si>
  <si>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залізничному транспорті</t>
  </si>
  <si>
    <t>Надання субсидій населенню для відшкодування витрат на придбання твердого та рідкого пічного побутового палива і скрапленого газу</t>
  </si>
  <si>
    <t>Програма розвитку міста Хмельницького у сфері культури на період до 2020 року "50 кроків, що змінять місто"</t>
  </si>
  <si>
    <t xml:space="preserve"> Програма “Громадські ініціативи” м.Хмельницького на 2016-2020 роки</t>
  </si>
  <si>
    <t>Програма охорони довкілля міста Хмельницького на 2016-2020 роки</t>
  </si>
  <si>
    <t>Компенсаційні виплати на пільговий проїзд електротранспортом окремим категоріям громадян</t>
  </si>
  <si>
    <t>бюджет розвитку</t>
  </si>
  <si>
    <t>Здійснення заходів та реалізація проектів на виконання Державної цільової соціальної програми «Молодь України»</t>
  </si>
  <si>
    <t>Утримання клубів для підлітків за місцем проживання</t>
  </si>
  <si>
    <t>Разом</t>
  </si>
  <si>
    <t>Загальний фонд</t>
  </si>
  <si>
    <t>з них</t>
  </si>
  <si>
    <t>Програма міжнародного співробітництва та промоції міста Хмельницького на 2016-2020 роки</t>
  </si>
  <si>
    <t>3</t>
  </si>
  <si>
    <t>комунальні послуги та енергоносії</t>
  </si>
  <si>
    <t>Код програмної класифікації видатків та кредитування місцевих бюджетів</t>
  </si>
  <si>
    <t>Код ТПКВКМБ</t>
  </si>
  <si>
    <t>Код ФКВКБ</t>
  </si>
  <si>
    <t>Реконструкція існуючої будівлі краєзнавчого музею під музейний комплекс історії та культури по вул.Свободи,22 в м.Хмельницькому</t>
  </si>
  <si>
    <t>Назва головного розпорядника, відповідального виконавця, бюджетної програми або напрямку видатків згідно з типовою відомчою/ТПКВКМБ</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</si>
  <si>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</si>
  <si>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</si>
  <si>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</si>
  <si>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1011100</t>
  </si>
  <si>
    <t>Соціальний захист ветеранів війни та праці</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</si>
  <si>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</si>
  <si>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</si>
  <si>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Управління охорони здоров'я Хмельницької міської ради (головний розпорядник)</t>
  </si>
  <si>
    <t>Управління охорони здоров'я Хмельницької міської ради (відповідальний розпорядник)</t>
  </si>
  <si>
    <t>Багатопрофільна стаціонарна медична допомога населенню</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</si>
  <si>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</si>
  <si>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</si>
  <si>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</si>
  <si>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</si>
  <si>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 xml:space="preserve">Всього </t>
  </si>
  <si>
    <t>Код ТПКВКМБ /
ТКВКБМС</t>
  </si>
  <si>
    <t>Разом загальний та спеціальний фонди</t>
  </si>
  <si>
    <t>Найменування місцевої (регіональної) програми</t>
  </si>
  <si>
    <t>1110000</t>
  </si>
  <si>
    <t>1100000</t>
  </si>
  <si>
    <t>Управління молоді та спорту Хмельницької міської ради (головний розпорядник)</t>
  </si>
  <si>
    <t>Управління житлово-комунального господарства Хмельницької міської ради (головний розпорядник)</t>
  </si>
  <si>
    <t>Управління культури і туризму Хмельницької міської ради (головний розпорядник)</t>
  </si>
  <si>
    <t>1500000</t>
  </si>
  <si>
    <t>1510000</t>
  </si>
  <si>
    <t>Управління архітектури та містобудування департаменту архітектури, містобудування та земельних ресурсів (головний розпорядник)</t>
  </si>
  <si>
    <t xml:space="preserve">Управління з питань екології та контролю за благоустроєм міста (головний розпорядник) </t>
  </si>
  <si>
    <t xml:space="preserve">Управління з питань екології та контролю за благоустроєм міста (відповідальний розпорядник) </t>
  </si>
  <si>
    <t>Фінансове управління Хмельницької міської ради (головний розпорядник)</t>
  </si>
  <si>
    <t>Програма підтримки обдарованих дітей міста</t>
  </si>
  <si>
    <t>Реалізація державної політики у молодіжній сфері</t>
  </si>
  <si>
    <t>1115031</t>
  </si>
  <si>
    <t>1115030</t>
  </si>
  <si>
    <t>Розвиток дитячо-юнацького та резервного спорту</t>
  </si>
  <si>
    <t>1115032</t>
  </si>
  <si>
    <t>Інші заходи з розвитку фізичної культури та спорту</t>
  </si>
  <si>
    <t>1115061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</si>
  <si>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</si>
  <si>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1115063</t>
  </si>
  <si>
    <t>Забезпечення діяльності централізованої бухгалтерії</t>
  </si>
  <si>
    <t>Інженерно-геодезичні вишукування та проекти планування  територій</t>
  </si>
  <si>
    <t>Проведення інформаційних заходів з організації проведення аукціонів</t>
  </si>
  <si>
    <t>Виготовлення документації із землеустрою</t>
  </si>
  <si>
    <t>Внески до статутного капіталу суб’єктів господарювання</t>
  </si>
  <si>
    <t>Управління молоді та спорту Хмельницької міської ради (відповідальний виконавець)</t>
  </si>
  <si>
    <t>Управління охорони здоров'я Хмельницької міської ради (відповідальний виконавець)</t>
  </si>
  <si>
    <t>Управління праці та соціального захисту населення Хмельницької міської ради (головний розпорядник)</t>
  </si>
  <si>
    <t>Управління праці та соціального захисту населення Хмельницької міської ради (відповідальний виконавець)</t>
  </si>
  <si>
    <t>Управління культури і туризму Хмельницької міської ради (відповідальний виконавець)</t>
  </si>
  <si>
    <t>Управління житлово-комунального господарства Хмельницької міської ради (відповідальний виконавець)</t>
  </si>
  <si>
    <t>Управління архітектури та містобудування департаменту архітектури, містобудування та земельних ресурсів (відповідальний виконавець)</t>
  </si>
  <si>
    <t xml:space="preserve">Управління з питань екології та контролю за благоустроєм міста (відповідальний виконавець) </t>
  </si>
  <si>
    <t>Фінансове управління Хмельницької міської ради (відповідальний виконавець)</t>
  </si>
  <si>
    <t>Заходи з енергозбереження</t>
  </si>
  <si>
    <t>Резервний фонд</t>
  </si>
  <si>
    <t xml:space="preserve"> Реверсна дотація</t>
  </si>
  <si>
    <t>0133</t>
  </si>
  <si>
    <t>0180</t>
  </si>
  <si>
    <t>1113131</t>
  </si>
  <si>
    <t>1113130</t>
  </si>
  <si>
    <t>Здійснення соціальної роботи з вразливими категоріями населення</t>
  </si>
  <si>
    <t>1115010</t>
  </si>
  <si>
    <t>Проведення спортивної роботи в регіоні</t>
  </si>
  <si>
    <t>1115011</t>
  </si>
  <si>
    <t>Проведення навчально-тренувальних зборів і змагань з олімпійських видів спорту</t>
  </si>
  <si>
    <t>1115012</t>
  </si>
  <si>
    <t>1115020</t>
  </si>
  <si>
    <t>1115022</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</si>
  <si>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</si>
  <si>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</si>
  <si>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1115060</t>
  </si>
  <si>
    <t>1060</t>
  </si>
  <si>
    <t>Всього, в т.ч.:</t>
  </si>
  <si>
    <t>0511</t>
  </si>
  <si>
    <t>Охорона та раціональне використання природних ресурсів</t>
  </si>
  <si>
    <t>0512</t>
  </si>
  <si>
    <t>0540</t>
  </si>
  <si>
    <t>0520</t>
  </si>
  <si>
    <t>Спеціальний фонд</t>
  </si>
  <si>
    <t>видатки споживання</t>
  </si>
  <si>
    <t>оплата праці</t>
  </si>
  <si>
    <t>видатки розвитку</t>
  </si>
  <si>
    <t>Розподіл</t>
  </si>
  <si>
    <t>Додаток №3</t>
  </si>
  <si>
    <t>Збереження природно-заповідного фонду</t>
  </si>
  <si>
    <t>Назва об’єктів відповідно  до проектно- кошторисної документації тощо</t>
  </si>
  <si>
    <t xml:space="preserve">Загальний обсяг фінансування будівництва </t>
  </si>
  <si>
    <t>Капітальні видатки</t>
  </si>
  <si>
    <t>грн.</t>
  </si>
  <si>
    <t xml:space="preserve">Реконструкція покрівель житлових будинків </t>
  </si>
  <si>
    <t>Програма діяльності газети "Проскурів" у період реформування державних і комунальних засобів масової інформації на 2017-2018 роки</t>
  </si>
  <si>
    <t>Програма розвитку освіти міста Хмельницького на 2017-2021 роки</t>
  </si>
  <si>
    <t>Комплексна програма «Піклування» в м.Хмельницькому на 2017 - 2021 роки</t>
  </si>
  <si>
    <t>Комплексна  програма «Піклування» в м.Хмельницькому на 2017 - 2021 роки</t>
  </si>
  <si>
    <t>Комплексна програма «Піклування» в м Хмельницькому на 2017 - 2021 роки</t>
  </si>
  <si>
    <t>Програма реалізації молодіжної політики та розвитку фізичної культури і спорту у м.Хмельницькому на 2017 - 2021 роки</t>
  </si>
  <si>
    <t>Додаток 1</t>
  </si>
  <si>
    <t>( грн.)</t>
  </si>
  <si>
    <t>Код</t>
  </si>
  <si>
    <t>Найменування згідно
 з класифікацією доходів бюджету</t>
  </si>
  <si>
    <t>в т.ч. бюджет розвитку</t>
  </si>
  <si>
    <t>Податкові надходження</t>
  </si>
  <si>
    <t>Податки на доходи, податки на прибуток, податки на збільшення ринкової вартості</t>
  </si>
  <si>
    <t xml:space="preserve">Податок на доходи фізичних осіб </t>
  </si>
  <si>
    <t xml:space="preserve">Податок на  доходи фізичних осіб, що сплачуються податковими агентами, із доходів платника податку у вигляді заробітної плати </t>
  </si>
  <si>
    <t xml:space="preserve">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 </t>
  </si>
  <si>
    <t xml:space="preserve">Податок на доходи фізичних осіб, що сплачується податковими агентами, із доходів платника податку інших ніж заробітна плата </t>
  </si>
  <si>
    <t xml:space="preserve">Податок на доходи доходів фізичних осіб, що сплачуються фізичними особами за результатами річного декларування </t>
  </si>
  <si>
    <t>Податок на прибуток підприємств</t>
  </si>
  <si>
    <t xml:space="preserve"> Податок на прибуток підприємств та фінансових установ комунальної власності </t>
  </si>
  <si>
    <t xml:space="preserve">Акцизний податок з реалізації суб"єктами господарювання роздрібної торгівлі підакцизних товарів </t>
  </si>
  <si>
    <t>Місцеві  податки і збори</t>
  </si>
  <si>
    <t>Податок на майно</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</si>
  <si>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</si>
  <si>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</si>
  <si>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</si>
  <si>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</si>
  <si>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</si>
  <si>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</si>
  <si>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</si>
  <si>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</si>
  <si>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</si>
  <si>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</si>
  <si>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 xml:space="preserve">Туристичний збір </t>
  </si>
  <si>
    <t xml:space="preserve">Туристичний збір, сплачений юридичними особами  </t>
  </si>
  <si>
    <t xml:space="preserve">Туристичний збір, сплачений фізичними особами  </t>
  </si>
  <si>
    <t xml:space="preserve">Єдиний податок  </t>
  </si>
  <si>
    <t xml:space="preserve">Єдиний податок  з юридичних осіб
</t>
  </si>
  <si>
    <t>Єдиний податок  з фізичних осіб</t>
  </si>
  <si>
    <t xml:space="preserve">Екологічний податок </t>
  </si>
  <si>
    <t xml:space="preserve">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</si>
  <si>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t>
  </si>
  <si>
    <t xml:space="preserve">Надходження від розміщення відходів у спеціально відведених місцях чи на об"єктах, крім розміщення окремих видів відходів як вторинної сировини </t>
  </si>
  <si>
    <t>Неподаткові надходження</t>
  </si>
  <si>
    <t>Частина чистого прибутку (доходу)  комунальних унітарних підприємств та їх об"єднань, що вилучається до відповідного місцевого бюджету</t>
  </si>
  <si>
    <t xml:space="preserve">Плата за розміщення тимчасово вільних коштів </t>
  </si>
  <si>
    <t xml:space="preserve">Надходження від штрафів та фінансових санкцій </t>
  </si>
  <si>
    <t>Адміністративні штрафи та інші санкції</t>
  </si>
  <si>
    <t>Адміністративні штрафи та штрафні санкції за порушення законодавства у сфері виробництва та обігу алкогольних напоїв та тютюнових виробів</t>
  </si>
  <si>
    <t>Адміністративні збори та платежі, доходи від некомерційної господарської діяльності</t>
  </si>
  <si>
    <t xml:space="preserve">Адміністративний збір за державну реєстрацію речових прав на нерухоме майно та їх обтяжень </t>
  </si>
  <si>
    <t xml:space="preserve">Плата за надання інших адміністративних послуг </t>
  </si>
  <si>
    <t xml:space="preserve">Надходження від орендної плати за користування цілісним майновим комплексом та іншим майном, що перебуває в комунальній власності </t>
  </si>
  <si>
    <t xml:space="preserve">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</si>
  <si>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</si>
  <si>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 не віднесене до інших категорій </t>
  </si>
  <si>
    <t>Державне мито, пов`язане з видачею та оформленням закордонних паспортів (посвідок) та паспортів громадян України</t>
  </si>
  <si>
    <t>Інші неподаткові надходження</t>
  </si>
  <si>
    <t xml:space="preserve">Інші надходження </t>
  </si>
  <si>
    <t xml:space="preserve">Надходження коштів пайової участі у розвитку інфраструктури населеного пункту </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</si>
  <si>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</si>
  <si>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</si>
  <si>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</si>
  <si>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</si>
  <si>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</si>
  <si>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</si>
  <si>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r>
      <t>Інші джерела власних надходжень бюджетних установ</t>
    </r>
    <r>
      <rPr>
        <sz val="12"/>
        <rFont val="Times New Roman"/>
        <family val="1"/>
        <charset val="204"/>
      </rPr>
      <t xml:space="preserve">  </t>
    </r>
  </si>
  <si>
    <t xml:space="preserve">Благодійні внески, гранти та дарунки </t>
  </si>
  <si>
    <t xml:space="preserve">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t>
  </si>
  <si>
    <t>Доходи від операцій з капіталом</t>
  </si>
  <si>
    <t>Надходження від продажу основного капіталу</t>
  </si>
  <si>
    <t xml:space="preserve">Кошти від реалізації безхазяйного майна,знахідок,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</si>
  <si>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 xml:space="preserve">Кошти  від відчуження майна, яке належить  Автономній Республіці Крим та майна, що знаходиться у комунальній власності </t>
  </si>
  <si>
    <t>Надходження від продажу землі і нематеріальних активів</t>
  </si>
  <si>
    <t xml:space="preserve">Кошти від продажу землі </t>
  </si>
  <si>
    <t>Кошти від продажу прав на земельні ділянки несільськогосподарського призначення, що перебувають у державній або комунальній власності</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</si>
  <si>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</si>
  <si>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Разом доходів </t>
  </si>
  <si>
    <t xml:space="preserve">Субвенції  </t>
  </si>
  <si>
    <t xml:space="preserve">Освітня субвенція з державного бюджету місцевим бюджетам </t>
  </si>
  <si>
    <t xml:space="preserve">Медична субвенція з державного бюджету місцевим бюджетам </t>
  </si>
  <si>
    <t xml:space="preserve"> - на пільгове медичне обслуговування громадян, які постраждали внаслідок Чорнобильської катастрофи</t>
  </si>
  <si>
    <t xml:space="preserve"> -  на компенсаційні виплати інвалідам на бензин, ремонт, техобслуговування автотранспорту та транспортне обслуговування</t>
  </si>
  <si>
    <t xml:space="preserve"> - на компенсаційні виплати на встановлення телефонів інвалідам 1-ї та 2-ї груп </t>
  </si>
  <si>
    <t xml:space="preserve">  - на поховання учасників бойових дій та інвалідів війни</t>
  </si>
  <si>
    <t>Всього доходів</t>
  </si>
  <si>
    <t>Начальник фінансового управління</t>
  </si>
  <si>
    <t>С. Ямчук</t>
  </si>
  <si>
    <t>Додаток 2</t>
  </si>
  <si>
    <t>до рішення</t>
  </si>
  <si>
    <t>від                 №</t>
  </si>
  <si>
    <t>Назва</t>
  </si>
  <si>
    <t>У т.ч. бюджет розвитку</t>
  </si>
  <si>
    <t>200000</t>
  </si>
  <si>
    <t>Внутрішнє фінансування</t>
  </si>
  <si>
    <t>208100</t>
  </si>
  <si>
    <t>На початок періоду</t>
  </si>
  <si>
    <t>На кінець періоду</t>
  </si>
  <si>
    <t>Передача коштів із загального до бюджету розвитку (спеціального фонду)</t>
  </si>
  <si>
    <t xml:space="preserve">Фінансування за борговими операціями </t>
  </si>
  <si>
    <t xml:space="preserve">Запозичення </t>
  </si>
  <si>
    <t>600000</t>
  </si>
  <si>
    <t>Фінансування за активними операціями</t>
  </si>
  <si>
    <t>Зміни обсягів готівкових коштів на початок періоду</t>
  </si>
  <si>
    <t>Зміни обсягів готівкових коштів на кінець періоду</t>
  </si>
  <si>
    <r>
      <t>Код програмної класифікації видатків та кредитування місцевих бюджетів</t>
    </r>
    <r>
      <rPr>
        <vertAlign val="superscript"/>
        <sz val="8"/>
        <rFont val="Times New Roman"/>
        <family val="1"/>
        <charset val="204"/>
      </rPr>
      <t>1</t>
    </r>
  </si>
  <si>
    <t>Надання кредитів</t>
  </si>
  <si>
    <t>Повернення кредитів</t>
  </si>
  <si>
    <t>Кредитування-всього</t>
  </si>
  <si>
    <t xml:space="preserve">з них </t>
  </si>
  <si>
    <t>0,0</t>
  </si>
  <si>
    <t>Додаток №6</t>
  </si>
  <si>
    <t xml:space="preserve">до рішення №      від  </t>
  </si>
  <si>
    <t>Кошторис доходів та видатків цільового фонду</t>
  </si>
  <si>
    <t>Хмельницької міської ради</t>
  </si>
  <si>
    <t xml:space="preserve">Пункти Положення </t>
  </si>
  <si>
    <t>Джерела доходів</t>
  </si>
  <si>
    <t>2.1.1.</t>
  </si>
  <si>
    <t>Кошти за надлишки загальної житлової площі при приватизації державного житлового фонду</t>
  </si>
  <si>
    <t>2.1.2.</t>
  </si>
  <si>
    <t>Кошти за тимчасове користування місцями для розміщення зовнішньої реклами</t>
  </si>
  <si>
    <t>2.1.3.</t>
  </si>
  <si>
    <t>Надходження коштів від забудовників, які без відповідного дозволу здійснили або здійснюють роботи по будівництву, реконструкції, реставрації, капітальному ремонту об"єктів містобудування</t>
  </si>
  <si>
    <t>2.1.4.</t>
  </si>
  <si>
    <t xml:space="preserve">Надходження коштів, що мають вноситися заявниками, у розмірі 10 відсотків початкової вартості продажу об"єкта малої приватизації, за участь у аукціоні, конкурсі </t>
  </si>
  <si>
    <t>2.1.5.</t>
  </si>
  <si>
    <t xml:space="preserve">Надходження плати за виготовлення бланків і видачу свідоцтв про право власності на житлове (житлові) приміщення у гуртожитку </t>
  </si>
  <si>
    <t xml:space="preserve">Всього по джерелах доходів : </t>
  </si>
  <si>
    <t>Разом:</t>
  </si>
  <si>
    <t>Видатки</t>
  </si>
  <si>
    <t>3.2.1.</t>
  </si>
  <si>
    <t>Фінансове забезпечення проведення міських заходів виконавчим комітетом Хмельницької міської ради та управліннями і відділами міської ради</t>
  </si>
  <si>
    <t>3.2.3.</t>
  </si>
  <si>
    <t>Матеріальне забезпечення проведення сесій міської ради, депутатських днів та інших організаційних заходів з діяльності депутатів міської ради</t>
  </si>
  <si>
    <t>3.2.4.</t>
  </si>
  <si>
    <t xml:space="preserve">Відшкодування витрат, понесених комунальним підприємством "Чайка", на надання  лазневих послуг на пільгових умовах учасникам  бойових дій та інвалідам війни, які зареєстровані у м. Хмельницькому </t>
  </si>
  <si>
    <t>3.2.5.</t>
  </si>
  <si>
    <t>Оформлення передплати на газету міської ради «Проскурів» організаціям інвалідів, ветеранів війни і праці, окремим категоріям громадян</t>
  </si>
  <si>
    <t>3.2.6.</t>
  </si>
  <si>
    <t>Виплата винагороди головам квартальних комітетів</t>
  </si>
  <si>
    <t>3.2.7.</t>
  </si>
  <si>
    <t>Оплата подарунків до ювілеїв, річниць, пам’ятних дат, професійних свят підприємств, організацій, установ та фізичних осіб</t>
  </si>
  <si>
    <t>3.2.8.</t>
  </si>
  <si>
    <t xml:space="preserve">Спрямування коштів на житлове будівництво, реконструкцію та на ремонт житла всіх форм власності, в т.ч. будинків житлово-будівельних кооперативів (ТОВ "ЖЕО"), об'є́днань співвла́сників багатокварти́рних буди́нків, Будинкоуправління №2  КЕВ м. Хмельницький та будівель і споруд  комунальної власності </t>
  </si>
  <si>
    <t>3.2.11.</t>
  </si>
  <si>
    <t>Здійснення заходів з приватизації, відчуження та передачі в оренду майна комунальної власності</t>
  </si>
  <si>
    <t>3.2.12.</t>
  </si>
  <si>
    <t>Повернення коштів, внесених заявниками за участь у аукціоні, конкурсі з продажу об'єктів малої приватизації у випадках, передбачених Законом України "Про приватизацію невеликих державних підприємств (малу приватизацію)"</t>
  </si>
  <si>
    <t>3.2.16.</t>
  </si>
  <si>
    <t>Інші видатки, що здійснюються згідно розпоряджень міського голови, рішень міської ради та її виконавчого комітету.</t>
  </si>
  <si>
    <t xml:space="preserve">Начальник фінансового управління                                                                                        </t>
  </si>
  <si>
    <t xml:space="preserve">   С.Ямчук</t>
  </si>
  <si>
    <t>Пальне (вироблене в Україні)</t>
  </si>
  <si>
    <t>Пальне  (ввезене на митну територію  України)</t>
  </si>
  <si>
    <t>Начальник фінансового управління                                                                                                                                                            С. Ямчук</t>
  </si>
  <si>
    <t xml:space="preserve"> </t>
  </si>
  <si>
    <t xml:space="preserve">до рішення   №        від    </t>
  </si>
  <si>
    <t>Внески до статутного капіталу КП "Хмельницькбудзамовник" (Придбання основних засобів)</t>
  </si>
  <si>
    <t>Реконструкція існуючих та добудова гурткових приміщень Хмельницького міського будинку культури по вул.Проскурівській, 43 в м.Хмельницькому</t>
  </si>
  <si>
    <t>Програма фінансової підтримки комунальної установи Хмельницької міської ради "Агенція розвитку міста" на 2017-2018 роки</t>
  </si>
  <si>
    <t>Програма розвитку підприємництва м.Хмельницького на 2017-2018 роки</t>
  </si>
  <si>
    <t xml:space="preserve">Будівництво центру поводження з тваринами  КП “Надія” по вул. Заводській, 165 в м. Хмельницькому </t>
  </si>
  <si>
    <t>Доходи  бюджету м. Хмельницького на 2018 рік</t>
  </si>
  <si>
    <t>Адміністративний збір з проведення державної реєстрації юридичних осіб, фізичних осіб - підприємців та громадських формувань</t>
  </si>
  <si>
    <t>на 2018 рік</t>
  </si>
  <si>
    <t>2018 р.</t>
  </si>
  <si>
    <t>0200000</t>
  </si>
  <si>
    <t>0210000</t>
  </si>
  <si>
    <t>Виконавчий комітет Хмельницької міської ради (головний розпорядник)</t>
  </si>
  <si>
    <t>Виконавчий комітет Хмельницької міської ради  (відповідальний виконавець)</t>
  </si>
  <si>
    <t>0600000</t>
  </si>
  <si>
    <t>0610000</t>
  </si>
  <si>
    <t>0700000</t>
  </si>
  <si>
    <t>0710000</t>
  </si>
  <si>
    <t>0800000</t>
  </si>
  <si>
    <t>0810000</t>
  </si>
  <si>
    <t>1200000</t>
  </si>
  <si>
    <t>1210000</t>
  </si>
  <si>
    <t>1600000</t>
  </si>
  <si>
    <t>1610000</t>
  </si>
  <si>
    <t>3600000</t>
  </si>
  <si>
    <t>3610000</t>
  </si>
  <si>
    <t>2800000</t>
  </si>
  <si>
    <t>2810000</t>
  </si>
  <si>
    <t>2700000</t>
  </si>
  <si>
    <t>2710000</t>
  </si>
  <si>
    <t>3700000</t>
  </si>
  <si>
    <t>3710000</t>
  </si>
  <si>
    <t>0490</t>
  </si>
  <si>
    <t>1014010</t>
  </si>
  <si>
    <t>4010</t>
  </si>
  <si>
    <t>4060</t>
  </si>
  <si>
    <t>3130</t>
  </si>
  <si>
    <t>3131</t>
  </si>
  <si>
    <t>0821</t>
  </si>
  <si>
    <t>Фінансова підтримка театрів</t>
  </si>
  <si>
    <t>1014030</t>
  </si>
  <si>
    <t>4030</t>
  </si>
  <si>
    <t>0824</t>
  </si>
  <si>
    <t>Забезпечення діяльності бібліотек</t>
  </si>
  <si>
    <t>1014040</t>
  </si>
  <si>
    <t>4040</t>
  </si>
  <si>
    <t xml:space="preserve"> Забезпечення діяльності музеїв i виставок</t>
  </si>
  <si>
    <t>1014060</t>
  </si>
  <si>
    <t>0828</t>
  </si>
  <si>
    <t>Забезпечення діяльності палаців i будинків культури, клубів, центрів дозвілля та iнших клубних закладів</t>
  </si>
  <si>
    <t>Надання спеціальної освіти школами естетичного виховання (музичними, художніми, хореографічними, театральними, хоровими, мистецькими)</t>
  </si>
  <si>
    <t>1100</t>
  </si>
  <si>
    <t>0960</t>
  </si>
  <si>
    <t>Інші заклади та заходи в галузі культури і мистецтва</t>
  </si>
  <si>
    <t>1014080</t>
  </si>
  <si>
    <t>4080</t>
  </si>
  <si>
    <t>0829</t>
  </si>
  <si>
    <t>1113120</t>
  </si>
  <si>
    <t>3120</t>
  </si>
  <si>
    <t>1113121</t>
  </si>
  <si>
    <t>3121</t>
  </si>
  <si>
    <t>1040</t>
  </si>
  <si>
    <t>Утримання та забезпечення діяльності центрів соціальних служб для сім’ї, дітей та молоді</t>
  </si>
  <si>
    <t>5010</t>
  </si>
  <si>
    <t>5011</t>
  </si>
  <si>
    <t>5012</t>
  </si>
  <si>
    <t>5020</t>
  </si>
  <si>
    <t>5022</t>
  </si>
  <si>
    <t>1113132</t>
  </si>
  <si>
    <t>3132</t>
  </si>
  <si>
    <t>3230</t>
  </si>
  <si>
    <t>1090</t>
  </si>
  <si>
    <t>Інші заклади та заходи</t>
  </si>
  <si>
    <t>5030</t>
  </si>
  <si>
    <t>5031</t>
  </si>
  <si>
    <t>5032</t>
  </si>
  <si>
    <t>5060</t>
  </si>
  <si>
    <t>5061</t>
  </si>
  <si>
    <t>0810</t>
  </si>
  <si>
    <t>5063</t>
  </si>
  <si>
    <t>1117670</t>
  </si>
  <si>
    <t>7670</t>
  </si>
  <si>
    <t>Надання кредиту</t>
  </si>
  <si>
    <t>Повернення кредиту</t>
  </si>
  <si>
    <t>0611010</t>
  </si>
  <si>
    <t>1010</t>
  </si>
  <si>
    <t>1020</t>
  </si>
  <si>
    <t>0910</t>
  </si>
  <si>
    <t>Надання дошкільної освіти</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</si>
  <si>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</si>
  <si>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0611020</t>
  </si>
  <si>
    <t>0921</t>
  </si>
  <si>
    <t>0611030</t>
  </si>
  <si>
    <t>1030</t>
  </si>
  <si>
    <t>1070</t>
  </si>
  <si>
    <t>0611070</t>
  </si>
  <si>
    <t>0922</t>
  </si>
  <si>
    <t>0611090</t>
  </si>
  <si>
    <t>0611110</t>
  </si>
  <si>
    <t>1110</t>
  </si>
  <si>
    <t>0930</t>
  </si>
  <si>
    <t>Підготовка кадрів професійно-технічними закладами та іншими закладами освіти</t>
  </si>
  <si>
    <t>Методичне забезпечення діяльності навчальних закладів</t>
  </si>
  <si>
    <t>0611150</t>
  </si>
  <si>
    <t>1150</t>
  </si>
  <si>
    <t>0990</t>
  </si>
  <si>
    <t>Інші програми, заклади та заходи у сфері освіти</t>
  </si>
  <si>
    <t>0611160</t>
  </si>
  <si>
    <t>1160</t>
  </si>
  <si>
    <t>2010</t>
  </si>
  <si>
    <t>0617640</t>
  </si>
  <si>
    <t>7640</t>
  </si>
  <si>
    <t>0470</t>
  </si>
  <si>
    <t>0712010</t>
  </si>
  <si>
    <t>0731</t>
  </si>
  <si>
    <t>0712030</t>
  </si>
  <si>
    <t>2030</t>
  </si>
  <si>
    <t>0733</t>
  </si>
  <si>
    <t>Лікарсько-акушерська допомога вагітним, породіллям та новонародженим</t>
  </si>
  <si>
    <t>0712080</t>
  </si>
  <si>
    <t>2080</t>
  </si>
  <si>
    <t>0721</t>
  </si>
  <si>
    <t>0712100</t>
  </si>
  <si>
    <t>2100</t>
  </si>
  <si>
    <t>0722</t>
  </si>
  <si>
    <t>Стоматологічна допомога населенню</t>
  </si>
  <si>
    <t>0712110</t>
  </si>
  <si>
    <t>2110</t>
  </si>
  <si>
    <t>0712111</t>
  </si>
  <si>
    <t>2111</t>
  </si>
  <si>
    <t>Первинна медична допомога населенню, що надається центрами первинної медичної (медико-санітарної) допомоги</t>
  </si>
  <si>
    <t>0712150</t>
  </si>
  <si>
    <t>2150</t>
  </si>
  <si>
    <t>0763</t>
  </si>
  <si>
    <t>Інші  програми, заклади та заходи у сфері охорони здоров’я</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</si>
  <si>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</si>
  <si>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0210150</t>
  </si>
  <si>
    <t>0150</t>
  </si>
  <si>
    <t>0111</t>
  </si>
  <si>
    <t>Керівництво і управління у відповідній сфері у містах (місті Києві), селищах, селах, об’єднаних територіальних громадах</t>
  </si>
  <si>
    <t>0210160</t>
  </si>
  <si>
    <t>0160</t>
  </si>
  <si>
    <t>Реалізація Національної програми інформатизації</t>
  </si>
  <si>
    <t>0217520</t>
  </si>
  <si>
    <t>7520</t>
  </si>
  <si>
    <t>0460</t>
  </si>
  <si>
    <t>0218410</t>
  </si>
  <si>
    <t>8410</t>
  </si>
  <si>
    <t>0830</t>
  </si>
  <si>
    <t>Фінансова підтримка засобів масової інформації</t>
  </si>
  <si>
    <t>0219710</t>
  </si>
  <si>
    <t>9710</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</si>
  <si>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</si>
  <si>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0210180</t>
  </si>
  <si>
    <t>Інша діяльність у сфері державного управління</t>
  </si>
  <si>
    <t>Інша економічна діяльність</t>
  </si>
  <si>
    <t>0217690</t>
  </si>
  <si>
    <t>7690</t>
  </si>
  <si>
    <t>Надання пільг на оплату житлово-комунальних послуг окремим категоріям громадян відповідно до законодавства</t>
  </si>
  <si>
    <t>0813010</t>
  </si>
  <si>
    <t>3010</t>
  </si>
  <si>
    <t>0813011</t>
  </si>
  <si>
    <t>3011</t>
  </si>
  <si>
    <t>0813040</t>
  </si>
  <si>
    <t>3040</t>
  </si>
  <si>
    <t>3041</t>
  </si>
  <si>
    <t>3042</t>
  </si>
  <si>
    <t>3043</t>
  </si>
  <si>
    <t>3044</t>
  </si>
  <si>
    <t>3045</t>
  </si>
  <si>
    <t>3046</t>
  </si>
  <si>
    <t>3047</t>
  </si>
  <si>
    <t>Надання допомоги при усиновленні дитини</t>
  </si>
  <si>
    <t>0813041</t>
  </si>
  <si>
    <t>0813042</t>
  </si>
  <si>
    <t>0813043</t>
  </si>
  <si>
    <t>0813044</t>
  </si>
  <si>
    <t>0813045</t>
  </si>
  <si>
    <t>0813046</t>
  </si>
  <si>
    <t>0813047</t>
  </si>
  <si>
    <t>3050</t>
  </si>
  <si>
    <t>3080</t>
  </si>
  <si>
    <t>3090</t>
  </si>
  <si>
    <t>0813080</t>
  </si>
  <si>
    <t>0813012</t>
  </si>
  <si>
    <t>3012</t>
  </si>
  <si>
    <t>0813020</t>
  </si>
  <si>
    <t>3020</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</si>
  <si>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</si>
  <si>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0813021</t>
  </si>
  <si>
    <t>3021</t>
  </si>
  <si>
    <t>0813022</t>
  </si>
  <si>
    <t>3022</t>
  </si>
  <si>
    <t>0813050</t>
  </si>
  <si>
    <t>0813090</t>
  </si>
  <si>
    <t>Заходи з організації рятування на водах</t>
  </si>
  <si>
    <t>1218120</t>
  </si>
  <si>
    <t>8120</t>
  </si>
  <si>
    <t>0320</t>
  </si>
  <si>
    <t>2717630</t>
  </si>
  <si>
    <t>Реалізація програм і заходів в галузі зовнішньоекономічної діяльності</t>
  </si>
  <si>
    <t>7630</t>
  </si>
  <si>
    <t>Інші заходи, пов'язані з економічною діяльністю</t>
  </si>
  <si>
    <t>2717690</t>
  </si>
  <si>
    <t>2717693</t>
  </si>
  <si>
    <t>7693</t>
  </si>
  <si>
    <t>Сприяння розвитку малого та середнього підприємництва</t>
  </si>
  <si>
    <t>0411</t>
  </si>
  <si>
    <t>2717610</t>
  </si>
  <si>
    <t>7610</t>
  </si>
  <si>
    <t>Реалізація інших заходів щодо соціально-економічного розвитку територій</t>
  </si>
  <si>
    <t>0813230</t>
  </si>
  <si>
    <t>0813160</t>
  </si>
  <si>
    <t>3160</t>
  </si>
  <si>
    <t>Надання реабілітаційних послуг інвалідам та дітям-інвалідам</t>
  </si>
  <si>
    <t>0813100</t>
  </si>
  <si>
    <t>3100</t>
  </si>
  <si>
    <t>3104</t>
  </si>
  <si>
    <t>3105</t>
  </si>
  <si>
    <t>0813104</t>
  </si>
  <si>
    <t>0813105</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</si>
  <si>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</si>
  <si>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0813030</t>
  </si>
  <si>
    <t>3030</t>
  </si>
  <si>
    <t>0813031</t>
  </si>
  <si>
    <t>3031</t>
  </si>
  <si>
    <t>Надання інших пільг окремим категоріям громадян відповідно до законодавства</t>
  </si>
  <si>
    <t>0813032</t>
  </si>
  <si>
    <t>3032</t>
  </si>
  <si>
    <t>3035</t>
  </si>
  <si>
    <t>0813033</t>
  </si>
  <si>
    <t>3033</t>
  </si>
  <si>
    <t>0813035</t>
  </si>
  <si>
    <t>0813036</t>
  </si>
  <si>
    <t>3036</t>
  </si>
  <si>
    <t>1216010</t>
  </si>
  <si>
    <t>6010</t>
  </si>
  <si>
    <t>1216011</t>
  </si>
  <si>
    <t>6011</t>
  </si>
  <si>
    <t>Утримання та ефективна експлуатація об’єктів житлово-комунального господарства</t>
  </si>
  <si>
    <t>Експлуатація та технічне обслуговування житлового фонду</t>
  </si>
  <si>
    <t>0620</t>
  </si>
  <si>
    <t>1216017</t>
  </si>
  <si>
    <t>6017</t>
  </si>
  <si>
    <t xml:space="preserve">Інша діяльність, пов’язана з експлуатацією об’єктів житлово-комунального господарства </t>
  </si>
  <si>
    <t>1216013</t>
  </si>
  <si>
    <t>6013</t>
  </si>
  <si>
    <t>Забезпечення діяльності водопровідно-каналізаційного господарства</t>
  </si>
  <si>
    <t>1216030</t>
  </si>
  <si>
    <t>6030</t>
  </si>
  <si>
    <t>Організація благоустрою населених пунктів</t>
  </si>
  <si>
    <t>1217426</t>
  </si>
  <si>
    <t>1217420</t>
  </si>
  <si>
    <t>7420</t>
  </si>
  <si>
    <t>7426</t>
  </si>
  <si>
    <t>Забезпечення надання послуг з перевезення пасажирів електротранспортом</t>
  </si>
  <si>
    <t>Інші заходи у сфері електротранспорту</t>
  </si>
  <si>
    <t>0453</t>
  </si>
  <si>
    <t>1217460</t>
  </si>
  <si>
    <t>7460</t>
  </si>
  <si>
    <t>Утримання та розвиток автомобільних доріг та дорожньої інфраструктури</t>
  </si>
  <si>
    <t>1217461</t>
  </si>
  <si>
    <t>7461</t>
  </si>
  <si>
    <t>Утримання та розвиток автомобільних доріг та дорожньої інфраструктури за рахунок коштів місцевого бюджету</t>
  </si>
  <si>
    <t>0456</t>
  </si>
  <si>
    <t>1217640</t>
  </si>
  <si>
    <t>1218110</t>
  </si>
  <si>
    <t>8110</t>
  </si>
  <si>
    <t>Програма розвитку міського комунального підприємства "Муніципальна телерадіокомпанія "Місто"" на 2018-2020 роки</t>
  </si>
  <si>
    <t>1216020</t>
  </si>
  <si>
    <t>6020</t>
  </si>
  <si>
    <t>Забезпечення функціонування підприємств, установ та організацій, що виробляють, виконують та/або надають житлово-комунальні послуги</t>
  </si>
  <si>
    <t>Членські внески до асоціацій органів місцевого самоврядування</t>
  </si>
  <si>
    <t>0217680</t>
  </si>
  <si>
    <t>7680</t>
  </si>
  <si>
    <t>1216015</t>
  </si>
  <si>
    <t>6015</t>
  </si>
  <si>
    <t>Забезпечення надійної та безперебійної експлуатації ліфтів</t>
  </si>
  <si>
    <t>0443</t>
  </si>
  <si>
    <t>1217310</t>
  </si>
  <si>
    <t>7310</t>
  </si>
  <si>
    <r>
      <t>Будівництвоˈ об'єктів житлово-комунального господарства</t>
    </r>
    <r>
      <rPr>
        <sz val="36"/>
        <rFont val="Calibri"/>
        <family val="2"/>
        <charset val="204"/>
      </rPr>
      <t>ˈ</t>
    </r>
  </si>
  <si>
    <r>
      <t xml:space="preserve">1 </t>
    </r>
    <r>
      <rPr>
        <sz val="20"/>
        <rFont val="Times New Roman"/>
        <family val="1"/>
        <charset val="204"/>
      </rPr>
      <t>Будівни́цтво — спорудження нового об'єкта, реконструкція, розширення, добудова, реставрація об'єктів, виконання монтажних робіт за рахунок власних коштів місцевих бюджетів.</t>
    </r>
  </si>
  <si>
    <t>1217670</t>
  </si>
  <si>
    <t>Здійснення  заходів із землеустрою</t>
  </si>
  <si>
    <t>3617130</t>
  </si>
  <si>
    <t>7130</t>
  </si>
  <si>
    <t>0421</t>
  </si>
  <si>
    <t>1617350</t>
  </si>
  <si>
    <t>7350</t>
  </si>
  <si>
    <t>Розроблення схем планування та забудови територій (містобудівної документації)</t>
  </si>
  <si>
    <t>2818310</t>
  </si>
  <si>
    <t>8310</t>
  </si>
  <si>
    <t>Запобігання та ліквідація забруднення навколишнього природного середовища</t>
  </si>
  <si>
    <t>2818311</t>
  </si>
  <si>
    <t>8311</t>
  </si>
  <si>
    <t>2818312</t>
  </si>
  <si>
    <t>8312</t>
  </si>
  <si>
    <t>Утилізація відходів</t>
  </si>
  <si>
    <t>2818320</t>
  </si>
  <si>
    <t>8320</t>
  </si>
  <si>
    <t>2818330</t>
  </si>
  <si>
    <t>8330</t>
  </si>
  <si>
    <t xml:space="preserve">Інша діяльність у сфері екології та охорони природних ресурсів </t>
  </si>
  <si>
    <t>Програма економічного та соціального розвитку міста Хмельницького на 2018 рік</t>
  </si>
  <si>
    <r>
      <t>Будівництвоˈ об'єктів житлово-комунального господарства</t>
    </r>
    <r>
      <rPr>
        <sz val="11"/>
        <rFont val="Calibri"/>
        <family val="2"/>
        <charset val="204"/>
      </rPr>
      <t>ˈ</t>
    </r>
  </si>
  <si>
    <t>Будівництвоˈ об'єктів соціально-культурного призначення</t>
  </si>
  <si>
    <t>1517320</t>
  </si>
  <si>
    <t>7320</t>
  </si>
  <si>
    <t>Будівництвоˈ  освітніх установ та закладів</t>
  </si>
  <si>
    <t>1517321</t>
  </si>
  <si>
    <t>7321</t>
  </si>
  <si>
    <t>1517325</t>
  </si>
  <si>
    <t>7325</t>
  </si>
  <si>
    <t>Будівництвоˈ споруд, установ та закладів фізичної культури і спорту</t>
  </si>
  <si>
    <t>Будівництвоˈ інших об'єктів соціальної та виробничої інфраструктури комунальної власності</t>
  </si>
  <si>
    <t>1517330</t>
  </si>
  <si>
    <t>7330</t>
  </si>
  <si>
    <t>1517670</t>
  </si>
  <si>
    <t>Додаток  № 7</t>
  </si>
  <si>
    <t xml:space="preserve">до рішення № </t>
  </si>
  <si>
    <t xml:space="preserve">від    </t>
  </si>
  <si>
    <t>Перелік природоохоронних заходів,</t>
  </si>
  <si>
    <t>які будуть фінансуватися з міського фонду охорони</t>
  </si>
  <si>
    <t>навколишнього природного середовища у 2018 році</t>
  </si>
  <si>
    <t>№ п/п</t>
  </si>
  <si>
    <t>Код КПКВ</t>
  </si>
  <si>
    <t>Заходи, на які виділяються кошти</t>
  </si>
  <si>
    <t>Сума, грн.</t>
  </si>
  <si>
    <t>Наукові дослідження, проектні та проектно-конструкторські розроблення, проведення спеціальних заходів, спрямованих на запобігання знищенню чи покращенню природних комплексів територій та об‘єктів природно-заповідного фонду (розробка схеми екологічної мережі міста Хмельницького)</t>
  </si>
  <si>
    <r>
      <t xml:space="preserve">Проведення науково-технічних конференцій і семінарів, організація виставок, фестивалів та інших заходів щодо пропаганди охорони навколишнього природного середовища, видання поліграфічної продукції з екологічної тематики </t>
    </r>
    <r>
      <rPr>
        <sz val="12"/>
        <color indexed="42"/>
        <rFont val="Times New Roman"/>
        <family val="1"/>
        <charset val="204"/>
      </rPr>
      <t xml:space="preserve"> </t>
    </r>
    <r>
      <rPr>
        <sz val="12"/>
        <color indexed="8"/>
        <rFont val="Times New Roman"/>
        <family val="1"/>
        <charset val="204"/>
      </rPr>
      <t>тощо</t>
    </r>
  </si>
  <si>
    <t>ВСЬОГО</t>
  </si>
  <si>
    <t xml:space="preserve">С. Ямчук </t>
  </si>
  <si>
    <t>Будівництвоˈ об'єктів житлово-комунального господарства</t>
  </si>
  <si>
    <t>Реконструкція прв. Перемоги з улаштуванням виїзду на вул.Свободи</t>
  </si>
  <si>
    <t xml:space="preserve">Будівництво внутрішньоквартального проїзду від вул.Залізняка до будинку 16/2 по вул.Лісогринівецькій </t>
  </si>
  <si>
    <t>Розробка проектно-кошторисної документації на реконструкцію парку культури та відпочинку ім. М.Чекмана</t>
  </si>
  <si>
    <t>Внески до статутного капіталу ХКП "Спецкомунтранс" (придбання дозиметричного обладнання )</t>
  </si>
  <si>
    <t>Внески до статутного капіталу ХКП "Спецкомунтранс" (придбання та встановлення мобільної туалетної кабінки)</t>
  </si>
  <si>
    <t>План зонування території міста Хмельницького (зонінг)</t>
  </si>
  <si>
    <t>Виготовлення актів добору земельної ділянки, яка або право на яку виставляються на земельні торги</t>
  </si>
  <si>
    <t>Проведення експертної грошової оцінки земельної ділянки несільськогосподарського призначення</t>
  </si>
  <si>
    <r>
      <t xml:space="preserve">1 </t>
    </r>
    <r>
      <rPr>
        <sz val="10"/>
        <rFont val="Times New Roman"/>
        <family val="1"/>
        <charset val="204"/>
      </rPr>
      <t>Будівни́цтво — спорудження нового об'єкта, реконструкція, розширення, добудова, реставрація об'єктів, виконання монтажних робіт за рахунок власних коштів місцевих бюджетів.</t>
    </r>
  </si>
  <si>
    <t>Внески до статутного капіталу МКП "Хмельницькводоканал" (придбання насосного обладнання)</t>
  </si>
  <si>
    <t>Реконструкція каналізаційно-насосної станції з мережами водопроводу та каналізації в мікрорайоні "Лезнево" м.Хмельницький</t>
  </si>
  <si>
    <t>Програма утримання та розвитку житлово-комунального господарства м.Хмельницького на 2017-2020 роки. Програма економічного та соціального розвитку міста Хмельницького на 2018 рік</t>
  </si>
  <si>
    <t>Програма утримання та розвитку житлово-комунального господарства м.Хмельницького на 2017-2020 роки.</t>
  </si>
  <si>
    <t xml:space="preserve">Програма розвитку міського електротранспорту м. Хмельницького на 2016-2020 роки. </t>
  </si>
  <si>
    <t>Повернення кредитів до міського бюджету  та розподіл надання кредитів 
з міського бюджету  в  2018 році</t>
  </si>
  <si>
    <t>видатків бюджету міста Хмельницького на 2018 рік</t>
  </si>
  <si>
    <t>Перелік об’єктів, видатки на які у 2018  році будуть проводитися за рахунок коштів бюджету розвитку</t>
  </si>
  <si>
    <t xml:space="preserve">Перелік місцевих програм, які фінансуватимуться за рахунок коштів
бюджету міста Хмельницького  у 2018 році
</t>
  </si>
  <si>
    <t>Будівництво локальних очисних споруд зливових стоків та покращення стану існуючої дощової каналізації міста (експертиза проекту "Будівництво колектора на витоках зливової каналізації від вул.Кам‘янецької до вул. Свободи в районі вул.Прибузької")</t>
  </si>
  <si>
    <t>Роботи, пов’язані зі збором, перевезенням, зберіганням та передачею для подальшої утилізації небезпечних відходів які утворюються в побуті  (відпрацьовані енергозберігаючі лампи, термометри, батарейки тощо)</t>
  </si>
  <si>
    <t>0217670</t>
  </si>
  <si>
    <t>Внески до статутного капіталу МКП "Хмельницькводоканал" (технічне переоснащення ГКНС по вул.Трудовій,6 м.Хмельницький з улаштуванням енергозберігаючого насосного агрегату з частотним перетворювачем та системою автоматизації)</t>
  </si>
  <si>
    <t>Програма бюджетування за участі громадськості (Бюджет участі) міста Хмельницького на 2017-2019 роки</t>
  </si>
  <si>
    <t>Наукові дослідження, проектні та проектно-конструкторські розроблення (виготовлення проектів землеустрою щодо відведення земельних ділянок під парки, сквери, зелені зони)</t>
  </si>
  <si>
    <t>%</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</si>
  <si>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та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 </t>
  </si>
  <si>
    <t xml:space="preserve">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вивезення побутового сміття та рідких нечистот за рахунок відповідної субвенції з державного бюджету </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</si>
  <si>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</si>
  <si>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t>
  </si>
  <si>
    <t>Забезпечення діяльності інших закладів у сфері освіти</t>
  </si>
  <si>
    <t>0611161</t>
  </si>
  <si>
    <t>1161</t>
  </si>
  <si>
    <t>Забезпечення діяльності інших закладів у сфері охорони здоров’я</t>
  </si>
  <si>
    <t>Інші програми та заходи у сфері охорони здоров’я</t>
  </si>
  <si>
    <t>0712151</t>
  </si>
  <si>
    <t>0712152</t>
  </si>
  <si>
    <t>2151</t>
  </si>
  <si>
    <t>2152</t>
  </si>
  <si>
    <t>Надання допомоги по догляду за особами з інвалідністю I чи II групи внаслідок психічного розладу</t>
  </si>
  <si>
    <t>Видатки на поховання учасників бойових дій та осіб з інвалідністю внаслідок війни</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</si>
  <si>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</si>
  <si>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 xml:space="preserve">Надання реабілітаційних послуг особам з інвалідністю та дітям з інвалідністю </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</si>
  <si>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</si>
  <si>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0813170</t>
  </si>
  <si>
    <t>3170</t>
  </si>
  <si>
    <t>Забезпечення реалізації окремих програм для осіб з інвалідністю</t>
  </si>
  <si>
    <t>0813171</t>
  </si>
  <si>
    <t>3171</t>
  </si>
  <si>
    <t>0813172</t>
  </si>
  <si>
    <t>3172</t>
  </si>
  <si>
    <t>0813190</t>
  </si>
  <si>
    <t>3190</t>
  </si>
  <si>
    <t>0813192</t>
  </si>
  <si>
    <t>3192</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</si>
  <si>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t>
  </si>
  <si>
    <t>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</si>
  <si>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0813241</t>
  </si>
  <si>
    <t>0813242</t>
  </si>
  <si>
    <t>0813240</t>
  </si>
  <si>
    <t>3240</t>
  </si>
  <si>
    <t>3241</t>
  </si>
  <si>
    <t>3242</t>
  </si>
  <si>
    <t>Забезпечення діяльності інших закладів у сфері соціального захисту і соціального забезпечення</t>
  </si>
  <si>
    <t>Інші заходи у сфері соціального захисту і соціального забезпечення</t>
  </si>
  <si>
    <t xml:space="preserve">Забезпечення діяльності інших закладів в галузі культури і мистецтва </t>
  </si>
  <si>
    <t>1014081</t>
  </si>
  <si>
    <t>4081</t>
  </si>
  <si>
    <t>1014082</t>
  </si>
  <si>
    <t>4082</t>
  </si>
  <si>
    <t>Інші заходи в галузі культури і мистецтва</t>
  </si>
  <si>
    <t>Інші програми та заходи у сфері освіти</t>
  </si>
  <si>
    <t>0611162</t>
  </si>
  <si>
    <t>1162</t>
  </si>
  <si>
    <t>7691</t>
  </si>
  <si>
    <t>0217691</t>
  </si>
  <si>
    <t xml:space="preserve">Субвенція з місцевого бюджету на здійснення переданих видатків у сфері охорони здоров"я за рахунок коштів медичної субвенції </t>
  </si>
  <si>
    <t xml:space="preserve">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t>
  </si>
  <si>
    <t>Заходи із запобігання та ліквідації надзвичайних ситуацій та наслідків стихійного лиха</t>
  </si>
  <si>
    <t>1116080</t>
  </si>
  <si>
    <t xml:space="preserve">Реалізація державних та місцевих житлових програм </t>
  </si>
  <si>
    <t>6080</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</si>
  <si>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</si>
  <si>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0610</t>
  </si>
  <si>
    <t>6084</t>
  </si>
  <si>
    <t>1116084</t>
  </si>
  <si>
    <t xml:space="preserve">Джерела фінансування міського бюджету на 2018 рік </t>
  </si>
  <si>
    <t>Виготовлення ПКД на реконструкцію існуючої системи опалення ЗОШ №29 м.Хмельницького</t>
  </si>
  <si>
    <t>Будівництво міні-футбольного поля та двох баскетбольних майданчиків з тенісними кортами на території СКЦ "Плоскирів" по вул.Курчатова, 90 в м.Хмельницькому, в тому числі виготовлення проектно-кошторисної документації</t>
  </si>
  <si>
    <t>Реконструкція скидного колектора  та розчистка р. Плоскої з метою здійснення заходів щодо відновлення  і підтримання сприятливого гідрологічного  режиму та санітарного стану річки в м. Хмельницький</t>
  </si>
  <si>
    <t xml:space="preserve">Кошти від продажу земельних ділянок  несільськогосподарського призначення, що перебувають у державній або комунальній власності </t>
  </si>
  <si>
    <t xml:space="preserve">Інші субвенції з місцевого  бюджету, в тому числі: </t>
  </si>
  <si>
    <t>Внески до статутного капіталу МКП "Хмельницькінфоцентр" (встановлення камер відеоспостереження)</t>
  </si>
  <si>
    <t>Внески до статутного капіталу МКП "Хмельницькінфоцентр" (реконструкція волоконно-оптичної лінії зв’язку І та ІІ черги в м.Хмельницькому)</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</si>
  <si>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</si>
  <si>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 xml:space="preserve">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дотації з державного бюджету </t>
  </si>
  <si>
    <t>1217330</t>
  </si>
  <si>
    <t>Будівництво інших об"єктів соціальної та виробничої інфраструктури комунальної власності</t>
  </si>
  <si>
    <t>Будівництво очисних споруд для очищення зливових, дощових і талих вод в м. Хмельницькому від вул. Кам'янецької до вул. Трудової</t>
  </si>
  <si>
    <t>Будівництво інших об'єктів соціальної та виробничої інфраструктури комунальної власності</t>
  </si>
  <si>
    <t xml:space="preserve"> Програма економічного та соціального розвитку міста Хмельницького на 2018 рік</t>
  </si>
  <si>
    <t xml:space="preserve">Дотації з місцевих бюджетів іншим місцевим бюджетам </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</si>
  <si>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фонди, утворені Верховною Радою Автономної Республіки Крим, органами</t>
  </si>
  <si>
    <t xml:space="preserve">  місцевого самоврядування і місцевими органами виконавчої влади</t>
  </si>
  <si>
    <t>Амбулаторно-поліклінічна допомога населенню, крім первинної медичної допомоги</t>
  </si>
  <si>
    <t>Первинна медична допомога населенню</t>
  </si>
  <si>
    <t>0726</t>
  </si>
  <si>
    <t>Надання допомоги сім'ям з дітьми, малозабезпеченим сім’ям, тимчасової допомоги дітям</t>
  </si>
  <si>
    <t>0813083</t>
  </si>
  <si>
    <t>3083</t>
  </si>
  <si>
    <t>Надання державної соціальної допомоги особам з інвалідністю з дитинства та дітям з інвалідністю</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</si>
  <si>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t>
  </si>
  <si>
    <t xml:space="preserve">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</si>
  <si>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0813081</t>
  </si>
  <si>
    <t>3081</t>
  </si>
  <si>
    <t>0813085</t>
  </si>
  <si>
    <t>3085</t>
  </si>
  <si>
    <t>0813084</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</si>
  <si>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</si>
  <si>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</si>
  <si>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</si>
  <si>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</si>
  <si>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Встановлення телефонів особам з інвалідністю I і II груп</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</si>
  <si>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</si>
  <si>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3180</t>
  </si>
  <si>
    <t>0813180</t>
  </si>
  <si>
    <t>Надання фінансової підтримки громадським організаціям ветеранів і осіб з інвалідністю, діяльність яких має соціальну спрямованість</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</si>
  <si>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</si>
  <si>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</si>
  <si>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2717370</t>
  </si>
  <si>
    <t>7370</t>
  </si>
  <si>
    <t>Спортивний майданчик для міні-футболу зі штучним покриттям на території ЗОШ І-ІІІ ступенів №8 по вул. Я.Гальчевського, 34, м.Хмельницький - будівництво</t>
  </si>
  <si>
    <t>Будівництво на кладовищі надгробків на могилах загиблих учасників АТО</t>
  </si>
  <si>
    <t>Будівництво на кладовищі надгробка на могилі Шоханова А.Г.</t>
  </si>
  <si>
    <t>Будівництво на кладовищі надгробка на могилі Комарницького З.А.</t>
  </si>
  <si>
    <t>1113133</t>
  </si>
  <si>
    <t>3133</t>
  </si>
  <si>
    <t>Інші заходи та заклади молодіжної політики</t>
  </si>
  <si>
    <t>Управління економіки Хмельницької міської ради (головний розпорядник)</t>
  </si>
  <si>
    <t>Управління економіки Хмельницької міської ради (відповідальний виконавець)</t>
  </si>
  <si>
    <t>Управління земельних ресурсів та земельної реформи департаменту архітектури, містобудування та земельних ресурсів (головний розпорядник)</t>
  </si>
  <si>
    <t>Управління земельних ресурсів та земельної реформи департаменту архітектури, містобудування та земельних ресурсів (відповідальний розпорядник)</t>
  </si>
  <si>
    <t xml:space="preserve">Зовнішнє фінансування </t>
  </si>
  <si>
    <t xml:space="preserve">Позики, надані міжнародними організаціями </t>
  </si>
  <si>
    <t>Одержано позик</t>
  </si>
  <si>
    <t xml:space="preserve">Погашено позик </t>
  </si>
  <si>
    <t xml:space="preserve">Разом коштів, отриманих з усіх джерел фінансування бюджету за типом кредитора </t>
  </si>
  <si>
    <t xml:space="preserve">Фінансування бюджету за типом кредитора </t>
  </si>
  <si>
    <t xml:space="preserve">Фінансування бюджету за типом боргового зобов"язання </t>
  </si>
  <si>
    <t>Зовнішні запозичення</t>
  </si>
  <si>
    <t xml:space="preserve">Середньострокові зобов"язання </t>
  </si>
  <si>
    <t xml:space="preserve">Погашення </t>
  </si>
  <si>
    <t>Зовнішні зобов"язання</t>
  </si>
  <si>
    <t xml:space="preserve">Субвенція з місцевого бюджету за рахунок залишку коштів освітньої субвенції, що утворився на початок бюджетного періоду </t>
  </si>
  <si>
    <t xml:space="preserve">Субвенція з місцевого бюджету на надання державної підтримки особам з особливими потребами за рахунок відповідної субвенції з державного бюджету </t>
  </si>
  <si>
    <t>0170</t>
  </si>
  <si>
    <t>Обслуговування місцевого боргу</t>
  </si>
  <si>
    <t>0712140</t>
  </si>
  <si>
    <t>2140</t>
  </si>
  <si>
    <t xml:space="preserve">Програми і централізовані заходи у галузі охорони здоров’я </t>
  </si>
  <si>
    <t>0712144</t>
  </si>
  <si>
    <t>2144</t>
  </si>
  <si>
    <t>Централізовані заходи з лікування хворих на цукровий та
нецукровий діабет</t>
  </si>
  <si>
    <t>Відшкодування вартості лікарських засобів для лікування
окремих захворювань</t>
  </si>
  <si>
    <t>2146</t>
  </si>
  <si>
    <t>0712146</t>
  </si>
  <si>
    <t>Довгострокові кредити громадянам на будівництво / реконструкцію / придбання житла та їх повернення</t>
  </si>
  <si>
    <t>1118840</t>
  </si>
  <si>
    <t>8840</t>
  </si>
  <si>
    <t>1118841</t>
  </si>
  <si>
    <t>1118842</t>
  </si>
  <si>
    <t>8841</t>
  </si>
  <si>
    <t>8842</t>
  </si>
  <si>
    <t>0719770</t>
  </si>
  <si>
    <t>9770</t>
  </si>
  <si>
    <t>Інші субвенції з місцевого бюджету</t>
  </si>
  <si>
    <t>Реставрація приміщення з надбудовою мансардного поверху Хмельницької дитячої музичної школи №1 ім. М. Мозгового (колишній кінотеатр "Модерн") по вул.Проскурівській, 18 в м.Хмельницькому</t>
  </si>
  <si>
    <t>Виготовлення проектно-кошторисної документації для реконструкції будинку молоді  "Проскурів" під Центр національно-патріотичного виховання дітей і молоді ім. Р.Шухевича на вул.Хотовицького, 2А в м. Хмельницькому</t>
  </si>
  <si>
    <t xml:space="preserve">Виготовлення проектно-кошторисної документації на будівництво багаторівневого паркінгу з вбудованими громадськими приміщеннями на вул. Проскурівського підпілля, 34 в м.Хмельницькому </t>
  </si>
  <si>
    <t>Топо-геодезичні вишукування площадки забудови та робочий проект на реконструкцію будівлі поліклініки Хмельницького міського лікувально-діагностичного центру під заклад паліативної медицини (ХОСПІС) за адресою: м.Хмельницький, вул.Б.Олійника, 191 (вул.Вокзальна)</t>
  </si>
  <si>
    <t>Реконструкція частини корпусу поліклініки Хмельницької міської дитячої лікарні під відділення стоматології по вул. Степана Разіна,1 в м.Хмельницькому</t>
  </si>
  <si>
    <t>Робочий проект  на реконструкцію вентиляційної системи Хмельницької міської поліклініки №4 по вул.Молодіжна, 9 в м.Хмельницькому</t>
  </si>
  <si>
    <t>Реконструкція вентиляційної системи Хмельницької міської поліклініки №4 по вул.Молодіжна, 9 в м.Хмельницькому</t>
  </si>
  <si>
    <t>Робочий проект з інженерними вишукуваннями на реконструкцію площадки для стоянки автомобілів Хмельницької міської поліклініки №4 по вул.Молодіжна, 9 в м.Хмельницькому</t>
  </si>
  <si>
    <t>Реконструкція площадки для стоянки автомобілів Хмельницької міської поліклініки №4 по вул.Молодіжна, 9 в м.Хмельницькому</t>
  </si>
  <si>
    <t>Програма створення та розвитку індустріального парку "Хмельницький"</t>
  </si>
  <si>
    <t>Розробка техніко-економічного обгрунтування на будівництво сміттєпереробного заводу</t>
  </si>
  <si>
    <t>Виготовлення робочого проекту на спорудження пам'ятника "Скіфський курган - історія наших предків" по вул.Проспект Миру, 102 в м.Хмельницькому</t>
  </si>
  <si>
    <t>Фінансова підтримка кінематографії</t>
  </si>
  <si>
    <t>1014070</t>
  </si>
  <si>
    <t>4070</t>
  </si>
  <si>
    <t>0823</t>
  </si>
  <si>
    <t>Внески до статутного капіталу суб'єктів господарювання</t>
  </si>
  <si>
    <t>1017670</t>
  </si>
  <si>
    <t>Програма підтримки книговидання місцевих авторів та популяризації української книги у м.Хмельницькому на 2018-2020 роки "Читай українською"</t>
  </si>
  <si>
    <t>Завершення будівництва нежитлового приміщення з влаштуванням зовнішніх мереж та футбольного і тренажерного майданчиків на водно-спортивній станції по вул.Нижній Береговій, 2/1 в м.Хмельницькому</t>
  </si>
  <si>
    <t>0219800</t>
  </si>
  <si>
    <t>9800</t>
  </si>
  <si>
    <t>Субвенція з місцевого бюджету державному бюджету на виконання програм соціально-економічного розвитку регіонів</t>
  </si>
  <si>
    <t>Комплексна програма мобілізації зусиль Хмельницької міської ради та Державної податкової інспекції у м.Хмельницькому Головного управління Державної фіскальної служби у Хмельницькій області по забезпеченню надходжень до бюджетів усіх рівнів на 2016-2020 рр</t>
  </si>
  <si>
    <t>Програма забезпечення охорони прав і свобод людини, профілактики злочинності та підтримання публічної безпеки і порядку на території міста Хмельницького на 2016-2020 роки</t>
  </si>
  <si>
    <t>Програма військово-патріотичного виховання мешканців міста Хмельницького на 2016-2020 роки</t>
  </si>
  <si>
    <t>Комплексна програма профілактики, попередження адміністративних правопорушень та покращення забезпечення громадського правопорядку для жителів міста Хмельницького на 2016-2020 роки</t>
  </si>
  <si>
    <t>Цільова програма попередження виникнення надзвичайних ситуацій та забезпечення пожежної і техногенної безпеки об'єктів усіх форм власності, розвитку інфраструктури пожежно-рятувальних підрозділів у м.Хмельницькому на 2016-2020 роки</t>
  </si>
  <si>
    <t>Програма щодо забезпечення належних комунально-побутових умов засуджених та осіб, узятих під варту, які утримуються в Хмельницькому слідчому ізоляторі на 2017-2020 роки</t>
  </si>
  <si>
    <t>Програма забезпечення антитерористичного та протидиверсійного захисту важливих державних об'єктів, місць масового перебування людей, об'єктів критичної та транспортної інфраструктури м. Хмельницького на 2017-2018 роки</t>
  </si>
  <si>
    <t>0816080</t>
  </si>
  <si>
    <t>Реалізація державних та місцевих житлових програм</t>
  </si>
  <si>
    <t>6082</t>
  </si>
  <si>
    <t>Придбання житла для окремих категорій населення відповідно до законодавства</t>
  </si>
  <si>
    <t>0816082</t>
  </si>
  <si>
    <t>Створення цифрових інженерно-топографічних планів масштабу 1:2000 з цифровою точністю 1:500 та створення 3D будівель міста</t>
  </si>
  <si>
    <t>Проведення експертизи містобудівної документації "Коригування (внесення змін) генерального плану м.Хмельницький"</t>
  </si>
  <si>
    <t>3617650</t>
  </si>
  <si>
    <t>7650</t>
  </si>
  <si>
    <t>Проведення експертної грошової оцінки земельної ділянки чи права на неї</t>
  </si>
  <si>
    <t>Проведення аерофототопографічної зйомки території міста Хмельницького</t>
  </si>
  <si>
    <t>Заходи з озеленення міста</t>
  </si>
  <si>
    <t>Реконструкція станції прийому рідких побутових відходів по вул.Трудовій, 6а</t>
  </si>
  <si>
    <t>Реконструкція і розширення приміщень, огорож і вольєрів для утримання тварин зоокуточку в парку ім.Чекмана</t>
  </si>
  <si>
    <t>0813082</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</si>
  <si>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</si>
  <si>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</si>
  <si>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Будівництво дошкільного навчального закладу на 120 місць по провулку Шостаковича, 28-А в м. Хмельницькому</t>
  </si>
  <si>
    <t>Реконструкція недобудованого плавального басейну школи № 20 під дитячий дошкільний заклад на 6 груп по вул.Ричка, 1 в м. Хмельницькому</t>
  </si>
  <si>
    <t>Реконструкція приміщень НВО №1 по вул. Старокостянтинівське шосе, 3Б в м. Хмельницькому (в тому числі коригування проектно-кошторисної документації)</t>
  </si>
  <si>
    <t xml:space="preserve"> Будівництво (влаштування) двох футбольних полів та спортивного комплексу Хмельницької ДЮСШ №1 на вул. Зарічанській,11/5, в м. Хмельницькому, в т.ч. виготовлення проектно-кошторисної документації</t>
  </si>
  <si>
    <t xml:space="preserve">Будівництво Палацу спорту по вул.Прибузькій, 5/1А в м.Хмельницькому, в т.ч. виготовлення проектно-кошторисної документації </t>
  </si>
  <si>
    <t xml:space="preserve">   Будівництво Льодового палацу  по вул.Прибузькій, 7/3А в м.Хмельницькому, в т.ч. виготовлення проектно-кошторисної документації</t>
  </si>
  <si>
    <t>Виготовлення проектно-кошторисної документації на будівництво каналізаційних мереж в мікрорайоні Озерна в м. Хмельницькому</t>
  </si>
  <si>
    <t>Будівництво магістральної дороги на вул. Січових стрільців в м. Хмельницькому</t>
  </si>
  <si>
    <t>Реконструкція  вбудовано-прибудованої аптеки під адміністративне приміщення управління адміністративних послуг Хмельницької міської ради  по вул. Кам"янецькій, 38 в м. Хмельницькому</t>
  </si>
  <si>
    <t>Внески до статутного капіталу комунального підприємства по будівництву, ремонту та експлуатації доріг (Придбання обладнання )</t>
  </si>
  <si>
    <t>Внески до статутного капіталу ХКП "Міськсвітло" (Придбання обладнання та оснащення для святкового оформлення міста)</t>
  </si>
  <si>
    <t>Внески до статутного капіталу ХКП "Міськсвітло" (Придбання радіостанції автомобільної)</t>
  </si>
  <si>
    <t>Внески до статутного капіталу ХКП "Міськсвітло" (Придбання автокрану)</t>
  </si>
  <si>
    <t>Внески до статутного капіталу ХКП "Міськсвітло" (Придбання комплекту лінійного передавача з індукційними кліщами)</t>
  </si>
  <si>
    <t>Внески до статутного капіталу ХКП "Спецкомунтранс" (придбання контейнерів)</t>
  </si>
  <si>
    <t>Внески до статутного капіталу ХКП "Спецкомунтранс" (придбання вантажного фургону)</t>
  </si>
  <si>
    <t>Внески до статутного капіталу ХКП "Спецкомунтранс" (придбання легкового фургону)</t>
  </si>
  <si>
    <t>Внески до статутного капіталу СКП "Хмельницька міська ритуальна служба" (Придбання малогабаритної бурової установки )</t>
  </si>
  <si>
    <t>Внески до статутного капіталу КП "Парки і сквери міста Хмельницького" (Придбання контейнерів)</t>
  </si>
  <si>
    <t>Внески до статутного капіталу МКП "Хмельницькводоканал" (реконструкція ділянки каналізаційної мережі від колодязя № 390 по вул. Чорновола,95/1 до колодязя № 386 по вул. Гальчевського в м. Хмельницький)</t>
  </si>
  <si>
    <t>Внески до статутного капіталу МКП "Хмельницькводоканал" (реконструкція самопливного каналізаційного колектора діаметром 800 мм від колодязя № 554а до КНС-2 по вул. Паркова, 64 у м. Хмельницький)</t>
  </si>
  <si>
    <t>Внески до статутного капіталу МКП "Хмельницькводоканал" (будівництво самопливного каналізаційного колектора  від ж.б. № 15 по пров. Польовий до ж.б. № 45 по вул. Залізнична в м. Хмельницький)</t>
  </si>
  <si>
    <t>Внески до статутного капіталу МКП "Хмельницькводоканал" (будівництво самопливних каналізаційних колекторів від ж.б. № 16, №16/1 по вул. Інститутська в м. Хмельницький)</t>
  </si>
  <si>
    <t>Внески до статутного капіталу МКП "Хмельницькводоканал" (будівництво вуличних мереж водопостачання та каналізації житлових будинків вул. Лісна, прв. Лісний, вул. Підгірна, прв. Садовий, в м. Хмельницький)</t>
  </si>
  <si>
    <t>Внески до статутного капіталу КП "Південно-Західні тепломережі"  (Реконструкція теплової мережі від ТК-9 до приміщення піцерії по вул. Курчатова, 1А в м. Хмельницькому)</t>
  </si>
  <si>
    <t>Внески до статутного капіталу КП "Південно-Західні тепломережі"  (Технічне переоснащення котла ТВГ-8 з заміною пальників і автоматики в котельні по вул. Тернопільській, 14/3 в м. Хмельницькому)</t>
  </si>
  <si>
    <t>Внески до статутного капіталу міського комунального аварійно-технічного підприємства (придбання  автомобіля)</t>
  </si>
  <si>
    <t>Внески до статутного капіталу Комунального підприємства «Управляюча муніципальна компанія «Центральна» Хмельницької міської (придбання мотокоси)</t>
  </si>
  <si>
    <t>Внески до статутного капіталу Комунального підприємства «Управляюча муніципальна компанія «Проскурівська» Хмельницької міської (придбання мотокос)</t>
  </si>
  <si>
    <t>Внески до статутного капіталу Комунального підприємства «Управляюча муніципальна компанія «Південно-Західна» Хмельницької міської (придбання мотокос)</t>
  </si>
  <si>
    <t>Внески до статутного капіталу Комунального підприємства «Управляюча муніципальна компанія «Дубове» Хмельницької міської (придбання мотокос)</t>
  </si>
  <si>
    <t>Внески до статутного капіталу Комунального підприємства «Управляюча муніципальна компанія «Заріччя» Хмельницької міської (придбання мотокос)</t>
  </si>
  <si>
    <t>Внески до статутного капіталу Комунального підприємства «Управляюча муніципальна компанія «Озерна» Хмельницької міської (придбання мотокос)</t>
  </si>
  <si>
    <t>Внески до статутного капіталу Комунального підприємства «Управляюча муніципальна компанія «Будівельник» Хмельницької міської (придбання мотокос)</t>
  </si>
  <si>
    <t>Внески до статутного капіталу міського комунального підприємства "Муніципальна дружина" (придбання комп"ютерного обладнання в комплекті)</t>
  </si>
  <si>
    <t>Робочий проект на реконструкцію будівлі ДЮСШ №3 по заміні конструкції даху над спортивним залом по вул. Прибузькій, 3/1 в м.Хмельницькому</t>
  </si>
  <si>
    <t>Залишок коштів на 01.01.2018 року</t>
  </si>
  <si>
    <t xml:space="preserve">Разом коштів, отриманих з усіх джерел фінансування бюджету за типом боргового зобов"язання </t>
  </si>
  <si>
    <t>Внески до статутного капіталу МКП "Хмельницькводоканал" (будівництво вуличних мереж водовідведення по вул. О. Кошового та Черняховського у м. Хмельницький  (70% від загальної кошторисної вартості проекту))</t>
  </si>
  <si>
    <t>Внески до статутного капіталу МКП "Хмельницькводоканал" (будівництво вуличних мереж водопроводу діаметром 110 мм  по вул. Дачна в м.Хмельницький)</t>
  </si>
  <si>
    <t>Внески до статутного капіталу МКП "Хмельницьктеплокомуненерго" (капітальний ремонт теплової мережі по вул. Кармелюка від ТК27 до ТК 33 із заміною труб на попередньоізольовані, м. Хмельницький)</t>
  </si>
  <si>
    <t xml:space="preserve">Внески до статутного капіталу МКП "Хмельницьктеплокомуненерго" (реконструкція  теплової мережі по вул.Зарічанській ,8  із заміною труб на попередньоізольовані, м. Хмельницький)  </t>
  </si>
  <si>
    <t xml:space="preserve">Всього за типом боргового зобов"язання </t>
  </si>
  <si>
    <t>Будівництво свердловини для господарсько-питного водопостачання ПНЗ ДЮОК "Чайка"</t>
  </si>
  <si>
    <t>Програма розвитку і функціонування української мови на 2016-2020 роки у місті Хмельницькому</t>
  </si>
  <si>
    <t xml:space="preserve">до рішення  №        від         2018 року </t>
  </si>
  <si>
    <t>Внески до статутного капіталу МКП "Хмельницькводоканал" (реконструкція самопливного каналізаційного колектора на площі С.Бандери в м.Хмельницький)</t>
  </si>
  <si>
    <t>Внески до статутного капіталу МКП "Хмельницькводоканал" (будівництво вуличних мереж водопостачання мікрорайону Лезневе у м.Хмельницькому)</t>
  </si>
  <si>
    <t>Внески до статутного капіталу МКП "Хмельницькводоканал" (будівництво вуличних мереж водовідведення напірних каналізаційних колекторів, каналізаційно-насосної станції, електропостачання КНС мікрорайону Дубове у м.Хмельницький)</t>
  </si>
  <si>
    <t>Внески до статутного капіталу МКП "Хмельницькводоканал" (будівництво вуличних мереж водовідведення по вул. Гагаріна (школа № 32) в м.Хмельницький)</t>
  </si>
  <si>
    <t>Внески до статутного капіталу МКП "Хмельницькводоканал" (будівництво водопроводу по вул. Митрополита Шептицького (мкр-н "Дубове-1") в м.Хмельницький)</t>
  </si>
  <si>
    <t>Будівництво навчально-виховного комплексу на вул. Залізняка, 32 в м.Хмельницькому</t>
  </si>
  <si>
    <t>Виготовлення проектно-кошторисної документації для будівництва спеціалізованого залу боксу на території спортивного комплексу "Поділля" , ДЮСШ №1 по вул.Проскурівській, 81  в м.Хмельницькому</t>
  </si>
  <si>
    <t>Будівництво самопливного і напірного колекторів та каналізаційної насосної станції продуктивністю 1500 куб.м/добу на житловому масиві "Лезнево 1,2" в м.Хмельницькому</t>
  </si>
  <si>
    <t>Виготовлення проектно-кошторисної документації  на будівництво переходу через залізницю в продовження Старокостянтинівського шосе в м.Хмельницькому</t>
  </si>
  <si>
    <t>Виготовлення проектно-кошторисної документації на будівництво вулиці між вулицями Свободи та Старокостянтинівським шосе в м.Хмельницькому</t>
  </si>
  <si>
    <t>Будівництво автодорожнього тунелю під залізничними коліями на перегоні Хмельницький-Гречани ПК-12256+71.00 в м.Хмельницькому</t>
  </si>
  <si>
    <t>Будівництво підпірної стінки біля 130-ти квартирного житлового  будинку по вул.Лісогринівецькій,16 в м.Хмельницькому</t>
  </si>
  <si>
    <t>Внески до статутного капіталу МКП "Хмельницьктеплокомуненерго" (капітальний ремонт котельні по вул. Водопровідній, 48, м. Хмельницький)</t>
  </si>
  <si>
    <t>Внески до статутного капіталу МКП "Хмельницьктеплокомуненерго" (технічне переоснащення котельні по вул. Бандери, 32/1, м .Хмельницький)</t>
  </si>
  <si>
    <t xml:space="preserve">Внески до статутного капіталу МКП "Хмельницьктеплокомуненерго"  (реконструкція котельні по вул. Сковороди, 11 м. Хмельницький) </t>
  </si>
  <si>
    <t>Внески до статутного капіталу МКП "Хмельницьктеплокомуненерго" (технічне переоснащення когенераційної установки в котельні по вул. Свободи, 44 м. Хмельницький)</t>
  </si>
  <si>
    <t>Внески до статутного капіталу МКП "Хмельницьктеплокомуненерго" (технічне переоснащення когенераційної установки в котельні по вул. Водопровідній, 48 м. Хмельницький)</t>
  </si>
  <si>
    <t>Внески до статутного капіталу МКП "Хмельницьктеплокомуненерго" (реконструкція центрального теплового пункту по вул. Прибузькій, 6 під котельню, м. Хмельницький)</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</si>
  <si>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</si>
  <si>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Додаток № 4
до рішення  №          від                     2018 року</t>
  </si>
  <si>
    <t xml:space="preserve">Додаток № 5
до рішення №              від                 2018 року
</t>
  </si>
  <si>
    <t>Додаток №8
до рішення №        від             2018 року</t>
  </si>
  <si>
    <t>Виготовлення проектно-кошторисної документації на будівництво  вулиці Мельникова (від вул. Зарічанської до вул. Трудової) в м. Хмельницькому</t>
  </si>
  <si>
    <t>Виготовлення проектно-кошторисної документації на будівництво вулиці  в продовження вулиці Гагаріна та провулку Гагаріна в м. Хмельницькому</t>
  </si>
  <si>
    <t>Виготовлення проектно-кошторисної документації на будівництво  вулиці від вулиці Степана Бандери до вулиці Західно-Окружної в м. Хмельницькому</t>
  </si>
  <si>
    <t>Виготовлення проектно-кошторисної документації на будівництво вулиці  Лісогринівецької (від вул. С.Бандери до Старокостянтинівського шосе) в м. Хмельницькому</t>
  </si>
  <si>
    <t>Проведення експертизи проектної документації на будівництво спортивних майданчиків для міні-футболу зі штучним покриттям</t>
  </si>
  <si>
    <t>Спортивний майданчик для міні-футболу зі штучним покриттям по вул.Львівське шосе, 47/4, м.Хмельницький - будівництво</t>
  </si>
  <si>
    <t>Будівництво двох міні-футбольних майданчиків дитячо-юнацької спортивної школи №1 по вул.Спортивній, 17 в м.Хмельницькому (коригування)</t>
  </si>
  <si>
    <t>Внески до статутного капіталу ХКП "Спецкомунтранс" (на виготовлення проекту "Реконструкція полігону твердих побутових відходів м. Хмельницького з метою запобігання виникнення надзвичайної аварійної ситуації")</t>
  </si>
  <si>
    <t>Внески до статутного капіталу МКП "Хмельницькводоканал" (реконструкція РУ-6 кВ МКП "Хмельницькводоканал" в с. Чернелівка Красилівського району Хмельницької області)</t>
  </si>
  <si>
    <t>Програма шефської допомоги військовим частинам Збройних Сил України,  Національної гвардії України, які розташовані на території м.Хмельницького на 2018-2019 роки</t>
  </si>
  <si>
    <t>Організація та проведення громадських робіт</t>
  </si>
  <si>
    <t>0213210</t>
  </si>
  <si>
    <t>3210</t>
  </si>
  <si>
    <t>1050</t>
  </si>
  <si>
    <t>Управління капітального будівництва Департаменту архітектури, містобудування та земельних ресурсів Хмельницької міської ради (відповідальний виконавець)</t>
  </si>
  <si>
    <t>Управління капітального будівництва Департаменту архітектури, містобудування та земельних ресурсів Хмельницької міської ради (головний розпорядник)</t>
  </si>
  <si>
    <t>Управління капітального будівництва Департаменту архітектури, містобудування та земельних ресурсів Хмельницької міської ради  (відповідальний виконавець)</t>
  </si>
  <si>
    <t>Реконструкція покрівлі казарми №25/258 в/ч А0661 Хмельницького гарнізону КЕВ по вул. Чорновола, 192А в м.Хмельницькому</t>
  </si>
  <si>
    <t xml:space="preserve">Реконструкція з добудовою їдальні до існуючого приміщення спеціалізованої загальноосвітньої школи І-ІІІ ступенів №8 по вул. Я.Гальчевського, 34 в м.Хмельницькому </t>
  </si>
  <si>
    <t>Субвенція з державного бюджету місцевим бюджетам за здійснення заходів щодо соціально-економічного розвитку окремих територій (Будівництво навчально-виховного комплексу на вул. Залізняка, 32 в м.Хмельницькому)</t>
  </si>
  <si>
    <t>Субвенція з державного бюджету місцевим бюджетам на будівництво/реконструкцію палаців спорту у 2018 році (Будівництво Палацу спорту по вул.Прибузькій, 5/1А в м.Хмельницькому, в т.ч. виготовлення проектно-кошторисної документації )</t>
  </si>
  <si>
    <t>0216083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</si>
  <si>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</si>
  <si>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</si>
  <si>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0216080</t>
  </si>
  <si>
    <t>Поточні</t>
  </si>
  <si>
    <t>КЕКВ 2111</t>
  </si>
  <si>
    <t>КЕКВ 2270</t>
  </si>
  <si>
    <t>Грошова компенсація за належні для отримання жилі приміщення для окремих категорій населення відповідно до законодавства</t>
  </si>
  <si>
    <t>0813220</t>
  </si>
  <si>
    <t>3220</t>
  </si>
  <si>
    <t>0813221</t>
  </si>
  <si>
    <t>3221</t>
  </si>
  <si>
    <t>Грошова компенсація за належні для отримання жилі приміщення для сімей загиблих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t>
  </si>
  <si>
    <t>контузії, каліцтва або захворювання, одержаних під час безпосередньої участі в антитерористичній операції, забезпеченні її проведення, визначених пунктами 11 - 14 частини другої статті 7 Закону України "Про статус ветеранів війни, гарантії їх соціального</t>
  </si>
  <si>
    <t>захисту", та які потребують поліпшення житлових умов</t>
  </si>
  <si>
    <t>контузії, каліцтва або захворювання, одержаних під час безпосередньої участі в антитерористичній операції, забезпеченні її проведення, визначених пунктами 11 - 14 частини другої статті 7 Закону України "Про статус ветеранів війни, гарантії їх соціального захисту", та які</t>
  </si>
  <si>
    <t xml:space="preserve"> потребують поліпшення житлових умов</t>
  </si>
  <si>
    <t xml:space="preserve">Плата за встановлення земельного сервітуту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</si>
  <si>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t>
  </si>
  <si>
    <t xml:space="preserve">Субвенція з державного бюджету місцевим бюджетам на здійснення заходів щодо соціально-економічного розвитку окремих територій </t>
  </si>
  <si>
    <t xml:space="preserve">Субвенція з державного бюджету місцевим бюджетам на будівництво/реконструкцію палаців спорту </t>
  </si>
  <si>
    <t xml:space="preserve">  Субвенція з місцевого бюджету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 - ІІ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</si>
  <si>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 xml:space="preserve">Субвенція з місцевого бюджету на забезпечення якісної, сучасної та доступної загальної середньої освіти "Нова українська школа" </t>
  </si>
  <si>
    <t xml:space="preserve">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субвенції з державного бюджету </t>
  </si>
  <si>
    <t>Нац.поліція</t>
  </si>
  <si>
    <t>0219770</t>
  </si>
  <si>
    <t>Інші субвенції з місцевого бюджету (на співфінансування завершення будівництва водогону с. Писарівка Заслучненської сільської ради  Красилівського району Хмельницької області)</t>
  </si>
  <si>
    <t>1119770</t>
  </si>
  <si>
    <t xml:space="preserve"> Реконструкція з добудовою приміщень Хмельницького ліцею №17 під спортивну залу на вул.Героїв Майдану, 5 в м.Хмельницькому (в т.ч. виготовлення проектно-кошторисної документації)</t>
  </si>
  <si>
    <t>Реставрація будівлі дитячої музичної школи №1 ім. Миколи Мозгового по вул. Проскурівській, 18 в м. Хмельницькому  (в т.ч. виготовлення проектно-кошторисної документації)</t>
  </si>
  <si>
    <t>Виготовлення проектно-кошторисної документації на реконструкцію існуючої системи опалення із зовнішньою тепломережею по ДМШ №3 по вул. Кармелюка, 8/1 в м. Хмельницькому</t>
  </si>
  <si>
    <t>Реставрація приміщення Хмельницького міського будинку культури по вул.Проскурівській, 43 в м.Хмельницькому</t>
  </si>
  <si>
    <t>Реконструкція існуючих газових мереж з заміною ВОГ теплогенераторної амбулаторії ЗПСМ по вул.Філатова, 4 в м.Хмельницькому</t>
  </si>
  <si>
    <t>Проведення експертизи містобудівної документації Розділ інженерно-технічних заходів цивільного захисту (цивільної оборони) на особливий період у складі Генерального плану м.Хмельницький</t>
  </si>
  <si>
    <t>1216012</t>
  </si>
  <si>
    <t>6012</t>
  </si>
  <si>
    <t>Забезпечення діяльності з виробництва, транспортування, постачання теплової енергії</t>
  </si>
  <si>
    <t>Виконання інвестиційних проектів</t>
  </si>
  <si>
    <t>1217360</t>
  </si>
  <si>
    <t>7360</t>
  </si>
  <si>
    <t>1217363</t>
  </si>
  <si>
    <t>Виконання інвестиційних проектів в рамках здійснення заходів щодо соціально-економічного розвитку окремих територій</t>
  </si>
  <si>
    <t>7363</t>
  </si>
  <si>
    <t>Субвенція з державного бюджету місцевим бюджетам за здійснення заходів щодо соціально-економічного розвитку окремих територій (Будівництво 2-ї черги водогону від с.Чернелівка Красилівського району до м.Хмельницький )</t>
  </si>
  <si>
    <t>Субвенція з державного бюджету місцевим бюджетам за здійснення заходів щодо соціально-економічного розвитку окремих територій (реконструкція системи водопостачання м.Хмельницький, розробка проектної документації )</t>
  </si>
  <si>
    <t>Співфінансування з міського бюджету  (реконструкція системи водопостачання м.Хмельницький, розробка проектної документації )</t>
  </si>
  <si>
    <t>Субвенція з державного бюджету місцевим бюджетам за здійснення заходів щодо соціально-економічного розвитку окремих територій (реконструкція системи водопостачання м.Хмельницький)</t>
  </si>
  <si>
    <t>Програма утримання та розвитку житлово-комунального господарства м.Хмельницького на 2017-2020 роки. Програма економічного та соціального розвитку міста Хмельницького на 2018 рік. Програма створення та розвитку індустріального парку "Хмельницький"</t>
  </si>
  <si>
    <t>Внески до статутного капіталу МКП "Хмельницькводоканал" (заміна каналізаційного колектора діам. 200мм по вул. Спортивна,42 в м.Хмельницький)</t>
  </si>
  <si>
    <t>Внески до статутного капіталу МКП "Хмельницькводоканал" (виготовлення ПКД з будівництва сучасних каналізаційних очисних споруд господарсько-побутових стоків м. Хмельницький, вул. Вінницьке шосе, 135)</t>
  </si>
  <si>
    <t>Співфінансування з міського бюджету (реконструкція системи водопостачання м.Хмельницький)</t>
  </si>
  <si>
    <t>Програма «Здоров’я хмельничан» на 2017-2021 роки</t>
  </si>
  <si>
    <t>Внески до статутного капіталу КП "Парки і сквери міста Хмельницького" (капітальний ремонт гаража в парку ім. М. Чекмана по вул Парковій,1 в м.Хмельницькому)</t>
  </si>
  <si>
    <t>Внески до статутного капіталу міського комунального підприємства по утриманню нежитлових приміщень комунальної власності  (Капітальний ремонт нежитлових приміщень третього поверху в будівлі по вул. Проскурівській, 56 в м. Хмельницькому)</t>
  </si>
  <si>
    <t>Виготовлення проектно-кошторисної документації на будівництво приміщення відділення тимчасового цілодобового перебування Хмельницького міського територіального центру соціального обслуговування (надання соціальних послуг) по вул. Перемоги, 7-А в м.Хмельницькому</t>
  </si>
  <si>
    <t>Внески до статутного капіталу КП по зеленому будівництву і благоустрою міста (придбання будиночків для святкового оформлення міста)</t>
  </si>
  <si>
    <t>Внески до статутного капіталу МКП "Хмельницькводоканал" (реконструкція ділянки водопроводу діам.400 мм по вул.Подільській в м.Хмельницький)</t>
  </si>
  <si>
    <t>Внески до статутного капіталу МКП "Хмельницькводоканал" (будівництво вуличних мереж водопостачання житлових будинків по вул. Криничній  в м. Хмельницький)</t>
  </si>
  <si>
    <t>Внески до статутного капіталу МКП "Хмельницькводоканал" (будівництво вуличних мереж водопостачання житлових будинків по вул. І. Заремби  в м. Хмельницький)</t>
  </si>
  <si>
    <t>Внески до статутного капіталу МКП "Хмельницькводоканал" (будівництво вуличних мереж водопостачання житлових будинків по вул. 8-го Березня  в м. Хмельницький)</t>
  </si>
  <si>
    <t>Внески до статутного капіталу міського комунального підприємства по утриманню нежитлових приміщень комунальної власності  (Капітальний ремонт приміщення комунальної власності  за адресою: вул. Пилипчука,49 ,м. Хмельницький)</t>
  </si>
  <si>
    <t>Реконструкція вхідної частини Державної податкової інспекції у місті Хмельницький по вул.Героїв Майдану, буд.12 (в тому числі виготовлення проектно-кошторисної документації)</t>
  </si>
  <si>
    <t>Програма соціальної підтримки учасників АТО, учасників Революції Гідності, бійців-добровольців АТО у м. Хмельницькому та членів їх сімей на 2018 - 2020 рр.</t>
  </si>
  <si>
    <t xml:space="preserve">  -  на забезпечення  медикаментами відділень  Хмельницької міської дитячої лікарні </t>
  </si>
  <si>
    <t xml:space="preserve">     - на забезпечення інсулінами хворих на цукровий діабет, що потребують інсулінотерапії </t>
  </si>
  <si>
    <t>Інші субвенції з місцевого бюджету (на будівництво мереж водопостачання вул. Молодіжної в с. Кошелівка Красилівського району Хмельницької області)</t>
  </si>
  <si>
    <t>Підтримка фізкультурно-спортивного руху</t>
  </si>
  <si>
    <t>1115050</t>
  </si>
  <si>
    <t>5050</t>
  </si>
  <si>
    <t>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t>
  </si>
  <si>
    <t>1115052</t>
  </si>
  <si>
    <t>5052</t>
  </si>
  <si>
    <t>Виготовлення проектно-кошторисної документації на будівництво під'їзних доріг</t>
  </si>
  <si>
    <t>Проведення експертизи містобудівної  документації Розділ інженерно-технічних заходів цивільного захисту (цивільної оборони) на мирний час у складі Генерального плану м.Хмельницький</t>
  </si>
  <si>
    <t>Внески до статутного капіталу МКП "Хмельницькводоканал" (реконструкція вуличних мереж водопостачання житлових будинків по вул. Мічуріна, пров. Щедріна в м. Хмельницькому</t>
  </si>
  <si>
    <t>Внески до статутного капіталу МКП "Хмельницькводоканал" (реконструкція вуличних мереж водопостачання для житлових будинків №33,35,35/1,36,38 по вул. Стеніна в м.Хмельницький</t>
  </si>
  <si>
    <t>Внески до статутного капіталу КП по зеленому будівництву і благоустрою міста (придбання бензопил)</t>
  </si>
  <si>
    <t>Внески до статутного капіталу МКП "Хмельницькводоканал" (будівництво  мереж водопроводу та напірної каналізації  по вул. Геологів в м.Хмельницький )</t>
  </si>
  <si>
    <t>Внески до статутного капіталу МКП "Хмельницькводоканал" (Субвенція з державного бюджету місцевим бюджетам за здійснення заходів щодо соціально-економічного розвитку окремих територій (будівництво  мереж водопроводу та напірної каналізації  по вул. Геологів м.Хмельницький ))</t>
  </si>
  <si>
    <t>Внески до статутного капіталу МКП "Хмельницькводоканал" (реконструкція системи знезараження питної води ВНС-9 по проспекту Миру,36/2а  у  м.Хмельницький)</t>
  </si>
  <si>
    <t>Заходи щодо відновлення і підтримання сприятливого гідрологічного режиму та санітарного стану водойм міста: "Біологічна меліорація (зариблення водойм) в межах міста Хмельницького"</t>
  </si>
  <si>
    <t>Забезпечення екологічно безпечного збирання, перевезення, зберігання відходів (в тому числі улаштування покриття контейнерних майданчиків)</t>
  </si>
  <si>
    <t>Начальник фінансового управління                                                                                                                                                         С. Ямчук</t>
  </si>
  <si>
    <t xml:space="preserve">                      Начальник фінансового управління                                                   С. Ямчук </t>
  </si>
  <si>
    <t xml:space="preserve">Секретар міської ради                                                                                                                                                                                  М. Кривак </t>
  </si>
  <si>
    <t>Патрульна поліція</t>
  </si>
  <si>
    <t>0810160</t>
  </si>
  <si>
    <t>0813210</t>
  </si>
  <si>
    <t>0710160</t>
  </si>
  <si>
    <t>1210160</t>
  </si>
  <si>
    <t>1510160</t>
  </si>
  <si>
    <t>1610160</t>
  </si>
  <si>
    <t>2810160</t>
  </si>
  <si>
    <t>Програма енергоефективності, енергозбереження та термомодернізації багатоквартирних житлових будинків м.Хмельницького  на 2016-2020 роки. Програма енергоефективної  модернізації внутрішнього та зовнішнього освітлення м.Хмельницького на 2016 - 2018 роки. Програма відшкодування частини кредитів, отриманих ОСББ, ЖБК на впровадження відновлювальних джерел енергії та заходів з енергозбереження ,тармомодернізації багатоквартирних житлових будинків у м.Хмельницькому на 2018-2022 роки</t>
  </si>
  <si>
    <t>3610160</t>
  </si>
  <si>
    <t>3710160</t>
  </si>
  <si>
    <t>1217690</t>
  </si>
  <si>
    <t>1217691</t>
  </si>
  <si>
    <t>0817690</t>
  </si>
  <si>
    <t>0817691</t>
  </si>
  <si>
    <t>2717691</t>
  </si>
  <si>
    <t xml:space="preserve">Загальне збільшення </t>
  </si>
  <si>
    <t>Субвенція з державного бюджету місцевим бюджетам на здійснення заходів щодо соціально-економічного розвитку окремих територій (будівництво мереж водопроводу по вул. Гунашевського, вул. Дубівська, вул. Білгородська, вул. Авіаційна, пров. Білгородський,  пров. Авіаційний,  пров. Дубівський,  пров. Затишний, пров. Дачний та вул. О. Вишні в м. Хмельницький)</t>
  </si>
  <si>
    <t>Реконструкція харчоблоку навчально-виховного об’єднання № 5 міста Хмельницького імені Сергія Єфремова 
вул. Володимирська, 51 м. Хмельницький</t>
  </si>
  <si>
    <t>ЗМІНИ</t>
  </si>
  <si>
    <t xml:space="preserve">Керуючий справами виконавчого комітету </t>
  </si>
  <si>
    <t>Ю.Сабій</t>
  </si>
  <si>
    <t>Керуючий справами   виконавчого комітету                                                                                                                                                 Ю. Сабій</t>
  </si>
  <si>
    <t xml:space="preserve">Керуючий справами      виконавчого комітету                                                                                                                                          Ю. Сабій </t>
  </si>
  <si>
    <t xml:space="preserve">Керуючий справами виконавчого комітету                                                                                                                                            Ю. Сабій </t>
  </si>
  <si>
    <t xml:space="preserve">   Ю. Сабій</t>
  </si>
  <si>
    <t>Ю. Сабій</t>
  </si>
  <si>
    <t xml:space="preserve">        Начальник фінансового управління</t>
  </si>
  <si>
    <t>Керуючий справами виконавчого комітету                                                                                                                                             Ю. Сабій</t>
  </si>
  <si>
    <t>Внески до статутного капіталу МКП "Хмельницькводоканал" (будівництво мереж водопроводу по вул. Гунашевського, вул. Дубівська, вул. Білгородська, вул. Авіаційна, пров. Білгородський,  пров. Авіаційний,  пров. Дубівський,  пров. Затишний, пров. Дачний та вул. О. Вишні в м. Хмельницький (співфінансування))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</si>
</sst>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Red]#,##0.00"/>
  </numFmts>
  <fonts count="126" x14ac:knownFonts="1">
    <font>
      <sz val="10"/>
      <name val="Arial Cyr"/>
      <charset val="204"/>
    </font>
    <font>
      <sz val="10"/>
      <name val="Arial Cyr"/>
      <charset val="204"/>
    </font>
    <font>
      <sz val="10"/>
      <name val="MS Sans Serif"/>
      <family val="2"/>
      <charset val="204"/>
    </font>
    <font>
      <sz val="10"/>
      <name val="Times New Roman"/>
      <family val="1"/>
      <charset val="204"/>
    </font>
    <font>
      <b/>
      <i/>
      <sz val="10"/>
      <name val="Times New Roman Cyr"/>
      <family val="1"/>
      <charset val="204"/>
    </font>
    <font>
      <sz val="10"/>
      <name val="Times New Roman Cyr"/>
      <family val="1"/>
      <charset val="204"/>
    </font>
    <font>
      <b/>
      <sz val="10"/>
      <name val="Times New Roman Cyr"/>
      <family val="1"/>
      <charset val="204"/>
    </font>
    <font>
      <b/>
      <sz val="10"/>
      <name val="Arial Cyr"/>
      <charset val="204"/>
    </font>
    <font>
      <b/>
      <sz val="12"/>
      <name val="Times New Roman"/>
      <family val="1"/>
    </font>
    <font>
      <sz val="12"/>
      <name val="Times New Roman"/>
      <family val="1"/>
      <charset val="204"/>
    </font>
    <font>
      <b/>
      <sz val="12"/>
      <name val="Times New Roman"/>
      <family val="1"/>
      <charset val="204"/>
    </font>
    <font>
      <b/>
      <sz val="14"/>
      <name val="Times New Roman"/>
      <family val="1"/>
      <charset val="204"/>
    </font>
    <font>
      <sz val="14"/>
      <name val="Times New Roman"/>
      <family val="1"/>
      <charset val="204"/>
    </font>
    <font>
      <b/>
      <sz val="10"/>
      <name val="Times New Roman"/>
      <family val="1"/>
      <charset val="204"/>
    </font>
    <font>
      <sz val="8"/>
      <name val="Times New Roman"/>
      <family val="1"/>
      <charset val="204"/>
    </font>
    <font>
      <b/>
      <sz val="10"/>
      <color indexed="8"/>
      <name val="Times New Roman"/>
      <family val="1"/>
      <charset val="204"/>
    </font>
    <font>
      <sz val="8"/>
      <name val="Arial Cyr"/>
      <charset val="204"/>
    </font>
    <font>
      <sz val="11"/>
      <color indexed="6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9"/>
      <name val="Calibri"/>
      <family val="2"/>
      <charset val="204"/>
    </font>
    <font>
      <b/>
      <sz val="18"/>
      <color indexed="56"/>
      <name val="Cambria"/>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Helv"/>
      <charset val="204"/>
    </font>
    <font>
      <sz val="10"/>
      <name val="Courier New"/>
      <family val="3"/>
      <charset val="204"/>
    </font>
    <font>
      <sz val="11"/>
      <color indexed="19"/>
      <name val="Calibri"/>
      <family val="2"/>
      <charset val="204"/>
    </font>
    <font>
      <sz val="11"/>
      <name val="Times New Roman"/>
      <family val="1"/>
      <charset val="204"/>
    </font>
    <font>
      <b/>
      <sz val="11"/>
      <name val="Times New Roman"/>
      <family val="1"/>
      <charset val="204"/>
    </font>
    <font>
      <b/>
      <sz val="11"/>
      <color indexed="8"/>
      <name val="Times New Roman"/>
      <family val="1"/>
      <charset val="204"/>
    </font>
    <font>
      <sz val="11"/>
      <color indexed="8"/>
      <name val="Times New Roman"/>
      <family val="1"/>
      <charset val="204"/>
    </font>
    <font>
      <b/>
      <i/>
      <sz val="11"/>
      <color indexed="8"/>
      <name val="Times New Roman"/>
      <family val="1"/>
      <charset val="204"/>
    </font>
    <font>
      <sz val="9"/>
      <color indexed="8"/>
      <name val="Times New Roman"/>
      <family val="1"/>
      <charset val="204"/>
    </font>
    <font>
      <i/>
      <sz val="12"/>
      <name val="Times New Roman"/>
      <family val="1"/>
      <charset val="204"/>
    </font>
    <font>
      <i/>
      <sz val="10"/>
      <name val="Times New Roman Cyr"/>
      <family val="1"/>
      <charset val="204"/>
    </font>
    <font>
      <b/>
      <i/>
      <sz val="10"/>
      <name val="Times New Roman"/>
      <family val="1"/>
      <charset val="204"/>
    </font>
    <font>
      <b/>
      <i/>
      <sz val="10"/>
      <color indexed="8"/>
      <name val="Times New Roman"/>
      <family val="1"/>
      <charset val="204"/>
    </font>
    <font>
      <sz val="10"/>
      <color indexed="8"/>
      <name val="Times New Roman"/>
      <family val="1"/>
      <charset val="204"/>
    </font>
    <font>
      <b/>
      <sz val="36"/>
      <name val="Times New Roman"/>
      <family val="1"/>
      <charset val="204"/>
    </font>
    <font>
      <i/>
      <sz val="36"/>
      <name val="Times New Roman"/>
      <family val="1"/>
      <charset val="204"/>
    </font>
    <font>
      <sz val="36"/>
      <name val="Times New Roman"/>
      <family val="1"/>
      <charset val="204"/>
    </font>
    <font>
      <b/>
      <i/>
      <sz val="36"/>
      <name val="Times New Roman"/>
      <family val="1"/>
      <charset val="204"/>
    </font>
    <font>
      <b/>
      <sz val="37"/>
      <name val="Times New Roman"/>
      <family val="1"/>
      <charset val="204"/>
    </font>
    <font>
      <i/>
      <sz val="37"/>
      <name val="Times New Roman"/>
      <family val="1"/>
      <charset val="204"/>
    </font>
    <font>
      <sz val="37"/>
      <name val="Times New Roman"/>
      <family val="1"/>
      <charset val="204"/>
    </font>
    <font>
      <b/>
      <i/>
      <sz val="37"/>
      <name val="Times New Roman"/>
      <family val="1"/>
      <charset val="204"/>
    </font>
    <font>
      <sz val="36"/>
      <name val="Arial Cyr"/>
      <charset val="204"/>
    </font>
    <font>
      <b/>
      <sz val="18"/>
      <name val="Times New Roman"/>
      <family val="1"/>
      <charset val="204"/>
    </font>
    <font>
      <sz val="10"/>
      <color indexed="8"/>
      <name val="Arial"/>
      <family val="2"/>
      <charset val="204"/>
    </font>
    <font>
      <b/>
      <i/>
      <sz val="11"/>
      <name val="Times New Roman"/>
      <family val="1"/>
      <charset val="204"/>
    </font>
    <font>
      <i/>
      <sz val="11"/>
      <name val="Times New Roman"/>
      <family val="1"/>
      <charset val="204"/>
    </font>
    <font>
      <sz val="10"/>
      <name val="Arial Cyr"/>
      <charset val="204"/>
    </font>
    <font>
      <sz val="11"/>
      <name val="Times New Roman Cyr"/>
      <charset val="204"/>
    </font>
    <font>
      <i/>
      <sz val="11"/>
      <color indexed="8"/>
      <name val="Times New Roman"/>
      <family val="1"/>
      <charset val="204"/>
    </font>
    <font>
      <i/>
      <sz val="10"/>
      <name val="Arial Cyr"/>
      <charset val="204"/>
    </font>
    <font>
      <sz val="11"/>
      <name val="Arial Cyr"/>
      <charset val="204"/>
    </font>
    <font>
      <i/>
      <sz val="10"/>
      <color indexed="8"/>
      <name val="Times New Roman"/>
      <family val="1"/>
      <charset val="204"/>
    </font>
    <font>
      <b/>
      <sz val="28"/>
      <name val="Times New Roman Cyr"/>
      <family val="1"/>
      <charset val="204"/>
    </font>
    <font>
      <b/>
      <sz val="36"/>
      <name val="Times New Roman Cyr"/>
      <family val="1"/>
      <charset val="204"/>
    </font>
    <font>
      <i/>
      <sz val="36"/>
      <name val="Times New Roman Cyr"/>
      <family val="1"/>
      <charset val="204"/>
    </font>
    <font>
      <sz val="20"/>
      <name val="Times New Roman Cyr"/>
      <family val="1"/>
      <charset val="204"/>
    </font>
    <font>
      <sz val="24"/>
      <name val="Times New Roman Cyr"/>
      <family val="1"/>
      <charset val="204"/>
    </font>
    <font>
      <b/>
      <sz val="26"/>
      <name val="Times New Roman Cyr"/>
      <family val="1"/>
      <charset val="204"/>
    </font>
    <font>
      <b/>
      <sz val="16"/>
      <name val="Times New Roman"/>
      <family val="1"/>
      <charset val="204"/>
    </font>
    <font>
      <sz val="9"/>
      <name val="Times New Roman"/>
      <family val="1"/>
      <charset val="204"/>
    </font>
    <font>
      <b/>
      <sz val="9"/>
      <color indexed="8"/>
      <name val="Times New Roman"/>
      <family val="1"/>
      <charset val="204"/>
    </font>
    <font>
      <b/>
      <sz val="9"/>
      <name val="Times New Roman"/>
      <family val="1"/>
      <charset val="204"/>
    </font>
    <font>
      <b/>
      <i/>
      <sz val="9"/>
      <name val="Times New Roman"/>
      <family val="1"/>
      <charset val="204"/>
    </font>
    <font>
      <b/>
      <i/>
      <sz val="9"/>
      <color indexed="8"/>
      <name val="Times New Roman"/>
      <family val="1"/>
      <charset val="204"/>
    </font>
    <font>
      <b/>
      <i/>
      <sz val="8"/>
      <name val="Bookman Old Style"/>
      <family val="1"/>
      <charset val="204"/>
    </font>
    <font>
      <sz val="8"/>
      <name val="Bookman Old Style"/>
      <family val="1"/>
      <charset val="204"/>
    </font>
    <font>
      <b/>
      <i/>
      <sz val="9"/>
      <color indexed="62"/>
      <name val="Times New Roman"/>
      <family val="1"/>
      <charset val="204"/>
    </font>
    <font>
      <sz val="10"/>
      <name val="Arial"/>
      <family val="2"/>
      <charset val="204"/>
    </font>
    <font>
      <b/>
      <sz val="14"/>
      <color indexed="8"/>
      <name val="Times New Roman"/>
      <family val="1"/>
      <charset val="204"/>
    </font>
    <font>
      <sz val="8"/>
      <color indexed="8"/>
      <name val="Times New Roman"/>
      <family val="1"/>
      <charset val="204"/>
    </font>
    <font>
      <sz val="10"/>
      <name val="Times New Roman CYR"/>
      <charset val="204"/>
    </font>
    <font>
      <vertAlign val="superscript"/>
      <sz val="8"/>
      <name val="Times New Roman"/>
      <family val="1"/>
      <charset val="204"/>
    </font>
    <font>
      <i/>
      <sz val="10"/>
      <name val="Times New Roman Cyr"/>
      <charset val="204"/>
    </font>
    <font>
      <sz val="9"/>
      <name val="Times New Roman CYR"/>
      <charset val="204"/>
    </font>
    <font>
      <b/>
      <sz val="12.5"/>
      <name val="Times New Roman"/>
      <family val="1"/>
      <charset val="204"/>
    </font>
    <font>
      <sz val="12"/>
      <name val="Arial Cyr"/>
      <charset val="204"/>
    </font>
    <font>
      <sz val="12"/>
      <name val="Arial"/>
      <family val="2"/>
      <charset val="204"/>
    </font>
    <font>
      <sz val="12.5"/>
      <name val="Times New Roman"/>
      <family val="1"/>
      <charset val="204"/>
    </font>
    <font>
      <b/>
      <i/>
      <sz val="12.5"/>
      <name val="Times New Roman"/>
      <family val="1"/>
      <charset val="204"/>
    </font>
    <font>
      <b/>
      <i/>
      <sz val="10"/>
      <name val="Arial"/>
      <family val="2"/>
      <charset val="204"/>
    </font>
    <font>
      <b/>
      <sz val="36"/>
      <name val="Arial Cyr"/>
      <charset val="204"/>
    </font>
    <font>
      <sz val="28"/>
      <name val="Arial Cyr"/>
      <charset val="204"/>
    </font>
    <font>
      <sz val="12"/>
      <name val="Times New Roman Cyr"/>
      <charset val="204"/>
    </font>
    <font>
      <u/>
      <sz val="10"/>
      <color indexed="12"/>
      <name val="Arial Cyr"/>
      <charset val="204"/>
    </font>
    <font>
      <sz val="11"/>
      <color indexed="8"/>
      <name val="Calibri"/>
      <family val="2"/>
      <charset val="204"/>
    </font>
    <font>
      <sz val="11"/>
      <color indexed="9"/>
      <name val="Calibri"/>
      <family val="2"/>
      <charset val="204"/>
    </font>
    <font>
      <b/>
      <sz val="11"/>
      <color indexed="63"/>
      <name val="Calibri"/>
      <family val="2"/>
      <charset val="204"/>
    </font>
    <font>
      <b/>
      <sz val="11"/>
      <color indexed="52"/>
      <name val="Calibri"/>
      <family val="2"/>
      <charset val="204"/>
    </font>
    <font>
      <b/>
      <sz val="11"/>
      <color indexed="8"/>
      <name val="Calibri"/>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0"/>
      <color theme="9"/>
      <name val="Arial"/>
      <family val="2"/>
      <charset val="204"/>
    </font>
    <font>
      <b/>
      <sz val="48"/>
      <name val="Times New Roman Cyr"/>
      <family val="1"/>
      <charset val="204"/>
    </font>
    <font>
      <sz val="48"/>
      <name val="Arial Cyr"/>
      <charset val="204"/>
    </font>
    <font>
      <sz val="36"/>
      <name val="Calibri"/>
      <family val="2"/>
      <charset val="204"/>
    </font>
    <font>
      <vertAlign val="superscript"/>
      <sz val="20"/>
      <name val="Times New Roman"/>
      <family val="1"/>
      <charset val="204"/>
    </font>
    <font>
      <sz val="20"/>
      <name val="Times New Roman"/>
      <family val="1"/>
      <charset val="204"/>
    </font>
    <font>
      <sz val="20"/>
      <name val="Arial Cyr"/>
      <charset val="204"/>
    </font>
    <font>
      <i/>
      <sz val="20"/>
      <name val="Arial Cyr"/>
      <charset val="204"/>
    </font>
    <font>
      <sz val="11"/>
      <name val="Calibri"/>
      <family val="2"/>
      <charset val="204"/>
    </font>
    <font>
      <b/>
      <sz val="12"/>
      <color indexed="8"/>
      <name val="Times New Roman"/>
      <family val="1"/>
      <charset val="204"/>
    </font>
    <font>
      <sz val="12"/>
      <color indexed="8"/>
      <name val="Times New Roman"/>
      <family val="1"/>
      <charset val="204"/>
    </font>
    <font>
      <sz val="12"/>
      <color indexed="42"/>
      <name val="Times New Roman"/>
      <family val="1"/>
      <charset val="204"/>
    </font>
    <font>
      <i/>
      <sz val="11"/>
      <name val="Times New Roman Cyr"/>
      <charset val="204"/>
    </font>
    <font>
      <vertAlign val="superscript"/>
      <sz val="10"/>
      <name val="Times New Roman"/>
      <family val="1"/>
      <charset val="204"/>
    </font>
    <font>
      <sz val="10"/>
      <name val="Arial Cyr"/>
      <family val="2"/>
      <charset val="204"/>
    </font>
    <font>
      <sz val="36"/>
      <name val="Times New Roman Cyr"/>
      <family val="1"/>
      <charset val="204"/>
    </font>
    <font>
      <i/>
      <sz val="12"/>
      <name val="Times New Roman Cyr"/>
      <charset val="204"/>
    </font>
    <font>
      <i/>
      <sz val="10"/>
      <name val="Times New Roman"/>
      <family val="1"/>
      <charset val="204"/>
    </font>
    <font>
      <i/>
      <sz val="11"/>
      <name val="Arial Cyr"/>
      <charset val="204"/>
    </font>
    <font>
      <sz val="50"/>
      <name val="Arial Cyr"/>
      <charset val="204"/>
    </font>
    <font>
      <sz val="11"/>
      <name val="Times New Roman Cyr"/>
      <family val="1"/>
      <charset val="204"/>
    </font>
    <font>
      <b/>
      <sz val="11"/>
      <name val="Times New Roman Cyr"/>
      <family val="1"/>
      <charset val="204"/>
    </font>
    <font>
      <i/>
      <sz val="11"/>
      <name val="Times New Roman Cyr"/>
      <family val="1"/>
      <charset val="204"/>
    </font>
    <font>
      <sz val="18"/>
      <name val="Arial"/>
      <family val="2"/>
      <charset val="204"/>
    </font>
    <font>
      <i/>
      <sz val="22"/>
      <name val="Times New Roman Cyr"/>
      <family val="1"/>
      <charset val="204"/>
    </font>
    <font>
      <i/>
      <sz val="22"/>
      <name val="Times New Roman"/>
      <family val="1"/>
      <charset val="204"/>
    </font>
    <font>
      <sz val="22"/>
      <name val="Times New Roman Cyr"/>
      <family val="1"/>
      <charset val="204"/>
    </font>
  </fonts>
  <fills count="35">
    <fill>
      <patternFill patternType="none"/>
    </fill>
    <fill>
      <patternFill patternType="gray125"/>
    </fill>
    <fill>
      <patternFill patternType="solid">
        <fgColor indexed="47"/>
      </patternFill>
    </fill>
    <fill>
      <patternFill patternType="solid">
        <fgColor indexed="27"/>
      </patternFill>
    </fill>
    <fill>
      <patternFill patternType="solid">
        <fgColor indexed="43"/>
      </patternFill>
    </fill>
    <fill>
      <patternFill patternType="solid">
        <fgColor indexed="5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rgb="FFFFFF00"/>
        <bgColor indexed="64"/>
      </patternFill>
    </fill>
    <fill>
      <patternFill patternType="solid">
        <fgColor rgb="FFFF0000"/>
        <bgColor indexed="64"/>
      </patternFill>
    </fill>
    <fill>
      <patternFill patternType="solid">
        <fgColor rgb="FFFF9900"/>
        <bgColor indexed="64"/>
      </patternFill>
    </fill>
    <fill>
      <gradientFill type="path" left="0.5" right="0.5" top="0.5" bottom="0.5">
        <stop position="0">
          <color theme="0"/>
        </stop>
        <stop position="1">
          <color theme="9" tint="0.80001220740379042"/>
        </stop>
      </gradientFill>
    </fill>
    <fill>
      <gradientFill type="path" left="0.5" right="0.5" top="0.5" bottom="0.5">
        <stop position="0">
          <color theme="0"/>
        </stop>
        <stop position="1">
          <color rgb="FFFFFFCC"/>
        </stop>
      </gradientFill>
    </fill>
    <fill>
      <patternFill patternType="solid">
        <fgColor rgb="FFCCFFFF"/>
        <bgColor indexed="64"/>
      </patternFill>
    </fill>
    <fill>
      <patternFill patternType="solid">
        <fgColor rgb="FF66FFCC"/>
        <bgColor indexed="64"/>
      </patternFill>
    </fill>
    <fill>
      <patternFill patternType="solid">
        <fgColor theme="0"/>
        <bgColor indexed="64"/>
      </patternFill>
    </fill>
    <fill>
      <patternFill patternType="solid">
        <fgColor theme="0"/>
        <bgColor auto="1"/>
      </patternFill>
    </fill>
    <fill>
      <patternFill patternType="solid">
        <fgColor rgb="FFCCFFFF"/>
        <bgColor auto="1"/>
      </patternFill>
    </fill>
  </fills>
  <borders count="23">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s>
  <cellStyleXfs count="88">
    <xf numFmtId="0" fontId="0" fillId="0" borderId="0"/>
    <xf numFmtId="0" fontId="1" fillId="0" borderId="0"/>
    <xf numFmtId="0" fontId="17" fillId="2" borderId="1" applyNumberFormat="0" applyAlignment="0" applyProtection="0"/>
    <xf numFmtId="0" fontId="25" fillId="3" borderId="0" applyNumberFormat="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53" fillId="0" borderId="0"/>
    <xf numFmtId="0" fontId="27" fillId="0" borderId="0"/>
    <xf numFmtId="0" fontId="1" fillId="0" borderId="0"/>
    <xf numFmtId="0" fontId="53" fillId="0" borderId="0"/>
    <xf numFmtId="0" fontId="1" fillId="0" borderId="0"/>
    <xf numFmtId="0" fontId="53" fillId="0" borderId="0"/>
    <xf numFmtId="0" fontId="27" fillId="0" borderId="0"/>
    <xf numFmtId="0" fontId="27" fillId="0" borderId="0"/>
    <xf numFmtId="0" fontId="27" fillId="0" borderId="0"/>
    <xf numFmtId="0" fontId="27" fillId="0" borderId="0"/>
    <xf numFmtId="0" fontId="27" fillId="0" borderId="0"/>
    <xf numFmtId="0" fontId="50" fillId="0" borderId="0">
      <alignment vertical="top"/>
    </xf>
    <xf numFmtId="0" fontId="21" fillId="5" borderId="5" applyNumberFormat="0" applyAlignment="0" applyProtection="0"/>
    <xf numFmtId="0" fontId="22" fillId="0" borderId="0" applyNumberFormat="0" applyFill="0" applyBorder="0" applyAlignment="0" applyProtection="0"/>
    <xf numFmtId="0" fontId="1" fillId="0" borderId="0"/>
    <xf numFmtId="0" fontId="53" fillId="0" borderId="0"/>
    <xf numFmtId="0" fontId="3" fillId="0" borderId="0"/>
    <xf numFmtId="0" fontId="74" fillId="0" borderId="0" applyNumberFormat="0" applyFont="0" applyFill="0" applyBorder="0" applyAlignment="0" applyProtection="0">
      <alignment vertical="top"/>
    </xf>
    <xf numFmtId="0" fontId="26" fillId="0" borderId="0"/>
    <xf numFmtId="0" fontId="2" fillId="0" borderId="0" applyNumberFormat="0" applyFont="0" applyFill="0" applyBorder="0" applyAlignment="0" applyProtection="0">
      <alignment vertical="top"/>
    </xf>
    <xf numFmtId="0" fontId="3" fillId="0" borderId="0"/>
    <xf numFmtId="0" fontId="26" fillId="0" borderId="0"/>
    <xf numFmtId="0" fontId="53" fillId="0" borderId="0"/>
    <xf numFmtId="0" fontId="23" fillId="0" borderId="6" applyNumberFormat="0" applyFill="0" applyAlignment="0" applyProtection="0"/>
    <xf numFmtId="0" fontId="28" fillId="4" borderId="0" applyNumberFormat="0" applyBorder="0" applyAlignment="0" applyProtection="0"/>
    <xf numFmtId="0" fontId="26" fillId="0" borderId="0"/>
    <xf numFmtId="0" fontId="24" fillId="0" borderId="0" applyNumberFormat="0" applyFill="0" applyBorder="0" applyAlignment="0" applyProtection="0"/>
    <xf numFmtId="0" fontId="1" fillId="0" borderId="0"/>
    <xf numFmtId="0" fontId="91" fillId="7"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3" borderId="0" applyNumberFormat="0" applyBorder="0" applyAlignment="0" applyProtection="0"/>
    <xf numFmtId="0" fontId="91" fillId="2"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4" borderId="0" applyNumberFormat="0" applyBorder="0" applyAlignment="0" applyProtection="0"/>
    <xf numFmtId="0" fontId="92" fillId="15"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22" borderId="0" applyNumberFormat="0" applyBorder="0" applyAlignment="0" applyProtection="0"/>
    <xf numFmtId="0" fontId="17" fillId="2" borderId="1" applyNumberFormat="0" applyAlignment="0" applyProtection="0"/>
    <xf numFmtId="0" fontId="93" fillId="23" borderId="20" applyNumberFormat="0" applyAlignment="0" applyProtection="0"/>
    <xf numFmtId="0" fontId="94" fillId="23" borderId="1" applyNumberFormat="0" applyAlignment="0" applyProtection="0"/>
    <xf numFmtId="0" fontId="90" fillId="0" borderId="0" applyNumberFormat="0" applyFill="0" applyBorder="0" applyAlignment="0" applyProtection="0">
      <alignment vertical="top"/>
      <protection locked="0"/>
    </xf>
    <xf numFmtId="0" fontId="95" fillId="0" borderId="21" applyNumberFormat="0" applyFill="0" applyAlignment="0" applyProtection="0"/>
    <xf numFmtId="0" fontId="21" fillId="5" borderId="5" applyNumberFormat="0" applyAlignment="0" applyProtection="0"/>
    <xf numFmtId="0" fontId="22" fillId="0" borderId="0" applyNumberFormat="0" applyFill="0" applyBorder="0" applyAlignment="0" applyProtection="0"/>
    <xf numFmtId="0" fontId="96" fillId="4" borderId="0" applyNumberFormat="0" applyBorder="0" applyAlignment="0" applyProtection="0"/>
    <xf numFmtId="0" fontId="97" fillId="8" borderId="0" applyNumberFormat="0" applyBorder="0" applyAlignment="0" applyProtection="0"/>
    <xf numFmtId="0" fontId="98" fillId="0" borderId="0" applyNumberFormat="0" applyFill="0" applyBorder="0" applyAlignment="0" applyProtection="0"/>
    <xf numFmtId="0" fontId="91" fillId="24" borderId="22" applyNumberFormat="0" applyFont="0" applyAlignment="0" applyProtection="0"/>
    <xf numFmtId="0" fontId="23" fillId="0" borderId="6" applyNumberFormat="0" applyFill="0" applyAlignment="0" applyProtection="0"/>
    <xf numFmtId="0" fontId="24" fillId="0" borderId="0" applyNumberFormat="0" applyFill="0" applyBorder="0" applyAlignment="0" applyProtection="0"/>
    <xf numFmtId="0" fontId="25" fillId="9" borderId="0" applyNumberFormat="0" applyBorder="0" applyAlignment="0" applyProtection="0"/>
    <xf numFmtId="0" fontId="113" fillId="0" borderId="0"/>
    <xf numFmtId="0" fontId="1" fillId="0" borderId="0"/>
    <xf numFmtId="0" fontId="1" fillId="0" borderId="0"/>
  </cellStyleXfs>
  <cellXfs count="669">
    <xf numFmtId="0" fontId="0" fillId="0" borderId="0" xfId="0"/>
    <xf numFmtId="0" fontId="42" fillId="0" borderId="7" xfId="0" applyFont="1" applyBorder="1" applyAlignment="1">
      <alignment horizontal="center" vertical="center" wrapText="1"/>
    </xf>
    <xf numFmtId="0" fontId="5" fillId="0" borderId="0" xfId="0" applyFont="1" applyAlignment="1">
      <alignment vertical="center"/>
    </xf>
    <xf numFmtId="0" fontId="7" fillId="0" borderId="0" xfId="0" applyFont="1"/>
    <xf numFmtId="164" fontId="4" fillId="0" borderId="0" xfId="0" applyNumberFormat="1" applyFont="1" applyBorder="1" applyAlignment="1">
      <alignment horizontal="right" vertical="center" wrapText="1"/>
    </xf>
    <xf numFmtId="0" fontId="0" fillId="0" borderId="0" xfId="0" applyFill="1"/>
    <xf numFmtId="4" fontId="5" fillId="0" borderId="0" xfId="0" applyNumberFormat="1" applyFont="1" applyAlignment="1">
      <alignment vertical="center"/>
    </xf>
    <xf numFmtId="4" fontId="6" fillId="0" borderId="0" xfId="0" applyNumberFormat="1" applyFont="1" applyAlignment="1">
      <alignment vertical="center"/>
    </xf>
    <xf numFmtId="0" fontId="6" fillId="0" borderId="0" xfId="0" applyFont="1" applyAlignment="1">
      <alignment vertical="center"/>
    </xf>
    <xf numFmtId="2" fontId="8" fillId="0" borderId="0" xfId="38" applyNumberFormat="1" applyFont="1" applyFill="1" applyBorder="1" applyAlignment="1" applyProtection="1">
      <alignment vertical="center" wrapText="1"/>
      <protection locked="0"/>
    </xf>
    <xf numFmtId="164" fontId="6" fillId="0" borderId="0" xfId="0" applyNumberFormat="1" applyFont="1" applyBorder="1" applyAlignment="1">
      <alignment horizontal="right" vertical="center" wrapText="1"/>
    </xf>
    <xf numFmtId="4" fontId="36" fillId="0" borderId="0" xfId="0" applyNumberFormat="1" applyFont="1" applyAlignment="1">
      <alignment vertical="center"/>
    </xf>
    <xf numFmtId="0" fontId="36" fillId="0" borderId="0" xfId="0" applyFont="1" applyAlignment="1">
      <alignment vertical="center"/>
    </xf>
    <xf numFmtId="164" fontId="36" fillId="0" borderId="0" xfId="0" applyNumberFormat="1" applyFont="1" applyBorder="1" applyAlignment="1">
      <alignment horizontal="right" vertical="center" wrapText="1"/>
    </xf>
    <xf numFmtId="0" fontId="42" fillId="0" borderId="0" xfId="0" applyFont="1" applyAlignment="1">
      <alignment vertical="center"/>
    </xf>
    <xf numFmtId="0" fontId="40" fillId="0" borderId="0" xfId="0" applyFont="1"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42" fillId="0" borderId="0" xfId="0" applyFont="1" applyAlignment="1">
      <alignment horizontal="center" vertical="center"/>
    </xf>
    <xf numFmtId="0" fontId="42" fillId="0" borderId="0" xfId="0" applyFont="1" applyBorder="1" applyAlignment="1">
      <alignment horizontal="right" vertical="center"/>
    </xf>
    <xf numFmtId="0" fontId="43" fillId="0" borderId="7" xfId="0" applyFont="1" applyBorder="1" applyAlignment="1">
      <alignment horizontal="center" vertical="center"/>
    </xf>
    <xf numFmtId="49" fontId="40" fillId="0" borderId="7" xfId="0" applyNumberFormat="1" applyFont="1" applyBorder="1" applyAlignment="1">
      <alignment horizontal="center" vertical="center" wrapText="1"/>
    </xf>
    <xf numFmtId="0" fontId="40" fillId="0" borderId="7" xfId="0" applyFont="1" applyBorder="1" applyAlignment="1">
      <alignment horizontal="center" vertical="center" wrapText="1"/>
    </xf>
    <xf numFmtId="4" fontId="42" fillId="0" borderId="0" xfId="0" applyNumberFormat="1" applyFont="1" applyAlignment="1">
      <alignment horizontal="center" vertical="center"/>
    </xf>
    <xf numFmtId="0" fontId="48" fillId="0" borderId="0" xfId="0" applyFont="1"/>
    <xf numFmtId="4" fontId="48" fillId="0" borderId="0" xfId="0" applyNumberFormat="1" applyFont="1"/>
    <xf numFmtId="0" fontId="9" fillId="0" borderId="0" xfId="35" applyNumberFormat="1" applyFont="1" applyFill="1" applyAlignment="1" applyProtection="1"/>
    <xf numFmtId="0" fontId="9" fillId="0" borderId="0" xfId="35" applyFont="1" applyFill="1"/>
    <xf numFmtId="0" fontId="3" fillId="0" borderId="0" xfId="35" applyNumberFormat="1" applyFont="1" applyFill="1" applyAlignment="1" applyProtection="1"/>
    <xf numFmtId="0" fontId="3" fillId="0" borderId="0" xfId="35" applyFont="1" applyFill="1"/>
    <xf numFmtId="0" fontId="11" fillId="0" borderId="11" xfId="35" applyNumberFormat="1" applyFont="1" applyFill="1" applyBorder="1" applyAlignment="1" applyProtection="1">
      <alignment horizontal="center"/>
    </xf>
    <xf numFmtId="0" fontId="3" fillId="0" borderId="11" xfId="35" applyFont="1" applyFill="1" applyBorder="1" applyAlignment="1">
      <alignment horizontal="center"/>
    </xf>
    <xf numFmtId="0" fontId="3" fillId="0" borderId="0" xfId="35" applyFont="1" applyFill="1" applyBorder="1" applyAlignment="1">
      <alignment horizontal="center"/>
    </xf>
    <xf numFmtId="0" fontId="11" fillId="0" borderId="0" xfId="35" applyNumberFormat="1" applyFont="1" applyFill="1" applyBorder="1" applyAlignment="1" applyProtection="1">
      <alignment horizontal="center" vertical="top"/>
    </xf>
    <xf numFmtId="0" fontId="14" fillId="0" borderId="11" xfId="35" applyNumberFormat="1" applyFont="1" applyFill="1" applyBorder="1" applyAlignment="1" applyProtection="1">
      <alignment horizontal="right" vertical="center"/>
    </xf>
    <xf numFmtId="0" fontId="3" fillId="0" borderId="0" xfId="35" applyNumberFormat="1" applyFont="1" applyFill="1" applyBorder="1" applyAlignment="1" applyProtection="1"/>
    <xf numFmtId="0" fontId="13" fillId="0" borderId="7" xfId="35" applyNumberFormat="1" applyFont="1" applyFill="1" applyBorder="1" applyAlignment="1" applyProtection="1">
      <alignment horizontal="center" vertical="center" wrapText="1"/>
    </xf>
    <xf numFmtId="0" fontId="30" fillId="0" borderId="7" xfId="35" applyNumberFormat="1" applyFont="1" applyFill="1" applyBorder="1" applyAlignment="1" applyProtection="1">
      <alignment horizontal="center" vertical="center" wrapText="1"/>
    </xf>
    <xf numFmtId="0" fontId="30" fillId="0" borderId="7" xfId="35" applyFont="1" applyBorder="1" applyAlignment="1">
      <alignment horizontal="center" vertical="center" wrapText="1"/>
    </xf>
    <xf numFmtId="0" fontId="3" fillId="0" borderId="0" xfId="35" applyNumberFormat="1" applyFont="1" applyFill="1" applyAlignment="1" applyProtection="1">
      <alignment vertical="center"/>
    </xf>
    <xf numFmtId="0" fontId="3" fillId="0" borderId="0" xfId="35" applyFont="1" applyFill="1" applyAlignment="1">
      <alignment vertical="center"/>
    </xf>
    <xf numFmtId="0" fontId="29" fillId="0" borderId="7" xfId="35" applyFont="1" applyBorder="1" applyAlignment="1">
      <alignment horizontal="center" vertical="center" wrapText="1"/>
    </xf>
    <xf numFmtId="0" fontId="10" fillId="0" borderId="7" xfId="35" applyNumberFormat="1" applyFont="1" applyFill="1" applyBorder="1" applyAlignment="1" applyProtection="1">
      <alignment vertical="center" wrapText="1"/>
    </xf>
    <xf numFmtId="0" fontId="13" fillId="0" borderId="12" xfId="35" applyNumberFormat="1" applyFont="1" applyFill="1" applyBorder="1" applyAlignment="1" applyProtection="1">
      <alignment horizontal="center" vertical="center" wrapText="1"/>
    </xf>
    <xf numFmtId="0" fontId="13" fillId="0" borderId="10" xfId="35" applyNumberFormat="1" applyFont="1" applyFill="1" applyBorder="1" applyAlignment="1" applyProtection="1">
      <alignment horizontal="center" vertical="center" wrapText="1"/>
    </xf>
    <xf numFmtId="0" fontId="52" fillId="0" borderId="7" xfId="35" applyFont="1" applyBorder="1" applyAlignment="1">
      <alignment horizontal="center" vertical="center" wrapText="1"/>
    </xf>
    <xf numFmtId="4" fontId="45" fillId="0" borderId="7" xfId="38" applyNumberFormat="1" applyFont="1" applyFill="1" applyBorder="1" applyAlignment="1" applyProtection="1">
      <alignment horizontal="center" vertical="center" wrapText="1"/>
      <protection locked="0"/>
    </xf>
    <xf numFmtId="4" fontId="59" fillId="0" borderId="0" xfId="0" applyNumberFormat="1" applyFont="1" applyAlignment="1">
      <alignment vertical="center"/>
    </xf>
    <xf numFmtId="0" fontId="3" fillId="6" borderId="0" xfId="35" applyNumberFormat="1" applyFont="1" applyFill="1" applyAlignment="1" applyProtection="1"/>
    <xf numFmtId="4" fontId="60" fillId="0" borderId="0" xfId="0" applyNumberFormat="1" applyFont="1" applyAlignment="1">
      <alignment vertical="center"/>
    </xf>
    <xf numFmtId="4" fontId="61" fillId="0" borderId="0" xfId="0" applyNumberFormat="1" applyFont="1" applyAlignment="1">
      <alignment vertical="center"/>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4" fontId="63" fillId="0" borderId="0" xfId="0" applyNumberFormat="1" applyFont="1" applyAlignment="1">
      <alignment vertical="center"/>
    </xf>
    <xf numFmtId="4" fontId="64" fillId="0" borderId="0" xfId="0" applyNumberFormat="1" applyFont="1" applyAlignment="1">
      <alignment vertical="center"/>
    </xf>
    <xf numFmtId="0" fontId="3" fillId="0" borderId="0" xfId="39" applyNumberFormat="1" applyFont="1" applyFill="1" applyAlignment="1" applyProtection="1"/>
    <xf numFmtId="0" fontId="3" fillId="0" borderId="0" xfId="39" applyFont="1" applyFill="1"/>
    <xf numFmtId="0" fontId="29" fillId="0" borderId="0" xfId="39" applyNumberFormat="1" applyFont="1" applyFill="1" applyAlignment="1" applyProtection="1">
      <alignment horizontal="center" vertical="center"/>
    </xf>
    <xf numFmtId="0" fontId="3" fillId="0" borderId="0" xfId="39" applyNumberFormat="1" applyFont="1" applyFill="1" applyBorder="1" applyAlignment="1" applyProtection="1"/>
    <xf numFmtId="0" fontId="14" fillId="0" borderId="11" xfId="39" applyNumberFormat="1" applyFont="1" applyFill="1" applyBorder="1" applyAlignment="1" applyProtection="1">
      <alignment vertical="center"/>
    </xf>
    <xf numFmtId="0" fontId="10" fillId="0" borderId="7" xfId="39" applyNumberFormat="1" applyFont="1" applyFill="1" applyBorder="1" applyAlignment="1" applyProtection="1">
      <alignment horizontal="center" vertical="center" wrapText="1"/>
    </xf>
    <xf numFmtId="0" fontId="3" fillId="0" borderId="0" xfId="39" applyNumberFormat="1" applyFont="1" applyFill="1" applyBorder="1" applyAlignment="1" applyProtection="1">
      <alignment vertical="center" wrapText="1"/>
    </xf>
    <xf numFmtId="0" fontId="3" fillId="0" borderId="0" xfId="39" applyNumberFormat="1" applyFont="1" applyFill="1" applyAlignment="1" applyProtection="1">
      <alignment vertical="center" wrapText="1"/>
    </xf>
    <xf numFmtId="0" fontId="3" fillId="0" borderId="0" xfId="39" applyFont="1" applyFill="1" applyAlignment="1">
      <alignment vertical="center" wrapText="1"/>
    </xf>
    <xf numFmtId="0" fontId="13" fillId="0" borderId="7" xfId="39" applyNumberFormat="1" applyFont="1" applyFill="1" applyBorder="1" applyAlignment="1" applyProtection="1">
      <alignment horizontal="center" vertical="center" wrapText="1"/>
    </xf>
    <xf numFmtId="0" fontId="29" fillId="0" borderId="0" xfId="39" applyNumberFormat="1" applyFont="1" applyFill="1" applyBorder="1" applyAlignment="1" applyProtection="1">
      <alignment wrapText="1"/>
    </xf>
    <xf numFmtId="0" fontId="29" fillId="0" borderId="0" xfId="39" applyNumberFormat="1" applyFont="1" applyFill="1" applyAlignment="1" applyProtection="1">
      <alignment wrapText="1"/>
    </xf>
    <xf numFmtId="0" fontId="29" fillId="0" borderId="0" xfId="39" applyFont="1" applyFill="1" applyAlignment="1">
      <alignment wrapText="1"/>
    </xf>
    <xf numFmtId="0" fontId="30" fillId="0" borderId="7" xfId="39" applyNumberFormat="1" applyFont="1" applyFill="1" applyBorder="1" applyAlignment="1" applyProtection="1">
      <alignment horizontal="center" vertical="center" wrapText="1"/>
    </xf>
    <xf numFmtId="0" fontId="30" fillId="0" borderId="7" xfId="39" applyNumberFormat="1" applyFont="1" applyFill="1" applyBorder="1" applyAlignment="1" applyProtection="1">
      <alignment horizontal="left" vertical="center" wrapText="1"/>
    </xf>
    <xf numFmtId="4" fontId="31" fillId="0" borderId="7" xfId="39" applyNumberFormat="1" applyFont="1" applyFill="1" applyBorder="1" applyAlignment="1">
      <alignment vertical="center" wrapText="1"/>
    </xf>
    <xf numFmtId="0" fontId="30" fillId="0" borderId="0" xfId="39" applyNumberFormat="1" applyFont="1" applyFill="1" applyBorder="1" applyAlignment="1" applyProtection="1">
      <alignment wrapText="1"/>
    </xf>
    <xf numFmtId="0" fontId="30" fillId="0" borderId="0" xfId="39" applyNumberFormat="1" applyFont="1" applyFill="1" applyAlignment="1" applyProtection="1">
      <alignment wrapText="1"/>
    </xf>
    <xf numFmtId="0" fontId="30" fillId="0" borderId="0" xfId="39" applyFont="1" applyFill="1" applyAlignment="1">
      <alignment wrapText="1"/>
    </xf>
    <xf numFmtId="0" fontId="29" fillId="0" borderId="7" xfId="39" applyNumberFormat="1" applyFont="1" applyFill="1" applyBorder="1" applyAlignment="1" applyProtection="1">
      <alignment horizontal="center" vertical="center" wrapText="1"/>
    </xf>
    <xf numFmtId="0" fontId="13" fillId="0" borderId="7" xfId="39" applyNumberFormat="1" applyFont="1" applyFill="1" applyBorder="1" applyAlignment="1" applyProtection="1">
      <alignment vertical="center" wrapText="1"/>
    </xf>
    <xf numFmtId="4" fontId="15" fillId="0" borderId="7" xfId="39" applyNumberFormat="1" applyFont="1" applyFill="1" applyBorder="1" applyAlignment="1">
      <alignment vertical="center" wrapText="1"/>
    </xf>
    <xf numFmtId="4" fontId="32" fillId="0" borderId="7" xfId="39" applyNumberFormat="1" applyFont="1" applyFill="1" applyBorder="1" applyAlignment="1">
      <alignment vertical="center" wrapText="1"/>
    </xf>
    <xf numFmtId="0" fontId="66" fillId="0" borderId="0" xfId="39" applyNumberFormat="1" applyFont="1" applyFill="1" applyBorder="1" applyAlignment="1" applyProtection="1">
      <alignment wrapText="1"/>
    </xf>
    <xf numFmtId="0" fontId="66" fillId="0" borderId="0" xfId="39" applyNumberFormat="1" applyFont="1" applyFill="1" applyAlignment="1" applyProtection="1">
      <alignment wrapText="1"/>
    </xf>
    <xf numFmtId="0" fontId="66" fillId="0" borderId="0" xfId="39" applyFont="1" applyFill="1" applyAlignment="1">
      <alignment wrapText="1"/>
    </xf>
    <xf numFmtId="0" fontId="37" fillId="0" borderId="7" xfId="39" applyNumberFormat="1" applyFont="1" applyFill="1" applyBorder="1" applyAlignment="1" applyProtection="1">
      <alignment vertical="center" wrapText="1"/>
    </xf>
    <xf numFmtId="4" fontId="38" fillId="0" borderId="7" xfId="39" applyNumberFormat="1" applyFont="1" applyFill="1" applyBorder="1" applyAlignment="1">
      <alignment vertical="center" wrapText="1"/>
    </xf>
    <xf numFmtId="0" fontId="66" fillId="0" borderId="7" xfId="39" applyNumberFormat="1" applyFont="1" applyFill="1" applyBorder="1" applyAlignment="1" applyProtection="1">
      <alignment horizontal="center" vertical="center" wrapText="1"/>
    </xf>
    <xf numFmtId="0" fontId="66" fillId="0" borderId="7" xfId="39" applyNumberFormat="1" applyFont="1" applyFill="1" applyBorder="1" applyAlignment="1" applyProtection="1">
      <alignment vertical="center" wrapText="1"/>
    </xf>
    <xf numFmtId="4" fontId="34" fillId="0" borderId="7" xfId="39" applyNumberFormat="1" applyFont="1" applyFill="1" applyBorder="1" applyAlignment="1">
      <alignment vertical="center" wrapText="1"/>
    </xf>
    <xf numFmtId="4" fontId="30" fillId="0" borderId="7" xfId="39" applyNumberFormat="1" applyFont="1" applyFill="1" applyBorder="1" applyAlignment="1" applyProtection="1">
      <alignment horizontal="right" vertical="center" wrapText="1"/>
    </xf>
    <xf numFmtId="4" fontId="29" fillId="0" borderId="7" xfId="39" applyNumberFormat="1" applyFont="1" applyFill="1" applyBorder="1" applyAlignment="1" applyProtection="1">
      <alignment horizontal="right" vertical="center" wrapText="1"/>
    </xf>
    <xf numFmtId="0" fontId="66" fillId="0" borderId="7" xfId="37" applyFont="1" applyFill="1" applyBorder="1" applyAlignment="1">
      <alignment horizontal="justify" vertical="top" wrapText="1"/>
    </xf>
    <xf numFmtId="4" fontId="29" fillId="0" borderId="7" xfId="39" applyNumberFormat="1" applyFont="1" applyFill="1" applyBorder="1" applyAlignment="1" applyProtection="1">
      <alignment vertical="center" wrapText="1"/>
    </xf>
    <xf numFmtId="4" fontId="39" fillId="0" borderId="7" xfId="39" applyNumberFormat="1" applyFont="1" applyFill="1" applyBorder="1" applyAlignment="1">
      <alignment vertical="center" wrapText="1"/>
    </xf>
    <xf numFmtId="0" fontId="3" fillId="0" borderId="0" xfId="39" applyNumberFormat="1" applyFont="1" applyFill="1" applyBorder="1" applyAlignment="1" applyProtection="1">
      <alignment wrapText="1"/>
    </xf>
    <xf numFmtId="0" fontId="3" fillId="0" borderId="0" xfId="39" applyNumberFormat="1" applyFont="1" applyFill="1" applyAlignment="1" applyProtection="1">
      <alignment wrapText="1"/>
    </xf>
    <xf numFmtId="0" fontId="3" fillId="0" borderId="0" xfId="39" applyFont="1" applyFill="1" applyAlignment="1">
      <alignment wrapText="1"/>
    </xf>
    <xf numFmtId="0" fontId="30" fillId="0" borderId="7" xfId="39" applyNumberFormat="1" applyFont="1" applyFill="1" applyBorder="1" applyAlignment="1" applyProtection="1">
      <alignment vertical="center" wrapText="1"/>
    </xf>
    <xf numFmtId="0" fontId="31" fillId="0" borderId="7" xfId="37" applyFont="1" applyFill="1" applyBorder="1" applyAlignment="1">
      <alignment horizontal="justify" vertical="top" wrapText="1"/>
    </xf>
    <xf numFmtId="4" fontId="33" fillId="0" borderId="7" xfId="39" applyNumberFormat="1" applyFont="1" applyFill="1" applyBorder="1" applyAlignment="1">
      <alignment vertical="center" wrapText="1"/>
    </xf>
    <xf numFmtId="0" fontId="34" fillId="0" borderId="7" xfId="37" applyFont="1" applyFill="1" applyBorder="1" applyAlignment="1">
      <alignment horizontal="justify" vertical="top" wrapText="1"/>
    </xf>
    <xf numFmtId="0" fontId="66" fillId="0" borderId="14" xfId="37" applyFont="1" applyFill="1" applyBorder="1" applyAlignment="1">
      <alignment horizontal="justify" vertical="top" wrapText="1"/>
    </xf>
    <xf numFmtId="0" fontId="67" fillId="0" borderId="7" xfId="37" applyFont="1" applyFill="1" applyBorder="1" applyAlignment="1">
      <alignment horizontal="justify" vertical="top" wrapText="1"/>
    </xf>
    <xf numFmtId="0" fontId="68" fillId="0" borderId="7" xfId="37" applyFont="1" applyFill="1" applyBorder="1" applyAlignment="1">
      <alignment horizontal="justify" vertical="top" wrapText="1"/>
    </xf>
    <xf numFmtId="0" fontId="37" fillId="0" borderId="7" xfId="39" applyNumberFormat="1" applyFont="1" applyFill="1" applyBorder="1" applyAlignment="1" applyProtection="1">
      <alignment horizontal="center" vertical="center" wrapText="1"/>
    </xf>
    <xf numFmtId="0" fontId="38" fillId="0" borderId="7" xfId="37" applyFont="1" applyFill="1" applyBorder="1" applyAlignment="1">
      <alignment horizontal="justify" vertical="top" wrapText="1"/>
    </xf>
    <xf numFmtId="0" fontId="34" fillId="0" borderId="7" xfId="37" applyFont="1" applyFill="1" applyBorder="1" applyAlignment="1">
      <alignment vertical="top" wrapText="1"/>
    </xf>
    <xf numFmtId="0" fontId="3" fillId="0" borderId="7" xfId="39" applyNumberFormat="1" applyFont="1" applyFill="1" applyBorder="1" applyAlignment="1" applyProtection="1">
      <alignment vertical="center" wrapText="1"/>
    </xf>
    <xf numFmtId="0" fontId="69" fillId="0" borderId="0" xfId="39" applyNumberFormat="1" applyFont="1" applyFill="1" applyBorder="1" applyAlignment="1" applyProtection="1">
      <alignment wrapText="1"/>
    </xf>
    <xf numFmtId="0" fontId="69" fillId="0" borderId="0" xfId="39" applyNumberFormat="1" applyFont="1" applyFill="1" applyAlignment="1" applyProtection="1">
      <alignment wrapText="1"/>
    </xf>
    <xf numFmtId="0" fontId="69" fillId="0" borderId="0" xfId="39" applyFont="1" applyFill="1" applyAlignment="1">
      <alignment wrapText="1"/>
    </xf>
    <xf numFmtId="0" fontId="68" fillId="0" borderId="7" xfId="39" applyNumberFormat="1" applyFont="1" applyFill="1" applyBorder="1" applyAlignment="1" applyProtection="1">
      <alignment horizontal="center" vertical="center" wrapText="1"/>
    </xf>
    <xf numFmtId="0" fontId="67" fillId="0" borderId="7" xfId="37" applyFont="1" applyFill="1" applyBorder="1" applyAlignment="1">
      <alignment vertical="top" wrapText="1"/>
    </xf>
    <xf numFmtId="4" fontId="67" fillId="0" borderId="7" xfId="39" applyNumberFormat="1" applyFont="1" applyFill="1" applyBorder="1" applyAlignment="1">
      <alignment vertical="center" wrapText="1"/>
    </xf>
    <xf numFmtId="4" fontId="70" fillId="0" borderId="7" xfId="39" applyNumberFormat="1" applyFont="1" applyFill="1" applyBorder="1" applyAlignment="1">
      <alignment vertical="center" wrapText="1"/>
    </xf>
    <xf numFmtId="0" fontId="71" fillId="0" borderId="7" xfId="37" applyFont="1" applyFill="1" applyBorder="1" applyAlignment="1">
      <alignment horizontal="justify" vertical="top" wrapText="1"/>
    </xf>
    <xf numFmtId="0" fontId="72" fillId="0" borderId="7" xfId="37" applyFont="1" applyFill="1" applyBorder="1" applyAlignment="1">
      <alignment horizontal="justify" vertical="top" wrapText="1"/>
    </xf>
    <xf numFmtId="0" fontId="29" fillId="0" borderId="7" xfId="39" applyNumberFormat="1" applyFont="1" applyFill="1" applyBorder="1" applyAlignment="1" applyProtection="1">
      <alignment vertical="center" wrapText="1"/>
    </xf>
    <xf numFmtId="0" fontId="73" fillId="0" borderId="7" xfId="37" applyFont="1" applyFill="1" applyBorder="1" applyAlignment="1">
      <alignment horizontal="justify" vertical="top" wrapText="1"/>
    </xf>
    <xf numFmtId="0" fontId="13" fillId="0" borderId="7" xfId="37" applyFont="1" applyFill="1" applyBorder="1" applyAlignment="1">
      <alignment horizontal="justify" vertical="top" wrapText="1"/>
    </xf>
    <xf numFmtId="0" fontId="11" fillId="0" borderId="7" xfId="37" applyFont="1" applyFill="1" applyBorder="1" applyAlignment="1">
      <alignment horizontal="justify" vertical="top" wrapText="1"/>
    </xf>
    <xf numFmtId="0" fontId="68" fillId="0" borderId="7" xfId="0" applyNumberFormat="1" applyFont="1" applyFill="1" applyBorder="1" applyAlignment="1" applyProtection="1">
      <alignment horizontal="left" vertical="center" wrapText="1"/>
    </xf>
    <xf numFmtId="0" fontId="66" fillId="0" borderId="7" xfId="0" applyNumberFormat="1" applyFont="1" applyFill="1" applyBorder="1" applyAlignment="1" applyProtection="1">
      <alignment horizontal="left" vertical="center" wrapText="1"/>
    </xf>
    <xf numFmtId="0" fontId="3" fillId="0" borderId="7" xfId="39" applyNumberFormat="1" applyFont="1" applyFill="1" applyBorder="1" applyAlignment="1" applyProtection="1">
      <alignment horizontal="center" vertical="center" wrapText="1"/>
    </xf>
    <xf numFmtId="0" fontId="65" fillId="0" borderId="7" xfId="39" applyFont="1" applyFill="1" applyBorder="1" applyAlignment="1">
      <alignment vertical="center" wrapText="1"/>
    </xf>
    <xf numFmtId="0" fontId="10" fillId="0" borderId="0" xfId="39" applyNumberFormat="1" applyFont="1" applyFill="1" applyBorder="1" applyAlignment="1" applyProtection="1"/>
    <xf numFmtId="0" fontId="10" fillId="0" borderId="0" xfId="39" applyNumberFormat="1" applyFont="1" applyFill="1" applyAlignment="1" applyProtection="1"/>
    <xf numFmtId="0" fontId="10" fillId="0" borderId="0" xfId="39" applyFont="1" applyFill="1"/>
    <xf numFmtId="2" fontId="3" fillId="0" borderId="0" xfId="39" applyNumberFormat="1" applyFont="1" applyFill="1" applyBorder="1" applyAlignment="1" applyProtection="1"/>
    <xf numFmtId="4" fontId="3" fillId="0" borderId="0" xfId="39" applyNumberFormat="1" applyFont="1" applyFill="1" applyBorder="1" applyAlignment="1" applyProtection="1"/>
    <xf numFmtId="0" fontId="53" fillId="0" borderId="0" xfId="0" applyFont="1" applyFill="1"/>
    <xf numFmtId="0" fontId="15" fillId="0" borderId="0" xfId="0" applyFont="1" applyFill="1" applyAlignment="1"/>
    <xf numFmtId="0" fontId="14" fillId="0" borderId="7" xfId="0" applyFont="1" applyFill="1" applyBorder="1" applyAlignment="1">
      <alignment horizontal="center" vertical="top" wrapText="1"/>
    </xf>
    <xf numFmtId="0" fontId="76" fillId="0" borderId="7" xfId="0" applyFont="1" applyFill="1" applyBorder="1" applyAlignment="1">
      <alignment horizontal="center" vertical="top" wrapText="1"/>
    </xf>
    <xf numFmtId="4" fontId="13" fillId="0" borderId="7"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0" fontId="3" fillId="0" borderId="7" xfId="0" applyFont="1" applyFill="1" applyBorder="1" applyAlignment="1">
      <alignment horizontal="left" vertical="center" wrapText="1"/>
    </xf>
    <xf numFmtId="0" fontId="77" fillId="0" borderId="0" xfId="35" applyNumberFormat="1" applyFont="1" applyFill="1" applyAlignment="1" applyProtection="1"/>
    <xf numFmtId="0" fontId="77" fillId="0" borderId="0" xfId="35" applyFont="1" applyFill="1"/>
    <xf numFmtId="0" fontId="11" fillId="0" borderId="0" xfId="35" applyNumberFormat="1" applyFont="1" applyFill="1" applyAlignment="1" applyProtection="1">
      <alignment horizontal="center" vertical="center" wrapText="1"/>
    </xf>
    <xf numFmtId="0" fontId="14" fillId="0" borderId="0" xfId="35" applyNumberFormat="1" applyFont="1" applyFill="1" applyAlignment="1" applyProtection="1">
      <alignment horizontal="center" vertical="center" wrapText="1"/>
    </xf>
    <xf numFmtId="0" fontId="11" fillId="0" borderId="0" xfId="35" applyNumberFormat="1" applyFont="1" applyFill="1" applyAlignment="1" applyProtection="1">
      <alignment horizontal="center"/>
    </xf>
    <xf numFmtId="0" fontId="77" fillId="0" borderId="0" xfId="35" applyFont="1" applyFill="1" applyAlignment="1">
      <alignment horizontal="center"/>
    </xf>
    <xf numFmtId="0" fontId="14" fillId="0" borderId="0" xfId="35" applyFont="1" applyFill="1" applyAlignment="1">
      <alignment horizontal="right"/>
    </xf>
    <xf numFmtId="0" fontId="77" fillId="0" borderId="16" xfId="35" applyNumberFormat="1" applyFont="1" applyFill="1" applyBorder="1" applyAlignment="1" applyProtection="1"/>
    <xf numFmtId="0" fontId="77" fillId="0" borderId="17" xfId="35" applyNumberFormat="1" applyFont="1" applyFill="1" applyBorder="1" applyAlignment="1" applyProtection="1"/>
    <xf numFmtId="0" fontId="79" fillId="0" borderId="8" xfId="35" applyNumberFormat="1" applyFont="1" applyFill="1" applyBorder="1" applyAlignment="1" applyProtection="1">
      <alignment horizontal="center" vertical="center" wrapText="1"/>
    </xf>
    <xf numFmtId="0" fontId="77" fillId="0" borderId="0" xfId="35" applyNumberFormat="1" applyFont="1" applyFill="1" applyBorder="1" applyAlignment="1" applyProtection="1"/>
    <xf numFmtId="0" fontId="66" fillId="0" borderId="0" xfId="35" applyNumberFormat="1" applyFont="1" applyFill="1" applyAlignment="1" applyProtection="1"/>
    <xf numFmtId="49" fontId="30" fillId="0" borderId="7" xfId="35" applyNumberFormat="1" applyFont="1" applyBorder="1" applyAlignment="1">
      <alignment horizontal="center" vertical="center" wrapText="1"/>
    </xf>
    <xf numFmtId="49" fontId="30" fillId="0" borderId="7" xfId="0" applyNumberFormat="1" applyFont="1" applyFill="1" applyBorder="1" applyAlignment="1">
      <alignment horizontal="center" vertical="center" wrapText="1"/>
    </xf>
    <xf numFmtId="4" fontId="31" fillId="0" borderId="7" xfId="35" applyNumberFormat="1" applyFont="1" applyBorder="1" applyAlignment="1">
      <alignment horizontal="center" vertical="center"/>
    </xf>
    <xf numFmtId="0" fontId="80" fillId="0" borderId="0" xfId="35" applyFont="1" applyFill="1"/>
    <xf numFmtId="49" fontId="51" fillId="0" borderId="7" xfId="35" applyNumberFormat="1" applyFont="1" applyBorder="1" applyAlignment="1">
      <alignment horizontal="center" vertical="center" wrapText="1"/>
    </xf>
    <xf numFmtId="49" fontId="51" fillId="0" borderId="7" xfId="0" applyNumberFormat="1" applyFont="1" applyFill="1" applyBorder="1" applyAlignment="1">
      <alignment horizontal="center" vertical="center" wrapText="1"/>
    </xf>
    <xf numFmtId="4" fontId="33" fillId="0" borderId="7" xfId="35" applyNumberFormat="1" applyFont="1" applyBorder="1" applyAlignment="1">
      <alignment horizontal="center" vertical="center"/>
    </xf>
    <xf numFmtId="49" fontId="29" fillId="0" borderId="7" xfId="35" applyNumberFormat="1" applyFont="1" applyBorder="1" applyAlignment="1">
      <alignment horizontal="center" vertical="center" wrapText="1"/>
    </xf>
    <xf numFmtId="49" fontId="52" fillId="0" borderId="7" xfId="35" applyNumberFormat="1" applyFont="1" applyBorder="1" applyAlignment="1">
      <alignment horizontal="center" vertical="center" wrapText="1"/>
    </xf>
    <xf numFmtId="4" fontId="55" fillId="0" borderId="7" xfId="35" applyNumberFormat="1" applyFont="1" applyBorder="1" applyAlignment="1">
      <alignment horizontal="center" vertical="center"/>
    </xf>
    <xf numFmtId="0" fontId="81" fillId="0" borderId="0" xfId="36" applyNumberFormat="1" applyFont="1" applyFill="1" applyBorder="1" applyAlignment="1" applyProtection="1">
      <alignment vertical="top"/>
    </xf>
    <xf numFmtId="0" fontId="74" fillId="0" borderId="0" xfId="36" applyNumberFormat="1" applyFont="1" applyFill="1" applyBorder="1" applyAlignment="1" applyProtection="1">
      <alignment vertical="top"/>
    </xf>
    <xf numFmtId="0" fontId="81" fillId="0" borderId="0" xfId="36" applyNumberFormat="1" applyFont="1" applyFill="1" applyBorder="1" applyAlignment="1" applyProtection="1">
      <alignment horizontal="center" vertical="top"/>
    </xf>
    <xf numFmtId="0" fontId="83" fillId="0" borderId="0" xfId="36" applyNumberFormat="1" applyFont="1" applyFill="1" applyBorder="1" applyAlignment="1" applyProtection="1">
      <alignment horizontal="right" vertical="top"/>
    </xf>
    <xf numFmtId="0" fontId="10" fillId="0" borderId="0" xfId="36" applyNumberFormat="1" applyFont="1" applyFill="1" applyBorder="1" applyAlignment="1" applyProtection="1">
      <alignment horizontal="center" vertical="top"/>
    </xf>
    <xf numFmtId="2" fontId="74" fillId="0" borderId="0" xfId="36" applyNumberFormat="1" applyFont="1" applyFill="1" applyBorder="1" applyAlignment="1" applyProtection="1">
      <alignment horizontal="center" vertical="top"/>
    </xf>
    <xf numFmtId="2" fontId="81" fillId="0" borderId="7" xfId="36" applyNumberFormat="1" applyFont="1" applyFill="1" applyBorder="1" applyAlignment="1" applyProtection="1">
      <alignment horizontal="center" vertical="center"/>
    </xf>
    <xf numFmtId="2" fontId="10" fillId="0" borderId="7" xfId="36" applyNumberFormat="1" applyFont="1" applyFill="1" applyBorder="1" applyAlignment="1" applyProtection="1">
      <alignment horizontal="center" vertical="center"/>
    </xf>
    <xf numFmtId="2" fontId="10" fillId="0" borderId="0" xfId="36" applyNumberFormat="1" applyFont="1" applyFill="1" applyBorder="1" applyAlignment="1" applyProtection="1">
      <alignment horizontal="center" vertical="top"/>
    </xf>
    <xf numFmtId="2" fontId="9" fillId="0" borderId="7" xfId="36" applyNumberFormat="1" applyFont="1" applyFill="1" applyBorder="1" applyAlignment="1" applyProtection="1">
      <alignment horizontal="center" vertical="center" wrapText="1"/>
    </xf>
    <xf numFmtId="2" fontId="84" fillId="0" borderId="7" xfId="36" applyNumberFormat="1" applyFont="1" applyFill="1" applyBorder="1" applyAlignment="1" applyProtection="1">
      <alignment horizontal="center" vertical="center" wrapText="1"/>
    </xf>
    <xf numFmtId="4" fontId="9" fillId="0" borderId="7" xfId="36" applyNumberFormat="1" applyFont="1" applyFill="1" applyBorder="1" applyAlignment="1" applyProtection="1">
      <alignment horizontal="center" vertical="center"/>
    </xf>
    <xf numFmtId="2" fontId="81" fillId="0" borderId="7" xfId="36" applyNumberFormat="1" applyFont="1" applyFill="1" applyBorder="1" applyAlignment="1" applyProtection="1">
      <alignment horizontal="center" vertical="center" wrapText="1"/>
    </xf>
    <xf numFmtId="4" fontId="85" fillId="0" borderId="7" xfId="36" applyNumberFormat="1" applyFont="1" applyFill="1" applyBorder="1" applyAlignment="1" applyProtection="1">
      <alignment horizontal="center" vertical="center" wrapText="1"/>
    </xf>
    <xf numFmtId="0" fontId="84" fillId="0" borderId="0" xfId="36" applyNumberFormat="1" applyFont="1" applyFill="1" applyBorder="1" applyAlignment="1" applyProtection="1">
      <alignment horizontal="center" vertical="top" wrapText="1"/>
    </xf>
    <xf numFmtId="2" fontId="84" fillId="0" borderId="0" xfId="36" applyNumberFormat="1" applyFont="1" applyFill="1" applyBorder="1" applyAlignment="1" applyProtection="1">
      <alignment horizontal="center" vertical="top" wrapText="1"/>
    </xf>
    <xf numFmtId="165" fontId="9" fillId="0" borderId="0" xfId="36" applyNumberFormat="1" applyFont="1" applyFill="1" applyBorder="1" applyAlignment="1" applyProtection="1">
      <alignment horizontal="center" vertical="top"/>
    </xf>
    <xf numFmtId="0" fontId="86" fillId="0" borderId="0" xfId="38" applyNumberFormat="1" applyFont="1" applyFill="1" applyBorder="1" applyAlignment="1" applyProtection="1">
      <alignment horizontal="left" vertical="center" wrapText="1"/>
      <protection locked="0"/>
    </xf>
    <xf numFmtId="0" fontId="84" fillId="0" borderId="0" xfId="36" applyNumberFormat="1" applyFont="1" applyFill="1" applyBorder="1" applyAlignment="1" applyProtection="1">
      <alignment horizontal="left" vertical="top" wrapText="1"/>
    </xf>
    <xf numFmtId="4" fontId="46" fillId="0" borderId="7" xfId="38" applyNumberFormat="1" applyFont="1" applyFill="1" applyBorder="1" applyAlignment="1" applyProtection="1">
      <alignment horizontal="center" vertical="center" wrapText="1"/>
      <protection locked="0"/>
    </xf>
    <xf numFmtId="4" fontId="52" fillId="0" borderId="7" xfId="35" applyNumberFormat="1" applyFont="1" applyFill="1" applyBorder="1" applyAlignment="1" applyProtection="1">
      <alignment horizontal="center" vertical="center"/>
    </xf>
    <xf numFmtId="0" fontId="88" fillId="0" borderId="0" xfId="0" applyFont="1"/>
    <xf numFmtId="4" fontId="48" fillId="0" borderId="0" xfId="0" applyNumberFormat="1" applyFont="1" applyFill="1"/>
    <xf numFmtId="0" fontId="12" fillId="0" borderId="0" xfId="39" applyNumberFormat="1" applyFont="1" applyFill="1" applyAlignment="1" applyProtection="1"/>
    <xf numFmtId="4" fontId="53" fillId="0" borderId="0" xfId="0" applyNumberFormat="1" applyFont="1" applyFill="1"/>
    <xf numFmtId="0" fontId="13" fillId="0" borderId="7" xfId="0" applyFont="1" applyFill="1" applyBorder="1" applyAlignment="1">
      <alignment horizontal="left" vertical="center" wrapText="1"/>
    </xf>
    <xf numFmtId="2" fontId="99" fillId="0" borderId="0" xfId="36" applyNumberFormat="1" applyFont="1" applyFill="1" applyBorder="1" applyAlignment="1" applyProtection="1">
      <alignment horizontal="center" vertical="top"/>
    </xf>
    <xf numFmtId="4" fontId="45" fillId="0" borderId="15" xfId="0" applyNumberFormat="1" applyFont="1" applyFill="1" applyBorder="1" applyAlignment="1">
      <alignment horizontal="center" vertical="center" wrapText="1"/>
    </xf>
    <xf numFmtId="2" fontId="10" fillId="0" borderId="7" xfId="36" applyNumberFormat="1" applyFont="1" applyFill="1" applyBorder="1" applyAlignment="1" applyProtection="1">
      <alignment horizontal="center" vertical="center" wrapText="1"/>
    </xf>
    <xf numFmtId="4" fontId="10" fillId="0" borderId="7" xfId="36" applyNumberFormat="1" applyFont="1" applyFill="1" applyBorder="1" applyAlignment="1" applyProtection="1">
      <alignment horizontal="center" vertical="center"/>
    </xf>
    <xf numFmtId="2" fontId="84" fillId="0" borderId="7" xfId="38" applyNumberFormat="1" applyFont="1" applyFill="1" applyBorder="1" applyAlignment="1" applyProtection="1">
      <alignment horizontal="center" vertical="center" wrapText="1"/>
      <protection locked="0"/>
    </xf>
    <xf numFmtId="4" fontId="3" fillId="0" borderId="0" xfId="35" applyNumberFormat="1" applyFont="1" applyFill="1"/>
    <xf numFmtId="4" fontId="100" fillId="0" borderId="0" xfId="0" applyNumberFormat="1" applyFont="1" applyAlignment="1">
      <alignment vertical="center"/>
    </xf>
    <xf numFmtId="4" fontId="101" fillId="0" borderId="0" xfId="0" applyNumberFormat="1" applyFont="1" applyAlignment="1">
      <alignment vertical="center"/>
    </xf>
    <xf numFmtId="0" fontId="103" fillId="0" borderId="0" xfId="0" applyFont="1" applyBorder="1" applyAlignment="1">
      <alignment horizontal="left" vertical="center"/>
    </xf>
    <xf numFmtId="0" fontId="105" fillId="0" borderId="0" xfId="0" applyFont="1" applyBorder="1" applyAlignment="1">
      <alignment horizontal="left" vertical="center"/>
    </xf>
    <xf numFmtId="0" fontId="106" fillId="0" borderId="0" xfId="0" applyFont="1" applyBorder="1" applyAlignment="1">
      <alignment horizontal="left" vertical="center"/>
    </xf>
    <xf numFmtId="0" fontId="43" fillId="0" borderId="7" xfId="0" applyFont="1" applyBorder="1" applyAlignment="1">
      <alignment horizontal="center" vertical="center" wrapText="1"/>
    </xf>
    <xf numFmtId="0" fontId="56" fillId="0" borderId="0" xfId="0" applyFont="1"/>
    <xf numFmtId="0" fontId="41" fillId="0" borderId="0" xfId="0" applyFont="1" applyAlignment="1">
      <alignment vertical="center"/>
    </xf>
    <xf numFmtId="0" fontId="3" fillId="0" borderId="0" xfId="0" applyFont="1"/>
    <xf numFmtId="0" fontId="3" fillId="0" borderId="0" xfId="0" applyFont="1" applyFill="1"/>
    <xf numFmtId="0" fontId="108" fillId="0" borderId="7" xfId="0" applyFont="1" applyFill="1" applyBorder="1" applyAlignment="1">
      <alignment horizontal="center" vertical="center" wrapText="1"/>
    </xf>
    <xf numFmtId="0" fontId="10" fillId="0" borderId="7" xfId="35" applyNumberFormat="1" applyFont="1" applyFill="1" applyBorder="1" applyAlignment="1" applyProtection="1">
      <alignment horizontal="center" vertical="center" wrapText="1"/>
    </xf>
    <xf numFmtId="0" fontId="108" fillId="0" borderId="7" xfId="0" applyFont="1" applyFill="1" applyBorder="1" applyAlignment="1">
      <alignment horizontal="center" vertical="center"/>
    </xf>
    <xf numFmtId="4" fontId="108" fillId="25" borderId="7" xfId="0" applyNumberFormat="1" applyFont="1" applyFill="1" applyBorder="1" applyAlignment="1">
      <alignment horizontal="center" vertical="center"/>
    </xf>
    <xf numFmtId="0" fontId="9" fillId="0" borderId="0" xfId="0" applyFont="1"/>
    <xf numFmtId="2" fontId="9" fillId="0" borderId="0" xfId="36" applyNumberFormat="1" applyFont="1" applyFill="1" applyBorder="1" applyAlignment="1" applyProtection="1">
      <alignment vertical="top"/>
    </xf>
    <xf numFmtId="0" fontId="3" fillId="0" borderId="0" xfId="35" applyFont="1" applyFill="1" applyBorder="1"/>
    <xf numFmtId="0" fontId="108" fillId="0" borderId="0" xfId="0" applyFont="1" applyFill="1" applyBorder="1" applyAlignment="1">
      <alignment horizontal="center" vertical="center"/>
    </xf>
    <xf numFmtId="4" fontId="108" fillId="0" borderId="0" xfId="0" applyNumberFormat="1" applyFont="1" applyFill="1" applyBorder="1" applyAlignment="1">
      <alignment horizontal="center" vertical="center"/>
    </xf>
    <xf numFmtId="4" fontId="114" fillId="0" borderId="0" xfId="0" applyNumberFormat="1" applyFont="1" applyAlignment="1">
      <alignment vertical="center"/>
    </xf>
    <xf numFmtId="0" fontId="10" fillId="0" borderId="7" xfId="37" applyFont="1" applyFill="1" applyBorder="1" applyAlignment="1">
      <alignment horizontal="justify" vertical="top" wrapText="1"/>
    </xf>
    <xf numFmtId="0" fontId="29" fillId="0" borderId="7" xfId="37" applyFont="1" applyFill="1" applyBorder="1" applyAlignment="1">
      <alignment horizontal="justify" vertical="top" wrapText="1"/>
    </xf>
    <xf numFmtId="0" fontId="13" fillId="0" borderId="7" xfId="0" applyFont="1" applyFill="1" applyBorder="1" applyAlignment="1">
      <alignment horizontal="center" vertical="center" wrapText="1"/>
    </xf>
    <xf numFmtId="0" fontId="67" fillId="0" borderId="7"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7" xfId="0" applyFont="1" applyFill="1" applyBorder="1" applyAlignment="1">
      <alignment horizontal="center" vertical="top" wrapText="1"/>
    </xf>
    <xf numFmtId="4" fontId="7" fillId="0" borderId="0" xfId="0" applyNumberFormat="1" applyFont="1" applyFill="1"/>
    <xf numFmtId="0" fontId="7" fillId="0" borderId="0" xfId="0" applyFont="1" applyFill="1"/>
    <xf numFmtId="0" fontId="3" fillId="26" borderId="0" xfId="35" applyFont="1" applyFill="1"/>
    <xf numFmtId="0" fontId="11" fillId="0" borderId="11" xfId="35" applyNumberFormat="1" applyFont="1" applyFill="1" applyBorder="1" applyAlignment="1" applyProtection="1">
      <alignment horizontal="center" vertical="center"/>
    </xf>
    <xf numFmtId="0" fontId="3" fillId="0" borderId="11" xfId="35" applyFont="1" applyFill="1" applyBorder="1" applyAlignment="1">
      <alignment horizontal="center" vertical="center"/>
    </xf>
    <xf numFmtId="0" fontId="3" fillId="0" borderId="0" xfId="35" applyFont="1" applyFill="1" applyBorder="1" applyAlignment="1">
      <alignment horizontal="center" vertical="center"/>
    </xf>
    <xf numFmtId="0" fontId="11" fillId="0" borderId="0" xfId="35" applyNumberFormat="1" applyFont="1" applyFill="1" applyBorder="1" applyAlignment="1" applyProtection="1">
      <alignment horizontal="center" vertical="center"/>
    </xf>
    <xf numFmtId="0" fontId="3" fillId="0" borderId="0" xfId="35" applyNumberFormat="1" applyFont="1" applyFill="1" applyAlignment="1" applyProtection="1">
      <alignment horizontal="center" vertical="center"/>
    </xf>
    <xf numFmtId="0" fontId="14" fillId="0" borderId="11" xfId="35" applyNumberFormat="1" applyFont="1" applyFill="1" applyBorder="1" applyAlignment="1" applyProtection="1">
      <alignment horizontal="center" vertical="center"/>
    </xf>
    <xf numFmtId="0" fontId="41" fillId="0" borderId="7" xfId="0" applyFont="1" applyBorder="1" applyAlignment="1">
      <alignment horizontal="center" vertical="center" wrapText="1"/>
    </xf>
    <xf numFmtId="0" fontId="116" fillId="0" borderId="0" xfId="35" applyFont="1" applyFill="1"/>
    <xf numFmtId="4" fontId="87" fillId="0" borderId="0" xfId="0" applyNumberFormat="1" applyFont="1" applyAlignment="1">
      <alignment horizontal="left" vertical="center"/>
    </xf>
    <xf numFmtId="4" fontId="47" fillId="0" borderId="7" xfId="0" applyNumberFormat="1" applyFont="1" applyFill="1" applyBorder="1" applyAlignment="1">
      <alignment horizontal="center" vertical="center" wrapText="1"/>
    </xf>
    <xf numFmtId="4" fontId="46" fillId="0" borderId="8" xfId="0" applyNumberFormat="1" applyFont="1" applyFill="1" applyBorder="1" applyAlignment="1">
      <alignment horizontal="center" vertical="center" wrapText="1"/>
    </xf>
    <xf numFmtId="4" fontId="44" fillId="0" borderId="7" xfId="38" applyNumberFormat="1" applyFont="1" applyFill="1" applyBorder="1" applyAlignment="1" applyProtection="1">
      <alignment horizontal="center" vertical="center" wrapText="1"/>
      <protection locked="0"/>
    </xf>
    <xf numFmtId="4" fontId="44" fillId="29" borderId="7" xfId="0" applyNumberFormat="1" applyFont="1" applyFill="1" applyBorder="1" applyAlignment="1">
      <alignment horizontal="center" vertical="center"/>
    </xf>
    <xf numFmtId="4" fontId="47" fillId="29" borderId="7" xfId="0" applyNumberFormat="1" applyFont="1" applyFill="1" applyBorder="1" applyAlignment="1">
      <alignment horizontal="center" vertical="center"/>
    </xf>
    <xf numFmtId="0" fontId="29" fillId="29" borderId="7" xfId="35" applyFont="1" applyFill="1" applyBorder="1" applyAlignment="1">
      <alignment horizontal="center" vertical="center" wrapText="1"/>
    </xf>
    <xf numFmtId="49" fontId="29" fillId="29" borderId="7" xfId="35" applyNumberFormat="1" applyFont="1" applyFill="1" applyBorder="1" applyAlignment="1">
      <alignment horizontal="center" vertical="center" wrapText="1"/>
    </xf>
    <xf numFmtId="0" fontId="30" fillId="29" borderId="7" xfId="35" applyFont="1" applyFill="1" applyBorder="1" applyAlignment="1">
      <alignment horizontal="center" vertical="center" wrapText="1"/>
    </xf>
    <xf numFmtId="4" fontId="30" fillId="29" borderId="7" xfId="35" applyNumberFormat="1" applyFont="1" applyFill="1" applyBorder="1" applyAlignment="1" applyProtection="1">
      <alignment horizontal="center" vertical="center"/>
    </xf>
    <xf numFmtId="164" fontId="32" fillId="29" borderId="7" xfId="35" applyNumberFormat="1" applyFont="1" applyFill="1" applyBorder="1" applyAlignment="1">
      <alignment horizontal="center" vertical="center"/>
    </xf>
    <xf numFmtId="4" fontId="31" fillId="29" borderId="7" xfId="35" applyNumberFormat="1" applyFont="1" applyFill="1" applyBorder="1" applyAlignment="1">
      <alignment horizontal="center" vertical="center"/>
    </xf>
    <xf numFmtId="2" fontId="74" fillId="29" borderId="7" xfId="36" applyNumberFormat="1" applyFont="1" applyFill="1" applyBorder="1" applyAlignment="1" applyProtection="1">
      <alignment horizontal="center" vertical="center" wrapText="1"/>
    </xf>
    <xf numFmtId="2" fontId="10" fillId="29" borderId="7" xfId="36" applyNumberFormat="1" applyFont="1" applyFill="1" applyBorder="1" applyAlignment="1" applyProtection="1">
      <alignment horizontal="center" vertical="center"/>
    </xf>
    <xf numFmtId="4" fontId="85" fillId="29" borderId="7" xfId="36" applyNumberFormat="1" applyFont="1" applyFill="1" applyBorder="1" applyAlignment="1" applyProtection="1">
      <alignment horizontal="center" vertical="center"/>
    </xf>
    <xf numFmtId="2" fontId="9" fillId="29" borderId="7" xfId="36" applyNumberFormat="1" applyFont="1" applyFill="1" applyBorder="1" applyAlignment="1" applyProtection="1">
      <alignment horizontal="center" vertical="center" wrapText="1"/>
    </xf>
    <xf numFmtId="2" fontId="81" fillId="29" borderId="7" xfId="36" applyNumberFormat="1" applyFont="1" applyFill="1" applyBorder="1" applyAlignment="1" applyProtection="1">
      <alignment horizontal="center" vertical="center" wrapText="1"/>
    </xf>
    <xf numFmtId="4" fontId="85" fillId="29" borderId="7" xfId="36" applyNumberFormat="1" applyFont="1" applyFill="1" applyBorder="1" applyAlignment="1" applyProtection="1">
      <alignment horizontal="center" vertical="center" wrapText="1"/>
    </xf>
    <xf numFmtId="4" fontId="108" fillId="29" borderId="7" xfId="0" applyNumberFormat="1" applyFont="1" applyFill="1" applyBorder="1" applyAlignment="1">
      <alignment horizontal="center" vertical="center"/>
    </xf>
    <xf numFmtId="164" fontId="34" fillId="29" borderId="7" xfId="35" applyNumberFormat="1" applyFont="1" applyFill="1" applyBorder="1" applyAlignment="1">
      <alignment vertical="justify"/>
    </xf>
    <xf numFmtId="4" fontId="31" fillId="29" borderId="7" xfId="30" applyNumberFormat="1" applyFont="1" applyFill="1" applyBorder="1" applyAlignment="1">
      <alignment horizontal="center" vertical="center"/>
    </xf>
    <xf numFmtId="0" fontId="42" fillId="0" borderId="0" xfId="0" applyFont="1" applyAlignment="1">
      <alignment horizontal="right" vertical="center"/>
    </xf>
    <xf numFmtId="4" fontId="42" fillId="0" borderId="0" xfId="0" applyNumberFormat="1" applyFont="1" applyFill="1" applyAlignment="1">
      <alignment horizontal="left" vertical="center"/>
    </xf>
    <xf numFmtId="4" fontId="44" fillId="27" borderId="0" xfId="0" applyNumberFormat="1" applyFont="1" applyFill="1" applyBorder="1" applyAlignment="1">
      <alignment horizontal="center" vertical="center" wrapText="1"/>
    </xf>
    <xf numFmtId="0" fontId="0" fillId="0" borderId="0" xfId="0" applyBorder="1"/>
    <xf numFmtId="4" fontId="44" fillId="27" borderId="0" xfId="0" applyNumberFormat="1" applyFont="1" applyFill="1" applyBorder="1" applyAlignment="1">
      <alignment horizontal="left" vertical="center" wrapText="1"/>
    </xf>
    <xf numFmtId="0" fontId="3" fillId="28" borderId="0" xfId="35" applyFont="1" applyFill="1"/>
    <xf numFmtId="49" fontId="29" fillId="30" borderId="7" xfId="0" applyNumberFormat="1" applyFont="1" applyFill="1" applyBorder="1" applyAlignment="1">
      <alignment horizontal="center" vertical="center" wrapText="1"/>
    </xf>
    <xf numFmtId="164" fontId="32" fillId="30" borderId="7" xfId="30" applyNumberFormat="1" applyFont="1" applyFill="1" applyBorder="1" applyAlignment="1">
      <alignment horizontal="center" vertical="center"/>
    </xf>
    <xf numFmtId="0" fontId="30" fillId="30" borderId="7" xfId="35" applyFont="1" applyFill="1" applyBorder="1" applyAlignment="1">
      <alignment horizontal="center" vertical="center" wrapText="1"/>
    </xf>
    <xf numFmtId="4" fontId="29" fillId="30" borderId="7" xfId="0" applyNumberFormat="1" applyFont="1" applyFill="1" applyBorder="1" applyAlignment="1">
      <alignment horizontal="center" vertical="center" wrapText="1"/>
    </xf>
    <xf numFmtId="49" fontId="29" fillId="30" borderId="7" xfId="0" applyNumberFormat="1" applyFont="1" applyFill="1" applyBorder="1" applyAlignment="1">
      <alignment horizontal="center" vertical="center"/>
    </xf>
    <xf numFmtId="164" fontId="32" fillId="30" borderId="7" xfId="30" applyNumberFormat="1" applyFont="1" applyFill="1" applyBorder="1" applyAlignment="1">
      <alignment horizontal="center" vertical="center" wrapText="1"/>
    </xf>
    <xf numFmtId="164" fontId="29" fillId="30" borderId="7" xfId="0" applyNumberFormat="1" applyFont="1" applyFill="1" applyBorder="1" applyAlignment="1">
      <alignment horizontal="center" vertical="center" wrapText="1"/>
    </xf>
    <xf numFmtId="164" fontId="39" fillId="30" borderId="7" xfId="30" applyNumberFormat="1" applyFont="1" applyFill="1" applyBorder="1" applyAlignment="1">
      <alignment horizontal="center" vertical="center"/>
    </xf>
    <xf numFmtId="4" fontId="32" fillId="30" borderId="7" xfId="30" applyNumberFormat="1" applyFont="1" applyFill="1" applyBorder="1" applyAlignment="1">
      <alignment horizontal="center" vertical="center"/>
    </xf>
    <xf numFmtId="0" fontId="29" fillId="30" borderId="7" xfId="40" applyFont="1" applyFill="1" applyBorder="1" applyAlignment="1">
      <alignment horizontal="center" vertical="center" wrapText="1"/>
    </xf>
    <xf numFmtId="0" fontId="51" fillId="0" borderId="7" xfId="39" applyNumberFormat="1" applyFont="1" applyFill="1" applyBorder="1" applyAlignment="1" applyProtection="1">
      <alignment horizontal="center" vertical="center" wrapText="1"/>
    </xf>
    <xf numFmtId="0" fontId="69" fillId="0" borderId="7" xfId="39" applyNumberFormat="1" applyFont="1" applyFill="1" applyBorder="1" applyAlignment="1" applyProtection="1">
      <alignment vertical="center" wrapText="1"/>
    </xf>
    <xf numFmtId="0" fontId="51" fillId="0" borderId="0" xfId="39" applyNumberFormat="1" applyFont="1" applyFill="1" applyBorder="1" applyAlignment="1" applyProtection="1">
      <alignment wrapText="1"/>
    </xf>
    <xf numFmtId="0" fontId="51" fillId="0" borderId="0" xfId="39" applyNumberFormat="1" applyFont="1" applyFill="1" applyAlignment="1" applyProtection="1">
      <alignment wrapText="1"/>
    </xf>
    <xf numFmtId="0" fontId="51" fillId="0" borderId="0" xfId="39" applyFont="1" applyFill="1" applyAlignment="1">
      <alignment wrapText="1"/>
    </xf>
    <xf numFmtId="0" fontId="118" fillId="0" borderId="0" xfId="0" applyFont="1"/>
    <xf numFmtId="0" fontId="101" fillId="0" borderId="0" xfId="0" applyFont="1"/>
    <xf numFmtId="49" fontId="29" fillId="0" borderId="7" xfId="0" applyNumberFormat="1" applyFont="1" applyFill="1" applyBorder="1" applyAlignment="1">
      <alignment horizontal="center" vertical="center" wrapText="1"/>
    </xf>
    <xf numFmtId="164" fontId="32" fillId="0" borderId="7" xfId="30" applyNumberFormat="1" applyFont="1" applyFill="1" applyBorder="1" applyAlignment="1">
      <alignment horizontal="center" vertical="center"/>
    </xf>
    <xf numFmtId="0" fontId="30" fillId="0" borderId="7" xfId="35"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164" fontId="32" fillId="0" borderId="7" xfId="30" applyNumberFormat="1" applyFont="1" applyFill="1" applyBorder="1" applyAlignment="1">
      <alignment horizontal="center" vertical="center" wrapText="1"/>
    </xf>
    <xf numFmtId="4" fontId="32" fillId="0" borderId="7" xfId="30" applyNumberFormat="1" applyFont="1" applyFill="1" applyBorder="1" applyAlignment="1">
      <alignment horizontal="center" vertical="center"/>
    </xf>
    <xf numFmtId="49" fontId="29" fillId="0" borderId="8" xfId="0" applyNumberFormat="1" applyFont="1" applyFill="1" applyBorder="1" applyAlignment="1">
      <alignment horizontal="center" vertical="center" wrapText="1"/>
    </xf>
    <xf numFmtId="164" fontId="29" fillId="0" borderId="7" xfId="0" applyNumberFormat="1" applyFont="1" applyFill="1" applyBorder="1" applyAlignment="1">
      <alignment horizontal="center" vertical="center" wrapText="1"/>
    </xf>
    <xf numFmtId="4" fontId="52" fillId="0" borderId="7" xfId="0" applyNumberFormat="1" applyFont="1" applyFill="1" applyBorder="1" applyAlignment="1">
      <alignment horizontal="center" vertical="center" wrapText="1"/>
    </xf>
    <xf numFmtId="4" fontId="55" fillId="0" borderId="7" xfId="30" applyNumberFormat="1" applyFont="1" applyFill="1" applyBorder="1" applyAlignment="1">
      <alignment horizontal="center" vertical="center"/>
    </xf>
    <xf numFmtId="49" fontId="52" fillId="0" borderId="7" xfId="0" applyNumberFormat="1" applyFont="1" applyFill="1" applyBorder="1" applyAlignment="1">
      <alignment horizontal="center" vertical="center" wrapText="1"/>
    </xf>
    <xf numFmtId="164" fontId="55" fillId="0" borderId="7" xfId="30" applyNumberFormat="1" applyFont="1" applyFill="1" applyBorder="1" applyAlignment="1">
      <alignment horizontal="center" vertical="center"/>
    </xf>
    <xf numFmtId="0" fontId="51" fillId="0" borderId="7" xfId="35" applyFont="1" applyFill="1" applyBorder="1" applyAlignment="1">
      <alignment horizontal="center" vertical="center" wrapText="1"/>
    </xf>
    <xf numFmtId="164" fontId="39" fillId="0" borderId="7" xfId="30" applyNumberFormat="1" applyFont="1" applyFill="1" applyBorder="1" applyAlignment="1">
      <alignment horizontal="center" vertical="center"/>
    </xf>
    <xf numFmtId="164" fontId="58" fillId="0" borderId="7" xfId="30" applyNumberFormat="1" applyFont="1" applyFill="1" applyBorder="1" applyAlignment="1">
      <alignment horizontal="center" vertical="center"/>
    </xf>
    <xf numFmtId="164" fontId="3" fillId="0" borderId="7" xfId="30" applyNumberFormat="1" applyFont="1" applyFill="1" applyBorder="1" applyAlignment="1">
      <alignment horizontal="center" vertical="center"/>
    </xf>
    <xf numFmtId="164" fontId="116" fillId="0" borderId="7" xfId="30" applyNumberFormat="1" applyFont="1" applyFill="1" applyBorder="1" applyAlignment="1">
      <alignment horizontal="center" vertical="center"/>
    </xf>
    <xf numFmtId="164" fontId="55" fillId="0" borderId="7" xfId="30" applyNumberFormat="1" applyFont="1" applyFill="1" applyBorder="1" applyAlignment="1">
      <alignment horizontal="center" vertical="center" wrapText="1"/>
    </xf>
    <xf numFmtId="164" fontId="52" fillId="0" borderId="7" xfId="0" applyNumberFormat="1" applyFont="1" applyFill="1" applyBorder="1" applyAlignment="1">
      <alignment horizontal="center" vertical="center" wrapText="1"/>
    </xf>
    <xf numFmtId="49" fontId="52" fillId="0" borderId="7" xfId="0" applyNumberFormat="1" applyFont="1" applyFill="1" applyBorder="1" applyAlignment="1">
      <alignment horizontal="center" vertical="center"/>
    </xf>
    <xf numFmtId="49" fontId="29" fillId="0" borderId="7" xfId="0" applyNumberFormat="1" applyFont="1" applyFill="1" applyBorder="1" applyAlignment="1">
      <alignment horizontal="center" vertical="center"/>
    </xf>
    <xf numFmtId="4" fontId="3" fillId="0" borderId="7" xfId="35" applyNumberFormat="1" applyFont="1" applyFill="1" applyBorder="1" applyAlignment="1">
      <alignment horizontal="center" vertical="center"/>
    </xf>
    <xf numFmtId="49" fontId="29" fillId="0" borderId="7" xfId="35" applyNumberFormat="1" applyFont="1" applyFill="1" applyBorder="1" applyAlignment="1">
      <alignment horizontal="center" vertical="center" wrapText="1"/>
    </xf>
    <xf numFmtId="0" fontId="29" fillId="0" borderId="7" xfId="35" applyFont="1" applyFill="1" applyBorder="1" applyAlignment="1">
      <alignment horizontal="center" vertical="center" wrapText="1"/>
    </xf>
    <xf numFmtId="49" fontId="52" fillId="0" borderId="7" xfId="35" applyNumberFormat="1" applyFont="1" applyFill="1" applyBorder="1" applyAlignment="1">
      <alignment horizontal="center" vertical="center" wrapText="1"/>
    </xf>
    <xf numFmtId="0" fontId="52" fillId="0" borderId="7" xfId="35" applyFont="1" applyFill="1" applyBorder="1" applyAlignment="1">
      <alignment horizontal="center" vertical="center" wrapText="1"/>
    </xf>
    <xf numFmtId="49" fontId="52" fillId="0" borderId="8" xfId="0" applyNumberFormat="1" applyFont="1" applyFill="1" applyBorder="1" applyAlignment="1">
      <alignment horizontal="center" vertical="center" wrapText="1"/>
    </xf>
    <xf numFmtId="4" fontId="29" fillId="0" borderId="10" xfId="0" applyNumberFormat="1" applyFont="1" applyFill="1" applyBorder="1" applyAlignment="1">
      <alignment horizontal="center" vertical="center" wrapText="1"/>
    </xf>
    <xf numFmtId="4" fontId="29" fillId="0" borderId="10" xfId="0" applyNumberFormat="1" applyFont="1" applyFill="1" applyBorder="1" applyAlignment="1">
      <alignment horizontal="center" vertical="center"/>
    </xf>
    <xf numFmtId="164" fontId="29" fillId="0" borderId="7" xfId="30" applyNumberFormat="1" applyFont="1" applyFill="1" applyBorder="1" applyAlignment="1">
      <alignment horizontal="center" vertical="center" wrapText="1"/>
    </xf>
    <xf numFmtId="164" fontId="29" fillId="0" borderId="7" xfId="30" applyNumberFormat="1" applyFont="1" applyFill="1" applyBorder="1" applyAlignment="1">
      <alignment horizontal="center" vertical="center"/>
    </xf>
    <xf numFmtId="4" fontId="29" fillId="0" borderId="7" xfId="30" applyNumberFormat="1" applyFont="1" applyFill="1" applyBorder="1" applyAlignment="1">
      <alignment horizontal="center" vertical="center"/>
    </xf>
    <xf numFmtId="0" fontId="29" fillId="0" borderId="7" xfId="40" applyFont="1" applyFill="1" applyBorder="1" applyAlignment="1">
      <alignment horizontal="center" vertical="center" wrapText="1"/>
    </xf>
    <xf numFmtId="0" fontId="109" fillId="0" borderId="7" xfId="0" applyFont="1" applyFill="1" applyBorder="1" applyAlignment="1">
      <alignment horizontal="center" vertical="center"/>
    </xf>
    <xf numFmtId="49" fontId="35" fillId="0" borderId="7" xfId="0" applyNumberFormat="1" applyFont="1" applyFill="1" applyBorder="1" applyAlignment="1">
      <alignment horizontal="center" vertical="center" wrapText="1"/>
    </xf>
    <xf numFmtId="0" fontId="109" fillId="0" borderId="7" xfId="0" applyFont="1" applyFill="1" applyBorder="1" applyAlignment="1">
      <alignment horizontal="left" vertical="center" wrapText="1"/>
    </xf>
    <xf numFmtId="4" fontId="109" fillId="0" borderId="7" xfId="0" applyNumberFormat="1" applyFont="1" applyFill="1" applyBorder="1" applyAlignment="1">
      <alignment horizontal="center" vertical="center"/>
    </xf>
    <xf numFmtId="0" fontId="9" fillId="0" borderId="7" xfId="0" applyFont="1" applyFill="1" applyBorder="1" applyAlignment="1">
      <alignment horizontal="left" vertical="center" wrapText="1"/>
    </xf>
    <xf numFmtId="0" fontId="9" fillId="0" borderId="7" xfId="0" applyFont="1" applyFill="1" applyBorder="1" applyAlignment="1">
      <alignment horizontal="center" vertical="center" wrapText="1"/>
    </xf>
    <xf numFmtId="4" fontId="58" fillId="0" borderId="7" xfId="30" applyNumberFormat="1" applyFont="1" applyFill="1" applyBorder="1" applyAlignment="1">
      <alignment horizontal="center" vertical="center"/>
    </xf>
    <xf numFmtId="0" fontId="52" fillId="0" borderId="7" xfId="38" applyNumberFormat="1" applyFont="1" applyFill="1" applyBorder="1" applyAlignment="1" applyProtection="1">
      <alignment horizontal="center" vertical="center" wrapText="1"/>
      <protection locked="0"/>
    </xf>
    <xf numFmtId="4" fontId="52" fillId="0" borderId="7" xfId="30" applyNumberFormat="1" applyFont="1" applyFill="1" applyBorder="1" applyAlignment="1">
      <alignment horizontal="center" vertical="center"/>
    </xf>
    <xf numFmtId="49" fontId="89" fillId="0" borderId="7" xfId="0" applyNumberFormat="1" applyFont="1" applyFill="1" applyBorder="1" applyAlignment="1">
      <alignment horizontal="center" vertical="center" wrapText="1"/>
    </xf>
    <xf numFmtId="49" fontId="111" fillId="0" borderId="7" xfId="0" applyNumberFormat="1" applyFont="1" applyFill="1" applyBorder="1" applyAlignment="1">
      <alignment horizontal="center" vertical="center" wrapText="1"/>
    </xf>
    <xf numFmtId="0" fontId="52" fillId="0" borderId="7" xfId="0" applyFont="1" applyFill="1" applyBorder="1" applyAlignment="1">
      <alignment horizontal="center" vertical="center" wrapText="1"/>
    </xf>
    <xf numFmtId="0" fontId="52" fillId="0" borderId="7" xfId="46" applyFont="1" applyFill="1" applyBorder="1" applyAlignment="1">
      <alignment horizontal="center" vertical="center" wrapText="1"/>
    </xf>
    <xf numFmtId="164" fontId="52" fillId="0" borderId="7" xfId="30" applyNumberFormat="1" applyFont="1" applyFill="1" applyBorder="1" applyAlignment="1">
      <alignment horizontal="center" vertical="center"/>
    </xf>
    <xf numFmtId="0" fontId="52" fillId="0" borderId="7" xfId="87" applyFont="1" applyFill="1" applyBorder="1" applyAlignment="1">
      <alignment horizontal="center" vertical="center" wrapText="1"/>
    </xf>
    <xf numFmtId="49" fontId="115" fillId="0" borderId="7" xfId="0" applyNumberFormat="1" applyFont="1" applyFill="1" applyBorder="1" applyAlignment="1">
      <alignment horizontal="center" vertical="center" wrapText="1"/>
    </xf>
    <xf numFmtId="4" fontId="52" fillId="0" borderId="7" xfId="46" applyNumberFormat="1" applyFont="1" applyFill="1" applyBorder="1" applyAlignment="1">
      <alignment horizontal="center" vertical="center"/>
    </xf>
    <xf numFmtId="4" fontId="52" fillId="0" borderId="7" xfId="38" applyNumberFormat="1" applyFont="1" applyFill="1" applyBorder="1" applyAlignment="1" applyProtection="1">
      <alignment horizontal="center" vertical="center" wrapText="1"/>
      <protection locked="0"/>
    </xf>
    <xf numFmtId="4" fontId="29" fillId="0" borderId="7" xfId="38" applyNumberFormat="1" applyFont="1" applyFill="1" applyBorder="1" applyAlignment="1" applyProtection="1">
      <alignment horizontal="center" vertical="center" wrapText="1"/>
      <protection locked="0"/>
    </xf>
    <xf numFmtId="49" fontId="54" fillId="0" borderId="7" xfId="0" applyNumberFormat="1" applyFont="1" applyFill="1" applyBorder="1" applyAlignment="1">
      <alignment horizontal="center" vertical="center" wrapText="1"/>
    </xf>
    <xf numFmtId="0" fontId="29" fillId="0" borderId="7" xfId="38" applyNumberFormat="1" applyFont="1" applyFill="1" applyBorder="1" applyAlignment="1" applyProtection="1">
      <alignment horizontal="center" vertical="center" wrapText="1"/>
      <protection locked="0"/>
    </xf>
    <xf numFmtId="0" fontId="0" fillId="0" borderId="7" xfId="0" applyFill="1" applyBorder="1" applyAlignment="1">
      <alignment horizontal="center" vertical="center" wrapText="1"/>
    </xf>
    <xf numFmtId="0" fontId="29" fillId="0" borderId="13" xfId="0" applyNumberFormat="1" applyFont="1" applyFill="1" applyBorder="1" applyAlignment="1">
      <alignment horizontal="center" vertical="center" wrapText="1"/>
    </xf>
    <xf numFmtId="0" fontId="52" fillId="0" borderId="8" xfId="0" applyFont="1" applyFill="1" applyBorder="1" applyAlignment="1" applyProtection="1">
      <alignment horizontal="center" vertical="center" wrapText="1"/>
    </xf>
    <xf numFmtId="0" fontId="56" fillId="0" borderId="7" xfId="0" applyFont="1" applyFill="1" applyBorder="1" applyAlignment="1">
      <alignment horizontal="center" vertical="center" wrapText="1"/>
    </xf>
    <xf numFmtId="49" fontId="52" fillId="0" borderId="0" xfId="0" applyNumberFormat="1" applyFont="1" applyFill="1" applyBorder="1" applyAlignment="1">
      <alignment horizontal="center" vertical="center" wrapText="1"/>
    </xf>
    <xf numFmtId="0" fontId="52" fillId="0" borderId="8" xfId="0" applyFont="1" applyFill="1" applyBorder="1" applyAlignment="1">
      <alignment horizontal="center" vertical="center" wrapText="1"/>
    </xf>
    <xf numFmtId="164" fontId="55" fillId="0" borderId="8" xfId="30" applyNumberFormat="1" applyFont="1" applyFill="1" applyBorder="1" applyAlignment="1">
      <alignment horizontal="center" vertical="center" wrapText="1"/>
    </xf>
    <xf numFmtId="49" fontId="52" fillId="0" borderId="16" xfId="0" applyNumberFormat="1" applyFont="1" applyFill="1" applyBorder="1" applyAlignment="1">
      <alignment horizontal="center" vertical="center" wrapText="1"/>
    </xf>
    <xf numFmtId="4" fontId="55" fillId="0" borderId="8" xfId="30" applyNumberFormat="1" applyFont="1" applyFill="1" applyBorder="1" applyAlignment="1">
      <alignment horizontal="center" vertical="center" wrapText="1"/>
    </xf>
    <xf numFmtId="0" fontId="52" fillId="0" borderId="0" xfId="0" applyFont="1" applyFill="1" applyAlignment="1">
      <alignment horizontal="center" vertical="center" wrapText="1"/>
    </xf>
    <xf numFmtId="164" fontId="32" fillId="0" borderId="8" xfId="30" applyNumberFormat="1" applyFont="1" applyFill="1" applyBorder="1" applyAlignment="1">
      <alignment horizontal="center" vertical="center" wrapText="1"/>
    </xf>
    <xf numFmtId="4" fontId="32" fillId="0" borderId="8" xfId="30" applyNumberFormat="1" applyFont="1" applyFill="1" applyBorder="1" applyAlignment="1">
      <alignment horizontal="center" vertical="center"/>
    </xf>
    <xf numFmtId="4" fontId="55" fillId="0" borderId="8" xfId="30" applyNumberFormat="1" applyFont="1" applyFill="1" applyBorder="1" applyAlignment="1">
      <alignment horizontal="center" vertical="center"/>
    </xf>
    <xf numFmtId="49" fontId="29" fillId="0" borderId="7" xfId="0" applyNumberFormat="1" applyFont="1" applyFill="1" applyBorder="1" applyAlignment="1">
      <alignment horizontal="center" vertical="center" wrapText="1"/>
    </xf>
    <xf numFmtId="49" fontId="29" fillId="0" borderId="13" xfId="0" applyNumberFormat="1"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49" fontId="29" fillId="0" borderId="0" xfId="0" applyNumberFormat="1" applyFont="1" applyFill="1" applyBorder="1" applyAlignment="1">
      <alignment horizontal="center" vertical="center" wrapText="1"/>
    </xf>
    <xf numFmtId="0" fontId="29" fillId="0" borderId="0" xfId="0" applyNumberFormat="1" applyFont="1" applyFill="1" applyBorder="1" applyAlignment="1">
      <alignment horizontal="center" vertical="center" wrapText="1"/>
    </xf>
    <xf numFmtId="49" fontId="29" fillId="0" borderId="0" xfId="0" applyNumberFormat="1" applyFont="1" applyFill="1" applyBorder="1" applyAlignment="1">
      <alignment horizontal="center" vertical="top" wrapText="1"/>
    </xf>
    <xf numFmtId="0" fontId="116" fillId="0" borderId="0" xfId="35" applyNumberFormat="1" applyFont="1" applyFill="1" applyAlignment="1" applyProtection="1"/>
    <xf numFmtId="164" fontId="32" fillId="0" borderId="7" xfId="30" applyNumberFormat="1" applyFont="1" applyBorder="1" applyAlignment="1">
      <alignment horizontal="center" vertical="center" wrapText="1"/>
    </xf>
    <xf numFmtId="49" fontId="52"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49" fontId="52" fillId="0" borderId="7" xfId="0" applyNumberFormat="1" applyFont="1" applyFill="1" applyBorder="1" applyAlignment="1">
      <alignment horizontal="center" vertical="center" wrapText="1"/>
    </xf>
    <xf numFmtId="49" fontId="52" fillId="25" borderId="7" xfId="0" applyNumberFormat="1" applyFont="1" applyFill="1" applyBorder="1" applyAlignment="1">
      <alignment horizontal="center" vertical="center" wrapText="1"/>
    </xf>
    <xf numFmtId="0" fontId="52" fillId="25" borderId="7" xfId="87" applyFont="1" applyFill="1" applyBorder="1" applyAlignment="1">
      <alignment horizontal="center" vertical="center" wrapText="1"/>
    </xf>
    <xf numFmtId="164" fontId="55" fillId="25" borderId="7" xfId="30" applyNumberFormat="1" applyFont="1" applyFill="1" applyBorder="1" applyAlignment="1">
      <alignment horizontal="center" vertical="center"/>
    </xf>
    <xf numFmtId="4" fontId="52" fillId="25" borderId="7" xfId="30" applyNumberFormat="1" applyFont="1" applyFill="1" applyBorder="1" applyAlignment="1">
      <alignment horizontal="center" vertical="center"/>
    </xf>
    <xf numFmtId="49" fontId="52" fillId="0" borderId="7" xfId="0" applyNumberFormat="1" applyFont="1" applyFill="1" applyBorder="1" applyAlignment="1">
      <alignment horizontal="center" vertical="center" wrapText="1"/>
    </xf>
    <xf numFmtId="4" fontId="52"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0" fontId="52" fillId="0" borderId="10" xfId="41" applyFont="1" applyFill="1" applyBorder="1" applyAlignment="1">
      <alignment horizontal="center" vertical="center" wrapText="1"/>
    </xf>
    <xf numFmtId="4" fontId="55" fillId="0" borderId="10" xfId="30" applyNumberFormat="1" applyFont="1" applyFill="1" applyBorder="1" applyAlignment="1">
      <alignment horizontal="center" vertical="center"/>
    </xf>
    <xf numFmtId="0" fontId="52" fillId="0" borderId="7" xfId="86" applyFont="1" applyFill="1" applyBorder="1" applyAlignment="1">
      <alignment horizontal="center" vertical="center" wrapText="1"/>
    </xf>
    <xf numFmtId="4" fontId="52" fillId="0" borderId="10" xfId="30" applyNumberFormat="1" applyFont="1" applyFill="1" applyBorder="1" applyAlignment="1">
      <alignment horizontal="center" vertical="center"/>
    </xf>
    <xf numFmtId="0" fontId="55" fillId="0" borderId="7" xfId="0" applyFont="1" applyFill="1" applyBorder="1" applyAlignment="1">
      <alignment horizontal="center" vertical="center" wrapText="1"/>
    </xf>
    <xf numFmtId="0" fontId="52" fillId="0" borderId="7" xfId="40" applyFont="1" applyFill="1" applyBorder="1" applyAlignment="1">
      <alignment horizontal="center" vertical="center" wrapText="1"/>
    </xf>
    <xf numFmtId="0" fontId="52" fillId="0" borderId="7" xfId="41" applyFont="1" applyFill="1" applyBorder="1" applyAlignment="1">
      <alignment horizontal="center" vertical="center" wrapText="1"/>
    </xf>
    <xf numFmtId="0" fontId="29" fillId="0" borderId="7" xfId="41" applyFont="1" applyFill="1" applyBorder="1" applyAlignment="1">
      <alignment horizontal="center" vertical="center" wrapText="1"/>
    </xf>
    <xf numFmtId="4" fontId="32" fillId="0" borderId="10" xfId="30" applyNumberFormat="1" applyFont="1" applyFill="1" applyBorder="1" applyAlignment="1">
      <alignment horizontal="center" vertical="center"/>
    </xf>
    <xf numFmtId="0" fontId="29" fillId="0" borderId="7" xfId="85" applyFont="1" applyFill="1" applyBorder="1" applyAlignment="1">
      <alignment horizontal="center" vertical="center" wrapText="1"/>
    </xf>
    <xf numFmtId="0" fontId="29" fillId="0" borderId="8" xfId="85" applyFont="1" applyFill="1" applyBorder="1" applyAlignment="1">
      <alignment horizontal="center" vertical="center" wrapText="1"/>
    </xf>
    <xf numFmtId="164" fontId="39" fillId="0" borderId="10" xfId="30" applyNumberFormat="1" applyFont="1" applyFill="1" applyBorder="1" applyAlignment="1">
      <alignment horizontal="center" vertical="center"/>
    </xf>
    <xf numFmtId="49" fontId="52" fillId="0" borderId="7" xfId="0" applyNumberFormat="1" applyFont="1" applyFill="1" applyBorder="1" applyAlignment="1">
      <alignment horizontal="center" vertical="center" wrapText="1"/>
    </xf>
    <xf numFmtId="49" fontId="52" fillId="0" borderId="7" xfId="0" applyNumberFormat="1" applyFont="1" applyFill="1" applyBorder="1" applyAlignment="1">
      <alignment horizontal="center" vertical="center" wrapText="1"/>
    </xf>
    <xf numFmtId="4" fontId="46" fillId="0" borderId="7" xfId="0" applyNumberFormat="1" applyFont="1" applyFill="1" applyBorder="1" applyAlignment="1">
      <alignment horizontal="center" vertical="center" wrapText="1"/>
    </xf>
    <xf numFmtId="0" fontId="46" fillId="0" borderId="0" xfId="0" applyFont="1"/>
    <xf numFmtId="49" fontId="52" fillId="0" borderId="7" xfId="0" applyNumberFormat="1" applyFont="1" applyFill="1" applyBorder="1" applyAlignment="1">
      <alignment horizontal="center" vertical="center" wrapText="1"/>
    </xf>
    <xf numFmtId="4" fontId="52" fillId="0" borderId="7" xfId="0" applyNumberFormat="1" applyFont="1" applyFill="1" applyBorder="1" applyAlignment="1">
      <alignment horizontal="center" vertical="center" wrapText="1"/>
    </xf>
    <xf numFmtId="49" fontId="29" fillId="0" borderId="8"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49" fontId="52"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29" fillId="0" borderId="0" xfId="35" applyFont="1" applyFill="1" applyBorder="1" applyAlignment="1">
      <alignment horizontal="center" vertical="center" wrapText="1"/>
    </xf>
    <xf numFmtId="4" fontId="30" fillId="0" borderId="0" xfId="35" applyNumberFormat="1" applyFont="1" applyFill="1" applyBorder="1" applyAlignment="1" applyProtection="1">
      <alignment horizontal="center" vertical="center"/>
    </xf>
    <xf numFmtId="0" fontId="119" fillId="0" borderId="0" xfId="0" applyFont="1" applyAlignment="1">
      <alignment vertical="center"/>
    </xf>
    <xf numFmtId="4" fontId="120" fillId="0" borderId="0" xfId="0" applyNumberFormat="1" applyFont="1" applyAlignment="1">
      <alignment vertical="center"/>
    </xf>
    <xf numFmtId="4" fontId="121" fillId="0" borderId="0" xfId="0" applyNumberFormat="1" applyFont="1" applyAlignment="1">
      <alignment vertical="center"/>
    </xf>
    <xf numFmtId="0" fontId="121" fillId="0" borderId="0" xfId="0" applyFont="1" applyAlignment="1">
      <alignment vertical="center"/>
    </xf>
    <xf numFmtId="2" fontId="30" fillId="0" borderId="0" xfId="38" applyNumberFormat="1" applyFont="1" applyFill="1" applyBorder="1" applyAlignment="1" applyProtection="1">
      <alignment vertical="center" wrapText="1"/>
      <protection locked="0"/>
    </xf>
    <xf numFmtId="4" fontId="119" fillId="0" borderId="0" xfId="0" applyNumberFormat="1" applyFont="1" applyAlignment="1">
      <alignment vertical="center"/>
    </xf>
    <xf numFmtId="0" fontId="120" fillId="0" borderId="0" xfId="0" applyFont="1" applyAlignment="1">
      <alignment vertical="center"/>
    </xf>
    <xf numFmtId="0" fontId="54" fillId="0" borderId="0" xfId="35" applyFont="1" applyFill="1"/>
    <xf numFmtId="0" fontId="9" fillId="0" borderId="0" xfId="0" applyFont="1" applyFill="1"/>
    <xf numFmtId="0" fontId="109" fillId="0" borderId="0" xfId="0" applyFont="1" applyFill="1" applyBorder="1" applyAlignment="1">
      <alignment horizontal="center" vertical="center"/>
    </xf>
    <xf numFmtId="4" fontId="109" fillId="0" borderId="0" xfId="0" applyNumberFormat="1" applyFont="1" applyFill="1" applyBorder="1" applyAlignment="1">
      <alignment horizontal="center" vertical="center"/>
    </xf>
    <xf numFmtId="4" fontId="109" fillId="0" borderId="0" xfId="0" applyNumberFormat="1" applyFont="1" applyFill="1" applyBorder="1" applyAlignment="1">
      <alignment horizontal="left" vertical="center"/>
    </xf>
    <xf numFmtId="0" fontId="109" fillId="0" borderId="0" xfId="0" applyFont="1" applyFill="1" applyBorder="1" applyAlignment="1">
      <alignment horizontal="right" vertical="center"/>
    </xf>
    <xf numFmtId="2" fontId="12" fillId="0" borderId="0" xfId="36" applyNumberFormat="1" applyFont="1" applyFill="1" applyBorder="1" applyAlignment="1" applyProtection="1">
      <alignment vertical="top"/>
    </xf>
    <xf numFmtId="0" fontId="12" fillId="0" borderId="0" xfId="36" applyNumberFormat="1" applyFont="1" applyFill="1" applyBorder="1" applyAlignment="1" applyProtection="1">
      <alignment vertical="top"/>
    </xf>
    <xf numFmtId="0" fontId="9" fillId="0" borderId="0" xfId="39" applyNumberFormat="1" applyFont="1" applyFill="1" applyAlignment="1" applyProtection="1"/>
    <xf numFmtId="4" fontId="48" fillId="0" borderId="0" xfId="0" applyNumberFormat="1" applyFont="1" applyAlignment="1">
      <alignment horizontal="left"/>
    </xf>
    <xf numFmtId="49" fontId="29" fillId="0" borderId="7" xfId="0" applyNumberFormat="1"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4" fontId="3" fillId="26" borderId="0" xfId="35" applyNumberFormat="1" applyFont="1" applyFill="1" applyAlignment="1">
      <alignment wrapText="1"/>
    </xf>
    <xf numFmtId="4" fontId="33" fillId="26" borderId="7" xfId="30" applyNumberFormat="1" applyFont="1" applyFill="1" applyBorder="1" applyAlignment="1">
      <alignment horizontal="center" vertical="center"/>
    </xf>
    <xf numFmtId="4" fontId="45" fillId="0" borderId="7" xfId="0" applyNumberFormat="1" applyFont="1" applyFill="1" applyBorder="1" applyAlignment="1">
      <alignment horizontal="center" vertical="center" wrapText="1"/>
    </xf>
    <xf numFmtId="4" fontId="44" fillId="0" borderId="8" xfId="0" applyNumberFormat="1" applyFont="1" applyFill="1" applyBorder="1" applyAlignment="1">
      <alignment horizontal="center" vertical="center" wrapText="1"/>
    </xf>
    <xf numFmtId="49" fontId="42" fillId="31" borderId="7" xfId="0" applyNumberFormat="1" applyFont="1" applyFill="1" applyBorder="1" applyAlignment="1">
      <alignment horizontal="center" vertical="center" wrapText="1"/>
    </xf>
    <xf numFmtId="4" fontId="44" fillId="31" borderId="7" xfId="0" applyNumberFormat="1" applyFont="1" applyFill="1" applyBorder="1" applyAlignment="1">
      <alignment horizontal="center" vertical="center" wrapText="1"/>
    </xf>
    <xf numFmtId="4" fontId="45" fillId="31" borderId="7" xfId="38" applyNumberFormat="1" applyFont="1" applyFill="1" applyBorder="1" applyAlignment="1" applyProtection="1">
      <alignment horizontal="center" vertical="center" wrapText="1"/>
      <protection locked="0"/>
    </xf>
    <xf numFmtId="4" fontId="46" fillId="31" borderId="7" xfId="38" applyNumberFormat="1" applyFont="1" applyFill="1" applyBorder="1" applyAlignment="1" applyProtection="1">
      <alignment horizontal="center" vertical="center" wrapText="1"/>
      <protection locked="0"/>
    </xf>
    <xf numFmtId="4" fontId="44" fillId="31" borderId="7" xfId="38" applyNumberFormat="1" applyFont="1" applyFill="1" applyBorder="1" applyAlignment="1" applyProtection="1">
      <alignment horizontal="center" vertical="center" wrapText="1"/>
      <protection locked="0"/>
    </xf>
    <xf numFmtId="4" fontId="45" fillId="31" borderId="7" xfId="38" applyNumberFormat="1" applyFont="1" applyFill="1" applyBorder="1" applyAlignment="1" applyProtection="1">
      <alignment horizontal="center" vertical="center" wrapText="1"/>
    </xf>
    <xf numFmtId="4" fontId="46" fillId="31" borderId="7" xfId="0" applyNumberFormat="1" applyFont="1" applyFill="1" applyBorder="1" applyAlignment="1">
      <alignment horizontal="center" vertical="center" wrapText="1"/>
    </xf>
    <xf numFmtId="49" fontId="42" fillId="31" borderId="8" xfId="0" applyNumberFormat="1" applyFont="1" applyFill="1" applyBorder="1" applyAlignment="1">
      <alignment horizontal="center" vertical="center" wrapText="1"/>
    </xf>
    <xf numFmtId="4" fontId="44" fillId="26" borderId="7" xfId="0" applyNumberFormat="1" applyFont="1" applyFill="1" applyBorder="1" applyAlignment="1">
      <alignment horizontal="center" vertical="center" wrapText="1"/>
    </xf>
    <xf numFmtId="49" fontId="42" fillId="26" borderId="7" xfId="0" applyNumberFormat="1" applyFont="1" applyFill="1" applyBorder="1" applyAlignment="1">
      <alignment horizontal="center" vertical="center" wrapText="1"/>
    </xf>
    <xf numFmtId="4" fontId="45" fillId="26" borderId="7" xfId="0" applyNumberFormat="1" applyFont="1" applyFill="1" applyBorder="1" applyAlignment="1">
      <alignment horizontal="center" vertical="center" wrapText="1"/>
    </xf>
    <xf numFmtId="4" fontId="46" fillId="26" borderId="7" xfId="0" applyNumberFormat="1"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4" fontId="47" fillId="0" borderId="7" xfId="38" applyNumberFormat="1" applyFont="1" applyFill="1" applyBorder="1" applyAlignment="1" applyProtection="1">
      <alignment horizontal="center" vertical="center" wrapText="1"/>
      <protection locked="0"/>
    </xf>
    <xf numFmtId="49" fontId="42" fillId="0" borderId="7" xfId="0" applyNumberFormat="1" applyFont="1" applyFill="1" applyBorder="1" applyAlignment="1">
      <alignment horizontal="center" vertical="center" wrapText="1"/>
    </xf>
    <xf numFmtId="4" fontId="45" fillId="0" borderId="7" xfId="38" applyNumberFormat="1" applyFont="1" applyFill="1" applyBorder="1" applyAlignment="1" applyProtection="1">
      <alignment horizontal="center" vertical="center" wrapText="1"/>
    </xf>
    <xf numFmtId="4" fontId="47" fillId="0" borderId="7" xfId="38" applyNumberFormat="1" applyFont="1" applyFill="1" applyBorder="1" applyAlignment="1" applyProtection="1">
      <alignment horizontal="center" vertical="center" wrapText="1"/>
    </xf>
    <xf numFmtId="4" fontId="45" fillId="0" borderId="8" xfId="0" applyNumberFormat="1"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xf>
    <xf numFmtId="49" fontId="42" fillId="0" borderId="8" xfId="0" applyNumberFormat="1" applyFont="1" applyFill="1" applyBorder="1" applyAlignment="1">
      <alignment horizontal="center" vertical="center" wrapText="1"/>
    </xf>
    <xf numFmtId="49" fontId="41" fillId="0" borderId="8" xfId="0" applyNumberFormat="1" applyFont="1" applyFill="1" applyBorder="1" applyAlignment="1">
      <alignment horizontal="center" vertical="center" wrapText="1"/>
    </xf>
    <xf numFmtId="0" fontId="41" fillId="0" borderId="7" xfId="38" applyNumberFormat="1" applyFont="1" applyFill="1" applyBorder="1" applyAlignment="1" applyProtection="1">
      <alignment horizontal="center" vertical="center" wrapText="1"/>
      <protection locked="0"/>
    </xf>
    <xf numFmtId="0" fontId="41" fillId="0" borderId="8" xfId="0" applyFont="1" applyFill="1" applyBorder="1" applyAlignment="1">
      <alignment horizontal="center" vertical="center" wrapText="1"/>
    </xf>
    <xf numFmtId="49" fontId="41" fillId="0" borderId="16" xfId="0" applyNumberFormat="1" applyFont="1" applyFill="1" applyBorder="1" applyAlignment="1">
      <alignment horizontal="center" vertical="center" wrapText="1"/>
    </xf>
    <xf numFmtId="0" fontId="41" fillId="0" borderId="7" xfId="0" applyFont="1" applyFill="1" applyBorder="1" applyAlignment="1">
      <alignment horizontal="center" vertical="center" wrapText="1"/>
    </xf>
    <xf numFmtId="0" fontId="41" fillId="0" borderId="0" xfId="0" applyFont="1" applyFill="1" applyAlignment="1">
      <alignment horizontal="center" vertical="center" wrapText="1"/>
    </xf>
    <xf numFmtId="0" fontId="42" fillId="0" borderId="13" xfId="0" applyNumberFormat="1" applyFont="1" applyFill="1" applyBorder="1" applyAlignment="1">
      <alignment horizontal="center" vertical="center" wrapText="1"/>
    </xf>
    <xf numFmtId="0" fontId="41" fillId="0" borderId="8" xfId="0" applyFont="1" applyFill="1" applyBorder="1" applyAlignment="1" applyProtection="1">
      <alignment horizontal="center" vertical="center" wrapText="1"/>
    </xf>
    <xf numFmtId="49" fontId="42" fillId="0" borderId="13" xfId="0" applyNumberFormat="1" applyFont="1" applyFill="1" applyBorder="1" applyAlignment="1">
      <alignment horizontal="center" vertical="center" wrapText="1"/>
    </xf>
    <xf numFmtId="49" fontId="42" fillId="0" borderId="0" xfId="0" applyNumberFormat="1" applyFont="1" applyFill="1" applyBorder="1" applyAlignment="1">
      <alignment horizontal="center" vertical="center" wrapText="1"/>
    </xf>
    <xf numFmtId="0" fontId="42" fillId="0" borderId="7" xfId="38" applyNumberFormat="1" applyFont="1" applyFill="1" applyBorder="1" applyAlignment="1" applyProtection="1">
      <alignment horizontal="center" vertical="center" wrapText="1"/>
      <protection locked="0"/>
    </xf>
    <xf numFmtId="49" fontId="41" fillId="0" borderId="0" xfId="0" applyNumberFormat="1" applyFont="1" applyFill="1" applyBorder="1" applyAlignment="1">
      <alignment horizontal="center" vertical="center" wrapText="1"/>
    </xf>
    <xf numFmtId="49" fontId="41" fillId="0" borderId="11" xfId="0" applyNumberFormat="1" applyFont="1" applyFill="1" applyBorder="1" applyAlignment="1">
      <alignment horizontal="center" vertical="center" wrapText="1"/>
    </xf>
    <xf numFmtId="49" fontId="42" fillId="0" borderId="0" xfId="0" applyNumberFormat="1" applyFont="1" applyFill="1" applyBorder="1" applyAlignment="1">
      <alignment horizontal="center" vertical="top" wrapText="1"/>
    </xf>
    <xf numFmtId="4" fontId="46" fillId="0" borderId="7" xfId="38" applyNumberFormat="1" applyFont="1" applyFill="1" applyBorder="1" applyAlignment="1" applyProtection="1">
      <alignment horizontal="center" vertical="center" wrapText="1"/>
    </xf>
    <xf numFmtId="49" fontId="41" fillId="0" borderId="7" xfId="0" applyNumberFormat="1" applyFont="1" applyFill="1" applyBorder="1" applyAlignment="1">
      <alignment horizontal="center" vertical="center"/>
    </xf>
    <xf numFmtId="166" fontId="46" fillId="0" borderId="7" xfId="0" applyNumberFormat="1" applyFont="1" applyFill="1" applyBorder="1" applyAlignment="1">
      <alignment horizontal="center" vertical="center" wrapText="1"/>
    </xf>
    <xf numFmtId="0" fontId="42" fillId="0" borderId="7" xfId="0"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4" fontId="45"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49" fontId="29" fillId="26" borderId="7" xfId="0" applyNumberFormat="1" applyFont="1" applyFill="1" applyBorder="1" applyAlignment="1">
      <alignment horizontal="center" vertical="center" wrapText="1"/>
    </xf>
    <xf numFmtId="164" fontId="32" fillId="26" borderId="7" xfId="30" applyNumberFormat="1" applyFont="1" applyFill="1" applyBorder="1" applyAlignment="1">
      <alignment horizontal="center" vertical="center" wrapText="1"/>
    </xf>
    <xf numFmtId="4" fontId="32" fillId="26" borderId="7" xfId="30" applyNumberFormat="1" applyFont="1" applyFill="1" applyBorder="1" applyAlignment="1">
      <alignment horizontal="center" vertical="center"/>
    </xf>
    <xf numFmtId="4" fontId="3" fillId="26" borderId="0" xfId="35" applyNumberFormat="1" applyFont="1" applyFill="1"/>
    <xf numFmtId="164" fontId="32" fillId="32" borderId="7" xfId="30" applyNumberFormat="1" applyFont="1" applyFill="1" applyBorder="1" applyAlignment="1">
      <alignment horizontal="center" vertical="center"/>
    </xf>
    <xf numFmtId="164" fontId="39" fillId="33" borderId="7" xfId="30" applyNumberFormat="1" applyFont="1" applyFill="1" applyBorder="1" applyAlignment="1">
      <alignment horizontal="center" vertical="center"/>
    </xf>
    <xf numFmtId="164" fontId="32" fillId="32" borderId="7" xfId="30" applyNumberFormat="1" applyFont="1" applyFill="1" applyBorder="1" applyAlignment="1">
      <alignment horizontal="center" vertical="center" wrapText="1"/>
    </xf>
    <xf numFmtId="0" fontId="13" fillId="26" borderId="0" xfId="35" applyFont="1" applyFill="1" applyAlignment="1">
      <alignment horizontal="center" vertical="center"/>
    </xf>
    <xf numFmtId="4" fontId="32" fillId="33" borderId="7" xfId="30" applyNumberFormat="1" applyFont="1" applyFill="1" applyBorder="1" applyAlignment="1">
      <alignment horizontal="center" vertical="center"/>
    </xf>
    <xf numFmtId="0" fontId="13" fillId="26" borderId="0" xfId="35" applyFont="1" applyFill="1" applyBorder="1" applyAlignment="1">
      <alignment horizontal="center" vertical="center"/>
    </xf>
    <xf numFmtId="4" fontId="44" fillId="0" borderId="0" xfId="0" applyNumberFormat="1" applyFont="1" applyFill="1"/>
    <xf numFmtId="4" fontId="46" fillId="0" borderId="0" xfId="0" applyNumberFormat="1" applyFont="1" applyFill="1" applyAlignment="1">
      <alignment horizontal="right"/>
    </xf>
    <xf numFmtId="4" fontId="46" fillId="0" borderId="0" xfId="0" applyNumberFormat="1" applyFont="1" applyAlignment="1">
      <alignment horizontal="center" vertical="center"/>
    </xf>
    <xf numFmtId="49" fontId="40" fillId="30" borderId="7" xfId="0" applyNumberFormat="1" applyFont="1" applyFill="1" applyBorder="1" applyAlignment="1">
      <alignment horizontal="center" vertical="center"/>
    </xf>
    <xf numFmtId="49" fontId="42" fillId="30" borderId="7" xfId="0" applyNumberFormat="1" applyFont="1" applyFill="1" applyBorder="1" applyAlignment="1">
      <alignment horizontal="center" vertical="center"/>
    </xf>
    <xf numFmtId="0" fontId="43" fillId="30" borderId="7" xfId="38" applyNumberFormat="1" applyFont="1" applyFill="1" applyBorder="1" applyAlignment="1" applyProtection="1">
      <alignment horizontal="center" vertical="center" wrapText="1"/>
      <protection locked="0"/>
    </xf>
    <xf numFmtId="4" fontId="44" fillId="30" borderId="7" xfId="38" applyNumberFormat="1" applyFont="1" applyFill="1" applyBorder="1" applyAlignment="1" applyProtection="1">
      <alignment horizontal="center" vertical="center" wrapText="1"/>
      <protection locked="0"/>
    </xf>
    <xf numFmtId="4" fontId="47" fillId="30" borderId="7" xfId="38" applyNumberFormat="1" applyFont="1" applyFill="1" applyBorder="1" applyAlignment="1" applyProtection="1">
      <alignment horizontal="center" vertical="center" wrapText="1"/>
      <protection locked="0"/>
    </xf>
    <xf numFmtId="49" fontId="43" fillId="30" borderId="7" xfId="0" applyNumberFormat="1" applyFont="1" applyFill="1" applyBorder="1" applyAlignment="1">
      <alignment horizontal="center" vertical="center" wrapText="1"/>
    </xf>
    <xf numFmtId="0" fontId="40" fillId="30" borderId="7" xfId="38" applyNumberFormat="1" applyFont="1" applyFill="1" applyBorder="1" applyAlignment="1" applyProtection="1">
      <alignment horizontal="center" vertical="center" wrapText="1"/>
      <protection locked="0"/>
    </xf>
    <xf numFmtId="4" fontId="44" fillId="30" borderId="7" xfId="0" applyNumberFormat="1" applyFont="1" applyFill="1" applyBorder="1" applyAlignment="1">
      <alignment horizontal="center" vertical="center" wrapText="1"/>
    </xf>
    <xf numFmtId="4" fontId="47" fillId="30" borderId="7" xfId="0" applyNumberFormat="1" applyFont="1" applyFill="1" applyBorder="1" applyAlignment="1">
      <alignment horizontal="center" vertical="center" wrapText="1"/>
    </xf>
    <xf numFmtId="2" fontId="122" fillId="0" borderId="0" xfId="36" applyNumberFormat="1" applyFont="1" applyFill="1" applyBorder="1" applyAlignment="1" applyProtection="1">
      <alignment horizontal="center" vertical="top"/>
    </xf>
    <xf numFmtId="4" fontId="47" fillId="30" borderId="7" xfId="0" applyNumberFormat="1" applyFont="1" applyFill="1" applyBorder="1" applyAlignment="1">
      <alignment horizontal="center" vertical="center"/>
    </xf>
    <xf numFmtId="4" fontId="44" fillId="30" borderId="7" xfId="0" applyNumberFormat="1" applyFont="1" applyFill="1" applyBorder="1" applyAlignment="1">
      <alignment horizontal="center" vertical="center"/>
    </xf>
    <xf numFmtId="49" fontId="40" fillId="30" borderId="7" xfId="0" applyNumberFormat="1" applyFont="1" applyFill="1" applyBorder="1" applyAlignment="1">
      <alignment horizontal="center" vertical="center" wrapText="1"/>
    </xf>
    <xf numFmtId="0" fontId="42" fillId="0" borderId="8" xfId="38" applyNumberFormat="1" applyFont="1" applyFill="1" applyBorder="1" applyAlignment="1" applyProtection="1">
      <alignment horizontal="center" vertical="center" wrapText="1"/>
      <protection locked="0"/>
    </xf>
    <xf numFmtId="0" fontId="41" fillId="0" borderId="8" xfId="38" applyNumberFormat="1" applyFont="1" applyFill="1" applyBorder="1" applyAlignment="1" applyProtection="1">
      <alignment horizontal="center" vertical="center" wrapText="1"/>
      <protection locked="0"/>
    </xf>
    <xf numFmtId="0" fontId="41" fillId="0" borderId="9" xfId="38" applyNumberFormat="1" applyFont="1" applyFill="1" applyBorder="1" applyAlignment="1" applyProtection="1">
      <alignment horizontal="center" vertical="center" wrapText="1"/>
      <protection locked="0"/>
    </xf>
    <xf numFmtId="49" fontId="51" fillId="34" borderId="7" xfId="0" applyNumberFormat="1" applyFont="1" applyFill="1" applyBorder="1" applyAlignment="1">
      <alignment horizontal="center" vertical="center" wrapText="1"/>
    </xf>
    <xf numFmtId="0" fontId="51" fillId="34" borderId="7" xfId="38" applyNumberFormat="1" applyFont="1" applyFill="1" applyBorder="1" applyAlignment="1" applyProtection="1">
      <alignment horizontal="center" vertical="center" wrapText="1"/>
      <protection locked="0"/>
    </xf>
    <xf numFmtId="0" fontId="30" fillId="34" borderId="7" xfId="35" applyFont="1" applyFill="1" applyBorder="1" applyAlignment="1">
      <alignment horizontal="center" vertical="center" wrapText="1"/>
    </xf>
    <xf numFmtId="4" fontId="51" fillId="34" borderId="7" xfId="35" applyNumberFormat="1" applyFont="1" applyFill="1" applyBorder="1" applyAlignment="1">
      <alignment horizontal="center" vertical="center" wrapText="1"/>
    </xf>
    <xf numFmtId="49" fontId="30" fillId="34" borderId="7" xfId="0" applyNumberFormat="1" applyFont="1" applyFill="1" applyBorder="1" applyAlignment="1">
      <alignment horizontal="center" vertical="center" wrapText="1"/>
    </xf>
    <xf numFmtId="0" fontId="30" fillId="34" borderId="7" xfId="38" applyNumberFormat="1" applyFont="1" applyFill="1" applyBorder="1" applyAlignment="1" applyProtection="1">
      <alignment horizontal="center" vertical="center" wrapText="1"/>
      <protection locked="0"/>
    </xf>
    <xf numFmtId="4" fontId="30" fillId="34" borderId="7" xfId="35" applyNumberFormat="1" applyFont="1" applyFill="1" applyBorder="1" applyAlignment="1">
      <alignment horizontal="center" vertical="center" wrapText="1"/>
    </xf>
    <xf numFmtId="0" fontId="3" fillId="30" borderId="0" xfId="35" applyNumberFormat="1" applyFont="1" applyFill="1" applyAlignment="1" applyProtection="1"/>
    <xf numFmtId="49" fontId="29" fillId="34" borderId="7" xfId="35" applyNumberFormat="1" applyFont="1" applyFill="1" applyBorder="1" applyAlignment="1">
      <alignment horizontal="center" vertical="center" wrapText="1"/>
    </xf>
    <xf numFmtId="164" fontId="15" fillId="34" borderId="7" xfId="30" applyNumberFormat="1" applyFont="1" applyFill="1" applyBorder="1" applyAlignment="1">
      <alignment horizontal="center" vertical="center"/>
    </xf>
    <xf numFmtId="4" fontId="33" fillId="34" borderId="7" xfId="30" applyNumberFormat="1" applyFont="1" applyFill="1" applyBorder="1" applyAlignment="1">
      <alignment horizontal="center" vertical="center"/>
    </xf>
    <xf numFmtId="49" fontId="30" fillId="34" borderId="7" xfId="35" applyNumberFormat="1" applyFont="1" applyFill="1" applyBorder="1" applyAlignment="1">
      <alignment horizontal="center" vertical="center" wrapText="1"/>
    </xf>
    <xf numFmtId="164" fontId="39" fillId="34" borderId="7" xfId="30" applyNumberFormat="1" applyFont="1" applyFill="1" applyBorder="1" applyAlignment="1">
      <alignment horizontal="center" vertical="center"/>
    </xf>
    <xf numFmtId="4" fontId="31" fillId="34" borderId="7" xfId="30" applyNumberFormat="1" applyFont="1" applyFill="1" applyBorder="1" applyAlignment="1">
      <alignment horizontal="center" vertical="center"/>
    </xf>
    <xf numFmtId="49" fontId="30" fillId="34" borderId="7" xfId="0" applyNumberFormat="1" applyFont="1" applyFill="1" applyBorder="1" applyAlignment="1">
      <alignment horizontal="center" vertical="center"/>
    </xf>
    <xf numFmtId="49" fontId="29" fillId="34" borderId="7" xfId="0" applyNumberFormat="1" applyFont="1" applyFill="1" applyBorder="1" applyAlignment="1">
      <alignment horizontal="center" vertical="center"/>
    </xf>
    <xf numFmtId="164" fontId="32" fillId="34" borderId="7" xfId="30" applyNumberFormat="1" applyFont="1" applyFill="1" applyBorder="1" applyAlignment="1">
      <alignment horizontal="center" vertical="center"/>
    </xf>
    <xf numFmtId="4" fontId="51" fillId="34" borderId="7" xfId="0" applyNumberFormat="1" applyFont="1" applyFill="1" applyBorder="1" applyAlignment="1">
      <alignment horizontal="center" vertical="center" wrapText="1"/>
    </xf>
    <xf numFmtId="4" fontId="30" fillId="34" borderId="7" xfId="0" applyNumberFormat="1" applyFont="1" applyFill="1" applyBorder="1" applyAlignment="1">
      <alignment horizontal="center" vertical="center" wrapText="1"/>
    </xf>
    <xf numFmtId="164" fontId="32" fillId="34" borderId="7" xfId="30" applyNumberFormat="1" applyFont="1" applyFill="1" applyBorder="1" applyAlignment="1">
      <alignment horizontal="center" vertical="center" wrapText="1"/>
    </xf>
    <xf numFmtId="0" fontId="42" fillId="0" borderId="7" xfId="0" applyFont="1" applyBorder="1" applyAlignment="1">
      <alignment horizontal="center" vertical="center" wrapText="1"/>
    </xf>
    <xf numFmtId="0" fontId="41" fillId="0" borderId="7" xfId="0" applyFont="1" applyBorder="1" applyAlignment="1">
      <alignment horizontal="center" vertical="center" wrapText="1"/>
    </xf>
    <xf numFmtId="4" fontId="45" fillId="0" borderId="8" xfId="0" applyNumberFormat="1" applyFont="1" applyFill="1" applyBorder="1" applyAlignment="1">
      <alignment horizontal="center" vertical="center" wrapText="1"/>
    </xf>
    <xf numFmtId="4" fontId="44" fillId="0" borderId="8" xfId="0" applyNumberFormat="1" applyFont="1" applyFill="1" applyBorder="1" applyAlignment="1">
      <alignment horizontal="center" vertical="center" wrapText="1"/>
    </xf>
    <xf numFmtId="49" fontId="41" fillId="0" borderId="8"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4" fontId="45" fillId="0" borderId="7" xfId="0" applyNumberFormat="1"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0" fontId="42" fillId="0" borderId="0" xfId="0" applyFont="1" applyAlignment="1">
      <alignment horizontal="center" vertical="center"/>
    </xf>
    <xf numFmtId="0" fontId="42" fillId="0" borderId="0" xfId="0" applyFont="1" applyAlignment="1">
      <alignment vertical="center"/>
    </xf>
    <xf numFmtId="0" fontId="40" fillId="0" borderId="0" xfId="0" applyFont="1" applyAlignment="1">
      <alignment horizontal="center" vertical="center"/>
    </xf>
    <xf numFmtId="49" fontId="42" fillId="0" borderId="8"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9" fontId="43" fillId="28" borderId="7" xfId="0" applyNumberFormat="1" applyFont="1" applyFill="1" applyBorder="1" applyAlignment="1">
      <alignment horizontal="center" vertical="center" wrapText="1"/>
    </xf>
    <xf numFmtId="0" fontId="43" fillId="28" borderId="7" xfId="38" applyNumberFormat="1" applyFont="1" applyFill="1" applyBorder="1" applyAlignment="1" applyProtection="1">
      <alignment horizontal="center" vertical="center" wrapText="1"/>
      <protection locked="0"/>
    </xf>
    <xf numFmtId="4" fontId="47" fillId="28" borderId="7" xfId="0" applyNumberFormat="1" applyFont="1" applyFill="1" applyBorder="1" applyAlignment="1">
      <alignment horizontal="center" vertical="center"/>
    </xf>
    <xf numFmtId="4" fontId="44" fillId="28" borderId="7" xfId="0" applyNumberFormat="1" applyFont="1" applyFill="1" applyBorder="1" applyAlignment="1">
      <alignment horizontal="center" vertical="center"/>
    </xf>
    <xf numFmtId="49" fontId="40" fillId="28" borderId="7" xfId="0" applyNumberFormat="1" applyFont="1" applyFill="1" applyBorder="1" applyAlignment="1">
      <alignment horizontal="center" vertical="center" wrapText="1"/>
    </xf>
    <xf numFmtId="0" fontId="40" fillId="28" borderId="7" xfId="38" applyNumberFormat="1" applyFont="1" applyFill="1" applyBorder="1" applyAlignment="1" applyProtection="1">
      <alignment horizontal="center" vertical="center" wrapText="1"/>
      <protection locked="0"/>
    </xf>
    <xf numFmtId="4" fontId="44" fillId="28" borderId="7" xfId="0" applyNumberFormat="1" applyFont="1" applyFill="1" applyBorder="1" applyAlignment="1">
      <alignment horizontal="center" vertical="center" wrapText="1"/>
    </xf>
    <xf numFmtId="4" fontId="47" fillId="28" borderId="7" xfId="0" applyNumberFormat="1" applyFont="1" applyFill="1" applyBorder="1" applyAlignment="1">
      <alignment horizontal="center" vertical="center" wrapText="1"/>
    </xf>
    <xf numFmtId="4" fontId="44" fillId="28" borderId="7" xfId="38" applyNumberFormat="1" applyFont="1" applyFill="1" applyBorder="1" applyAlignment="1" applyProtection="1">
      <alignment horizontal="center" vertical="center" wrapText="1"/>
      <protection locked="0"/>
    </xf>
    <xf numFmtId="49" fontId="42" fillId="30" borderId="7" xfId="0" applyNumberFormat="1" applyFont="1" applyFill="1" applyBorder="1" applyAlignment="1">
      <alignment horizontal="center" vertical="center" wrapText="1"/>
    </xf>
    <xf numFmtId="4" fontId="45" fillId="30" borderId="7" xfId="0" applyNumberFormat="1" applyFont="1" applyFill="1" applyBorder="1" applyAlignment="1">
      <alignment horizontal="center" vertical="center" wrapText="1"/>
    </xf>
    <xf numFmtId="4" fontId="46" fillId="30" borderId="7" xfId="0" applyNumberFormat="1" applyFont="1" applyFill="1" applyBorder="1" applyAlignment="1">
      <alignment horizontal="center" vertical="center" wrapText="1"/>
    </xf>
    <xf numFmtId="49" fontId="40" fillId="28" borderId="7" xfId="0" applyNumberFormat="1" applyFont="1" applyFill="1" applyBorder="1" applyAlignment="1">
      <alignment horizontal="center" vertical="center"/>
    </xf>
    <xf numFmtId="49" fontId="42" fillId="28" borderId="7" xfId="0" applyNumberFormat="1" applyFont="1" applyFill="1" applyBorder="1" applyAlignment="1">
      <alignment horizontal="center" vertical="center"/>
    </xf>
    <xf numFmtId="4" fontId="47" fillId="28" borderId="7" xfId="38" applyNumberFormat="1" applyFont="1" applyFill="1" applyBorder="1" applyAlignment="1" applyProtection="1">
      <alignment horizontal="center" vertical="center" wrapText="1"/>
      <protection locked="0"/>
    </xf>
    <xf numFmtId="0" fontId="43" fillId="28" borderId="7" xfId="0" applyFont="1" applyFill="1" applyBorder="1" applyAlignment="1">
      <alignment horizontal="center" vertical="center" wrapText="1"/>
    </xf>
    <xf numFmtId="0" fontId="40" fillId="28" borderId="7" xfId="0" applyFont="1" applyFill="1" applyBorder="1" applyAlignment="1">
      <alignment horizontal="center" vertical="center" wrapText="1"/>
    </xf>
    <xf numFmtId="4" fontId="101" fillId="0" borderId="0" xfId="0" applyNumberFormat="1" applyFont="1" applyFill="1" applyAlignment="1">
      <alignment horizontal="right"/>
    </xf>
    <xf numFmtId="4" fontId="41" fillId="0" borderId="0" xfId="0" applyNumberFormat="1" applyFont="1" applyAlignment="1">
      <alignment horizontal="center" vertical="center"/>
    </xf>
    <xf numFmtId="0" fontId="123" fillId="0" borderId="0" xfId="0" applyFont="1" applyAlignment="1">
      <alignment vertical="center"/>
    </xf>
    <xf numFmtId="2" fontId="124" fillId="0" borderId="0" xfId="0" applyNumberFormat="1" applyFont="1" applyAlignment="1">
      <alignment horizontal="center" vertical="center"/>
    </xf>
    <xf numFmtId="0" fontId="125" fillId="0" borderId="0" xfId="0" applyFont="1" applyAlignment="1">
      <alignment vertical="center"/>
    </xf>
    <xf numFmtId="4" fontId="123" fillId="0" borderId="0" xfId="0" applyNumberFormat="1" applyFont="1" applyAlignment="1">
      <alignment vertical="center"/>
    </xf>
    <xf numFmtId="4" fontId="125" fillId="0" borderId="0" xfId="0" applyNumberFormat="1" applyFont="1" applyAlignment="1">
      <alignment vertical="center"/>
    </xf>
    <xf numFmtId="0" fontId="43" fillId="30" borderId="7" xfId="0" applyFont="1" applyFill="1" applyBorder="1" applyAlignment="1">
      <alignment horizontal="center" vertical="center" wrapText="1"/>
    </xf>
    <xf numFmtId="0" fontId="40" fillId="30" borderId="7" xfId="0" applyFont="1" applyFill="1" applyBorder="1" applyAlignment="1">
      <alignment horizontal="center" vertical="center" wrapText="1"/>
    </xf>
    <xf numFmtId="49" fontId="52"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0" fontId="51" fillId="34" borderId="7" xfId="0" applyFont="1" applyFill="1" applyBorder="1" applyAlignment="1">
      <alignment horizontal="center" vertical="center" wrapText="1"/>
    </xf>
    <xf numFmtId="0" fontId="30" fillId="34" borderId="7" xfId="0"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164" fontId="33" fillId="34" borderId="7" xfId="30" applyNumberFormat="1" applyFont="1" applyFill="1" applyBorder="1" applyAlignment="1">
      <alignment horizontal="center" vertical="center"/>
    </xf>
    <xf numFmtId="164" fontId="31" fillId="34" borderId="7" xfId="30" applyNumberFormat="1" applyFont="1" applyFill="1" applyBorder="1" applyAlignment="1">
      <alignment horizontal="center" vertical="center"/>
    </xf>
    <xf numFmtId="164" fontId="55" fillId="34" borderId="7" xfId="30" applyNumberFormat="1" applyFont="1" applyFill="1" applyBorder="1" applyAlignment="1">
      <alignment horizontal="center" vertical="center" wrapText="1"/>
    </xf>
    <xf numFmtId="164" fontId="55" fillId="34" borderId="7" xfId="30" applyNumberFormat="1" applyFont="1" applyFill="1" applyBorder="1" applyAlignment="1">
      <alignment horizontal="center" vertical="center"/>
    </xf>
    <xf numFmtId="49" fontId="51" fillId="30" borderId="7" xfId="0" applyNumberFormat="1" applyFont="1" applyFill="1" applyBorder="1" applyAlignment="1">
      <alignment horizontal="center" vertical="center" wrapText="1"/>
    </xf>
    <xf numFmtId="164" fontId="55" fillId="30" borderId="7" xfId="30" applyNumberFormat="1" applyFont="1" applyFill="1" applyBorder="1" applyAlignment="1">
      <alignment horizontal="center" vertical="center" wrapText="1"/>
    </xf>
    <xf numFmtId="4" fontId="51" fillId="30" borderId="7" xfId="0" applyNumberFormat="1" applyFont="1" applyFill="1" applyBorder="1" applyAlignment="1">
      <alignment horizontal="center" vertical="center" wrapText="1"/>
    </xf>
    <xf numFmtId="4" fontId="33" fillId="30" borderId="7" xfId="30" applyNumberFormat="1" applyFont="1" applyFill="1" applyBorder="1" applyAlignment="1">
      <alignment horizontal="center" vertical="center"/>
    </xf>
    <xf numFmtId="49" fontId="30" fillId="30" borderId="7" xfId="0" applyNumberFormat="1" applyFont="1" applyFill="1" applyBorder="1" applyAlignment="1">
      <alignment horizontal="center" vertical="center" wrapText="1"/>
    </xf>
    <xf numFmtId="4" fontId="30" fillId="30" borderId="7" xfId="0" applyNumberFormat="1" applyFont="1" applyFill="1" applyBorder="1" applyAlignment="1">
      <alignment horizontal="center" vertical="center" wrapText="1"/>
    </xf>
    <xf numFmtId="4" fontId="31" fillId="30" borderId="7" xfId="30" applyNumberFormat="1" applyFont="1" applyFill="1" applyBorder="1" applyAlignment="1">
      <alignment horizontal="center" vertical="center"/>
    </xf>
    <xf numFmtId="49" fontId="51" fillId="34" borderId="8" xfId="0" applyNumberFormat="1" applyFont="1" applyFill="1" applyBorder="1" applyAlignment="1">
      <alignment horizontal="center" vertical="center" wrapText="1"/>
    </xf>
    <xf numFmtId="164" fontId="55" fillId="34" borderId="8" xfId="30" applyNumberFormat="1" applyFont="1" applyFill="1" applyBorder="1" applyAlignment="1">
      <alignment horizontal="center" vertical="center" wrapText="1"/>
    </xf>
    <xf numFmtId="4" fontId="51" fillId="34" borderId="8" xfId="0" applyNumberFormat="1" applyFont="1" applyFill="1" applyBorder="1" applyAlignment="1">
      <alignment horizontal="center" vertical="center" wrapText="1"/>
    </xf>
    <xf numFmtId="4" fontId="33" fillId="34" borderId="8" xfId="30" applyNumberFormat="1" applyFont="1" applyFill="1" applyBorder="1" applyAlignment="1">
      <alignment horizontal="center" vertical="center"/>
    </xf>
    <xf numFmtId="0" fontId="10" fillId="0" borderId="7" xfId="39" applyNumberFormat="1" applyFont="1" applyFill="1" applyBorder="1" applyAlignment="1" applyProtection="1">
      <alignment horizontal="center" vertical="center" wrapText="1"/>
    </xf>
    <xf numFmtId="0" fontId="9" fillId="0" borderId="0" xfId="0" applyFont="1" applyAlignment="1">
      <alignment horizontal="center" vertical="center"/>
    </xf>
    <xf numFmtId="0" fontId="0" fillId="0" borderId="0" xfId="0" applyAlignment="1"/>
    <xf numFmtId="0" fontId="0" fillId="0" borderId="0" xfId="0" applyAlignment="1">
      <alignment horizontal="center" vertical="center"/>
    </xf>
    <xf numFmtId="0" fontId="65" fillId="0" borderId="0" xfId="39" applyNumberFormat="1" applyFont="1" applyFill="1" applyBorder="1" applyAlignment="1" applyProtection="1">
      <alignment horizontal="center" vertical="center"/>
    </xf>
    <xf numFmtId="0" fontId="65" fillId="0" borderId="0" xfId="39" applyFont="1" applyFill="1" applyBorder="1" applyAlignment="1">
      <alignment horizontal="center" vertical="center"/>
    </xf>
    <xf numFmtId="0" fontId="65" fillId="0" borderId="0" xfId="39" applyNumberFormat="1" applyFont="1" applyFill="1" applyAlignment="1" applyProtection="1">
      <alignment horizontal="center" vertical="center"/>
    </xf>
    <xf numFmtId="0" fontId="65" fillId="0" borderId="0" xfId="39" applyFont="1" applyFill="1" applyAlignment="1">
      <alignment horizontal="center" vertical="center"/>
    </xf>
    <xf numFmtId="0" fontId="3" fillId="0" borderId="0" xfId="0" applyFont="1" applyAlignment="1"/>
    <xf numFmtId="0" fontId="75" fillId="0" borderId="0" xfId="0" applyFont="1" applyFill="1" applyAlignment="1">
      <alignment horizontal="center"/>
    </xf>
    <xf numFmtId="0" fontId="67" fillId="0" borderId="7"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Alignment="1">
      <alignment wrapText="1"/>
    </xf>
    <xf numFmtId="0" fontId="42" fillId="0" borderId="7" xfId="0" applyFont="1" applyBorder="1" applyAlignment="1">
      <alignment horizontal="center" vertical="center" wrapText="1"/>
    </xf>
    <xf numFmtId="0" fontId="41" fillId="0" borderId="7" xfId="0" applyFont="1" applyBorder="1" applyAlignment="1">
      <alignment horizontal="center" vertical="center" wrapText="1"/>
    </xf>
    <xf numFmtId="4" fontId="41" fillId="0" borderId="8" xfId="0" applyNumberFormat="1" applyFont="1" applyFill="1" applyBorder="1" applyAlignment="1">
      <alignment horizontal="center" vertical="center" wrapText="1"/>
    </xf>
    <xf numFmtId="4" fontId="56" fillId="0" borderId="10" xfId="0" applyNumberFormat="1" applyFont="1" applyFill="1" applyBorder="1" applyAlignment="1">
      <alignment horizontal="center" vertical="center" wrapText="1"/>
    </xf>
    <xf numFmtId="4" fontId="45" fillId="0" borderId="8" xfId="0" applyNumberFormat="1"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0" fillId="0" borderId="10" xfId="0" applyFill="1" applyBorder="1" applyAlignment="1">
      <alignment horizontal="center" vertical="center" wrapText="1"/>
    </xf>
    <xf numFmtId="4" fontId="44" fillId="0" borderId="8" xfId="0" applyNumberFormat="1" applyFont="1" applyFill="1" applyBorder="1" applyAlignment="1">
      <alignment horizontal="center" vertical="center" wrapText="1"/>
    </xf>
    <xf numFmtId="49" fontId="41" fillId="0" borderId="8"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56" fillId="0" borderId="7" xfId="0" applyFont="1" applyFill="1" applyBorder="1" applyAlignment="1">
      <alignment horizontal="center" vertical="center" wrapText="1"/>
    </xf>
    <xf numFmtId="4" fontId="45" fillId="0" borderId="7" xfId="0" applyNumberFormat="1"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0" fontId="0" fillId="0" borderId="7" xfId="0" applyFill="1" applyBorder="1" applyAlignment="1">
      <alignment horizontal="center" vertical="center" wrapText="1"/>
    </xf>
    <xf numFmtId="0" fontId="42" fillId="0" borderId="0" xfId="0" applyFont="1" applyAlignment="1">
      <alignment horizontal="center" vertical="center"/>
    </xf>
    <xf numFmtId="0" fontId="42" fillId="0" borderId="0" xfId="0" applyFont="1" applyAlignment="1">
      <alignment vertical="center"/>
    </xf>
    <xf numFmtId="0" fontId="42" fillId="0" borderId="7" xfId="0" applyFont="1" applyBorder="1" applyAlignment="1">
      <alignment horizontal="center" vertical="center"/>
    </xf>
    <xf numFmtId="0" fontId="40" fillId="0" borderId="0" xfId="0" applyFont="1" applyAlignment="1">
      <alignment horizontal="center" vertical="center"/>
    </xf>
    <xf numFmtId="0" fontId="42" fillId="0" borderId="8" xfId="0" applyFont="1" applyBorder="1" applyAlignment="1">
      <alignment horizontal="center" vertical="center" wrapText="1"/>
    </xf>
    <xf numFmtId="0" fontId="42" fillId="0" borderId="9" xfId="0" applyFont="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42" fillId="0" borderId="8" xfId="0" applyFont="1" applyBorder="1" applyAlignment="1">
      <alignment horizontal="center" vertical="center"/>
    </xf>
    <xf numFmtId="0" fontId="42" fillId="0" borderId="0" xfId="0" applyFont="1" applyAlignment="1"/>
    <xf numFmtId="0" fontId="43" fillId="29" borderId="7" xfId="0" applyFont="1" applyFill="1" applyBorder="1" applyAlignment="1">
      <alignment horizontal="center" vertical="center"/>
    </xf>
    <xf numFmtId="49" fontId="42" fillId="0" borderId="8"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0" fontId="103" fillId="0" borderId="13" xfId="0" applyFont="1" applyBorder="1" applyAlignment="1">
      <alignment horizontal="left" vertical="center"/>
    </xf>
    <xf numFmtId="0" fontId="105" fillId="0" borderId="13" xfId="0" applyFont="1" applyBorder="1" applyAlignment="1">
      <alignment horizontal="left" vertical="center"/>
    </xf>
    <xf numFmtId="0" fontId="14" fillId="0" borderId="8" xfId="35" applyNumberFormat="1" applyFont="1" applyFill="1" applyBorder="1" applyAlignment="1" applyProtection="1">
      <alignment horizontal="center" vertical="center" wrapText="1"/>
    </xf>
    <xf numFmtId="0" fontId="14" fillId="0" borderId="9" xfId="35" applyNumberFormat="1" applyFont="1" applyFill="1" applyBorder="1" applyAlignment="1" applyProtection="1">
      <alignment horizontal="center" vertical="center" wrapText="1"/>
    </xf>
    <xf numFmtId="0" fontId="14" fillId="0" borderId="10" xfId="35" applyNumberFormat="1" applyFont="1" applyFill="1" applyBorder="1" applyAlignment="1" applyProtection="1">
      <alignment horizontal="center" vertical="center" wrapText="1"/>
    </xf>
    <xf numFmtId="0" fontId="77" fillId="0" borderId="8" xfId="35" applyNumberFormat="1" applyFont="1" applyFill="1" applyBorder="1" applyAlignment="1" applyProtection="1">
      <alignment horizontal="center" vertical="center" wrapText="1"/>
    </xf>
    <xf numFmtId="0" fontId="77" fillId="0" borderId="9" xfId="35" applyNumberFormat="1" applyFont="1" applyFill="1" applyBorder="1" applyAlignment="1" applyProtection="1">
      <alignment horizontal="center" vertical="center" wrapText="1"/>
    </xf>
    <xf numFmtId="0" fontId="77" fillId="0" borderId="10" xfId="35" applyNumberFormat="1" applyFont="1" applyFill="1" applyBorder="1" applyAlignment="1" applyProtection="1">
      <alignment horizontal="center" vertical="center" wrapText="1"/>
    </xf>
    <xf numFmtId="0" fontId="9" fillId="0" borderId="19" xfId="35" applyNumberFormat="1" applyFont="1" applyFill="1" applyBorder="1" applyAlignment="1" applyProtection="1">
      <alignment horizontal="center" vertical="center" wrapText="1"/>
    </xf>
    <xf numFmtId="0" fontId="9" fillId="0" borderId="15" xfId="35" applyNumberFormat="1" applyFont="1" applyFill="1" applyBorder="1" applyAlignment="1" applyProtection="1">
      <alignment horizontal="center" vertical="center" wrapText="1"/>
    </xf>
    <xf numFmtId="0" fontId="29" fillId="0" borderId="0" xfId="0" applyFont="1" applyAlignment="1"/>
    <xf numFmtId="0" fontId="29" fillId="0" borderId="0" xfId="35" applyNumberFormat="1" applyFont="1" applyFill="1" applyAlignment="1" applyProtection="1">
      <alignment horizontal="center" vertical="center" wrapText="1"/>
    </xf>
    <xf numFmtId="0" fontId="11" fillId="0" borderId="0" xfId="35" applyNumberFormat="1" applyFont="1" applyFill="1" applyAlignment="1" applyProtection="1">
      <alignment horizontal="center" vertical="center" wrapText="1"/>
    </xf>
    <xf numFmtId="0" fontId="9" fillId="0" borderId="18" xfId="35" applyNumberFormat="1" applyFont="1" applyFill="1" applyBorder="1" applyAlignment="1" applyProtection="1">
      <alignment horizontal="center" vertical="center" wrapText="1"/>
    </xf>
    <xf numFmtId="0" fontId="9" fillId="0" borderId="7" xfId="35" applyNumberFormat="1" applyFont="1" applyFill="1" applyBorder="1" applyAlignment="1" applyProtection="1">
      <alignment horizontal="center" vertical="center" wrapText="1"/>
    </xf>
    <xf numFmtId="0" fontId="9" fillId="0" borderId="0" xfId="35" applyNumberFormat="1" applyFont="1" applyFill="1" applyAlignment="1" applyProtection="1">
      <alignment horizontal="center" vertical="center"/>
    </xf>
    <xf numFmtId="0" fontId="49" fillId="0" borderId="0" xfId="35" applyNumberFormat="1" applyFont="1" applyFill="1" applyBorder="1" applyAlignment="1" applyProtection="1">
      <alignment horizontal="center" vertical="center" wrapText="1"/>
    </xf>
    <xf numFmtId="0" fontId="11" fillId="0" borderId="0" xfId="35" applyNumberFormat="1" applyFont="1" applyFill="1" applyBorder="1" applyAlignment="1" applyProtection="1">
      <alignment horizontal="center" vertical="center" wrapText="1"/>
    </xf>
    <xf numFmtId="49" fontId="52" fillId="0" borderId="8" xfId="0" applyNumberFormat="1" applyFont="1" applyFill="1" applyBorder="1" applyAlignment="1">
      <alignment horizontal="center" vertical="center" wrapText="1"/>
    </xf>
    <xf numFmtId="0" fontId="117" fillId="0" borderId="9" xfId="0" applyFont="1" applyFill="1" applyBorder="1" applyAlignment="1">
      <alignment horizontal="center" vertical="center" wrapText="1"/>
    </xf>
    <xf numFmtId="0" fontId="117" fillId="0" borderId="10" xfId="0" applyFont="1" applyFill="1" applyBorder="1" applyAlignment="1">
      <alignment horizontal="center" vertical="center" wrapText="1"/>
    </xf>
    <xf numFmtId="49" fontId="52" fillId="0" borderId="7" xfId="0" applyNumberFormat="1" applyFont="1" applyFill="1" applyBorder="1" applyAlignment="1">
      <alignment horizontal="center" vertical="center" wrapText="1"/>
    </xf>
    <xf numFmtId="0" fontId="117" fillId="0" borderId="7" xfId="0" applyFont="1" applyFill="1" applyBorder="1" applyAlignment="1">
      <alignment horizontal="center" vertical="center" wrapText="1"/>
    </xf>
    <xf numFmtId="4" fontId="52" fillId="0" borderId="7" xfId="0" applyNumberFormat="1" applyFont="1" applyFill="1" applyBorder="1" applyAlignment="1">
      <alignment horizontal="center" vertical="center" wrapText="1"/>
    </xf>
    <xf numFmtId="4" fontId="117" fillId="0" borderId="7" xfId="0" applyNumberFormat="1" applyFont="1" applyFill="1" applyBorder="1" applyAlignment="1">
      <alignment horizontal="center" vertical="center" wrapText="1"/>
    </xf>
    <xf numFmtId="0" fontId="12" fillId="0" borderId="0" xfId="0" applyFont="1" applyAlignment="1">
      <alignment horizontal="center" vertical="center"/>
    </xf>
    <xf numFmtId="0" fontId="112" fillId="0" borderId="13" xfId="0" applyFont="1" applyBorder="1" applyAlignment="1">
      <alignment horizontal="left" vertical="center"/>
    </xf>
    <xf numFmtId="0" fontId="0" fillId="0" borderId="13" xfId="0" applyFont="1" applyBorder="1" applyAlignment="1">
      <alignment horizontal="left" vertical="center"/>
    </xf>
    <xf numFmtId="0" fontId="12" fillId="0" borderId="0" xfId="36" applyNumberFormat="1" applyFont="1" applyFill="1" applyBorder="1" applyAlignment="1" applyProtection="1">
      <alignment horizontal="left" vertical="top" wrapText="1"/>
    </xf>
    <xf numFmtId="0" fontId="9" fillId="0" borderId="0" xfId="36" applyNumberFormat="1" applyFont="1" applyFill="1" applyBorder="1" applyAlignment="1" applyProtection="1">
      <alignment horizontal="center" vertical="center" wrapText="1"/>
    </xf>
    <xf numFmtId="0" fontId="82" fillId="0" borderId="0" xfId="0" applyFont="1" applyAlignment="1">
      <alignment horizontal="center" vertical="center"/>
    </xf>
    <xf numFmtId="0" fontId="81" fillId="0" borderId="0" xfId="36" applyNumberFormat="1" applyFont="1" applyFill="1" applyBorder="1" applyAlignment="1" applyProtection="1">
      <alignment horizontal="center"/>
    </xf>
    <xf numFmtId="0" fontId="81" fillId="0" borderId="0" xfId="36" applyNumberFormat="1" applyFont="1" applyFill="1" applyBorder="1" applyAlignment="1" applyProtection="1">
      <alignment horizontal="center" vertical="top"/>
    </xf>
    <xf numFmtId="0" fontId="81" fillId="0" borderId="0" xfId="0" applyFont="1" applyAlignment="1">
      <alignment horizontal="center"/>
    </xf>
    <xf numFmtId="0" fontId="10" fillId="0" borderId="0" xfId="0" applyFont="1" applyFill="1" applyAlignment="1">
      <alignment horizontal="center"/>
    </xf>
    <xf numFmtId="0" fontId="0" fillId="0" borderId="0" xfId="0" applyAlignment="1">
      <alignment horizontal="center"/>
    </xf>
    <xf numFmtId="0" fontId="10" fillId="0" borderId="11" xfId="0" applyFont="1" applyFill="1" applyBorder="1" applyAlignment="1">
      <alignment horizontal="center"/>
    </xf>
    <xf numFmtId="0" fontId="0" fillId="0" borderId="11" xfId="0" applyBorder="1" applyAlignment="1">
      <alignment horizontal="center"/>
    </xf>
    <xf numFmtId="0" fontId="108" fillId="29" borderId="18" xfId="0" applyFont="1" applyFill="1" applyBorder="1" applyAlignment="1">
      <alignment horizontal="center" vertical="center"/>
    </xf>
    <xf numFmtId="0" fontId="108" fillId="29" borderId="19" xfId="0" applyFont="1" applyFill="1" applyBorder="1" applyAlignment="1">
      <alignment horizontal="center" vertical="center"/>
    </xf>
    <xf numFmtId="0" fontId="108" fillId="29" borderId="15" xfId="0" applyFont="1" applyFill="1" applyBorder="1" applyAlignment="1">
      <alignment horizontal="center" vertical="center"/>
    </xf>
    <xf numFmtId="0" fontId="9" fillId="0" borderId="0" xfId="36" applyNumberFormat="1" applyFont="1" applyFill="1" applyBorder="1" applyAlignment="1" applyProtection="1">
      <alignment horizontal="left" vertical="top" wrapText="1"/>
    </xf>
    <xf numFmtId="0" fontId="109" fillId="0" borderId="0" xfId="0" applyFont="1" applyFill="1" applyBorder="1" applyAlignment="1">
      <alignment horizontal="right" vertical="center"/>
    </xf>
    <xf numFmtId="0" fontId="9" fillId="0" borderId="0" xfId="0" applyFont="1" applyAlignment="1">
      <alignment horizontal="right" vertical="center"/>
    </xf>
    <xf numFmtId="0" fontId="9" fillId="0" borderId="0" xfId="0" applyFont="1" applyAlignment="1">
      <alignment horizontal="left"/>
    </xf>
    <xf numFmtId="0" fontId="112" fillId="0" borderId="0" xfId="0" applyFont="1" applyBorder="1" applyAlignment="1">
      <alignment horizontal="left" vertical="center"/>
    </xf>
    <xf numFmtId="0" fontId="0" fillId="0" borderId="0" xfId="0" applyFont="1" applyBorder="1" applyAlignment="1">
      <alignment horizontal="left" vertical="center"/>
    </xf>
    <xf numFmtId="49" fontId="29" fillId="0" borderId="8"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164" fontId="32" fillId="0" borderId="8" xfId="30" applyNumberFormat="1" applyFont="1" applyFill="1" applyBorder="1" applyAlignment="1">
      <alignment horizontal="center" vertical="center" wrapText="1"/>
    </xf>
    <xf numFmtId="4" fontId="32" fillId="0" borderId="8" xfId="30" applyNumberFormat="1" applyFont="1" applyFill="1" applyBorder="1" applyAlignment="1">
      <alignment horizontal="center" vertical="center"/>
    </xf>
    <xf numFmtId="0" fontId="0" fillId="0" borderId="10" xfId="0" applyFill="1" applyBorder="1" applyAlignment="1">
      <alignment horizontal="center" vertical="center"/>
    </xf>
    <xf numFmtId="0" fontId="12" fillId="0" borderId="0" xfId="0" applyFont="1" applyAlignment="1"/>
    <xf numFmtId="0" fontId="49" fillId="0" borderId="0" xfId="35" applyNumberFormat="1" applyFont="1" applyFill="1" applyBorder="1" applyAlignment="1" applyProtection="1">
      <alignment horizontal="center" vertical="top" wrapText="1"/>
    </xf>
    <xf numFmtId="0" fontId="11" fillId="0" borderId="0" xfId="35" applyNumberFormat="1" applyFont="1" applyFill="1" applyBorder="1" applyAlignment="1" applyProtection="1">
      <alignment horizontal="center" vertical="top" wrapText="1"/>
    </xf>
    <xf numFmtId="0" fontId="0" fillId="0" borderId="10" xfId="0" applyFont="1" applyFill="1" applyBorder="1" applyAlignment="1">
      <alignment horizontal="center" vertical="center"/>
    </xf>
    <xf numFmtId="49" fontId="29" fillId="0" borderId="7" xfId="0" applyNumberFormat="1" applyFont="1" applyFill="1" applyBorder="1" applyAlignment="1">
      <alignment horizontal="center" vertical="center" wrapText="1"/>
    </xf>
    <xf numFmtId="0" fontId="57" fillId="0" borderId="7" xfId="0"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4" fontId="57" fillId="0" borderId="7" xfId="0" applyNumberFormat="1" applyFont="1" applyFill="1" applyBorder="1" applyAlignment="1">
      <alignment horizontal="center" vertical="center" wrapText="1"/>
    </xf>
    <xf numFmtId="4" fontId="46" fillId="0" borderId="8"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cellXfs>
  <cellStyles count="88">
    <cellStyle name="20% - Акцент1" xfId="47" xr:uid="{00000000-0005-0000-0000-000000000000}"/>
    <cellStyle name="20% - Акцент2" xfId="48" xr:uid="{00000000-0005-0000-0000-000001000000}"/>
    <cellStyle name="20% - Акцент3" xfId="49" xr:uid="{00000000-0005-0000-0000-000002000000}"/>
    <cellStyle name="20% - Акцент4" xfId="50" xr:uid="{00000000-0005-0000-0000-000003000000}"/>
    <cellStyle name="20% - Акцент5" xfId="51" xr:uid="{00000000-0005-0000-0000-000004000000}"/>
    <cellStyle name="20% - Акцент6" xfId="52" xr:uid="{00000000-0005-0000-0000-000005000000}"/>
    <cellStyle name="40% - Акцент1" xfId="53" xr:uid="{00000000-0005-0000-0000-000006000000}"/>
    <cellStyle name="40% - Акцент2" xfId="54" xr:uid="{00000000-0005-0000-0000-000007000000}"/>
    <cellStyle name="40% - Акцент3" xfId="55" xr:uid="{00000000-0005-0000-0000-000008000000}"/>
    <cellStyle name="40% - Акцент4" xfId="56" xr:uid="{00000000-0005-0000-0000-000009000000}"/>
    <cellStyle name="40% - Акцент5" xfId="57" xr:uid="{00000000-0005-0000-0000-00000A000000}"/>
    <cellStyle name="40% - Акцент6" xfId="58" xr:uid="{00000000-0005-0000-0000-00000B000000}"/>
    <cellStyle name="60% - Акцент1" xfId="59" xr:uid="{00000000-0005-0000-0000-00000C000000}"/>
    <cellStyle name="60% - Акцент2" xfId="60" xr:uid="{00000000-0005-0000-0000-00000D000000}"/>
    <cellStyle name="60% - Акцент3" xfId="61" xr:uid="{00000000-0005-0000-0000-00000E000000}"/>
    <cellStyle name="60% - Акцент4" xfId="62" xr:uid="{00000000-0005-0000-0000-00000F000000}"/>
    <cellStyle name="60% - Акцент5" xfId="63" xr:uid="{00000000-0005-0000-0000-000010000000}"/>
    <cellStyle name="60% - Акцент6" xfId="64" xr:uid="{00000000-0005-0000-0000-000011000000}"/>
    <cellStyle name="Excel Built-in Обычный_УКБ до бюджету 2016р ост" xfId="85" xr:uid="{00000000-0005-0000-0000-000012000000}"/>
    <cellStyle name="Normal_meresha_07" xfId="1" xr:uid="{00000000-0005-0000-0000-000013000000}"/>
    <cellStyle name="Акцент1" xfId="65" xr:uid="{00000000-0005-0000-0000-000014000000}"/>
    <cellStyle name="Акцент2" xfId="66" xr:uid="{00000000-0005-0000-0000-000015000000}"/>
    <cellStyle name="Акцент3" xfId="67" xr:uid="{00000000-0005-0000-0000-000016000000}"/>
    <cellStyle name="Акцент4" xfId="68" xr:uid="{00000000-0005-0000-0000-000017000000}"/>
    <cellStyle name="Акцент5" xfId="69" xr:uid="{00000000-0005-0000-0000-000018000000}"/>
    <cellStyle name="Акцент6" xfId="70" xr:uid="{00000000-0005-0000-0000-000019000000}"/>
    <cellStyle name="Ввід" xfId="2" xr:uid="{00000000-0005-0000-0000-00001A000000}"/>
    <cellStyle name="Ввод " xfId="71" xr:uid="{00000000-0005-0000-0000-00001B000000}"/>
    <cellStyle name="Вывод" xfId="72" xr:uid="{00000000-0005-0000-0000-00001C000000}"/>
    <cellStyle name="Вычисление" xfId="73" xr:uid="{00000000-0005-0000-0000-00001D000000}"/>
    <cellStyle name="Гіперпосилання 2" xfId="74" xr:uid="{00000000-0005-0000-0000-00001E000000}"/>
    <cellStyle name="Добре" xfId="3" xr:uid="{00000000-0005-0000-0000-00001F000000}"/>
    <cellStyle name="Заголовок 1" xfId="4" builtinId="16" customBuiltin="1"/>
    <cellStyle name="Заголовок 2" xfId="5" builtinId="17" customBuiltin="1"/>
    <cellStyle name="Заголовок 3" xfId="6" builtinId="18" customBuiltin="1"/>
    <cellStyle name="Заголовок 4" xfId="7" builtinId="19" customBuiltin="1"/>
    <cellStyle name="Звичайний" xfId="0" builtinId="0"/>
    <cellStyle name="Звичайний 10" xfId="8" xr:uid="{00000000-0005-0000-0000-000025000000}"/>
    <cellStyle name="Звичайний 11" xfId="9" xr:uid="{00000000-0005-0000-0000-000026000000}"/>
    <cellStyle name="Звичайний 12" xfId="10" xr:uid="{00000000-0005-0000-0000-000027000000}"/>
    <cellStyle name="Звичайний 13" xfId="11" xr:uid="{00000000-0005-0000-0000-000028000000}"/>
    <cellStyle name="Звичайний 14" xfId="12" xr:uid="{00000000-0005-0000-0000-000029000000}"/>
    <cellStyle name="Звичайний 15" xfId="13" xr:uid="{00000000-0005-0000-0000-00002A000000}"/>
    <cellStyle name="Звичайний 16" xfId="14" xr:uid="{00000000-0005-0000-0000-00002B000000}"/>
    <cellStyle name="Звичайний 17" xfId="15" xr:uid="{00000000-0005-0000-0000-00002C000000}"/>
    <cellStyle name="Звичайний 18" xfId="16" xr:uid="{00000000-0005-0000-0000-00002D000000}"/>
    <cellStyle name="Звичайний 19" xfId="17" xr:uid="{00000000-0005-0000-0000-00002E000000}"/>
    <cellStyle name="Звичайний 2" xfId="18" xr:uid="{00000000-0005-0000-0000-00002F000000}"/>
    <cellStyle name="Звичайний 2 2" xfId="19" xr:uid="{00000000-0005-0000-0000-000030000000}"/>
    <cellStyle name="Звичайний 20" xfId="20" xr:uid="{00000000-0005-0000-0000-000031000000}"/>
    <cellStyle name="Звичайний 3" xfId="21" xr:uid="{00000000-0005-0000-0000-000032000000}"/>
    <cellStyle name="Звичайний 3 2" xfId="22" xr:uid="{00000000-0005-0000-0000-000033000000}"/>
    <cellStyle name="Звичайний 4" xfId="23" xr:uid="{00000000-0005-0000-0000-000034000000}"/>
    <cellStyle name="Звичайний 4 2" xfId="24" xr:uid="{00000000-0005-0000-0000-000035000000}"/>
    <cellStyle name="Звичайний 5" xfId="25" xr:uid="{00000000-0005-0000-0000-000036000000}"/>
    <cellStyle name="Звичайний 6" xfId="26" xr:uid="{00000000-0005-0000-0000-000037000000}"/>
    <cellStyle name="Звичайний 7" xfId="27" xr:uid="{00000000-0005-0000-0000-000038000000}"/>
    <cellStyle name="Звичайний 8" xfId="28" xr:uid="{00000000-0005-0000-0000-000039000000}"/>
    <cellStyle name="Звичайний 9" xfId="29" xr:uid="{00000000-0005-0000-0000-00003A000000}"/>
    <cellStyle name="Звичайний_Додаток _ 3 зм_ни 4575" xfId="30" xr:uid="{00000000-0005-0000-0000-00003B000000}"/>
    <cellStyle name="Зв'язана клітинка" xfId="42" xr:uid="{00000000-0005-0000-0000-00003C000000}"/>
    <cellStyle name="Итог" xfId="75" xr:uid="{00000000-0005-0000-0000-00003D000000}"/>
    <cellStyle name="Контрольна клітинка" xfId="31" xr:uid="{00000000-0005-0000-0000-00003E000000}"/>
    <cellStyle name="Контрольная ячейка" xfId="76" xr:uid="{00000000-0005-0000-0000-00003F000000}"/>
    <cellStyle name="Назва" xfId="32" xr:uid="{00000000-0005-0000-0000-000040000000}"/>
    <cellStyle name="Название" xfId="77" xr:uid="{00000000-0005-0000-0000-000041000000}"/>
    <cellStyle name="Нейтральный" xfId="78" xr:uid="{00000000-0005-0000-0000-000042000000}"/>
    <cellStyle name="Обычный 2" xfId="33" xr:uid="{00000000-0005-0000-0000-000043000000}"/>
    <cellStyle name="Обычный 2 2" xfId="34" xr:uid="{00000000-0005-0000-0000-000044000000}"/>
    <cellStyle name="Обычный 3" xfId="35" xr:uid="{00000000-0005-0000-0000-000045000000}"/>
    <cellStyle name="Обычный 4 3" xfId="87" xr:uid="{00000000-0005-0000-0000-000046000000}"/>
    <cellStyle name="Обычный_Plan_kapbud_2006 уточн." xfId="36" xr:uid="{00000000-0005-0000-0000-000047000000}"/>
    <cellStyle name="Обычный_дод.1" xfId="37" xr:uid="{00000000-0005-0000-0000-000048000000}"/>
    <cellStyle name="Обычный_Додаток 2 до бюджету 2000 року" xfId="38" xr:uid="{00000000-0005-0000-0000-000049000000}"/>
    <cellStyle name="Обычный_Додаток №1" xfId="39" xr:uid="{00000000-0005-0000-0000-00004A000000}"/>
    <cellStyle name="Обычный_КАПІТАЛЬНІ  ВКЛАДЕННЯ 2015 2 2" xfId="46" xr:uid="{00000000-0005-0000-0000-00004B000000}"/>
    <cellStyle name="Обычный_УЖКГ бюджет 2016 Після Ямчука 2" xfId="40" xr:uid="{00000000-0005-0000-0000-00004C000000}"/>
    <cellStyle name="Обычный_УКБ до бюджету 2016р ост" xfId="41" xr:uid="{00000000-0005-0000-0000-00004D000000}"/>
    <cellStyle name="Обычный_УКБ до бюджету 2016р ост 2" xfId="86" xr:uid="{00000000-0005-0000-0000-00004E000000}"/>
    <cellStyle name="Плохой" xfId="79" xr:uid="{00000000-0005-0000-0000-00004F000000}"/>
    <cellStyle name="Пояснение" xfId="80" xr:uid="{00000000-0005-0000-0000-000050000000}"/>
    <cellStyle name="Примечание" xfId="81" xr:uid="{00000000-0005-0000-0000-000051000000}"/>
    <cellStyle name="Связанная ячейка" xfId="82" xr:uid="{00000000-0005-0000-0000-000052000000}"/>
    <cellStyle name="Середній" xfId="43" xr:uid="{00000000-0005-0000-0000-000053000000}"/>
    <cellStyle name="Стиль 1" xfId="44" xr:uid="{00000000-0005-0000-0000-000054000000}"/>
    <cellStyle name="Текст попередження" xfId="45" xr:uid="{00000000-0005-0000-0000-000055000000}"/>
    <cellStyle name="Текст предупреждения" xfId="83" xr:uid="{00000000-0005-0000-0000-000056000000}"/>
    <cellStyle name="Хороший" xfId="84" xr:uid="{00000000-0005-0000-0000-000057000000}"/>
  </cellStyles>
  <dxfs count="0"/>
  <tableStyles count="0" defaultTableStyle="TableStyleMedium2" defaultPivotStyle="PivotStyleLight16"/>
  <colors>
    <mruColors>
      <color rgb="FFCCFFFF"/>
      <color rgb="FF66FFCC"/>
      <color rgb="FFFF99FF"/>
      <color rgb="FF99FF99"/>
      <color rgb="FFFFFFCC"/>
      <color rgb="FFFFFF99"/>
      <color rgb="FFFF9900"/>
      <color rgb="FFFB0592"/>
      <color rgb="FF66FFFF"/>
      <color rgb="FF29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DJET/2018/&#1056;&#1110;&#1096;&#1077;&#1085;&#1085;&#1103;%20&#1074;&#1110;&#1076;%2010.10.%202018%20&#1088;&#1086;&#1082;&#1091;%20&#8470;1/&#1044;&#1086;&#1076;&#1072;&#1090;&#1082;&#1080;%202018%20&#1078;&#1086;&#1074;&#1090;&#1077;&#1085;&#1100;%20&#1055;&#1030;&#1057;&#1051;&#1071;%20&#1052;&#1042;&#1050;%20&#1076;&#1083;&#1103;%20&#1052;&#1056;%20&#1054;&#1057;&#1058;&#1040;&#1058;&#1054;&#1063;&#1053;&#10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д1"/>
      <sheetName val="dod2"/>
      <sheetName val="dod3"/>
      <sheetName val="dod4"/>
      <sheetName val="dod5"/>
      <sheetName val="dod6"/>
      <sheetName val="dod7"/>
      <sheetName val="dod8"/>
      <sheetName val="dod3 Квітень+Комісії+Сесія"/>
      <sheetName val="РІЗНИЦЯ по додатковому ресурсу"/>
      <sheetName val="Різниця до чистого"/>
      <sheetName val="РІЗНИЦЯ ВСЬОГО"/>
      <sheetName val="dod3 до комісій"/>
      <sheetName val="РІЗНИЦЯ ПІСЛЯ КОМІСІЙ"/>
      <sheetName val="dod3 квітень чистий"/>
      <sheetName val="Аркуш2"/>
      <sheetName val="РІЗНИЦЯ ВСЯ ДО КВІТНЯ"/>
    </sheetNames>
    <sheetDataSet>
      <sheetData sheetId="0"/>
      <sheetData sheetId="1"/>
      <sheetData sheetId="2"/>
      <sheetData sheetId="3"/>
      <sheetData sheetId="4">
        <row r="7">
          <cell r="J7">
            <v>13135537.25</v>
          </cell>
        </row>
        <row r="21">
          <cell r="J21">
            <v>48055034</v>
          </cell>
        </row>
        <row r="36">
          <cell r="J36">
            <v>27691255</v>
          </cell>
        </row>
        <row r="54">
          <cell r="J54">
            <v>10806222.629999999</v>
          </cell>
        </row>
        <row r="74">
          <cell r="J74">
            <v>7961855</v>
          </cell>
        </row>
        <row r="89">
          <cell r="J89">
            <v>6353593.3200000003</v>
          </cell>
        </row>
        <row r="107">
          <cell r="J107">
            <v>219218036.88</v>
          </cell>
        </row>
        <row r="206">
          <cell r="J206">
            <v>134630394</v>
          </cell>
        </row>
        <row r="240">
          <cell r="J240">
            <v>182900</v>
          </cell>
        </row>
        <row r="247">
          <cell r="J247">
            <v>909350</v>
          </cell>
        </row>
        <row r="253">
          <cell r="J253">
            <v>300000</v>
          </cell>
        </row>
        <row r="260">
          <cell r="J260">
            <v>469244178.07999998</v>
          </cell>
        </row>
      </sheetData>
      <sheetData sheetId="5"/>
      <sheetData sheetId="6">
        <row r="18">
          <cell r="F18">
            <v>1271148.6600000001</v>
          </cell>
        </row>
      </sheetData>
      <sheetData sheetId="7"/>
      <sheetData sheetId="8">
        <row r="195">
          <cell r="P195">
            <v>3248792476.5799999</v>
          </cell>
        </row>
      </sheetData>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R159"/>
  <sheetViews>
    <sheetView showZeros="0" view="pageBreakPreview" topLeftCell="B102" zoomScaleSheetLayoutView="100" workbookViewId="0">
      <selection activeCell="D89" sqref="D89"/>
    </sheetView>
  </sheetViews>
  <sheetFormatPr defaultColWidth="6.85546875" defaultRowHeight="12.75" x14ac:dyDescent="0.2"/>
  <cols>
    <col min="1" max="1" width="10.140625" style="56" customWidth="1"/>
    <col min="2" max="2" width="40.42578125" style="56" customWidth="1"/>
    <col min="3" max="4" width="17.28515625" style="56" customWidth="1"/>
    <col min="5" max="5" width="15.7109375" style="56" customWidth="1"/>
    <col min="6" max="6" width="14.5703125" style="56" customWidth="1"/>
    <col min="7" max="11" width="7.85546875" style="56" customWidth="1"/>
    <col min="12" max="243" width="7.85546875" style="57" customWidth="1"/>
    <col min="244" max="252" width="7.85546875" style="56" customWidth="1"/>
    <col min="253" max="16384" width="6.85546875" style="57"/>
  </cols>
  <sheetData>
    <row r="1" spans="1:252" ht="15.75" x14ac:dyDescent="0.2">
      <c r="D1" s="566" t="s">
        <v>142</v>
      </c>
      <c r="E1" s="567"/>
      <c r="F1" s="567"/>
      <c r="G1" s="567"/>
    </row>
    <row r="2" spans="1:252" ht="15.75" x14ac:dyDescent="0.2">
      <c r="C2" s="58"/>
      <c r="D2" s="566" t="s">
        <v>292</v>
      </c>
      <c r="E2" s="568"/>
      <c r="F2" s="568"/>
      <c r="G2" s="568"/>
      <c r="L2" s="56"/>
    </row>
    <row r="3" spans="1:252" ht="6" customHeight="1" x14ac:dyDescent="0.2">
      <c r="C3" s="58"/>
      <c r="D3" s="566"/>
      <c r="E3" s="568"/>
      <c r="F3" s="568"/>
      <c r="G3" s="568"/>
      <c r="L3" s="56"/>
    </row>
    <row r="4" spans="1:252" ht="20.25" hidden="1" x14ac:dyDescent="0.2">
      <c r="A4" s="569"/>
      <c r="B4" s="570"/>
      <c r="C4" s="570"/>
      <c r="D4" s="570"/>
      <c r="E4" s="570"/>
      <c r="F4" s="59"/>
      <c r="G4" s="59"/>
    </row>
    <row r="5" spans="1:252" ht="25.5" customHeight="1" x14ac:dyDescent="0.2">
      <c r="A5" s="571" t="s">
        <v>298</v>
      </c>
      <c r="B5" s="572"/>
      <c r="C5" s="572"/>
      <c r="D5" s="572"/>
      <c r="E5" s="572"/>
      <c r="G5" s="59"/>
    </row>
    <row r="6" spans="1:252" ht="10.5" customHeight="1" x14ac:dyDescent="0.2">
      <c r="B6" s="60"/>
      <c r="C6" s="60"/>
      <c r="D6" s="60"/>
      <c r="E6" s="60"/>
      <c r="F6" s="60" t="s">
        <v>143</v>
      </c>
      <c r="G6" s="59"/>
    </row>
    <row r="7" spans="1:252" s="64" customFormat="1" ht="31.5" customHeight="1" x14ac:dyDescent="0.2">
      <c r="A7" s="565" t="s">
        <v>144</v>
      </c>
      <c r="B7" s="565" t="s">
        <v>145</v>
      </c>
      <c r="C7" s="565" t="s">
        <v>7</v>
      </c>
      <c r="D7" s="565" t="s">
        <v>36</v>
      </c>
      <c r="E7" s="565" t="s">
        <v>124</v>
      </c>
      <c r="F7" s="565"/>
      <c r="G7" s="62"/>
      <c r="H7" s="63"/>
      <c r="I7" s="63"/>
      <c r="J7" s="63"/>
      <c r="K7" s="63"/>
      <c r="IJ7" s="63"/>
      <c r="IK7" s="63"/>
      <c r="IL7" s="63"/>
      <c r="IM7" s="63"/>
      <c r="IN7" s="63"/>
      <c r="IO7" s="63"/>
      <c r="IP7" s="63"/>
      <c r="IQ7" s="63"/>
      <c r="IR7" s="63"/>
    </row>
    <row r="8" spans="1:252" s="68" customFormat="1" ht="25.5" x14ac:dyDescent="0.25">
      <c r="A8" s="565"/>
      <c r="B8" s="565"/>
      <c r="C8" s="565"/>
      <c r="D8" s="565"/>
      <c r="E8" s="61" t="s">
        <v>7</v>
      </c>
      <c r="F8" s="65" t="s">
        <v>146</v>
      </c>
      <c r="G8" s="66"/>
      <c r="H8" s="67"/>
      <c r="I8" s="67"/>
      <c r="J8" s="67"/>
      <c r="K8" s="67"/>
      <c r="IJ8" s="67"/>
      <c r="IK8" s="67"/>
      <c r="IL8" s="67"/>
      <c r="IM8" s="67"/>
      <c r="IN8" s="67"/>
      <c r="IO8" s="67"/>
      <c r="IP8" s="67"/>
      <c r="IQ8" s="67"/>
      <c r="IR8" s="67"/>
    </row>
    <row r="9" spans="1:252" s="68" customFormat="1" ht="15.75" x14ac:dyDescent="0.25">
      <c r="A9" s="61">
        <v>1</v>
      </c>
      <c r="B9" s="61">
        <v>2</v>
      </c>
      <c r="C9" s="61">
        <v>3</v>
      </c>
      <c r="D9" s="61">
        <v>4</v>
      </c>
      <c r="E9" s="61">
        <v>5</v>
      </c>
      <c r="F9" s="65">
        <v>6</v>
      </c>
      <c r="G9" s="66"/>
      <c r="H9" s="67"/>
      <c r="I9" s="67"/>
      <c r="J9" s="67"/>
      <c r="K9" s="67"/>
      <c r="IJ9" s="67"/>
      <c r="IK9" s="67"/>
      <c r="IL9" s="67"/>
      <c r="IM9" s="67"/>
      <c r="IN9" s="67"/>
      <c r="IO9" s="67"/>
      <c r="IP9" s="67"/>
      <c r="IQ9" s="67"/>
      <c r="IR9" s="67"/>
    </row>
    <row r="10" spans="1:252" s="74" customFormat="1" ht="14.25" x14ac:dyDescent="0.2">
      <c r="A10" s="69">
        <v>10000000</v>
      </c>
      <c r="B10" s="70" t="s">
        <v>147</v>
      </c>
      <c r="C10" s="71">
        <f>SUM(D10,E10)</f>
        <v>1493442674.7</v>
      </c>
      <c r="D10" s="71">
        <f>SUM(D11,D20,D21,D22,D23,D41)</f>
        <v>1492592674.7</v>
      </c>
      <c r="E10" s="71">
        <v>850000</v>
      </c>
      <c r="F10" s="71"/>
      <c r="G10" s="72"/>
      <c r="H10" s="73"/>
      <c r="I10" s="73"/>
      <c r="J10" s="73"/>
      <c r="K10" s="73"/>
      <c r="IJ10" s="73"/>
      <c r="IK10" s="73"/>
      <c r="IL10" s="73"/>
      <c r="IM10" s="73"/>
      <c r="IN10" s="73"/>
      <c r="IO10" s="73"/>
      <c r="IP10" s="73"/>
      <c r="IQ10" s="73"/>
      <c r="IR10" s="73"/>
    </row>
    <row r="11" spans="1:252" s="81" customFormat="1" ht="25.5" x14ac:dyDescent="0.2">
      <c r="A11" s="75">
        <v>11000000</v>
      </c>
      <c r="B11" s="76" t="s">
        <v>148</v>
      </c>
      <c r="C11" s="77">
        <f t="shared" ref="C11:C80" si="0">SUM(D11,E11)</f>
        <v>925022966.77999997</v>
      </c>
      <c r="D11" s="77">
        <f>SUM(D12,D18)</f>
        <v>925022966.77999997</v>
      </c>
      <c r="E11" s="78"/>
      <c r="F11" s="78"/>
      <c r="G11" s="79"/>
      <c r="H11" s="80"/>
      <c r="I11" s="80"/>
      <c r="J11" s="80"/>
      <c r="K11" s="80"/>
      <c r="IJ11" s="80"/>
      <c r="IK11" s="80"/>
      <c r="IL11" s="80"/>
      <c r="IM11" s="80"/>
      <c r="IN11" s="80"/>
      <c r="IO11" s="80"/>
      <c r="IP11" s="80"/>
      <c r="IQ11" s="80"/>
      <c r="IR11" s="80"/>
    </row>
    <row r="12" spans="1:252" s="81" customFormat="1" ht="14.25" x14ac:dyDescent="0.2">
      <c r="A12" s="69">
        <v>11010000</v>
      </c>
      <c r="B12" s="82" t="s">
        <v>149</v>
      </c>
      <c r="C12" s="77">
        <f t="shared" si="0"/>
        <v>923722966.77999997</v>
      </c>
      <c r="D12" s="83">
        <f>SUM(D13:D17)</f>
        <v>923722966.77999997</v>
      </c>
      <c r="E12" s="71"/>
      <c r="F12" s="71"/>
      <c r="G12" s="79"/>
      <c r="H12" s="80"/>
      <c r="I12" s="80"/>
      <c r="J12" s="80"/>
      <c r="K12" s="80"/>
      <c r="IJ12" s="80"/>
      <c r="IK12" s="80"/>
      <c r="IL12" s="80"/>
      <c r="IM12" s="80"/>
      <c r="IN12" s="80"/>
      <c r="IO12" s="80"/>
      <c r="IP12" s="80"/>
      <c r="IQ12" s="80"/>
      <c r="IR12" s="80"/>
    </row>
    <row r="13" spans="1:252" s="81" customFormat="1" ht="36" x14ac:dyDescent="0.2">
      <c r="A13" s="84">
        <v>11010100</v>
      </c>
      <c r="B13" s="85" t="s">
        <v>150</v>
      </c>
      <c r="C13" s="71">
        <f t="shared" si="0"/>
        <v>792122966.77999997</v>
      </c>
      <c r="D13" s="86">
        <v>792122966.77999997</v>
      </c>
      <c r="E13" s="86"/>
      <c r="F13" s="86"/>
      <c r="G13" s="79"/>
      <c r="H13" s="80"/>
      <c r="I13" s="80"/>
      <c r="J13" s="80"/>
      <c r="K13" s="80"/>
      <c r="IJ13" s="80"/>
      <c r="IK13" s="80"/>
      <c r="IL13" s="80"/>
      <c r="IM13" s="80"/>
      <c r="IN13" s="80"/>
      <c r="IO13" s="80"/>
      <c r="IP13" s="80"/>
      <c r="IQ13" s="80"/>
      <c r="IR13" s="80"/>
    </row>
    <row r="14" spans="1:252" s="81" customFormat="1" ht="60" x14ac:dyDescent="0.2">
      <c r="A14" s="84">
        <v>11010200</v>
      </c>
      <c r="B14" s="85" t="s">
        <v>151</v>
      </c>
      <c r="C14" s="71">
        <f t="shared" si="0"/>
        <v>109200000</v>
      </c>
      <c r="D14" s="86">
        <v>109200000</v>
      </c>
      <c r="E14" s="86"/>
      <c r="F14" s="86"/>
      <c r="G14" s="79"/>
      <c r="H14" s="80"/>
      <c r="I14" s="80"/>
      <c r="J14" s="80"/>
      <c r="K14" s="80"/>
      <c r="IJ14" s="80"/>
      <c r="IK14" s="80"/>
      <c r="IL14" s="80"/>
      <c r="IM14" s="80"/>
      <c r="IN14" s="80"/>
      <c r="IO14" s="80"/>
      <c r="IP14" s="80"/>
      <c r="IQ14" s="80"/>
      <c r="IR14" s="80"/>
    </row>
    <row r="15" spans="1:252" s="81" customFormat="1" ht="36" x14ac:dyDescent="0.2">
      <c r="A15" s="84">
        <v>11010400</v>
      </c>
      <c r="B15" s="85" t="s">
        <v>152</v>
      </c>
      <c r="C15" s="71">
        <f t="shared" si="0"/>
        <v>7800000</v>
      </c>
      <c r="D15" s="86">
        <v>7800000</v>
      </c>
      <c r="E15" s="86"/>
      <c r="F15" s="86"/>
      <c r="G15" s="79"/>
      <c r="H15" s="80"/>
      <c r="I15" s="80"/>
      <c r="J15" s="80"/>
      <c r="K15" s="80"/>
      <c r="IJ15" s="80"/>
      <c r="IK15" s="80"/>
      <c r="IL15" s="80"/>
      <c r="IM15" s="80"/>
      <c r="IN15" s="80"/>
      <c r="IO15" s="80"/>
      <c r="IP15" s="80"/>
      <c r="IQ15" s="80"/>
      <c r="IR15" s="80"/>
    </row>
    <row r="16" spans="1:252" s="67" customFormat="1" ht="36" x14ac:dyDescent="0.25">
      <c r="A16" s="84">
        <v>11010500</v>
      </c>
      <c r="B16" s="85" t="s">
        <v>153</v>
      </c>
      <c r="C16" s="71">
        <f t="shared" si="0"/>
        <v>14100000</v>
      </c>
      <c r="D16" s="86">
        <v>14100000</v>
      </c>
      <c r="E16" s="86"/>
      <c r="F16" s="86"/>
      <c r="G16" s="66"/>
    </row>
    <row r="17" spans="1:252" s="67" customFormat="1" ht="60" x14ac:dyDescent="0.25">
      <c r="A17" s="84">
        <v>11010900</v>
      </c>
      <c r="B17" s="85" t="s">
        <v>719</v>
      </c>
      <c r="C17" s="71">
        <v>500000</v>
      </c>
      <c r="D17" s="86">
        <v>500000</v>
      </c>
      <c r="E17" s="86"/>
      <c r="F17" s="86"/>
      <c r="G17" s="66"/>
    </row>
    <row r="18" spans="1:252" s="74" customFormat="1" ht="15" x14ac:dyDescent="0.2">
      <c r="A18" s="75">
        <v>11020000</v>
      </c>
      <c r="B18" s="82" t="s">
        <v>154</v>
      </c>
      <c r="C18" s="71">
        <f t="shared" si="0"/>
        <v>1300000</v>
      </c>
      <c r="D18" s="87">
        <f>SUM(D19)</f>
        <v>1300000</v>
      </c>
      <c r="E18" s="88"/>
      <c r="F18" s="88"/>
      <c r="G18" s="72"/>
      <c r="H18" s="73"/>
      <c r="I18" s="73"/>
      <c r="J18" s="73"/>
      <c r="K18" s="73"/>
      <c r="IJ18" s="73"/>
      <c r="IK18" s="73"/>
      <c r="IL18" s="73"/>
      <c r="IM18" s="73"/>
      <c r="IN18" s="73"/>
      <c r="IO18" s="73"/>
      <c r="IP18" s="73"/>
      <c r="IQ18" s="73"/>
      <c r="IR18" s="73"/>
    </row>
    <row r="19" spans="1:252" s="68" customFormat="1" ht="24" x14ac:dyDescent="0.25">
      <c r="A19" s="84">
        <v>11020200</v>
      </c>
      <c r="B19" s="89" t="s">
        <v>155</v>
      </c>
      <c r="C19" s="71">
        <f t="shared" si="0"/>
        <v>1300000</v>
      </c>
      <c r="D19" s="78">
        <v>1300000</v>
      </c>
      <c r="E19" s="90"/>
      <c r="F19" s="78"/>
      <c r="G19" s="66"/>
      <c r="H19" s="67"/>
      <c r="I19" s="67"/>
      <c r="J19" s="67"/>
      <c r="K19" s="67"/>
      <c r="IJ19" s="67"/>
      <c r="IK19" s="67"/>
      <c r="IL19" s="67"/>
      <c r="IM19" s="67"/>
      <c r="IN19" s="67"/>
      <c r="IO19" s="67"/>
      <c r="IP19" s="67"/>
      <c r="IQ19" s="67"/>
      <c r="IR19" s="67"/>
    </row>
    <row r="20" spans="1:252" s="94" customFormat="1" ht="26.25" customHeight="1" x14ac:dyDescent="0.2">
      <c r="A20" s="65">
        <v>14021900</v>
      </c>
      <c r="B20" s="76" t="s">
        <v>288</v>
      </c>
      <c r="C20" s="77">
        <f>SUM(D20,E20)</f>
        <v>15165000</v>
      </c>
      <c r="D20" s="77">
        <v>15165000</v>
      </c>
      <c r="E20" s="91"/>
      <c r="F20" s="91"/>
      <c r="G20" s="92"/>
      <c r="H20" s="93"/>
      <c r="I20" s="93"/>
      <c r="J20" s="93"/>
      <c r="K20" s="93"/>
      <c r="IJ20" s="93"/>
      <c r="IK20" s="93"/>
      <c r="IL20" s="93"/>
      <c r="IM20" s="93"/>
      <c r="IN20" s="93"/>
      <c r="IO20" s="93"/>
      <c r="IP20" s="93"/>
      <c r="IQ20" s="93"/>
      <c r="IR20" s="93"/>
    </row>
    <row r="21" spans="1:252" s="94" customFormat="1" ht="22.5" customHeight="1" x14ac:dyDescent="0.2">
      <c r="A21" s="65">
        <v>14031900</v>
      </c>
      <c r="B21" s="76" t="s">
        <v>289</v>
      </c>
      <c r="C21" s="77">
        <v>58935000</v>
      </c>
      <c r="D21" s="77">
        <v>58935000</v>
      </c>
      <c r="E21" s="91"/>
      <c r="F21" s="91"/>
      <c r="G21" s="92"/>
      <c r="H21" s="93"/>
      <c r="I21" s="93"/>
      <c r="J21" s="93"/>
      <c r="K21" s="93"/>
      <c r="IJ21" s="93"/>
      <c r="IK21" s="93"/>
      <c r="IL21" s="93"/>
      <c r="IM21" s="93"/>
      <c r="IN21" s="93"/>
      <c r="IO21" s="93"/>
      <c r="IP21" s="93"/>
      <c r="IQ21" s="93"/>
      <c r="IR21" s="93"/>
    </row>
    <row r="22" spans="1:252" s="94" customFormat="1" ht="39.75" customHeight="1" x14ac:dyDescent="0.2">
      <c r="A22" s="65">
        <v>14040000</v>
      </c>
      <c r="B22" s="76" t="s">
        <v>156</v>
      </c>
      <c r="C22" s="77">
        <v>79250000</v>
      </c>
      <c r="D22" s="77">
        <v>79250000</v>
      </c>
      <c r="E22" s="91"/>
      <c r="F22" s="91"/>
      <c r="G22" s="92"/>
      <c r="H22" s="93"/>
      <c r="I22" s="93"/>
      <c r="J22" s="93"/>
      <c r="K22" s="93"/>
      <c r="IJ22" s="93"/>
      <c r="IK22" s="93"/>
      <c r="IL22" s="93"/>
      <c r="IM22" s="93"/>
      <c r="IN22" s="93"/>
      <c r="IO22" s="93"/>
      <c r="IP22" s="93"/>
      <c r="IQ22" s="93"/>
      <c r="IR22" s="93"/>
    </row>
    <row r="23" spans="1:252" s="68" customFormat="1" ht="15" x14ac:dyDescent="0.25">
      <c r="A23" s="69">
        <v>18000000</v>
      </c>
      <c r="B23" s="95" t="s">
        <v>157</v>
      </c>
      <c r="C23" s="71">
        <f t="shared" si="0"/>
        <v>414219707.92000002</v>
      </c>
      <c r="D23" s="71">
        <f>SUM(D24,D35,D38)</f>
        <v>414219707.92000002</v>
      </c>
      <c r="E23" s="71"/>
      <c r="F23" s="71"/>
      <c r="G23" s="66"/>
      <c r="H23" s="67"/>
      <c r="I23" s="67"/>
      <c r="J23" s="67"/>
      <c r="K23" s="67"/>
      <c r="IJ23" s="67"/>
      <c r="IK23" s="67"/>
      <c r="IL23" s="67"/>
      <c r="IM23" s="67"/>
      <c r="IN23" s="67"/>
      <c r="IO23" s="67"/>
      <c r="IP23" s="67"/>
      <c r="IQ23" s="67"/>
      <c r="IR23" s="67"/>
    </row>
    <row r="24" spans="1:252" s="68" customFormat="1" ht="15" x14ac:dyDescent="0.25">
      <c r="A24" s="75">
        <v>18010000</v>
      </c>
      <c r="B24" s="96" t="s">
        <v>158</v>
      </c>
      <c r="C24" s="71">
        <f t="shared" si="0"/>
        <v>169044707.92000002</v>
      </c>
      <c r="D24" s="97">
        <f>SUM(D25:D34)</f>
        <v>169044707.92000002</v>
      </c>
      <c r="E24" s="78"/>
      <c r="F24" s="78"/>
      <c r="G24" s="66"/>
      <c r="H24" s="67"/>
      <c r="I24" s="67"/>
      <c r="J24" s="67"/>
      <c r="K24" s="67"/>
      <c r="IJ24" s="67"/>
      <c r="IK24" s="67"/>
      <c r="IL24" s="67"/>
      <c r="IM24" s="67"/>
      <c r="IN24" s="67"/>
      <c r="IO24" s="67"/>
      <c r="IP24" s="67"/>
      <c r="IQ24" s="67"/>
      <c r="IR24" s="67"/>
    </row>
    <row r="25" spans="1:252" s="68" customFormat="1" ht="36" x14ac:dyDescent="0.25">
      <c r="A25" s="75">
        <v>18010100</v>
      </c>
      <c r="B25" s="98" t="s">
        <v>159</v>
      </c>
      <c r="C25" s="71">
        <f t="shared" si="0"/>
        <v>175200</v>
      </c>
      <c r="D25" s="78">
        <v>175200</v>
      </c>
      <c r="E25" s="78"/>
      <c r="F25" s="78"/>
      <c r="G25" s="66"/>
      <c r="H25" s="67"/>
      <c r="I25" s="67"/>
      <c r="J25" s="67"/>
      <c r="K25" s="67"/>
      <c r="IJ25" s="67"/>
      <c r="IK25" s="67"/>
      <c r="IL25" s="67"/>
      <c r="IM25" s="67"/>
      <c r="IN25" s="67"/>
      <c r="IO25" s="67"/>
      <c r="IP25" s="67"/>
      <c r="IQ25" s="67"/>
      <c r="IR25" s="67"/>
    </row>
    <row r="26" spans="1:252" s="68" customFormat="1" ht="36" x14ac:dyDescent="0.25">
      <c r="A26" s="75">
        <v>18010200</v>
      </c>
      <c r="B26" s="98" t="s">
        <v>160</v>
      </c>
      <c r="C26" s="71">
        <f>D26</f>
        <v>9416420</v>
      </c>
      <c r="D26" s="78">
        <v>9416420</v>
      </c>
      <c r="E26" s="78"/>
      <c r="F26" s="78"/>
      <c r="G26" s="66"/>
      <c r="H26" s="67"/>
      <c r="I26" s="67"/>
      <c r="J26" s="67"/>
      <c r="K26" s="67"/>
      <c r="IJ26" s="67"/>
      <c r="IK26" s="67"/>
      <c r="IL26" s="67"/>
      <c r="IM26" s="67"/>
      <c r="IN26" s="67"/>
      <c r="IO26" s="67"/>
      <c r="IP26" s="67"/>
      <c r="IQ26" s="67"/>
      <c r="IR26" s="67"/>
    </row>
    <row r="27" spans="1:252" s="68" customFormat="1" ht="36" x14ac:dyDescent="0.25">
      <c r="A27" s="75">
        <v>18010300</v>
      </c>
      <c r="B27" s="98" t="s">
        <v>161</v>
      </c>
      <c r="C27" s="71">
        <f t="shared" si="0"/>
        <v>650500</v>
      </c>
      <c r="D27" s="78">
        <v>650500</v>
      </c>
      <c r="E27" s="78"/>
      <c r="F27" s="78"/>
      <c r="G27" s="66"/>
      <c r="H27" s="67"/>
      <c r="I27" s="67"/>
      <c r="J27" s="67"/>
      <c r="K27" s="67"/>
      <c r="IJ27" s="67"/>
      <c r="IK27" s="67"/>
      <c r="IL27" s="67"/>
      <c r="IM27" s="67"/>
      <c r="IN27" s="67"/>
      <c r="IO27" s="67"/>
      <c r="IP27" s="67"/>
      <c r="IQ27" s="67"/>
      <c r="IR27" s="67"/>
    </row>
    <row r="28" spans="1:252" s="68" customFormat="1" ht="36" x14ac:dyDescent="0.25">
      <c r="A28" s="75">
        <v>18010400</v>
      </c>
      <c r="B28" s="98" t="s">
        <v>162</v>
      </c>
      <c r="C28" s="71">
        <f t="shared" si="0"/>
        <v>7944300</v>
      </c>
      <c r="D28" s="78">
        <v>7944300</v>
      </c>
      <c r="E28" s="78"/>
      <c r="F28" s="78"/>
      <c r="G28" s="66"/>
      <c r="H28" s="67"/>
      <c r="I28" s="67"/>
      <c r="J28" s="67"/>
      <c r="K28" s="67"/>
      <c r="IJ28" s="67"/>
      <c r="IK28" s="67"/>
      <c r="IL28" s="67"/>
      <c r="IM28" s="67"/>
      <c r="IN28" s="67"/>
      <c r="IO28" s="67"/>
      <c r="IP28" s="67"/>
      <c r="IQ28" s="67"/>
      <c r="IR28" s="67"/>
    </row>
    <row r="29" spans="1:252" s="68" customFormat="1" ht="15" x14ac:dyDescent="0.25">
      <c r="A29" s="75">
        <v>18010500</v>
      </c>
      <c r="B29" s="99" t="s">
        <v>163</v>
      </c>
      <c r="C29" s="71">
        <f t="shared" si="0"/>
        <v>34500000</v>
      </c>
      <c r="D29" s="78">
        <v>34500000</v>
      </c>
      <c r="E29" s="78"/>
      <c r="F29" s="78"/>
      <c r="G29" s="66"/>
      <c r="H29" s="67"/>
      <c r="I29" s="67"/>
      <c r="J29" s="67"/>
      <c r="K29" s="67"/>
      <c r="IJ29" s="67"/>
      <c r="IK29" s="67"/>
      <c r="IL29" s="67"/>
      <c r="IM29" s="67"/>
      <c r="IN29" s="67"/>
      <c r="IO29" s="67"/>
      <c r="IP29" s="67"/>
      <c r="IQ29" s="67"/>
      <c r="IR29" s="67"/>
    </row>
    <row r="30" spans="1:252" s="68" customFormat="1" ht="15" x14ac:dyDescent="0.25">
      <c r="A30" s="75">
        <v>18010600</v>
      </c>
      <c r="B30" s="98" t="s">
        <v>164</v>
      </c>
      <c r="C30" s="71">
        <f t="shared" si="0"/>
        <v>85000000</v>
      </c>
      <c r="D30" s="78">
        <v>85000000</v>
      </c>
      <c r="E30" s="78"/>
      <c r="F30" s="78"/>
      <c r="G30" s="66"/>
      <c r="H30" s="67"/>
      <c r="I30" s="67"/>
      <c r="J30" s="67"/>
      <c r="K30" s="67"/>
      <c r="IJ30" s="67"/>
      <c r="IK30" s="67"/>
      <c r="IL30" s="67"/>
      <c r="IM30" s="67"/>
      <c r="IN30" s="67"/>
      <c r="IO30" s="67"/>
      <c r="IP30" s="67"/>
      <c r="IQ30" s="67"/>
      <c r="IR30" s="67"/>
    </row>
    <row r="31" spans="1:252" s="68" customFormat="1" ht="15" x14ac:dyDescent="0.25">
      <c r="A31" s="75">
        <v>18010700</v>
      </c>
      <c r="B31" s="98" t="s">
        <v>165</v>
      </c>
      <c r="C31" s="71">
        <f t="shared" si="0"/>
        <v>2560000</v>
      </c>
      <c r="D31" s="78">
        <v>2560000</v>
      </c>
      <c r="E31" s="78"/>
      <c r="F31" s="78"/>
      <c r="G31" s="66"/>
      <c r="H31" s="67"/>
      <c r="I31" s="67"/>
      <c r="J31" s="67"/>
      <c r="K31" s="67"/>
      <c r="IJ31" s="67"/>
      <c r="IK31" s="67"/>
      <c r="IL31" s="67"/>
      <c r="IM31" s="67"/>
      <c r="IN31" s="67"/>
      <c r="IO31" s="67"/>
      <c r="IP31" s="67"/>
      <c r="IQ31" s="67"/>
      <c r="IR31" s="67"/>
    </row>
    <row r="32" spans="1:252" s="68" customFormat="1" ht="15" x14ac:dyDescent="0.25">
      <c r="A32" s="75">
        <v>18010900</v>
      </c>
      <c r="B32" s="98" t="s">
        <v>166</v>
      </c>
      <c r="C32" s="71">
        <f t="shared" si="0"/>
        <v>24298287.920000002</v>
      </c>
      <c r="D32" s="78">
        <v>24298287.920000002</v>
      </c>
      <c r="E32" s="78"/>
      <c r="F32" s="78"/>
      <c r="G32" s="66"/>
      <c r="H32" s="67"/>
      <c r="I32" s="67"/>
      <c r="J32" s="67"/>
      <c r="K32" s="67"/>
      <c r="IJ32" s="67"/>
      <c r="IK32" s="67"/>
      <c r="IL32" s="67"/>
      <c r="IM32" s="67"/>
      <c r="IN32" s="67"/>
      <c r="IO32" s="67"/>
      <c r="IP32" s="67"/>
      <c r="IQ32" s="67"/>
      <c r="IR32" s="67"/>
    </row>
    <row r="33" spans="1:252" s="74" customFormat="1" ht="15" x14ac:dyDescent="0.2">
      <c r="A33" s="75">
        <v>18011000</v>
      </c>
      <c r="B33" s="98" t="s">
        <v>167</v>
      </c>
      <c r="C33" s="71">
        <f t="shared" si="0"/>
        <v>2800000</v>
      </c>
      <c r="D33" s="78">
        <v>2800000</v>
      </c>
      <c r="E33" s="78"/>
      <c r="F33" s="78"/>
      <c r="G33" s="72"/>
      <c r="H33" s="73"/>
      <c r="I33" s="73"/>
      <c r="J33" s="73"/>
      <c r="K33" s="73"/>
      <c r="IJ33" s="73"/>
      <c r="IK33" s="73"/>
      <c r="IL33" s="73"/>
      <c r="IM33" s="73"/>
      <c r="IN33" s="73"/>
      <c r="IO33" s="73"/>
      <c r="IP33" s="73"/>
      <c r="IQ33" s="73"/>
      <c r="IR33" s="73"/>
    </row>
    <row r="34" spans="1:252" s="68" customFormat="1" ht="15" x14ac:dyDescent="0.25">
      <c r="A34" s="75">
        <v>18011100</v>
      </c>
      <c r="B34" s="98" t="s">
        <v>168</v>
      </c>
      <c r="C34" s="71">
        <f t="shared" si="0"/>
        <v>1700000</v>
      </c>
      <c r="D34" s="78">
        <v>1700000</v>
      </c>
      <c r="E34" s="78"/>
      <c r="F34" s="78"/>
      <c r="G34" s="66"/>
      <c r="H34" s="67"/>
      <c r="I34" s="67"/>
      <c r="J34" s="67"/>
      <c r="K34" s="67"/>
      <c r="IJ34" s="67"/>
      <c r="IK34" s="67"/>
      <c r="IL34" s="67"/>
      <c r="IM34" s="67"/>
      <c r="IN34" s="67"/>
      <c r="IO34" s="67"/>
      <c r="IP34" s="67"/>
      <c r="IQ34" s="67"/>
      <c r="IR34" s="67"/>
    </row>
    <row r="35" spans="1:252" s="68" customFormat="1" ht="15" x14ac:dyDescent="0.25">
      <c r="A35" s="69">
        <v>1803000</v>
      </c>
      <c r="B35" s="100" t="s">
        <v>169</v>
      </c>
      <c r="C35" s="71">
        <f t="shared" si="0"/>
        <v>175000</v>
      </c>
      <c r="D35" s="71">
        <f>SUM(D36:D37)</f>
        <v>175000</v>
      </c>
      <c r="E35" s="71"/>
      <c r="F35" s="71"/>
      <c r="G35" s="66"/>
      <c r="H35" s="67"/>
      <c r="I35" s="67"/>
      <c r="J35" s="67"/>
      <c r="K35" s="67"/>
      <c r="IJ35" s="67"/>
      <c r="IK35" s="67"/>
      <c r="IL35" s="67"/>
      <c r="IM35" s="67"/>
      <c r="IN35" s="67"/>
      <c r="IO35" s="67"/>
      <c r="IP35" s="67"/>
      <c r="IQ35" s="67"/>
      <c r="IR35" s="67"/>
    </row>
    <row r="36" spans="1:252" s="68" customFormat="1" ht="15" x14ac:dyDescent="0.25">
      <c r="A36" s="75">
        <v>18030100</v>
      </c>
      <c r="B36" s="98" t="s">
        <v>170</v>
      </c>
      <c r="C36" s="71">
        <f t="shared" si="0"/>
        <v>118000</v>
      </c>
      <c r="D36" s="78">
        <v>118000</v>
      </c>
      <c r="E36" s="78"/>
      <c r="F36" s="78"/>
      <c r="G36" s="66"/>
      <c r="H36" s="67"/>
      <c r="I36" s="67"/>
      <c r="J36" s="67"/>
      <c r="K36" s="67"/>
      <c r="IJ36" s="67"/>
      <c r="IK36" s="67"/>
      <c r="IL36" s="67"/>
      <c r="IM36" s="67"/>
      <c r="IN36" s="67"/>
      <c r="IO36" s="67"/>
      <c r="IP36" s="67"/>
      <c r="IQ36" s="67"/>
      <c r="IR36" s="67"/>
    </row>
    <row r="37" spans="1:252" s="68" customFormat="1" ht="15" x14ac:dyDescent="0.25">
      <c r="A37" s="75">
        <v>18030200</v>
      </c>
      <c r="B37" s="98" t="s">
        <v>171</v>
      </c>
      <c r="C37" s="71">
        <f t="shared" si="0"/>
        <v>57000</v>
      </c>
      <c r="D37" s="78">
        <v>57000</v>
      </c>
      <c r="E37" s="78"/>
      <c r="F37" s="78"/>
      <c r="G37" s="66"/>
      <c r="H37" s="67"/>
      <c r="I37" s="67"/>
      <c r="J37" s="67"/>
      <c r="K37" s="67"/>
      <c r="IJ37" s="67"/>
      <c r="IK37" s="67"/>
      <c r="IL37" s="67"/>
      <c r="IM37" s="67"/>
      <c r="IN37" s="67"/>
      <c r="IO37" s="67"/>
      <c r="IP37" s="67"/>
      <c r="IQ37" s="67"/>
      <c r="IR37" s="67"/>
    </row>
    <row r="38" spans="1:252" s="68" customFormat="1" ht="15" x14ac:dyDescent="0.25">
      <c r="A38" s="69">
        <v>18050000</v>
      </c>
      <c r="B38" s="96" t="s">
        <v>172</v>
      </c>
      <c r="C38" s="71">
        <f t="shared" si="0"/>
        <v>245000000</v>
      </c>
      <c r="D38" s="71">
        <f>SUM(D39:D40)</f>
        <v>245000000</v>
      </c>
      <c r="E38" s="78"/>
      <c r="F38" s="78"/>
      <c r="G38" s="66"/>
      <c r="H38" s="67"/>
      <c r="I38" s="67"/>
      <c r="J38" s="67"/>
      <c r="K38" s="67"/>
      <c r="IJ38" s="67"/>
      <c r="IK38" s="67"/>
      <c r="IL38" s="67"/>
      <c r="IM38" s="67"/>
      <c r="IN38" s="67"/>
      <c r="IO38" s="67"/>
      <c r="IP38" s="67"/>
      <c r="IQ38" s="67"/>
      <c r="IR38" s="67"/>
    </row>
    <row r="39" spans="1:252" s="68" customFormat="1" ht="17.25" customHeight="1" x14ac:dyDescent="0.25">
      <c r="A39" s="75">
        <v>18050300</v>
      </c>
      <c r="B39" s="85" t="s">
        <v>173</v>
      </c>
      <c r="C39" s="77">
        <f t="shared" si="0"/>
        <v>59980000</v>
      </c>
      <c r="D39" s="78">
        <v>59980000</v>
      </c>
      <c r="E39" s="78"/>
      <c r="F39" s="78"/>
      <c r="G39" s="66"/>
      <c r="H39" s="67"/>
      <c r="I39" s="67"/>
      <c r="J39" s="67"/>
      <c r="K39" s="67"/>
      <c r="IJ39" s="67"/>
      <c r="IK39" s="67"/>
      <c r="IL39" s="67"/>
      <c r="IM39" s="67"/>
      <c r="IN39" s="67"/>
      <c r="IO39" s="67"/>
      <c r="IP39" s="67"/>
      <c r="IQ39" s="67"/>
      <c r="IR39" s="67"/>
    </row>
    <row r="40" spans="1:252" s="74" customFormat="1" ht="15" x14ac:dyDescent="0.2">
      <c r="A40" s="75">
        <v>18050400</v>
      </c>
      <c r="B40" s="98" t="s">
        <v>174</v>
      </c>
      <c r="C40" s="77">
        <f t="shared" si="0"/>
        <v>185020000</v>
      </c>
      <c r="D40" s="78">
        <v>185020000</v>
      </c>
      <c r="E40" s="78"/>
      <c r="F40" s="78"/>
      <c r="G40" s="72"/>
      <c r="H40" s="73"/>
      <c r="I40" s="73"/>
      <c r="J40" s="73"/>
      <c r="K40" s="73"/>
      <c r="IJ40" s="73"/>
      <c r="IK40" s="73"/>
      <c r="IL40" s="73"/>
      <c r="IM40" s="73"/>
      <c r="IN40" s="73"/>
      <c r="IO40" s="73"/>
      <c r="IP40" s="73"/>
      <c r="IQ40" s="73"/>
      <c r="IR40" s="73"/>
    </row>
    <row r="41" spans="1:252" s="68" customFormat="1" ht="15" x14ac:dyDescent="0.25">
      <c r="A41" s="69">
        <v>1901000</v>
      </c>
      <c r="B41" s="95" t="s">
        <v>175</v>
      </c>
      <c r="C41" s="71">
        <f t="shared" si="0"/>
        <v>850000</v>
      </c>
      <c r="D41" s="71">
        <f>SUM(D42:D44)</f>
        <v>0</v>
      </c>
      <c r="E41" s="71">
        <f>SUM(E42:E44)</f>
        <v>850000</v>
      </c>
      <c r="F41" s="71"/>
      <c r="G41" s="66"/>
      <c r="H41" s="67"/>
      <c r="I41" s="67"/>
      <c r="J41" s="67"/>
      <c r="K41" s="67"/>
      <c r="IJ41" s="67"/>
      <c r="IK41" s="67"/>
      <c r="IL41" s="67"/>
      <c r="IM41" s="67"/>
      <c r="IN41" s="67"/>
      <c r="IO41" s="67"/>
      <c r="IP41" s="67"/>
      <c r="IQ41" s="67"/>
      <c r="IR41" s="67"/>
    </row>
    <row r="42" spans="1:252" s="68" customFormat="1" ht="36" x14ac:dyDescent="0.25">
      <c r="A42" s="75">
        <v>19010100</v>
      </c>
      <c r="B42" s="85" t="s">
        <v>176</v>
      </c>
      <c r="C42" s="71">
        <f t="shared" si="0"/>
        <v>287700</v>
      </c>
      <c r="D42" s="78"/>
      <c r="E42" s="78">
        <v>287700</v>
      </c>
      <c r="F42" s="78"/>
      <c r="G42" s="66"/>
      <c r="H42" s="67"/>
      <c r="I42" s="67"/>
      <c r="J42" s="67"/>
      <c r="K42" s="67"/>
      <c r="IJ42" s="67"/>
      <c r="IK42" s="67"/>
      <c r="IL42" s="67"/>
      <c r="IM42" s="67"/>
      <c r="IN42" s="67"/>
      <c r="IO42" s="67"/>
      <c r="IP42" s="67"/>
      <c r="IQ42" s="67"/>
      <c r="IR42" s="67"/>
    </row>
    <row r="43" spans="1:252" s="94" customFormat="1" ht="24" x14ac:dyDescent="0.2">
      <c r="A43" s="75">
        <v>19010200</v>
      </c>
      <c r="B43" s="85" t="s">
        <v>177</v>
      </c>
      <c r="C43" s="71">
        <f t="shared" si="0"/>
        <v>81300</v>
      </c>
      <c r="D43" s="78"/>
      <c r="E43" s="78">
        <v>81300</v>
      </c>
      <c r="F43" s="78"/>
      <c r="G43" s="92"/>
      <c r="H43" s="93"/>
      <c r="I43" s="93"/>
      <c r="J43" s="93"/>
      <c r="K43" s="93"/>
      <c r="IJ43" s="93"/>
      <c r="IK43" s="93"/>
      <c r="IL43" s="93"/>
      <c r="IM43" s="93"/>
      <c r="IN43" s="93"/>
      <c r="IO43" s="93"/>
      <c r="IP43" s="93"/>
      <c r="IQ43" s="93"/>
      <c r="IR43" s="93"/>
    </row>
    <row r="44" spans="1:252" s="68" customFormat="1" ht="36" x14ac:dyDescent="0.25">
      <c r="A44" s="75">
        <v>19010300</v>
      </c>
      <c r="B44" s="85" t="s">
        <v>178</v>
      </c>
      <c r="C44" s="71">
        <f t="shared" si="0"/>
        <v>481000</v>
      </c>
      <c r="D44" s="78"/>
      <c r="E44" s="78">
        <v>481000</v>
      </c>
      <c r="F44" s="78"/>
      <c r="G44" s="66"/>
      <c r="H44" s="67"/>
      <c r="I44" s="67"/>
      <c r="J44" s="67"/>
      <c r="K44" s="67"/>
      <c r="IJ44" s="67"/>
      <c r="IK44" s="67"/>
      <c r="IL44" s="67"/>
      <c r="IM44" s="67"/>
      <c r="IN44" s="67"/>
      <c r="IO44" s="67"/>
      <c r="IP44" s="67"/>
      <c r="IQ44" s="67"/>
      <c r="IR44" s="67"/>
    </row>
    <row r="45" spans="1:252" s="68" customFormat="1" ht="15" x14ac:dyDescent="0.25">
      <c r="A45" s="69">
        <v>20000000</v>
      </c>
      <c r="B45" s="70" t="s">
        <v>179</v>
      </c>
      <c r="C45" s="71">
        <f t="shared" si="0"/>
        <v>208773367</v>
      </c>
      <c r="D45" s="77">
        <f>SUM(D46,D47,D48,D51,D52,D61,D65)</f>
        <v>72060000</v>
      </c>
      <c r="E45" s="77">
        <f>SUM(E46,E52,E61,E57,E65)</f>
        <v>136713367</v>
      </c>
      <c r="F45" s="77">
        <f>SUM(F46,F52,F61,F57)</f>
        <v>22000000</v>
      </c>
      <c r="G45" s="66"/>
      <c r="H45" s="67"/>
      <c r="I45" s="67"/>
      <c r="J45" s="67"/>
      <c r="K45" s="67"/>
      <c r="IJ45" s="67"/>
      <c r="IK45" s="67"/>
      <c r="IL45" s="67"/>
      <c r="IM45" s="67"/>
      <c r="IN45" s="67"/>
      <c r="IO45" s="67"/>
      <c r="IP45" s="67"/>
      <c r="IQ45" s="67"/>
      <c r="IR45" s="67"/>
    </row>
    <row r="46" spans="1:252" s="68" customFormat="1" ht="41.25" customHeight="1" x14ac:dyDescent="0.25">
      <c r="A46" s="75">
        <v>21010300</v>
      </c>
      <c r="B46" s="101" t="s">
        <v>180</v>
      </c>
      <c r="C46" s="71">
        <f t="shared" si="0"/>
        <v>900000</v>
      </c>
      <c r="D46" s="78">
        <v>900000</v>
      </c>
      <c r="E46" s="78"/>
      <c r="F46" s="78"/>
      <c r="G46" s="66"/>
      <c r="H46" s="67"/>
      <c r="I46" s="67"/>
      <c r="J46" s="67"/>
      <c r="K46" s="67"/>
      <c r="IJ46" s="67"/>
      <c r="IK46" s="67"/>
      <c r="IL46" s="67"/>
      <c r="IM46" s="67"/>
      <c r="IN46" s="67"/>
      <c r="IO46" s="67"/>
      <c r="IP46" s="67"/>
      <c r="IQ46" s="67"/>
      <c r="IR46" s="67"/>
    </row>
    <row r="47" spans="1:252" s="68" customFormat="1" ht="27" customHeight="1" x14ac:dyDescent="0.25">
      <c r="A47" s="75">
        <v>21050000</v>
      </c>
      <c r="B47" s="101" t="s">
        <v>181</v>
      </c>
      <c r="C47" s="71">
        <v>12000000</v>
      </c>
      <c r="D47" s="78">
        <v>12000000</v>
      </c>
      <c r="E47" s="78"/>
      <c r="F47" s="78"/>
      <c r="G47" s="66"/>
      <c r="H47" s="67"/>
      <c r="I47" s="67"/>
      <c r="J47" s="67"/>
      <c r="K47" s="67"/>
      <c r="IJ47" s="67"/>
      <c r="IK47" s="67"/>
      <c r="IL47" s="67"/>
      <c r="IM47" s="67"/>
      <c r="IN47" s="67"/>
      <c r="IO47" s="67"/>
      <c r="IP47" s="67"/>
      <c r="IQ47" s="67"/>
      <c r="IR47" s="67"/>
    </row>
    <row r="48" spans="1:252" s="94" customFormat="1" ht="27" x14ac:dyDescent="0.2">
      <c r="A48" s="102">
        <v>21800000</v>
      </c>
      <c r="B48" s="103" t="s">
        <v>182</v>
      </c>
      <c r="C48" s="77">
        <f>SUM(D48,E48)</f>
        <v>1700000</v>
      </c>
      <c r="D48" s="83">
        <f>SUM(D49:D50)</f>
        <v>1700000</v>
      </c>
      <c r="E48" s="83"/>
      <c r="F48" s="83"/>
      <c r="G48" s="92"/>
      <c r="H48" s="93"/>
      <c r="I48" s="93"/>
      <c r="J48" s="93"/>
      <c r="K48" s="93"/>
      <c r="IJ48" s="93"/>
      <c r="IK48" s="93"/>
      <c r="IL48" s="93"/>
      <c r="IM48" s="93"/>
      <c r="IN48" s="93"/>
      <c r="IO48" s="93"/>
      <c r="IP48" s="93"/>
      <c r="IQ48" s="93"/>
      <c r="IR48" s="93"/>
    </row>
    <row r="49" spans="1:252" s="68" customFormat="1" ht="15" x14ac:dyDescent="0.25">
      <c r="A49" s="84">
        <v>21081100</v>
      </c>
      <c r="B49" s="104" t="s">
        <v>183</v>
      </c>
      <c r="C49" s="71">
        <f>SUM(D49,E49)</f>
        <v>890000</v>
      </c>
      <c r="D49" s="78">
        <v>890000</v>
      </c>
      <c r="E49" s="78"/>
      <c r="F49" s="78"/>
      <c r="G49" s="66"/>
      <c r="H49" s="67"/>
      <c r="I49" s="67"/>
      <c r="J49" s="67"/>
      <c r="K49" s="67"/>
      <c r="IJ49" s="67"/>
      <c r="IK49" s="67"/>
      <c r="IL49" s="67"/>
      <c r="IM49" s="67"/>
      <c r="IN49" s="67"/>
      <c r="IO49" s="67"/>
      <c r="IP49" s="67"/>
      <c r="IQ49" s="67"/>
      <c r="IR49" s="67"/>
    </row>
    <row r="50" spans="1:252" s="68" customFormat="1" ht="36" x14ac:dyDescent="0.25">
      <c r="A50" s="75">
        <v>21081500</v>
      </c>
      <c r="B50" s="85" t="s">
        <v>184</v>
      </c>
      <c r="C50" s="71">
        <f>SUM(D50,E50)</f>
        <v>810000</v>
      </c>
      <c r="D50" s="78">
        <v>810000</v>
      </c>
      <c r="E50" s="78"/>
      <c r="F50" s="78"/>
      <c r="G50" s="66"/>
      <c r="H50" s="67"/>
      <c r="I50" s="67"/>
      <c r="J50" s="67"/>
      <c r="K50" s="67"/>
      <c r="IJ50" s="67"/>
      <c r="IK50" s="67"/>
      <c r="IL50" s="67"/>
      <c r="IM50" s="67"/>
      <c r="IN50" s="67"/>
      <c r="IO50" s="67"/>
      <c r="IP50" s="67"/>
      <c r="IQ50" s="67"/>
      <c r="IR50" s="67"/>
    </row>
    <row r="51" spans="1:252" s="269" customFormat="1" ht="15" x14ac:dyDescent="0.25">
      <c r="A51" s="265">
        <v>21081700</v>
      </c>
      <c r="B51" s="266" t="s">
        <v>954</v>
      </c>
      <c r="C51" s="97">
        <f>SUM(D51,E51)</f>
        <v>1296000</v>
      </c>
      <c r="D51" s="97">
        <v>1296000</v>
      </c>
      <c r="E51" s="97"/>
      <c r="F51" s="97"/>
      <c r="G51" s="267"/>
      <c r="H51" s="268"/>
      <c r="I51" s="268"/>
      <c r="J51" s="268"/>
      <c r="K51" s="268"/>
      <c r="IJ51" s="268"/>
      <c r="IK51" s="268"/>
      <c r="IL51" s="268"/>
      <c r="IM51" s="268"/>
      <c r="IN51" s="268"/>
      <c r="IO51" s="268"/>
      <c r="IP51" s="268"/>
      <c r="IQ51" s="268"/>
      <c r="IR51" s="268"/>
    </row>
    <row r="52" spans="1:252" s="68" customFormat="1" ht="27" x14ac:dyDescent="0.25">
      <c r="A52" s="69">
        <v>22000000</v>
      </c>
      <c r="B52" s="82" t="s">
        <v>185</v>
      </c>
      <c r="C52" s="71">
        <f t="shared" si="0"/>
        <v>40760000</v>
      </c>
      <c r="D52" s="78">
        <f>SUM(D53:D57)</f>
        <v>40760000</v>
      </c>
      <c r="E52" s="78"/>
      <c r="F52" s="78"/>
      <c r="G52" s="66"/>
      <c r="H52" s="67"/>
      <c r="I52" s="67"/>
      <c r="J52" s="67"/>
      <c r="K52" s="67"/>
      <c r="IJ52" s="67"/>
      <c r="IK52" s="67"/>
      <c r="IL52" s="67"/>
      <c r="IM52" s="67"/>
      <c r="IN52" s="67"/>
      <c r="IO52" s="67"/>
      <c r="IP52" s="67"/>
      <c r="IQ52" s="67"/>
      <c r="IR52" s="67"/>
    </row>
    <row r="53" spans="1:252" s="68" customFormat="1" ht="38.25" x14ac:dyDescent="0.25">
      <c r="A53" s="75">
        <v>22010300</v>
      </c>
      <c r="B53" s="105" t="s">
        <v>299</v>
      </c>
      <c r="C53" s="71">
        <v>905000</v>
      </c>
      <c r="D53" s="78">
        <v>905000</v>
      </c>
      <c r="E53" s="78"/>
      <c r="F53" s="78"/>
      <c r="G53" s="66"/>
      <c r="H53" s="67"/>
      <c r="I53" s="67"/>
      <c r="J53" s="67"/>
      <c r="K53" s="67"/>
      <c r="IJ53" s="67"/>
      <c r="IK53" s="67"/>
      <c r="IL53" s="67"/>
      <c r="IM53" s="67"/>
      <c r="IN53" s="67"/>
      <c r="IO53" s="67"/>
      <c r="IP53" s="67"/>
      <c r="IQ53" s="67"/>
      <c r="IR53" s="67"/>
    </row>
    <row r="54" spans="1:252" s="68" customFormat="1" ht="25.5" x14ac:dyDescent="0.25">
      <c r="A54" s="75">
        <v>22012600</v>
      </c>
      <c r="B54" s="105" t="s">
        <v>186</v>
      </c>
      <c r="C54" s="71">
        <v>650000</v>
      </c>
      <c r="D54" s="78">
        <v>650000</v>
      </c>
      <c r="E54" s="78"/>
      <c r="F54" s="78"/>
      <c r="G54" s="66"/>
      <c r="H54" s="67"/>
      <c r="I54" s="67"/>
      <c r="J54" s="67"/>
      <c r="K54" s="67"/>
      <c r="IJ54" s="67"/>
      <c r="IK54" s="67"/>
      <c r="IL54" s="67"/>
      <c r="IM54" s="67"/>
      <c r="IN54" s="67"/>
      <c r="IO54" s="67"/>
      <c r="IP54" s="67"/>
      <c r="IQ54" s="67"/>
      <c r="IR54" s="67"/>
    </row>
    <row r="55" spans="1:252" s="108" customFormat="1" ht="15" x14ac:dyDescent="0.2">
      <c r="A55" s="75">
        <v>22012500</v>
      </c>
      <c r="B55" s="85" t="s">
        <v>187</v>
      </c>
      <c r="C55" s="71">
        <f t="shared" si="0"/>
        <v>28445000</v>
      </c>
      <c r="D55" s="78">
        <v>28445000</v>
      </c>
      <c r="E55" s="78"/>
      <c r="F55" s="78"/>
      <c r="G55" s="106"/>
      <c r="H55" s="107"/>
      <c r="I55" s="107"/>
      <c r="J55" s="107"/>
      <c r="K55" s="107"/>
      <c r="IJ55" s="107"/>
      <c r="IK55" s="107"/>
      <c r="IL55" s="107"/>
      <c r="IM55" s="107"/>
      <c r="IN55" s="107"/>
      <c r="IO55" s="107"/>
      <c r="IP55" s="107"/>
      <c r="IQ55" s="107"/>
      <c r="IR55" s="107"/>
    </row>
    <row r="56" spans="1:252" s="68" customFormat="1" ht="36" x14ac:dyDescent="0.25">
      <c r="A56" s="84">
        <v>22080400</v>
      </c>
      <c r="B56" s="104" t="s">
        <v>188</v>
      </c>
      <c r="C56" s="71">
        <f t="shared" si="0"/>
        <v>9760000</v>
      </c>
      <c r="D56" s="78">
        <v>9760000</v>
      </c>
      <c r="E56" s="78"/>
      <c r="F56" s="78"/>
      <c r="G56" s="66"/>
      <c r="H56" s="67"/>
      <c r="I56" s="67"/>
      <c r="J56" s="67"/>
      <c r="K56" s="67"/>
      <c r="IJ56" s="67"/>
      <c r="IK56" s="67"/>
      <c r="IL56" s="67"/>
      <c r="IM56" s="67"/>
      <c r="IN56" s="67"/>
      <c r="IO56" s="67"/>
      <c r="IP56" s="67"/>
      <c r="IQ56" s="67"/>
      <c r="IR56" s="67"/>
    </row>
    <row r="57" spans="1:252" s="68" customFormat="1" ht="15" x14ac:dyDescent="0.25">
      <c r="A57" s="109">
        <v>22090000</v>
      </c>
      <c r="B57" s="110" t="s">
        <v>189</v>
      </c>
      <c r="C57" s="71">
        <f t="shared" si="0"/>
        <v>1000000</v>
      </c>
      <c r="D57" s="111">
        <f>SUM(D58:D60)</f>
        <v>1000000</v>
      </c>
      <c r="E57" s="112"/>
      <c r="F57" s="112"/>
      <c r="G57" s="66"/>
      <c r="H57" s="67"/>
      <c r="I57" s="67"/>
      <c r="J57" s="67"/>
      <c r="K57" s="67"/>
      <c r="IJ57" s="67"/>
      <c r="IK57" s="67"/>
      <c r="IL57" s="67"/>
      <c r="IM57" s="67"/>
      <c r="IN57" s="67"/>
      <c r="IO57" s="67"/>
      <c r="IP57" s="67"/>
      <c r="IQ57" s="67"/>
      <c r="IR57" s="67"/>
    </row>
    <row r="58" spans="1:252" s="68" customFormat="1" ht="36" x14ac:dyDescent="0.25">
      <c r="A58" s="84">
        <v>22090100</v>
      </c>
      <c r="B58" s="98" t="s">
        <v>190</v>
      </c>
      <c r="C58" s="71">
        <f t="shared" si="0"/>
        <v>145000</v>
      </c>
      <c r="D58" s="78">
        <v>145000</v>
      </c>
      <c r="E58" s="78"/>
      <c r="F58" s="78"/>
      <c r="G58" s="66"/>
      <c r="H58" s="67"/>
      <c r="I58" s="67"/>
      <c r="J58" s="67"/>
      <c r="K58" s="67"/>
      <c r="IJ58" s="67"/>
      <c r="IK58" s="67"/>
      <c r="IL58" s="67"/>
      <c r="IM58" s="67"/>
      <c r="IN58" s="67"/>
      <c r="IO58" s="67"/>
      <c r="IP58" s="67"/>
      <c r="IQ58" s="67"/>
      <c r="IR58" s="67"/>
    </row>
    <row r="59" spans="1:252" s="68" customFormat="1" ht="15" x14ac:dyDescent="0.25">
      <c r="A59" s="84">
        <v>22090200</v>
      </c>
      <c r="B59" s="98" t="s">
        <v>191</v>
      </c>
      <c r="C59" s="71">
        <f t="shared" si="0"/>
        <v>220000</v>
      </c>
      <c r="D59" s="78">
        <v>220000</v>
      </c>
      <c r="E59" s="78"/>
      <c r="F59" s="78"/>
      <c r="G59" s="66"/>
      <c r="H59" s="67"/>
      <c r="I59" s="67"/>
      <c r="J59" s="67"/>
      <c r="K59" s="67"/>
      <c r="IJ59" s="67"/>
      <c r="IK59" s="67"/>
      <c r="IL59" s="67"/>
      <c r="IM59" s="67"/>
      <c r="IN59" s="67"/>
      <c r="IO59" s="67"/>
      <c r="IP59" s="67"/>
      <c r="IQ59" s="67"/>
      <c r="IR59" s="67"/>
    </row>
    <row r="60" spans="1:252" s="81" customFormat="1" ht="36" x14ac:dyDescent="0.2">
      <c r="A60" s="84">
        <v>22090400</v>
      </c>
      <c r="B60" s="98" t="s">
        <v>192</v>
      </c>
      <c r="C60" s="71">
        <f t="shared" si="0"/>
        <v>635000</v>
      </c>
      <c r="D60" s="78">
        <v>635000</v>
      </c>
      <c r="E60" s="78"/>
      <c r="F60" s="78"/>
      <c r="G60" s="79"/>
      <c r="H60" s="80"/>
      <c r="I60" s="80"/>
      <c r="J60" s="80"/>
      <c r="K60" s="80"/>
      <c r="IJ60" s="80"/>
      <c r="IK60" s="80"/>
      <c r="IL60" s="80"/>
      <c r="IM60" s="80"/>
      <c r="IN60" s="80"/>
      <c r="IO60" s="80"/>
      <c r="IP60" s="80"/>
      <c r="IQ60" s="80"/>
      <c r="IR60" s="80"/>
    </row>
    <row r="61" spans="1:252" s="68" customFormat="1" ht="15" x14ac:dyDescent="0.25">
      <c r="A61" s="69">
        <v>24000000</v>
      </c>
      <c r="B61" s="110" t="s">
        <v>193</v>
      </c>
      <c r="C61" s="71">
        <f t="shared" si="0"/>
        <v>37404000</v>
      </c>
      <c r="D61" s="87">
        <f>D62+D63+D64</f>
        <v>15404000</v>
      </c>
      <c r="E61" s="87">
        <f>E62+E64</f>
        <v>22000000</v>
      </c>
      <c r="F61" s="71">
        <v>22000000</v>
      </c>
      <c r="G61" s="66"/>
      <c r="H61" s="67"/>
      <c r="I61" s="67"/>
      <c r="J61" s="67"/>
      <c r="K61" s="67"/>
      <c r="IJ61" s="67"/>
      <c r="IK61" s="67"/>
      <c r="IL61" s="67"/>
      <c r="IM61" s="67"/>
      <c r="IN61" s="67"/>
      <c r="IO61" s="67"/>
      <c r="IP61" s="67"/>
      <c r="IQ61" s="67"/>
      <c r="IR61" s="67"/>
    </row>
    <row r="62" spans="1:252" s="68" customFormat="1" ht="15" x14ac:dyDescent="0.25">
      <c r="A62" s="84">
        <v>24060300</v>
      </c>
      <c r="B62" s="85" t="s">
        <v>194</v>
      </c>
      <c r="C62" s="71">
        <f t="shared" si="0"/>
        <v>14404000</v>
      </c>
      <c r="D62" s="88">
        <v>14404000</v>
      </c>
      <c r="E62" s="88"/>
      <c r="F62" s="88"/>
      <c r="G62" s="66"/>
      <c r="H62" s="67"/>
      <c r="I62" s="67"/>
      <c r="J62" s="67"/>
      <c r="K62" s="67"/>
      <c r="IJ62" s="67"/>
      <c r="IK62" s="67"/>
      <c r="IL62" s="67"/>
      <c r="IM62" s="67"/>
      <c r="IN62" s="67"/>
      <c r="IO62" s="67"/>
      <c r="IP62" s="67"/>
      <c r="IQ62" s="67"/>
      <c r="IR62" s="67"/>
    </row>
    <row r="63" spans="1:252" s="68" customFormat="1" ht="60" x14ac:dyDescent="0.25">
      <c r="A63" s="84">
        <v>24062200</v>
      </c>
      <c r="B63" s="85" t="s">
        <v>955</v>
      </c>
      <c r="C63" s="71">
        <f t="shared" si="0"/>
        <v>1000000</v>
      </c>
      <c r="D63" s="88">
        <v>1000000</v>
      </c>
      <c r="E63" s="88"/>
      <c r="F63" s="88"/>
      <c r="G63" s="66"/>
      <c r="H63" s="67"/>
      <c r="I63" s="67"/>
      <c r="J63" s="67"/>
      <c r="K63" s="67"/>
      <c r="IJ63" s="67"/>
      <c r="IK63" s="67"/>
      <c r="IL63" s="67"/>
      <c r="IM63" s="67"/>
      <c r="IN63" s="67"/>
      <c r="IO63" s="67"/>
      <c r="IP63" s="67"/>
      <c r="IQ63" s="67"/>
      <c r="IR63" s="67"/>
    </row>
    <row r="64" spans="1:252" s="74" customFormat="1" ht="24" x14ac:dyDescent="0.2">
      <c r="A64" s="84">
        <v>24170000</v>
      </c>
      <c r="B64" s="89" t="s">
        <v>195</v>
      </c>
      <c r="C64" s="71">
        <f t="shared" si="0"/>
        <v>22000000</v>
      </c>
      <c r="D64" s="88"/>
      <c r="E64" s="88">
        <v>22000000</v>
      </c>
      <c r="F64" s="88">
        <v>22000000</v>
      </c>
      <c r="G64" s="72"/>
      <c r="H64" s="73"/>
      <c r="I64" s="73"/>
      <c r="J64" s="73"/>
      <c r="K64" s="73"/>
      <c r="IJ64" s="73"/>
      <c r="IK64" s="73"/>
      <c r="IL64" s="73"/>
      <c r="IM64" s="73"/>
      <c r="IN64" s="73"/>
      <c r="IO64" s="73"/>
      <c r="IP64" s="73"/>
      <c r="IQ64" s="73"/>
      <c r="IR64" s="73"/>
    </row>
    <row r="65" spans="1:252" s="68" customFormat="1" ht="15" x14ac:dyDescent="0.25">
      <c r="A65" s="69">
        <v>25000000</v>
      </c>
      <c r="B65" s="76" t="s">
        <v>196</v>
      </c>
      <c r="C65" s="71">
        <f t="shared" si="0"/>
        <v>114713367</v>
      </c>
      <c r="D65" s="87">
        <f>SUM(D66,D71)</f>
        <v>0</v>
      </c>
      <c r="E65" s="87">
        <f>SUM(E66,E71)</f>
        <v>114713367</v>
      </c>
      <c r="F65" s="87"/>
      <c r="G65" s="66"/>
      <c r="H65" s="67"/>
      <c r="I65" s="67"/>
      <c r="J65" s="67"/>
      <c r="K65" s="67"/>
      <c r="IJ65" s="67"/>
      <c r="IK65" s="67"/>
      <c r="IL65" s="67"/>
      <c r="IM65" s="67"/>
      <c r="IN65" s="67"/>
      <c r="IO65" s="67"/>
      <c r="IP65" s="67"/>
      <c r="IQ65" s="67"/>
      <c r="IR65" s="67"/>
    </row>
    <row r="66" spans="1:252" s="68" customFormat="1" ht="38.25" x14ac:dyDescent="0.25">
      <c r="A66" s="75">
        <v>25010000</v>
      </c>
      <c r="B66" s="113" t="s">
        <v>197</v>
      </c>
      <c r="C66" s="71">
        <f t="shared" si="0"/>
        <v>114713367</v>
      </c>
      <c r="D66" s="88">
        <v>0</v>
      </c>
      <c r="E66" s="88">
        <f>SUM(E67:E70)</f>
        <v>114713367</v>
      </c>
      <c r="F66" s="88"/>
      <c r="G66" s="66"/>
      <c r="H66" s="67"/>
      <c r="I66" s="67"/>
      <c r="J66" s="67"/>
      <c r="K66" s="67"/>
      <c r="IJ66" s="67"/>
      <c r="IK66" s="67"/>
      <c r="IL66" s="67"/>
      <c r="IM66" s="67"/>
      <c r="IN66" s="67"/>
      <c r="IO66" s="67"/>
      <c r="IP66" s="67"/>
      <c r="IQ66" s="67"/>
      <c r="IR66" s="67"/>
    </row>
    <row r="67" spans="1:252" s="68" customFormat="1" ht="38.25" x14ac:dyDescent="0.25">
      <c r="A67" s="75">
        <v>25010100</v>
      </c>
      <c r="B67" s="114" t="s">
        <v>198</v>
      </c>
      <c r="C67" s="71">
        <v>101373091</v>
      </c>
      <c r="D67" s="88">
        <v>0</v>
      </c>
      <c r="E67" s="88">
        <v>101373091</v>
      </c>
      <c r="F67" s="88"/>
      <c r="G67" s="66"/>
      <c r="H67" s="67"/>
      <c r="I67" s="67"/>
      <c r="J67" s="67"/>
      <c r="K67" s="67"/>
      <c r="IJ67" s="67"/>
      <c r="IK67" s="67"/>
      <c r="IL67" s="67"/>
      <c r="IM67" s="67"/>
      <c r="IN67" s="67"/>
      <c r="IO67" s="67"/>
      <c r="IP67" s="67"/>
      <c r="IQ67" s="67"/>
      <c r="IR67" s="67"/>
    </row>
    <row r="68" spans="1:252" s="68" customFormat="1" ht="25.5" x14ac:dyDescent="0.25">
      <c r="A68" s="75">
        <v>25010200</v>
      </c>
      <c r="B68" s="114" t="s">
        <v>199</v>
      </c>
      <c r="C68" s="71">
        <f t="shared" si="0"/>
        <v>8752910</v>
      </c>
      <c r="D68" s="88">
        <v>0</v>
      </c>
      <c r="E68" s="88">
        <v>8752910</v>
      </c>
      <c r="F68" s="88"/>
      <c r="G68" s="66"/>
      <c r="H68" s="67"/>
      <c r="I68" s="67"/>
      <c r="J68" s="67"/>
      <c r="K68" s="67"/>
      <c r="IJ68" s="67"/>
      <c r="IK68" s="67"/>
      <c r="IL68" s="67"/>
      <c r="IM68" s="67"/>
      <c r="IN68" s="67"/>
      <c r="IO68" s="67"/>
      <c r="IP68" s="67"/>
      <c r="IQ68" s="67"/>
      <c r="IR68" s="67"/>
    </row>
    <row r="69" spans="1:252" s="68" customFormat="1" ht="15" x14ac:dyDescent="0.25">
      <c r="A69" s="75">
        <v>25010300</v>
      </c>
      <c r="B69" s="114" t="s">
        <v>200</v>
      </c>
      <c r="C69" s="71">
        <f t="shared" si="0"/>
        <v>4558166</v>
      </c>
      <c r="D69" s="88">
        <v>0</v>
      </c>
      <c r="E69" s="88">
        <v>4558166</v>
      </c>
      <c r="F69" s="88"/>
      <c r="G69" s="66"/>
      <c r="H69" s="67"/>
      <c r="I69" s="67"/>
      <c r="J69" s="67"/>
      <c r="K69" s="67"/>
      <c r="IJ69" s="67"/>
      <c r="IK69" s="67"/>
      <c r="IL69" s="67"/>
      <c r="IM69" s="67"/>
      <c r="IN69" s="67"/>
      <c r="IO69" s="67"/>
      <c r="IP69" s="67"/>
      <c r="IQ69" s="67"/>
      <c r="IR69" s="67"/>
    </row>
    <row r="70" spans="1:252" s="68" customFormat="1" ht="38.25" x14ac:dyDescent="0.25">
      <c r="A70" s="75">
        <v>25010400</v>
      </c>
      <c r="B70" s="114" t="s">
        <v>201</v>
      </c>
      <c r="C70" s="71">
        <f t="shared" si="0"/>
        <v>29200</v>
      </c>
      <c r="D70" s="88">
        <v>0</v>
      </c>
      <c r="E70" s="88">
        <v>29200</v>
      </c>
      <c r="F70" s="88"/>
      <c r="G70" s="66"/>
      <c r="H70" s="67"/>
      <c r="I70" s="67"/>
      <c r="J70" s="67"/>
      <c r="K70" s="67"/>
      <c r="IJ70" s="67"/>
      <c r="IK70" s="67"/>
      <c r="IL70" s="67"/>
      <c r="IM70" s="67"/>
      <c r="IN70" s="67"/>
      <c r="IO70" s="67"/>
      <c r="IP70" s="67"/>
      <c r="IQ70" s="67"/>
      <c r="IR70" s="67"/>
    </row>
    <row r="71" spans="1:252" s="68" customFormat="1" ht="28.5" x14ac:dyDescent="0.25">
      <c r="A71" s="75">
        <v>25020000</v>
      </c>
      <c r="B71" s="113" t="s">
        <v>202</v>
      </c>
      <c r="C71" s="71">
        <f t="shared" si="0"/>
        <v>0</v>
      </c>
      <c r="D71" s="88">
        <v>0</v>
      </c>
      <c r="E71" s="88">
        <v>0</v>
      </c>
      <c r="F71" s="88"/>
      <c r="G71" s="66"/>
      <c r="H71" s="67"/>
      <c r="I71" s="67"/>
      <c r="J71" s="67"/>
      <c r="K71" s="67"/>
      <c r="IJ71" s="67"/>
      <c r="IK71" s="67"/>
      <c r="IL71" s="67"/>
      <c r="IM71" s="67"/>
      <c r="IN71" s="67"/>
      <c r="IO71" s="67"/>
      <c r="IP71" s="67"/>
      <c r="IQ71" s="67"/>
      <c r="IR71" s="67"/>
    </row>
    <row r="72" spans="1:252" s="94" customFormat="1" ht="15" x14ac:dyDescent="0.2">
      <c r="A72" s="75">
        <v>25020100</v>
      </c>
      <c r="B72" s="114" t="s">
        <v>203</v>
      </c>
      <c r="C72" s="71">
        <f t="shared" si="0"/>
        <v>0</v>
      </c>
      <c r="D72" s="88">
        <v>0</v>
      </c>
      <c r="E72" s="88">
        <v>0</v>
      </c>
      <c r="F72" s="88"/>
      <c r="G72" s="92"/>
      <c r="H72" s="93"/>
      <c r="I72" s="93"/>
      <c r="J72" s="93"/>
      <c r="K72" s="93"/>
      <c r="IJ72" s="93"/>
      <c r="IK72" s="93"/>
      <c r="IL72" s="93"/>
      <c r="IM72" s="93"/>
      <c r="IN72" s="93"/>
      <c r="IO72" s="93"/>
      <c r="IP72" s="93"/>
      <c r="IQ72" s="93"/>
      <c r="IR72" s="93"/>
    </row>
    <row r="73" spans="1:252" s="68" customFormat="1" ht="89.25" hidden="1" x14ac:dyDescent="0.25">
      <c r="A73" s="75">
        <v>25020200</v>
      </c>
      <c r="B73" s="114" t="s">
        <v>204</v>
      </c>
      <c r="C73" s="71">
        <f t="shared" si="0"/>
        <v>0</v>
      </c>
      <c r="D73" s="88"/>
      <c r="E73" s="88">
        <v>0</v>
      </c>
      <c r="F73" s="88"/>
      <c r="G73" s="66"/>
      <c r="H73" s="67"/>
      <c r="I73" s="67"/>
      <c r="J73" s="67"/>
      <c r="K73" s="67"/>
      <c r="IJ73" s="67"/>
      <c r="IK73" s="67"/>
      <c r="IL73" s="67"/>
      <c r="IM73" s="67"/>
      <c r="IN73" s="67"/>
      <c r="IO73" s="67"/>
      <c r="IP73" s="67"/>
      <c r="IQ73" s="67"/>
      <c r="IR73" s="67"/>
    </row>
    <row r="74" spans="1:252" s="81" customFormat="1" ht="14.25" x14ac:dyDescent="0.2">
      <c r="A74" s="69">
        <v>30000000</v>
      </c>
      <c r="B74" s="70" t="s">
        <v>205</v>
      </c>
      <c r="C74" s="71">
        <f t="shared" si="0"/>
        <v>10164700</v>
      </c>
      <c r="D74" s="87">
        <f>SUM(D75)</f>
        <v>100500</v>
      </c>
      <c r="E74" s="87">
        <f>SUM(E75,E78)</f>
        <v>10064200</v>
      </c>
      <c r="F74" s="87">
        <f>SUM(F75,F78)</f>
        <v>10064200</v>
      </c>
      <c r="G74" s="79"/>
      <c r="H74" s="80"/>
      <c r="I74" s="80"/>
      <c r="J74" s="80"/>
      <c r="K74" s="80"/>
      <c r="IJ74" s="80"/>
      <c r="IK74" s="80"/>
      <c r="IL74" s="80"/>
      <c r="IM74" s="80"/>
      <c r="IN74" s="80"/>
      <c r="IO74" s="80"/>
      <c r="IP74" s="80"/>
      <c r="IQ74" s="80"/>
      <c r="IR74" s="80"/>
    </row>
    <row r="75" spans="1:252" s="68" customFormat="1" ht="30" x14ac:dyDescent="0.25">
      <c r="A75" s="75">
        <v>31000000</v>
      </c>
      <c r="B75" s="115" t="s">
        <v>206</v>
      </c>
      <c r="C75" s="71">
        <f t="shared" si="0"/>
        <v>1152841</v>
      </c>
      <c r="D75" s="97">
        <v>100500</v>
      </c>
      <c r="E75" s="97">
        <f>SUM(E77)</f>
        <v>1052341</v>
      </c>
      <c r="F75" s="97">
        <f>SUM(F77)</f>
        <v>1052341</v>
      </c>
      <c r="G75" s="66"/>
      <c r="H75" s="67"/>
      <c r="I75" s="67"/>
      <c r="J75" s="67"/>
      <c r="K75" s="67"/>
      <c r="IJ75" s="67"/>
      <c r="IK75" s="67"/>
      <c r="IL75" s="67"/>
      <c r="IM75" s="67"/>
      <c r="IN75" s="67"/>
      <c r="IO75" s="67"/>
      <c r="IP75" s="67"/>
      <c r="IQ75" s="67"/>
      <c r="IR75" s="67"/>
    </row>
    <row r="76" spans="1:252" s="68" customFormat="1" ht="60" x14ac:dyDescent="0.25">
      <c r="A76" s="84">
        <v>31010200</v>
      </c>
      <c r="B76" s="89" t="s">
        <v>207</v>
      </c>
      <c r="C76" s="71">
        <f>SUM(D76,E76)</f>
        <v>100500</v>
      </c>
      <c r="D76" s="88">
        <v>100500</v>
      </c>
      <c r="E76" s="88"/>
      <c r="F76" s="88"/>
      <c r="G76" s="66"/>
      <c r="H76" s="67"/>
      <c r="I76" s="67"/>
      <c r="J76" s="67"/>
      <c r="K76" s="67"/>
      <c r="IJ76" s="67"/>
      <c r="IK76" s="67"/>
      <c r="IL76" s="67"/>
      <c r="IM76" s="67"/>
      <c r="IN76" s="67"/>
      <c r="IO76" s="67"/>
      <c r="IP76" s="67"/>
      <c r="IQ76" s="67"/>
      <c r="IR76" s="67"/>
    </row>
    <row r="77" spans="1:252" s="68" customFormat="1" ht="36" x14ac:dyDescent="0.25">
      <c r="A77" s="84">
        <v>31030000</v>
      </c>
      <c r="B77" s="116" t="s">
        <v>208</v>
      </c>
      <c r="C77" s="71">
        <f t="shared" si="0"/>
        <v>1052341</v>
      </c>
      <c r="D77" s="86"/>
      <c r="E77" s="86">
        <v>1052341</v>
      </c>
      <c r="F77" s="86">
        <v>1052341</v>
      </c>
      <c r="G77" s="66"/>
      <c r="H77" s="67"/>
      <c r="I77" s="67"/>
      <c r="J77" s="67"/>
      <c r="K77" s="67"/>
      <c r="IJ77" s="67"/>
      <c r="IK77" s="67"/>
      <c r="IL77" s="67"/>
      <c r="IM77" s="67"/>
      <c r="IN77" s="67"/>
      <c r="IO77" s="67"/>
      <c r="IP77" s="67"/>
      <c r="IQ77" s="67"/>
      <c r="IR77" s="67"/>
    </row>
    <row r="78" spans="1:252" s="68" customFormat="1" ht="30" x14ac:dyDescent="0.25">
      <c r="A78" s="75">
        <v>33000000</v>
      </c>
      <c r="B78" s="115" t="s">
        <v>209</v>
      </c>
      <c r="C78" s="71">
        <f t="shared" si="0"/>
        <v>9011859</v>
      </c>
      <c r="D78" s="97"/>
      <c r="E78" s="97">
        <f>SUM(E79)</f>
        <v>9011859</v>
      </c>
      <c r="F78" s="97">
        <f>SUM(F79)</f>
        <v>9011859</v>
      </c>
      <c r="G78" s="66"/>
      <c r="H78" s="67"/>
      <c r="I78" s="67"/>
      <c r="J78" s="67"/>
      <c r="K78" s="67"/>
      <c r="IJ78" s="67"/>
      <c r="IK78" s="67"/>
      <c r="IL78" s="67"/>
      <c r="IM78" s="67"/>
      <c r="IN78" s="67"/>
      <c r="IO78" s="67"/>
      <c r="IP78" s="67"/>
      <c r="IQ78" s="67"/>
      <c r="IR78" s="67"/>
    </row>
    <row r="79" spans="1:252" s="68" customFormat="1" ht="15" x14ac:dyDescent="0.25">
      <c r="A79" s="75">
        <v>33010000</v>
      </c>
      <c r="B79" s="115" t="s">
        <v>210</v>
      </c>
      <c r="C79" s="71">
        <f t="shared" si="0"/>
        <v>9011859</v>
      </c>
      <c r="D79" s="78"/>
      <c r="E79" s="78">
        <f>SUM(E80,E81)</f>
        <v>9011859</v>
      </c>
      <c r="F79" s="78">
        <f>SUM(F80,F81)</f>
        <v>9011859</v>
      </c>
      <c r="G79" s="66"/>
      <c r="H79" s="67"/>
      <c r="I79" s="67"/>
      <c r="J79" s="67"/>
      <c r="K79" s="67"/>
      <c r="IJ79" s="67"/>
      <c r="IK79" s="67"/>
      <c r="IL79" s="67"/>
      <c r="IM79" s="67"/>
      <c r="IN79" s="67"/>
      <c r="IO79" s="67"/>
      <c r="IP79" s="67"/>
      <c r="IQ79" s="67"/>
      <c r="IR79" s="67"/>
    </row>
    <row r="80" spans="1:252" s="68" customFormat="1" ht="48" x14ac:dyDescent="0.25">
      <c r="A80" s="75">
        <v>33010100</v>
      </c>
      <c r="B80" s="116" t="s">
        <v>715</v>
      </c>
      <c r="C80" s="71">
        <f t="shared" si="0"/>
        <v>6806967</v>
      </c>
      <c r="D80" s="78"/>
      <c r="E80" s="78">
        <v>6806967</v>
      </c>
      <c r="F80" s="78">
        <v>6806967</v>
      </c>
      <c r="G80" s="66"/>
      <c r="H80" s="67"/>
      <c r="I80" s="67"/>
      <c r="J80" s="67"/>
      <c r="K80" s="67"/>
      <c r="IJ80" s="67"/>
      <c r="IK80" s="67"/>
      <c r="IL80" s="67"/>
      <c r="IM80" s="67"/>
      <c r="IN80" s="67"/>
      <c r="IO80" s="67"/>
      <c r="IP80" s="67"/>
      <c r="IQ80" s="67"/>
      <c r="IR80" s="67"/>
    </row>
    <row r="81" spans="1:252" s="68" customFormat="1" ht="48" x14ac:dyDescent="0.25">
      <c r="A81" s="75">
        <v>33010200</v>
      </c>
      <c r="B81" s="116" t="s">
        <v>211</v>
      </c>
      <c r="C81" s="71">
        <f t="shared" ref="C81:C109" si="1">SUM(D81,E81)</f>
        <v>2204892</v>
      </c>
      <c r="D81" s="78"/>
      <c r="E81" s="78">
        <v>2204892</v>
      </c>
      <c r="F81" s="78">
        <v>2204892</v>
      </c>
      <c r="G81" s="66"/>
      <c r="H81" s="67"/>
      <c r="I81" s="67"/>
      <c r="J81" s="67"/>
      <c r="K81" s="67"/>
      <c r="IJ81" s="67"/>
      <c r="IK81" s="67"/>
      <c r="IL81" s="67"/>
      <c r="IM81" s="67"/>
      <c r="IN81" s="67"/>
      <c r="IO81" s="67"/>
      <c r="IP81" s="67"/>
      <c r="IQ81" s="67"/>
      <c r="IR81" s="67"/>
    </row>
    <row r="82" spans="1:252" s="68" customFormat="1" ht="53.25" customHeight="1" x14ac:dyDescent="0.25">
      <c r="A82" s="69">
        <v>50110000</v>
      </c>
      <c r="B82" s="117" t="s">
        <v>212</v>
      </c>
      <c r="C82" s="71">
        <v>3507000</v>
      </c>
      <c r="D82" s="78"/>
      <c r="E82" s="71">
        <v>3507000</v>
      </c>
      <c r="F82" s="78"/>
      <c r="G82" s="66"/>
      <c r="H82" s="67"/>
      <c r="I82" s="67"/>
      <c r="J82" s="67"/>
      <c r="K82" s="67"/>
      <c r="IJ82" s="67"/>
      <c r="IK82" s="67"/>
      <c r="IL82" s="67"/>
      <c r="IM82" s="67"/>
      <c r="IN82" s="67"/>
      <c r="IO82" s="67"/>
      <c r="IP82" s="67"/>
      <c r="IQ82" s="67"/>
      <c r="IR82" s="67"/>
    </row>
    <row r="83" spans="1:252" s="74" customFormat="1" ht="18.75" x14ac:dyDescent="0.2">
      <c r="A83" s="69"/>
      <c r="B83" s="118" t="s">
        <v>213</v>
      </c>
      <c r="C83" s="71">
        <f t="shared" si="1"/>
        <v>1715887741.7</v>
      </c>
      <c r="D83" s="87">
        <f>D10+D45+D74</f>
        <v>1564753174.7</v>
      </c>
      <c r="E83" s="87">
        <f>E10+E45+E74+E82</f>
        <v>151134567</v>
      </c>
      <c r="F83" s="87">
        <f>F10+F45+F65+F74</f>
        <v>32064200</v>
      </c>
      <c r="G83" s="72"/>
      <c r="H83" s="73"/>
      <c r="I83" s="73"/>
      <c r="J83" s="73"/>
      <c r="K83" s="73"/>
      <c r="IJ83" s="73"/>
      <c r="IK83" s="73"/>
      <c r="IL83" s="73"/>
      <c r="IM83" s="73"/>
      <c r="IN83" s="73"/>
      <c r="IO83" s="73"/>
      <c r="IP83" s="73"/>
      <c r="IQ83" s="73"/>
      <c r="IR83" s="73"/>
    </row>
    <row r="84" spans="1:252" s="74" customFormat="1" ht="31.5" x14ac:dyDescent="0.2">
      <c r="A84" s="69">
        <v>41040000</v>
      </c>
      <c r="B84" s="210" t="s">
        <v>726</v>
      </c>
      <c r="C84" s="71">
        <v>12250931</v>
      </c>
      <c r="D84" s="87">
        <v>12250931</v>
      </c>
      <c r="E84" s="87"/>
      <c r="F84" s="87"/>
      <c r="G84" s="72"/>
      <c r="H84" s="73"/>
      <c r="I84" s="73"/>
      <c r="J84" s="73"/>
      <c r="K84" s="73"/>
      <c r="IJ84" s="73"/>
      <c r="IK84" s="73"/>
      <c r="IL84" s="73"/>
      <c r="IM84" s="73"/>
      <c r="IN84" s="73"/>
      <c r="IO84" s="73"/>
      <c r="IP84" s="73"/>
      <c r="IQ84" s="73"/>
      <c r="IR84" s="73"/>
    </row>
    <row r="85" spans="1:252" s="74" customFormat="1" ht="78.75" customHeight="1" x14ac:dyDescent="0.2">
      <c r="A85" s="75">
        <v>41040200</v>
      </c>
      <c r="B85" s="211" t="s">
        <v>720</v>
      </c>
      <c r="C85" s="71">
        <v>12250931</v>
      </c>
      <c r="D85" s="87">
        <v>12250931</v>
      </c>
      <c r="E85" s="87"/>
      <c r="F85" s="87"/>
      <c r="G85" s="72"/>
      <c r="H85" s="73"/>
      <c r="I85" s="73"/>
      <c r="J85" s="73"/>
      <c r="K85" s="73"/>
      <c r="IJ85" s="73"/>
      <c r="IK85" s="73"/>
      <c r="IL85" s="73"/>
      <c r="IM85" s="73"/>
      <c r="IN85" s="73"/>
      <c r="IO85" s="73"/>
      <c r="IP85" s="73"/>
      <c r="IQ85" s="73"/>
      <c r="IR85" s="73"/>
    </row>
    <row r="86" spans="1:252" s="74" customFormat="1" ht="14.25" x14ac:dyDescent="0.2">
      <c r="A86" s="69">
        <v>40000000</v>
      </c>
      <c r="B86" s="95" t="s">
        <v>214</v>
      </c>
      <c r="C86" s="71">
        <f t="shared" si="1"/>
        <v>1456925180.6300001</v>
      </c>
      <c r="D86" s="87">
        <f>SUM(D87:D102)</f>
        <v>1456258601.6300001</v>
      </c>
      <c r="E86" s="87">
        <f>SUM(E87:E102)</f>
        <v>666579</v>
      </c>
      <c r="F86" s="71">
        <v>0</v>
      </c>
      <c r="G86" s="72"/>
      <c r="H86" s="73"/>
      <c r="I86" s="73"/>
      <c r="J86" s="73"/>
      <c r="K86" s="73"/>
      <c r="IJ86" s="73"/>
      <c r="IK86" s="73"/>
      <c r="IL86" s="73"/>
      <c r="IM86" s="73"/>
      <c r="IN86" s="73"/>
      <c r="IO86" s="73"/>
      <c r="IP86" s="73"/>
      <c r="IQ86" s="73"/>
      <c r="IR86" s="73"/>
    </row>
    <row r="87" spans="1:252" s="74" customFormat="1" ht="25.5" x14ac:dyDescent="0.2">
      <c r="A87" s="75">
        <v>41033900</v>
      </c>
      <c r="B87" s="105" t="s">
        <v>215</v>
      </c>
      <c r="C87" s="71">
        <f t="shared" si="1"/>
        <v>307619100</v>
      </c>
      <c r="D87" s="78">
        <v>307619100</v>
      </c>
      <c r="E87" s="71"/>
      <c r="F87" s="71"/>
      <c r="G87" s="72"/>
      <c r="H87" s="73"/>
      <c r="I87" s="73"/>
      <c r="J87" s="73"/>
      <c r="K87" s="73"/>
      <c r="IJ87" s="73"/>
      <c r="IK87" s="73"/>
      <c r="IL87" s="73"/>
      <c r="IM87" s="73"/>
      <c r="IN87" s="73"/>
      <c r="IO87" s="73"/>
      <c r="IP87" s="73"/>
      <c r="IQ87" s="73"/>
      <c r="IR87" s="73"/>
    </row>
    <row r="88" spans="1:252" s="74" customFormat="1" ht="25.5" x14ac:dyDescent="0.2">
      <c r="A88" s="75">
        <v>41034200</v>
      </c>
      <c r="B88" s="105" t="s">
        <v>216</v>
      </c>
      <c r="C88" s="71">
        <f t="shared" si="1"/>
        <v>210178300</v>
      </c>
      <c r="D88" s="78">
        <v>210178300</v>
      </c>
      <c r="E88" s="71"/>
      <c r="F88" s="71"/>
      <c r="G88" s="72"/>
      <c r="H88" s="73"/>
      <c r="I88" s="73"/>
      <c r="J88" s="73"/>
      <c r="K88" s="73"/>
      <c r="IJ88" s="73"/>
      <c r="IK88" s="73"/>
      <c r="IL88" s="73"/>
      <c r="IM88" s="73"/>
      <c r="IN88" s="73"/>
      <c r="IO88" s="73"/>
      <c r="IP88" s="73"/>
      <c r="IQ88" s="73"/>
      <c r="IR88" s="73"/>
    </row>
    <row r="89" spans="1:252" s="74" customFormat="1" ht="51" x14ac:dyDescent="0.2">
      <c r="A89" s="75">
        <v>41034500</v>
      </c>
      <c r="B89" s="105" t="s">
        <v>956</v>
      </c>
      <c r="C89" s="71">
        <v>14322000</v>
      </c>
      <c r="D89" s="78">
        <v>14322000</v>
      </c>
      <c r="E89" s="71"/>
      <c r="F89" s="71"/>
      <c r="G89" s="72"/>
      <c r="H89" s="73"/>
      <c r="I89" s="73"/>
      <c r="J89" s="73"/>
      <c r="K89" s="73"/>
      <c r="IJ89" s="73"/>
      <c r="IK89" s="73"/>
      <c r="IL89" s="73"/>
      <c r="IM89" s="73"/>
      <c r="IN89" s="73"/>
      <c r="IO89" s="73"/>
      <c r="IP89" s="73"/>
      <c r="IQ89" s="73"/>
      <c r="IR89" s="73"/>
    </row>
    <row r="90" spans="1:252" s="74" customFormat="1" ht="38.25" x14ac:dyDescent="0.2">
      <c r="A90" s="75">
        <v>41034700</v>
      </c>
      <c r="B90" s="105" t="s">
        <v>957</v>
      </c>
      <c r="C90" s="71">
        <v>27000000</v>
      </c>
      <c r="D90" s="78">
        <v>27000000</v>
      </c>
      <c r="E90" s="71"/>
      <c r="F90" s="71"/>
      <c r="G90" s="72"/>
      <c r="H90" s="73"/>
      <c r="I90" s="73"/>
      <c r="J90" s="73"/>
      <c r="K90" s="73"/>
      <c r="IJ90" s="73"/>
      <c r="IK90" s="73"/>
      <c r="IL90" s="73"/>
      <c r="IM90" s="73"/>
      <c r="IN90" s="73"/>
      <c r="IO90" s="73"/>
      <c r="IP90" s="73"/>
      <c r="IQ90" s="73"/>
      <c r="IR90" s="73"/>
    </row>
    <row r="91" spans="1:252" s="74" customFormat="1" ht="183" customHeight="1" x14ac:dyDescent="0.2">
      <c r="A91" s="75">
        <v>41050400</v>
      </c>
      <c r="B91" s="105" t="s">
        <v>958</v>
      </c>
      <c r="C91" s="71">
        <v>6864875.6299999999</v>
      </c>
      <c r="D91" s="78">
        <v>6864875.6299999999</v>
      </c>
      <c r="E91" s="71"/>
      <c r="F91" s="71"/>
      <c r="G91" s="72"/>
      <c r="H91" s="73"/>
      <c r="I91" s="73"/>
      <c r="J91" s="73"/>
      <c r="K91" s="73"/>
      <c r="IJ91" s="73"/>
      <c r="IK91" s="73"/>
      <c r="IL91" s="73"/>
      <c r="IM91" s="73"/>
      <c r="IN91" s="73"/>
      <c r="IO91" s="73"/>
      <c r="IP91" s="73"/>
      <c r="IQ91" s="73"/>
      <c r="IR91" s="73"/>
    </row>
    <row r="92" spans="1:252" s="74" customFormat="1" ht="38.25" x14ac:dyDescent="0.2">
      <c r="A92" s="75">
        <v>41051100</v>
      </c>
      <c r="B92" s="105" t="s">
        <v>778</v>
      </c>
      <c r="C92" s="71">
        <v>1041579</v>
      </c>
      <c r="D92" s="78">
        <v>375000</v>
      </c>
      <c r="E92" s="78">
        <v>666579</v>
      </c>
      <c r="F92" s="71"/>
      <c r="G92" s="72"/>
      <c r="H92" s="73"/>
      <c r="I92" s="73"/>
      <c r="J92" s="73"/>
      <c r="K92" s="73"/>
      <c r="IJ92" s="73"/>
      <c r="IK92" s="73"/>
      <c r="IL92" s="73"/>
      <c r="IM92" s="73"/>
      <c r="IN92" s="73"/>
      <c r="IO92" s="73"/>
      <c r="IP92" s="73"/>
      <c r="IQ92" s="73"/>
      <c r="IR92" s="73"/>
    </row>
    <row r="93" spans="1:252" s="74" customFormat="1" ht="51" x14ac:dyDescent="0.2">
      <c r="A93" s="75">
        <v>41051200</v>
      </c>
      <c r="B93" s="105" t="s">
        <v>779</v>
      </c>
      <c r="C93" s="71">
        <v>2452200</v>
      </c>
      <c r="D93" s="78">
        <v>2452200</v>
      </c>
      <c r="E93" s="78"/>
      <c r="F93" s="71"/>
      <c r="G93" s="72"/>
      <c r="H93" s="73"/>
      <c r="I93" s="73"/>
      <c r="J93" s="73"/>
      <c r="K93" s="73"/>
      <c r="IJ93" s="73"/>
      <c r="IK93" s="73"/>
      <c r="IL93" s="73"/>
      <c r="IM93" s="73"/>
      <c r="IN93" s="73"/>
      <c r="IO93" s="73"/>
      <c r="IP93" s="73"/>
      <c r="IQ93" s="73"/>
      <c r="IR93" s="73"/>
    </row>
    <row r="94" spans="1:252" s="74" customFormat="1" ht="44.25" customHeight="1" x14ac:dyDescent="0.2">
      <c r="A94" s="75">
        <v>41051400</v>
      </c>
      <c r="B94" s="105" t="s">
        <v>959</v>
      </c>
      <c r="C94" s="71">
        <v>5499838</v>
      </c>
      <c r="D94" s="78">
        <v>5499838</v>
      </c>
      <c r="E94" s="78"/>
      <c r="F94" s="71"/>
      <c r="G94" s="72"/>
      <c r="H94" s="73"/>
      <c r="I94" s="73"/>
      <c r="J94" s="73"/>
      <c r="K94" s="73"/>
      <c r="IJ94" s="73"/>
      <c r="IK94" s="73"/>
      <c r="IL94" s="73"/>
      <c r="IM94" s="73"/>
      <c r="IN94" s="73"/>
      <c r="IO94" s="73"/>
      <c r="IP94" s="73"/>
      <c r="IQ94" s="73"/>
      <c r="IR94" s="73"/>
    </row>
    <row r="95" spans="1:252" s="74" customFormat="1" ht="49.5" customHeight="1" x14ac:dyDescent="0.2">
      <c r="A95" s="75">
        <v>41051500</v>
      </c>
      <c r="B95" s="105" t="s">
        <v>701</v>
      </c>
      <c r="C95" s="71">
        <v>6595200</v>
      </c>
      <c r="D95" s="78">
        <v>6595200</v>
      </c>
      <c r="E95" s="71"/>
      <c r="F95" s="71"/>
      <c r="G95" s="72"/>
      <c r="H95" s="73"/>
      <c r="I95" s="73"/>
      <c r="J95" s="73"/>
      <c r="K95" s="73"/>
      <c r="IJ95" s="73"/>
      <c r="IK95" s="73"/>
      <c r="IL95" s="73"/>
      <c r="IM95" s="73"/>
      <c r="IN95" s="73"/>
      <c r="IO95" s="73"/>
      <c r="IP95" s="73"/>
      <c r="IQ95" s="73"/>
      <c r="IR95" s="73"/>
    </row>
    <row r="96" spans="1:252" s="74" customFormat="1" ht="51" x14ac:dyDescent="0.2">
      <c r="A96" s="75">
        <v>41052000</v>
      </c>
      <c r="B96" s="105" t="s">
        <v>702</v>
      </c>
      <c r="C96" s="71">
        <v>6325700</v>
      </c>
      <c r="D96" s="78">
        <v>6325700</v>
      </c>
      <c r="E96" s="71"/>
      <c r="F96" s="71"/>
      <c r="G96" s="72"/>
      <c r="H96" s="73"/>
      <c r="I96" s="73"/>
      <c r="J96" s="73"/>
      <c r="K96" s="73"/>
      <c r="IJ96" s="73"/>
      <c r="IK96" s="73"/>
      <c r="IL96" s="73"/>
      <c r="IM96" s="73"/>
      <c r="IN96" s="73"/>
      <c r="IO96" s="73"/>
      <c r="IP96" s="73"/>
      <c r="IQ96" s="73"/>
      <c r="IR96" s="73"/>
    </row>
    <row r="97" spans="1:252" s="74" customFormat="1" ht="213.75" customHeight="1" x14ac:dyDescent="0.2">
      <c r="A97" s="69">
        <v>41050300</v>
      </c>
      <c r="B97" s="105" t="s">
        <v>651</v>
      </c>
      <c r="C97" s="71">
        <f t="shared" si="1"/>
        <v>337074520</v>
      </c>
      <c r="D97" s="78">
        <v>337074520</v>
      </c>
      <c r="E97" s="71"/>
      <c r="F97" s="71"/>
      <c r="G97" s="72"/>
      <c r="H97" s="73"/>
      <c r="I97" s="73"/>
      <c r="J97" s="73"/>
      <c r="K97" s="73"/>
      <c r="IJ97" s="73"/>
      <c r="IK97" s="73"/>
      <c r="IL97" s="73"/>
      <c r="IM97" s="73"/>
      <c r="IN97" s="73"/>
      <c r="IO97" s="73"/>
      <c r="IP97" s="73"/>
      <c r="IQ97" s="73"/>
      <c r="IR97" s="73"/>
    </row>
    <row r="98" spans="1:252" s="74" customFormat="1" ht="129.75" customHeight="1" x14ac:dyDescent="0.2">
      <c r="A98" s="69">
        <v>41050100</v>
      </c>
      <c r="B98" s="105" t="s">
        <v>652</v>
      </c>
      <c r="C98" s="71">
        <v>523967300</v>
      </c>
      <c r="D98" s="78">
        <v>523967300</v>
      </c>
      <c r="E98" s="71"/>
      <c r="F98" s="71"/>
      <c r="G98" s="72"/>
      <c r="H98" s="73"/>
      <c r="I98" s="73"/>
      <c r="J98" s="73"/>
      <c r="K98" s="73"/>
      <c r="IJ98" s="73"/>
      <c r="IK98" s="73"/>
      <c r="IL98" s="73"/>
      <c r="IM98" s="73"/>
      <c r="IN98" s="73"/>
      <c r="IO98" s="73"/>
      <c r="IP98" s="73"/>
      <c r="IQ98" s="73"/>
      <c r="IR98" s="73"/>
    </row>
    <row r="99" spans="1:252" s="74" customFormat="1" ht="72" customHeight="1" x14ac:dyDescent="0.2">
      <c r="A99" s="69">
        <v>41050200</v>
      </c>
      <c r="B99" s="105" t="s">
        <v>653</v>
      </c>
      <c r="C99" s="71">
        <f t="shared" si="1"/>
        <v>60000</v>
      </c>
      <c r="D99" s="78">
        <v>60000</v>
      </c>
      <c r="E99" s="71"/>
      <c r="F99" s="71"/>
      <c r="G99" s="72"/>
      <c r="H99" s="73"/>
      <c r="I99" s="73"/>
      <c r="J99" s="73"/>
      <c r="K99" s="73"/>
      <c r="IJ99" s="73"/>
      <c r="IK99" s="73"/>
      <c r="IL99" s="73"/>
      <c r="IM99" s="73"/>
      <c r="IN99" s="73"/>
      <c r="IO99" s="73"/>
      <c r="IP99" s="73"/>
      <c r="IQ99" s="73"/>
      <c r="IR99" s="73"/>
    </row>
    <row r="100" spans="1:252" s="74" customFormat="1" ht="168.75" customHeight="1" x14ac:dyDescent="0.2">
      <c r="A100" s="69">
        <v>41050700</v>
      </c>
      <c r="B100" s="105" t="s">
        <v>654</v>
      </c>
      <c r="C100" s="71">
        <f t="shared" si="1"/>
        <v>851000</v>
      </c>
      <c r="D100" s="78">
        <v>851000</v>
      </c>
      <c r="E100" s="71"/>
      <c r="F100" s="71"/>
      <c r="G100" s="72"/>
      <c r="H100" s="73"/>
      <c r="I100" s="73"/>
      <c r="J100" s="73"/>
      <c r="K100" s="73"/>
      <c r="IJ100" s="73"/>
      <c r="IK100" s="73"/>
      <c r="IL100" s="73"/>
      <c r="IM100" s="73"/>
      <c r="IN100" s="73"/>
      <c r="IO100" s="73"/>
      <c r="IP100" s="73"/>
      <c r="IQ100" s="73"/>
      <c r="IR100" s="73"/>
    </row>
    <row r="101" spans="1:252" s="74" customFormat="1" ht="102.75" customHeight="1" x14ac:dyDescent="0.2">
      <c r="A101" s="69">
        <v>41050900</v>
      </c>
      <c r="B101" s="105" t="s">
        <v>960</v>
      </c>
      <c r="C101" s="71">
        <v>660842</v>
      </c>
      <c r="D101" s="78">
        <v>660842</v>
      </c>
      <c r="E101" s="71"/>
      <c r="F101" s="71"/>
      <c r="G101" s="72"/>
      <c r="H101" s="73"/>
      <c r="I101" s="73"/>
      <c r="J101" s="73"/>
      <c r="K101" s="73"/>
      <c r="IJ101" s="73"/>
      <c r="IK101" s="73"/>
      <c r="IL101" s="73"/>
      <c r="IM101" s="73"/>
      <c r="IN101" s="73"/>
      <c r="IO101" s="73"/>
      <c r="IP101" s="73"/>
      <c r="IQ101" s="73"/>
      <c r="IR101" s="73"/>
    </row>
    <row r="102" spans="1:252" s="74" customFormat="1" ht="17.25" customHeight="1" x14ac:dyDescent="0.2">
      <c r="A102" s="69">
        <v>41053900</v>
      </c>
      <c r="B102" s="119" t="s">
        <v>716</v>
      </c>
      <c r="C102" s="71">
        <f t="shared" si="1"/>
        <v>6412726</v>
      </c>
      <c r="D102" s="87">
        <f>SUM(D103:D108)</f>
        <v>6412726</v>
      </c>
      <c r="E102" s="71"/>
      <c r="F102" s="71"/>
      <c r="G102" s="72"/>
      <c r="H102" s="73"/>
      <c r="I102" s="73"/>
      <c r="J102" s="73"/>
      <c r="K102" s="73"/>
      <c r="IJ102" s="73"/>
      <c r="IK102" s="73"/>
      <c r="IL102" s="73"/>
      <c r="IM102" s="73"/>
      <c r="IN102" s="73"/>
      <c r="IO102" s="73"/>
      <c r="IP102" s="73"/>
      <c r="IQ102" s="73"/>
      <c r="IR102" s="73"/>
    </row>
    <row r="103" spans="1:252" s="74" customFormat="1" ht="36" x14ac:dyDescent="0.2">
      <c r="A103" s="69"/>
      <c r="B103" s="120" t="s">
        <v>217</v>
      </c>
      <c r="C103" s="71">
        <f t="shared" si="1"/>
        <v>174859</v>
      </c>
      <c r="D103" s="78">
        <v>174859</v>
      </c>
      <c r="E103" s="71"/>
      <c r="F103" s="71"/>
      <c r="G103" s="72"/>
      <c r="H103" s="73"/>
      <c r="I103" s="73"/>
      <c r="J103" s="73"/>
      <c r="K103" s="73"/>
      <c r="IJ103" s="73"/>
      <c r="IK103" s="73"/>
      <c r="IL103" s="73"/>
      <c r="IM103" s="73"/>
      <c r="IN103" s="73"/>
      <c r="IO103" s="73"/>
      <c r="IP103" s="73"/>
      <c r="IQ103" s="73"/>
      <c r="IR103" s="73"/>
    </row>
    <row r="104" spans="1:252" s="74" customFormat="1" ht="36" x14ac:dyDescent="0.2">
      <c r="A104" s="69"/>
      <c r="B104" s="120" t="s">
        <v>218</v>
      </c>
      <c r="C104" s="71">
        <f t="shared" si="1"/>
        <v>123359</v>
      </c>
      <c r="D104" s="78">
        <v>123359</v>
      </c>
      <c r="E104" s="71"/>
      <c r="F104" s="71"/>
      <c r="G104" s="72"/>
      <c r="H104" s="73"/>
      <c r="I104" s="73"/>
      <c r="J104" s="73"/>
      <c r="K104" s="73"/>
      <c r="IJ104" s="73"/>
      <c r="IK104" s="73"/>
      <c r="IL104" s="73"/>
      <c r="IM104" s="73"/>
      <c r="IN104" s="73"/>
      <c r="IO104" s="73"/>
      <c r="IP104" s="73"/>
      <c r="IQ104" s="73"/>
      <c r="IR104" s="73"/>
    </row>
    <row r="105" spans="1:252" s="94" customFormat="1" ht="24" x14ac:dyDescent="0.2">
      <c r="A105" s="69"/>
      <c r="B105" s="120" t="s">
        <v>219</v>
      </c>
      <c r="C105" s="71">
        <f t="shared" si="1"/>
        <v>168</v>
      </c>
      <c r="D105" s="78">
        <v>168</v>
      </c>
      <c r="E105" s="71"/>
      <c r="F105" s="71"/>
      <c r="G105" s="92"/>
      <c r="H105" s="93"/>
      <c r="I105" s="93"/>
      <c r="J105" s="93"/>
      <c r="K105" s="93"/>
      <c r="IJ105" s="93"/>
      <c r="IK105" s="93"/>
      <c r="IL105" s="93"/>
      <c r="IM105" s="93"/>
      <c r="IN105" s="93"/>
      <c r="IO105" s="93"/>
      <c r="IP105" s="93"/>
      <c r="IQ105" s="93"/>
      <c r="IR105" s="93"/>
    </row>
    <row r="106" spans="1:252" ht="24" x14ac:dyDescent="0.2">
      <c r="A106" s="69"/>
      <c r="B106" s="120" t="s">
        <v>220</v>
      </c>
      <c r="C106" s="71">
        <f t="shared" si="1"/>
        <v>188940</v>
      </c>
      <c r="D106" s="78">
        <v>188940</v>
      </c>
      <c r="E106" s="71"/>
      <c r="F106" s="71"/>
      <c r="G106" s="59"/>
    </row>
    <row r="107" spans="1:252" ht="24" x14ac:dyDescent="0.2">
      <c r="A107" s="69"/>
      <c r="B107" s="120" t="s">
        <v>1000</v>
      </c>
      <c r="C107" s="71">
        <f t="shared" si="1"/>
        <v>4500000</v>
      </c>
      <c r="D107" s="78">
        <v>4500000</v>
      </c>
      <c r="E107" s="71"/>
      <c r="F107" s="71"/>
      <c r="G107" s="59"/>
    </row>
    <row r="108" spans="1:252" ht="24" x14ac:dyDescent="0.2">
      <c r="A108" s="69"/>
      <c r="B108" s="120" t="s">
        <v>1001</v>
      </c>
      <c r="C108" s="71">
        <f t="shared" si="1"/>
        <v>1425400</v>
      </c>
      <c r="D108" s="78">
        <v>1425400</v>
      </c>
      <c r="E108" s="71"/>
      <c r="F108" s="71"/>
      <c r="G108" s="59"/>
    </row>
    <row r="109" spans="1:252" s="125" customFormat="1" ht="20.25" x14ac:dyDescent="0.25">
      <c r="A109" s="121"/>
      <c r="B109" s="122" t="s">
        <v>221</v>
      </c>
      <c r="C109" s="71">
        <f t="shared" si="1"/>
        <v>3185063853.3299999</v>
      </c>
      <c r="D109" s="87">
        <f>SUM(D83,D84,D86)</f>
        <v>3033262707.3299999</v>
      </c>
      <c r="E109" s="87">
        <f>SUM(E83,E86)</f>
        <v>151801146</v>
      </c>
      <c r="F109" s="87">
        <f>SUM(F83:F86)</f>
        <v>32064200</v>
      </c>
      <c r="G109" s="123"/>
      <c r="H109" s="124"/>
      <c r="I109" s="124"/>
      <c r="J109" s="124"/>
      <c r="K109" s="124"/>
      <c r="IJ109" s="124"/>
      <c r="IK109" s="124"/>
      <c r="IL109" s="124"/>
      <c r="IM109" s="124"/>
      <c r="IN109" s="124"/>
      <c r="IO109" s="124"/>
      <c r="IP109" s="124"/>
      <c r="IQ109" s="124"/>
      <c r="IR109" s="124"/>
    </row>
    <row r="110" spans="1:252" x14ac:dyDescent="0.2">
      <c r="G110" s="59"/>
    </row>
    <row r="111" spans="1:252" ht="15.75" x14ac:dyDescent="0.25">
      <c r="B111" s="401" t="s">
        <v>1042</v>
      </c>
      <c r="E111" s="401" t="s">
        <v>1043</v>
      </c>
      <c r="G111" s="59"/>
    </row>
    <row r="112" spans="1:252" ht="15.75" x14ac:dyDescent="0.25">
      <c r="B112" s="401"/>
      <c r="E112" s="401"/>
      <c r="G112" s="59"/>
    </row>
    <row r="113" spans="1:7" ht="15.75" x14ac:dyDescent="0.25">
      <c r="A113" s="124"/>
      <c r="B113" s="401" t="s">
        <v>222</v>
      </c>
      <c r="C113" s="401"/>
      <c r="D113" s="401"/>
      <c r="E113" s="401" t="s">
        <v>223</v>
      </c>
      <c r="F113" s="124"/>
      <c r="G113" s="59"/>
    </row>
    <row r="114" spans="1:7" x14ac:dyDescent="0.2">
      <c r="A114" s="59"/>
      <c r="B114" s="59"/>
      <c r="C114" s="59"/>
      <c r="D114" s="59"/>
      <c r="E114" s="59"/>
      <c r="F114" s="59"/>
      <c r="G114" s="59"/>
    </row>
    <row r="115" spans="1:7" x14ac:dyDescent="0.2">
      <c r="A115" s="59"/>
      <c r="B115" s="59"/>
      <c r="C115" s="59"/>
      <c r="D115" s="126"/>
      <c r="E115" s="59"/>
      <c r="F115" s="59"/>
      <c r="G115" s="59"/>
    </row>
    <row r="116" spans="1:7" x14ac:dyDescent="0.2">
      <c r="A116" s="59"/>
      <c r="B116" s="59"/>
      <c r="C116" s="59"/>
      <c r="D116" s="127"/>
      <c r="E116" s="59"/>
      <c r="F116" s="59"/>
      <c r="G116" s="59"/>
    </row>
    <row r="117" spans="1:7" x14ac:dyDescent="0.2">
      <c r="A117" s="59"/>
      <c r="B117" s="59"/>
      <c r="C117" s="59"/>
      <c r="D117" s="59"/>
      <c r="E117" s="59"/>
      <c r="F117" s="59"/>
      <c r="G117" s="59"/>
    </row>
    <row r="159" spans="5:5" ht="18.75" x14ac:dyDescent="0.3">
      <c r="E159" s="181"/>
    </row>
  </sheetData>
  <mergeCells count="10">
    <mergeCell ref="D1:G1"/>
    <mergeCell ref="D2:G2"/>
    <mergeCell ref="D3:G3"/>
    <mergeCell ref="A4:E4"/>
    <mergeCell ref="A5:E5"/>
    <mergeCell ref="A7:A8"/>
    <mergeCell ref="B7:B8"/>
    <mergeCell ref="C7:C8"/>
    <mergeCell ref="D7:D8"/>
    <mergeCell ref="E7:F7"/>
  </mergeCells>
  <hyperlinks>
    <hyperlink ref="B75" location="_ftn1" display="_ftn1" xr:uid="{00000000-0004-0000-0000-000000000000}"/>
    <hyperlink ref="B74" location="_ftn1" display="_ftn1" xr:uid="{00000000-0004-0000-0000-000001000000}"/>
    <hyperlink ref="B60" location="_ftn1" display="_ftn1" xr:uid="{00000000-0004-0000-0000-000002000000}"/>
    <hyperlink ref="B15" location="_ftn1" display="_ftn1" xr:uid="{00000000-0004-0000-0000-000003000000}"/>
    <hyperlink ref="B14" location="_ftn1" display="_ftn1" xr:uid="{00000000-0004-0000-0000-000004000000}"/>
    <hyperlink ref="B43" location="_ftn1" display="_ftn1" xr:uid="{00000000-0004-0000-0000-000005000000}"/>
    <hyperlink ref="B78" location="_ftn1" display="_ftn1" xr:uid="{00000000-0004-0000-0000-000006000000}"/>
    <hyperlink ref="B79" location="_ftn1" display="_ftn1" xr:uid="{00000000-0004-0000-0000-000007000000}"/>
    <hyperlink ref="B48" location="_ftn1" display="_ftn1" xr:uid="{00000000-0004-0000-0000-000008000000}"/>
    <hyperlink ref="B49" location="_ftn1" display="_ftn1" xr:uid="{00000000-0004-0000-0000-000009000000}"/>
  </hyperlinks>
  <printOptions horizontalCentered="1"/>
  <pageMargins left="0.35433070866141736" right="0.15748031496062992" top="0.59055118110236227" bottom="0.51181102362204722" header="0.51181102362204722" footer="0.51181102362204722"/>
  <pageSetup paperSize="9" scale="85" fitToHeight="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FF"/>
  </sheetPr>
  <dimension ref="A1:V243"/>
  <sheetViews>
    <sheetView view="pageBreakPreview" zoomScale="25" zoomScaleNormal="25" zoomScaleSheetLayoutView="25" zoomScalePageLayoutView="10" workbookViewId="0">
      <pane ySplit="11" topLeftCell="A32" activePane="bottomLeft" state="frozen"/>
      <selection pane="bottomLeft" activeCell="P31" sqref="P31"/>
    </sheetView>
  </sheetViews>
  <sheetFormatPr defaultRowHeight="12.75" x14ac:dyDescent="0.2"/>
  <cols>
    <col min="1" max="3" width="43.42578125" style="2" customWidth="1"/>
    <col min="4" max="4" width="106.28515625" style="2" customWidth="1"/>
    <col min="5" max="5" width="66.42578125" style="8" customWidth="1"/>
    <col min="6" max="6" width="58.5703125" style="12" customWidth="1"/>
    <col min="7" max="7" width="55.42578125" style="2" customWidth="1"/>
    <col min="8" max="8" width="48.140625" style="2" customWidth="1"/>
    <col min="9" max="9" width="32.7109375" style="12" customWidth="1"/>
    <col min="10" max="10" width="50.5703125" style="8" customWidth="1"/>
    <col min="11" max="11" width="56.140625" style="12" customWidth="1"/>
    <col min="12" max="12" width="54.85546875" style="2" customWidth="1"/>
    <col min="13" max="13" width="44.28515625" style="2" customWidth="1"/>
    <col min="14" max="14" width="54.7109375" style="12" customWidth="1"/>
    <col min="15" max="15" width="55.5703125" style="2" customWidth="1"/>
    <col min="16" max="16" width="86.28515625" style="8" customWidth="1"/>
    <col min="17" max="17" width="31" customWidth="1"/>
    <col min="18" max="18" width="78.42578125" customWidth="1"/>
    <col min="19" max="19" width="29.7109375" customWidth="1"/>
    <col min="20" max="20" width="24.7109375" bestFit="1" customWidth="1"/>
  </cols>
  <sheetData>
    <row r="1" spans="1:18" ht="45.75" x14ac:dyDescent="0.2">
      <c r="D1" s="513"/>
      <c r="E1" s="514"/>
      <c r="F1" s="16"/>
      <c r="G1" s="17"/>
      <c r="H1" s="17"/>
      <c r="I1" s="17"/>
      <c r="J1" s="514"/>
      <c r="K1" s="17"/>
      <c r="L1" s="17"/>
      <c r="M1" s="17"/>
      <c r="N1" s="593"/>
      <c r="O1" s="593"/>
      <c r="P1" s="593"/>
    </row>
    <row r="2" spans="1:18" ht="45.75" x14ac:dyDescent="0.2">
      <c r="A2" s="513"/>
      <c r="B2" s="513"/>
      <c r="C2" s="513"/>
      <c r="D2" s="513"/>
      <c r="E2" s="514"/>
      <c r="F2" s="16"/>
      <c r="G2" s="17"/>
      <c r="H2" s="17"/>
      <c r="I2" s="17"/>
      <c r="J2" s="514"/>
      <c r="K2" s="17"/>
      <c r="L2" s="17"/>
      <c r="M2" s="17"/>
      <c r="N2" s="593"/>
      <c r="O2" s="594"/>
      <c r="P2" s="594"/>
    </row>
    <row r="3" spans="1:18" ht="40.5" customHeight="1" x14ac:dyDescent="0.2">
      <c r="A3" s="513"/>
      <c r="B3" s="513"/>
      <c r="C3" s="513"/>
      <c r="D3" s="513"/>
      <c r="E3" s="514"/>
      <c r="F3" s="16"/>
      <c r="G3" s="17"/>
      <c r="H3" s="17"/>
      <c r="I3" s="17"/>
      <c r="J3" s="514"/>
      <c r="K3" s="17"/>
      <c r="L3" s="17"/>
      <c r="M3" s="17"/>
      <c r="N3" s="593"/>
      <c r="O3" s="594"/>
      <c r="P3" s="594"/>
    </row>
    <row r="4" spans="1:18" ht="45.75" hidden="1" x14ac:dyDescent="0.2">
      <c r="A4" s="513"/>
      <c r="B4" s="513"/>
      <c r="C4" s="513"/>
      <c r="D4" s="513"/>
      <c r="E4" s="514"/>
      <c r="F4" s="16"/>
      <c r="G4" s="17"/>
      <c r="H4" s="17"/>
      <c r="I4" s="17"/>
      <c r="J4" s="514"/>
      <c r="K4" s="17"/>
      <c r="L4" s="17"/>
      <c r="M4" s="17"/>
      <c r="N4" s="197"/>
      <c r="O4" s="513"/>
      <c r="P4" s="512"/>
    </row>
    <row r="5" spans="1:18" ht="45" x14ac:dyDescent="0.2">
      <c r="A5" s="596" t="s">
        <v>1041</v>
      </c>
      <c r="B5" s="596"/>
      <c r="C5" s="596"/>
      <c r="D5" s="596"/>
      <c r="E5" s="596"/>
      <c r="F5" s="596"/>
      <c r="G5" s="596"/>
      <c r="H5" s="596"/>
      <c r="I5" s="596"/>
      <c r="J5" s="596"/>
      <c r="K5" s="596"/>
      <c r="L5" s="596"/>
      <c r="M5" s="596"/>
      <c r="N5" s="596"/>
      <c r="O5" s="596"/>
      <c r="P5" s="596"/>
    </row>
    <row r="6" spans="1:18" ht="45" x14ac:dyDescent="0.2">
      <c r="A6" s="596" t="s">
        <v>641</v>
      </c>
      <c r="B6" s="596"/>
      <c r="C6" s="596"/>
      <c r="D6" s="596"/>
      <c r="E6" s="596"/>
      <c r="F6" s="596"/>
      <c r="G6" s="596"/>
      <c r="H6" s="596"/>
      <c r="I6" s="596"/>
      <c r="J6" s="596"/>
      <c r="K6" s="596"/>
      <c r="L6" s="596"/>
      <c r="M6" s="596"/>
      <c r="N6" s="596"/>
      <c r="O6" s="596"/>
      <c r="P6" s="596"/>
    </row>
    <row r="7" spans="1:18" ht="53.25" customHeight="1" x14ac:dyDescent="0.2">
      <c r="A7" s="514"/>
      <c r="B7" s="514"/>
      <c r="C7" s="514"/>
      <c r="D7" s="514"/>
      <c r="E7" s="514"/>
      <c r="F7" s="16"/>
      <c r="G7" s="514"/>
      <c r="H7" s="514"/>
      <c r="I7" s="17"/>
      <c r="J7" s="514"/>
      <c r="K7" s="17"/>
      <c r="L7" s="514"/>
      <c r="M7" s="514"/>
      <c r="N7" s="17"/>
      <c r="O7" s="514"/>
      <c r="P7" s="19" t="s">
        <v>134</v>
      </c>
    </row>
    <row r="8" spans="1:18" ht="62.25" customHeight="1" x14ac:dyDescent="0.2">
      <c r="A8" s="597" t="s">
        <v>41</v>
      </c>
      <c r="B8" s="597" t="s">
        <v>42</v>
      </c>
      <c r="C8" s="601" t="s">
        <v>43</v>
      </c>
      <c r="D8" s="597" t="s">
        <v>45</v>
      </c>
      <c r="E8" s="595" t="s">
        <v>36</v>
      </c>
      <c r="F8" s="595"/>
      <c r="G8" s="595"/>
      <c r="H8" s="595"/>
      <c r="I8" s="595"/>
      <c r="J8" s="595" t="s">
        <v>124</v>
      </c>
      <c r="K8" s="595"/>
      <c r="L8" s="595"/>
      <c r="M8" s="595"/>
      <c r="N8" s="595"/>
      <c r="O8" s="20"/>
      <c r="P8" s="595" t="s">
        <v>35</v>
      </c>
    </row>
    <row r="9" spans="1:18" ht="255" customHeight="1" x14ac:dyDescent="0.2">
      <c r="A9" s="598"/>
      <c r="B9" s="600"/>
      <c r="C9" s="600"/>
      <c r="D9" s="598"/>
      <c r="E9" s="578" t="s">
        <v>7</v>
      </c>
      <c r="F9" s="579" t="s">
        <v>125</v>
      </c>
      <c r="G9" s="578" t="s">
        <v>37</v>
      </c>
      <c r="H9" s="578"/>
      <c r="I9" s="579" t="s">
        <v>127</v>
      </c>
      <c r="J9" s="578" t="s">
        <v>7</v>
      </c>
      <c r="K9" s="579" t="s">
        <v>125</v>
      </c>
      <c r="L9" s="578" t="s">
        <v>37</v>
      </c>
      <c r="M9" s="578"/>
      <c r="N9" s="579" t="s">
        <v>127</v>
      </c>
      <c r="O9" s="504" t="s">
        <v>37</v>
      </c>
      <c r="P9" s="595"/>
    </row>
    <row r="10" spans="1:18" ht="137.25" x14ac:dyDescent="0.2">
      <c r="A10" s="599"/>
      <c r="B10" s="599"/>
      <c r="C10" s="599"/>
      <c r="D10" s="599"/>
      <c r="E10" s="578"/>
      <c r="F10" s="579"/>
      <c r="G10" s="504" t="s">
        <v>126</v>
      </c>
      <c r="H10" s="504" t="s">
        <v>40</v>
      </c>
      <c r="I10" s="579"/>
      <c r="J10" s="578"/>
      <c r="K10" s="579"/>
      <c r="L10" s="504" t="s">
        <v>126</v>
      </c>
      <c r="M10" s="504" t="s">
        <v>40</v>
      </c>
      <c r="N10" s="579"/>
      <c r="O10" s="504" t="s">
        <v>32</v>
      </c>
      <c r="P10" s="595"/>
    </row>
    <row r="11" spans="1:18" s="3" customFormat="1" ht="45.75" x14ac:dyDescent="0.2">
      <c r="A11" s="21" t="s">
        <v>9</v>
      </c>
      <c r="B11" s="21" t="s">
        <v>10</v>
      </c>
      <c r="C11" s="21" t="s">
        <v>39</v>
      </c>
      <c r="D11" s="21" t="s">
        <v>12</v>
      </c>
      <c r="E11" s="22">
        <v>5</v>
      </c>
      <c r="F11" s="505">
        <v>6</v>
      </c>
      <c r="G11" s="22">
        <v>7</v>
      </c>
      <c r="H11" s="22">
        <v>8</v>
      </c>
      <c r="I11" s="195">
        <v>9</v>
      </c>
      <c r="J11" s="22">
        <v>10</v>
      </c>
      <c r="K11" s="195">
        <v>11</v>
      </c>
      <c r="L11" s="22">
        <v>12</v>
      </c>
      <c r="M11" s="22">
        <v>13</v>
      </c>
      <c r="N11" s="195">
        <v>14</v>
      </c>
      <c r="O11" s="22">
        <v>15</v>
      </c>
      <c r="P11" s="22">
        <v>16</v>
      </c>
    </row>
    <row r="12" spans="1:18" s="3" customFormat="1" ht="135" x14ac:dyDescent="0.2">
      <c r="A12" s="473" t="s">
        <v>302</v>
      </c>
      <c r="B12" s="473"/>
      <c r="C12" s="473"/>
      <c r="D12" s="470" t="s">
        <v>304</v>
      </c>
      <c r="E12" s="478">
        <f>E13</f>
        <v>-60371754</v>
      </c>
      <c r="F12" s="478">
        <f t="shared" ref="F12:P12" si="0">F13</f>
        <v>-60371754</v>
      </c>
      <c r="G12" s="478">
        <f t="shared" si="0"/>
        <v>-44503570</v>
      </c>
      <c r="H12" s="478">
        <f t="shared" si="0"/>
        <v>-1707400</v>
      </c>
      <c r="I12" s="478">
        <f t="shared" si="0"/>
        <v>0</v>
      </c>
      <c r="J12" s="478">
        <f t="shared" si="0"/>
        <v>1175940</v>
      </c>
      <c r="K12" s="478">
        <f t="shared" si="0"/>
        <v>-1234000</v>
      </c>
      <c r="L12" s="478">
        <f t="shared" si="0"/>
        <v>0</v>
      </c>
      <c r="M12" s="478">
        <f t="shared" si="0"/>
        <v>0</v>
      </c>
      <c r="N12" s="478">
        <f t="shared" si="0"/>
        <v>2409940</v>
      </c>
      <c r="O12" s="479">
        <f t="shared" si="0"/>
        <v>2699940</v>
      </c>
      <c r="P12" s="478">
        <f t="shared" si="0"/>
        <v>-59195814</v>
      </c>
    </row>
    <row r="13" spans="1:18" s="3" customFormat="1" ht="135" x14ac:dyDescent="0.2">
      <c r="A13" s="480" t="s">
        <v>303</v>
      </c>
      <c r="B13" s="480"/>
      <c r="C13" s="480"/>
      <c r="D13" s="474" t="s">
        <v>305</v>
      </c>
      <c r="E13" s="475">
        <f>F13</f>
        <v>-60371754</v>
      </c>
      <c r="F13" s="476">
        <f>F14+F15+F26+F20+F27+F16+F22+F21+F29+F17+F28</f>
        <v>-60371754</v>
      </c>
      <c r="G13" s="476">
        <f t="shared" ref="G13:H13" si="1">G14+G15+G26+G20+G27+G16+G22+G21+G29+G17</f>
        <v>-44503570</v>
      </c>
      <c r="H13" s="476">
        <f t="shared" si="1"/>
        <v>-1707400</v>
      </c>
      <c r="I13" s="476">
        <v>0</v>
      </c>
      <c r="J13" s="471">
        <f t="shared" ref="J13" si="2">K13+N13</f>
        <v>1175940</v>
      </c>
      <c r="K13" s="476">
        <f>K14+K15+K26+K20+K27+K16+K23+K21+K29+K17+K18+K28</f>
        <v>-1234000</v>
      </c>
      <c r="L13" s="476">
        <f>L14+L15+L26+L20+L27+L16</f>
        <v>0</v>
      </c>
      <c r="M13" s="476">
        <f>M14+M15+M26+M20+M27+M16</f>
        <v>0</v>
      </c>
      <c r="N13" s="476">
        <f>N14+N15+N26+N20+N27+N16+N23+N21+N29+N18+N28</f>
        <v>2409940</v>
      </c>
      <c r="O13" s="476">
        <f>O14+O15+O26+O20+O27+O16+O23+O21+O29+O18+O28</f>
        <v>2699940</v>
      </c>
      <c r="P13" s="475">
        <f>J13+E13</f>
        <v>-59195814</v>
      </c>
      <c r="Q13" s="228" t="b">
        <f>P14+P15+P16+P17+P18+P20+P21+P22+P23+P26+P27+P29+P28=P13</f>
        <v>1</v>
      </c>
      <c r="R13" s="228"/>
    </row>
    <row r="14" spans="1:18" ht="320.25" x14ac:dyDescent="0.2">
      <c r="A14" s="516" t="s">
        <v>428</v>
      </c>
      <c r="B14" s="516" t="s">
        <v>429</v>
      </c>
      <c r="C14" s="516" t="s">
        <v>430</v>
      </c>
      <c r="D14" s="516" t="s">
        <v>427</v>
      </c>
      <c r="E14" s="372">
        <f>'dod3'!E14-'dod3 жовтень'!E14</f>
        <v>-1200000</v>
      </c>
      <c r="F14" s="372">
        <f>'dod3'!F14-'dod3 жовтень'!F14</f>
        <v>-1200000</v>
      </c>
      <c r="G14" s="372">
        <f>'dod3'!G14-'dod3 жовтень'!G14</f>
        <v>-1100000</v>
      </c>
      <c r="H14" s="372">
        <f>'dod3'!H14-'dod3 жовтень'!H14</f>
        <v>50000</v>
      </c>
      <c r="I14" s="372">
        <f>'dod3'!I14-'dod3 жовтень'!I14</f>
        <v>0</v>
      </c>
      <c r="J14" s="372">
        <f>'dod3'!J14-'dod3 жовтень'!J14</f>
        <v>0</v>
      </c>
      <c r="K14" s="372">
        <f>'dod3'!K14-'dod3 жовтень'!K14</f>
        <v>0</v>
      </c>
      <c r="L14" s="372">
        <f>'dod3'!L14-'dod3 жовтень'!L14</f>
        <v>0</v>
      </c>
      <c r="M14" s="372">
        <f>'dod3'!M14-'dod3 жовтень'!M14</f>
        <v>0</v>
      </c>
      <c r="N14" s="372">
        <f>'dod3'!N14-'dod3 жовтень'!N14</f>
        <v>0</v>
      </c>
      <c r="O14" s="372">
        <f>'dod3'!O14-'dod3 жовтень'!O14</f>
        <v>0</v>
      </c>
      <c r="P14" s="372">
        <f>'dod3'!P14-'dod3 жовтень'!P14</f>
        <v>-1200000</v>
      </c>
    </row>
    <row r="15" spans="1:18" ht="228.75" x14ac:dyDescent="0.2">
      <c r="A15" s="516" t="s">
        <v>432</v>
      </c>
      <c r="B15" s="516" t="s">
        <v>433</v>
      </c>
      <c r="C15" s="516" t="s">
        <v>430</v>
      </c>
      <c r="D15" s="516" t="s">
        <v>431</v>
      </c>
      <c r="E15" s="372">
        <f>0-'dod3 жовтень'!E15</f>
        <v>-59153754</v>
      </c>
      <c r="F15" s="372">
        <f>0-'dod3 жовтень'!F15</f>
        <v>-59153754</v>
      </c>
      <c r="G15" s="372">
        <f>0-'dod3 жовтень'!G15</f>
        <v>-43212570</v>
      </c>
      <c r="H15" s="372">
        <f>0-'dod3 жовтень'!H15</f>
        <v>-1757400</v>
      </c>
      <c r="I15" s="372">
        <f>0-'dod3 жовтень'!I15</f>
        <v>0</v>
      </c>
      <c r="J15" s="372">
        <f>0-'dod3 жовтень'!J15</f>
        <v>-450000</v>
      </c>
      <c r="K15" s="372">
        <f>0-'dod3 жовтень'!K15</f>
        <v>0</v>
      </c>
      <c r="L15" s="372">
        <f>0-'dod3 жовтень'!L15</f>
        <v>0</v>
      </c>
      <c r="M15" s="372">
        <f>0-'dod3 жовтень'!M15</f>
        <v>0</v>
      </c>
      <c r="N15" s="372">
        <f>0-'dod3 жовтень'!N15</f>
        <v>-450000</v>
      </c>
      <c r="O15" s="372">
        <f>0-'dod3 жовтень'!O15</f>
        <v>-450000</v>
      </c>
      <c r="P15" s="372">
        <f>0-'dod3 жовтень'!P15</f>
        <v>-59603754</v>
      </c>
    </row>
    <row r="16" spans="1:18" ht="91.5" x14ac:dyDescent="0.2">
      <c r="A16" s="516" t="s">
        <v>445</v>
      </c>
      <c r="B16" s="516" t="s">
        <v>103</v>
      </c>
      <c r="C16" s="516" t="s">
        <v>102</v>
      </c>
      <c r="D16" s="516" t="s">
        <v>446</v>
      </c>
      <c r="E16" s="372">
        <f>'dod3'!E16-'dod3 жовтень'!E16</f>
        <v>0</v>
      </c>
      <c r="F16" s="372">
        <f>'dod3'!F16-'dod3 жовтень'!F16</f>
        <v>0</v>
      </c>
      <c r="G16" s="372">
        <f>'dod3'!G16-'dod3 жовтень'!G16</f>
        <v>0</v>
      </c>
      <c r="H16" s="372">
        <f>'dod3'!H16-'dod3 жовтень'!H16</f>
        <v>0</v>
      </c>
      <c r="I16" s="372">
        <f>'dod3'!I16-'dod3 жовтень'!I16</f>
        <v>0</v>
      </c>
      <c r="J16" s="372">
        <f>'dod3'!J16-'dod3 жовтень'!J16</f>
        <v>0</v>
      </c>
      <c r="K16" s="372">
        <f>'dod3'!K16-'dod3 жовтень'!K16</f>
        <v>0</v>
      </c>
      <c r="L16" s="372">
        <f>'dod3'!L16-'dod3 жовтень'!L16</f>
        <v>0</v>
      </c>
      <c r="M16" s="372">
        <f>'dod3'!M16-'dod3 жовтень'!M16</f>
        <v>0</v>
      </c>
      <c r="N16" s="372">
        <f>'dod3'!N16-'dod3 жовтень'!N16</f>
        <v>0</v>
      </c>
      <c r="O16" s="372">
        <f>'dod3'!O16-'dod3 жовтень'!O16</f>
        <v>0</v>
      </c>
      <c r="P16" s="372">
        <f>'dod3'!P16-'dod3 жовтень'!P16</f>
        <v>0</v>
      </c>
    </row>
    <row r="17" spans="1:18" ht="91.5" x14ac:dyDescent="0.2">
      <c r="A17" s="516" t="s">
        <v>927</v>
      </c>
      <c r="B17" s="516" t="s">
        <v>928</v>
      </c>
      <c r="C17" s="516" t="s">
        <v>929</v>
      </c>
      <c r="D17" s="516" t="s">
        <v>926</v>
      </c>
      <c r="E17" s="372">
        <f>0-'dod3 жовтень'!E17</f>
        <v>-233000</v>
      </c>
      <c r="F17" s="372">
        <f>0-'dod3 жовтень'!F17</f>
        <v>-233000</v>
      </c>
      <c r="G17" s="372">
        <f>0-'dod3 жовтень'!G17</f>
        <v>-191000</v>
      </c>
      <c r="H17" s="372">
        <f>0-'dod3 жовтень'!H17</f>
        <v>0</v>
      </c>
      <c r="I17" s="372">
        <f>0-'dod3 жовтень'!I17</f>
        <v>0</v>
      </c>
      <c r="J17" s="372">
        <f>0-'dod3 жовтень'!J17</f>
        <v>0</v>
      </c>
      <c r="K17" s="372">
        <f>0-'dod3 жовтень'!K17</f>
        <v>0</v>
      </c>
      <c r="L17" s="372">
        <f>0-'dod3 жовтень'!L17</f>
        <v>0</v>
      </c>
      <c r="M17" s="372">
        <f>0-'dod3 жовтень'!M17</f>
        <v>0</v>
      </c>
      <c r="N17" s="372">
        <f>0-'dod3 жовтень'!N17</f>
        <v>0</v>
      </c>
      <c r="O17" s="372">
        <f>0-'dod3 жовтень'!O17</f>
        <v>0</v>
      </c>
      <c r="P17" s="372">
        <f>0-'dod3 жовтень'!P17</f>
        <v>-233000</v>
      </c>
    </row>
    <row r="18" spans="1:18" ht="91.5" x14ac:dyDescent="0.2">
      <c r="A18" s="516" t="s">
        <v>940</v>
      </c>
      <c r="B18" s="516" t="s">
        <v>706</v>
      </c>
      <c r="C18" s="516"/>
      <c r="D18" s="516" t="s">
        <v>832</v>
      </c>
      <c r="E18" s="372">
        <f>'dod3'!E18-'dod3 жовтень'!E18</f>
        <v>0</v>
      </c>
      <c r="F18" s="372">
        <f>'dod3'!F18-'dod3 жовтень'!F18</f>
        <v>0</v>
      </c>
      <c r="G18" s="372">
        <f>'dod3'!G18-'dod3 жовтень'!G18</f>
        <v>0</v>
      </c>
      <c r="H18" s="372">
        <f>'dod3'!H18-'dod3 жовтень'!H18</f>
        <v>0</v>
      </c>
      <c r="I18" s="372">
        <f>'dod3'!I18-'dod3 жовтень'!I18</f>
        <v>0</v>
      </c>
      <c r="J18" s="372">
        <f>'dod3'!J18-'dod3 жовтень'!J18</f>
        <v>0</v>
      </c>
      <c r="K18" s="372">
        <f>'dod3'!K18-'dod3 жовтень'!K18</f>
        <v>0</v>
      </c>
      <c r="L18" s="372">
        <f>'dod3'!L18-'dod3 жовтень'!L18</f>
        <v>0</v>
      </c>
      <c r="M18" s="372">
        <f>'dod3'!M18-'dod3 жовтень'!M18</f>
        <v>0</v>
      </c>
      <c r="N18" s="372">
        <f>'dod3'!N18-'dod3 жовтень'!N18</f>
        <v>0</v>
      </c>
      <c r="O18" s="372">
        <f>'dod3'!O18-'dod3 жовтень'!O18</f>
        <v>0</v>
      </c>
      <c r="P18" s="372">
        <f>'dod3'!P18-'dod3 жовтень'!P18</f>
        <v>0</v>
      </c>
    </row>
    <row r="19" spans="1:18" ht="366" x14ac:dyDescent="0.2">
      <c r="A19" s="509" t="s">
        <v>937</v>
      </c>
      <c r="B19" s="509" t="s">
        <v>938</v>
      </c>
      <c r="C19" s="509" t="s">
        <v>708</v>
      </c>
      <c r="D19" s="509" t="s">
        <v>939</v>
      </c>
      <c r="E19" s="372">
        <f>'dod3'!E19-'dod3 жовтень'!E19</f>
        <v>0</v>
      </c>
      <c r="F19" s="372">
        <f>'dod3'!F19-'dod3 жовтень'!F19</f>
        <v>0</v>
      </c>
      <c r="G19" s="372">
        <f>'dod3'!G19-'dod3 жовтень'!G19</f>
        <v>0</v>
      </c>
      <c r="H19" s="372">
        <f>'dod3'!H19-'dod3 жовтень'!H19</f>
        <v>0</v>
      </c>
      <c r="I19" s="372">
        <f>'dod3'!I19-'dod3 жовтень'!I19</f>
        <v>0</v>
      </c>
      <c r="J19" s="372">
        <f>'dod3'!J19-'dod3 жовтень'!J19</f>
        <v>0</v>
      </c>
      <c r="K19" s="372">
        <f>'dod3'!K19-'dod3 жовтень'!K19</f>
        <v>0</v>
      </c>
      <c r="L19" s="372">
        <f>'dod3'!L19-'dod3 жовтень'!L19</f>
        <v>0</v>
      </c>
      <c r="M19" s="372">
        <f>'dod3'!M19-'dod3 жовтень'!M19</f>
        <v>0</v>
      </c>
      <c r="N19" s="372">
        <f>'dod3'!N19-'dod3 жовтень'!N19</f>
        <v>0</v>
      </c>
      <c r="O19" s="372">
        <f>'dod3'!O19-'dod3 жовтень'!O19</f>
        <v>0</v>
      </c>
      <c r="P19" s="372">
        <f>'dod3'!P19-'dod3 жовтень'!P19</f>
        <v>0</v>
      </c>
    </row>
    <row r="20" spans="1:18" ht="91.5" x14ac:dyDescent="0.2">
      <c r="A20" s="516" t="s">
        <v>435</v>
      </c>
      <c r="B20" s="516" t="s">
        <v>436</v>
      </c>
      <c r="C20" s="516" t="s">
        <v>437</v>
      </c>
      <c r="D20" s="516" t="s">
        <v>434</v>
      </c>
      <c r="E20" s="372">
        <f>'dod3'!E20-'dod3 жовтень'!E20</f>
        <v>0</v>
      </c>
      <c r="F20" s="372">
        <f>'dod3'!F20-'dod3 жовтень'!F20</f>
        <v>0</v>
      </c>
      <c r="G20" s="372">
        <f>'dod3'!G20-'dod3 жовтень'!G20</f>
        <v>0</v>
      </c>
      <c r="H20" s="372">
        <f>'dod3'!H20-'dod3 жовтень'!H20</f>
        <v>0</v>
      </c>
      <c r="I20" s="372">
        <f>'dod3'!I20-'dod3 жовтень'!I20</f>
        <v>0</v>
      </c>
      <c r="J20" s="372">
        <f>'dod3'!J20-'dod3 жовтень'!J20</f>
        <v>0</v>
      </c>
      <c r="K20" s="372">
        <f>'dod3'!K20-'dod3 жовтень'!K20</f>
        <v>0</v>
      </c>
      <c r="L20" s="372">
        <f>'dod3'!L20-'dod3 жовтень'!L20</f>
        <v>0</v>
      </c>
      <c r="M20" s="372">
        <f>'dod3'!M20-'dod3 жовтень'!M20</f>
        <v>0</v>
      </c>
      <c r="N20" s="372">
        <f>'dod3'!N20-'dod3 жовтень'!N20</f>
        <v>0</v>
      </c>
      <c r="O20" s="372">
        <f>'dod3'!O20-'dod3 жовтень'!O20</f>
        <v>0</v>
      </c>
      <c r="P20" s="372">
        <f>'dod3'!P20-'dod3 жовтень'!P20</f>
        <v>0</v>
      </c>
    </row>
    <row r="21" spans="1:18" ht="91.5" hidden="1" x14ac:dyDescent="0.2">
      <c r="A21" s="516" t="s">
        <v>646</v>
      </c>
      <c r="B21" s="429" t="s">
        <v>373</v>
      </c>
      <c r="C21" s="429" t="s">
        <v>324</v>
      </c>
      <c r="D21" s="516" t="s">
        <v>89</v>
      </c>
      <c r="E21" s="372">
        <f>'dod3'!E21-'dod3 жовтень'!E21</f>
        <v>0</v>
      </c>
      <c r="F21" s="372">
        <f>'dod3'!F21-'dod3 жовтень'!F21</f>
        <v>0</v>
      </c>
      <c r="G21" s="372">
        <f>'dod3'!G21-'dod3 жовтень'!G21</f>
        <v>0</v>
      </c>
      <c r="H21" s="372">
        <f>'dod3'!H21-'dod3 жовтень'!H21</f>
        <v>0</v>
      </c>
      <c r="I21" s="372">
        <f>'dod3'!I21-'dod3 жовтень'!I21</f>
        <v>0</v>
      </c>
      <c r="J21" s="372">
        <f>'dod3'!J21-'dod3 жовтень'!J21</f>
        <v>0</v>
      </c>
      <c r="K21" s="372">
        <f>'dod3'!K21-'dod3 жовтень'!K21</f>
        <v>0</v>
      </c>
      <c r="L21" s="372">
        <f>'dod3'!L21-'dod3 жовтень'!L21</f>
        <v>0</v>
      </c>
      <c r="M21" s="372">
        <f>'dod3'!M21-'dod3 жовтень'!M21</f>
        <v>0</v>
      </c>
      <c r="N21" s="372">
        <f>'dod3'!N21-'dod3 жовтень'!N21</f>
        <v>0</v>
      </c>
      <c r="O21" s="372">
        <f>'dod3'!O21-'dod3 жовтень'!O21</f>
        <v>0</v>
      </c>
      <c r="P21" s="372">
        <f>'dod3'!P21-'dod3 жовтень'!P21</f>
        <v>0</v>
      </c>
    </row>
    <row r="22" spans="1:18" ht="137.25" x14ac:dyDescent="0.2">
      <c r="A22" s="516" t="s">
        <v>565</v>
      </c>
      <c r="B22" s="516" t="s">
        <v>566</v>
      </c>
      <c r="C22" s="516" t="s">
        <v>324</v>
      </c>
      <c r="D22" s="515" t="s">
        <v>564</v>
      </c>
      <c r="E22" s="372">
        <f>'dod3'!E22-'dod3 жовтень'!E22</f>
        <v>0</v>
      </c>
      <c r="F22" s="372">
        <f>'dod3'!F22-'dod3 жовтень'!F22</f>
        <v>0</v>
      </c>
      <c r="G22" s="372">
        <f>'dod3'!G22-'dod3 жовтень'!G22</f>
        <v>0</v>
      </c>
      <c r="H22" s="372">
        <f>'dod3'!H22-'dod3 жовтень'!H22</f>
        <v>0</v>
      </c>
      <c r="I22" s="372">
        <f>'dod3'!I22-'dod3 жовтень'!I22</f>
        <v>0</v>
      </c>
      <c r="J22" s="372">
        <f>'dod3'!J22-'dod3 жовтень'!J22</f>
        <v>0</v>
      </c>
      <c r="K22" s="372">
        <f>'dod3'!K22-'dod3 жовтень'!K22</f>
        <v>0</v>
      </c>
      <c r="L22" s="372">
        <f>'dod3'!L22-'dod3 жовтень'!L22</f>
        <v>0</v>
      </c>
      <c r="M22" s="372">
        <f>'dod3'!M22-'dod3 жовтень'!M22</f>
        <v>0</v>
      </c>
      <c r="N22" s="372">
        <f>'dod3'!N22-'dod3 жовтень'!N22</f>
        <v>0</v>
      </c>
      <c r="O22" s="372">
        <f>'dod3'!O22-'dod3 жовтень'!O22</f>
        <v>0</v>
      </c>
      <c r="P22" s="372">
        <f>'dod3'!P22-'dod3 жовтень'!P22</f>
        <v>0</v>
      </c>
    </row>
    <row r="23" spans="1:18" ht="46.5" x14ac:dyDescent="0.2">
      <c r="A23" s="516" t="s">
        <v>448</v>
      </c>
      <c r="B23" s="516" t="s">
        <v>449</v>
      </c>
      <c r="C23" s="516"/>
      <c r="D23" s="481" t="s">
        <v>447</v>
      </c>
      <c r="E23" s="372">
        <f>'dod3'!E23-'dod3 жовтень'!E23</f>
        <v>0</v>
      </c>
      <c r="F23" s="372">
        <f>'dod3'!F23-'dod3 жовтень'!F23</f>
        <v>0</v>
      </c>
      <c r="G23" s="372">
        <f>'dod3'!G23-'dod3 жовтень'!G23</f>
        <v>0</v>
      </c>
      <c r="H23" s="372">
        <f>'dod3'!H23-'dod3 жовтень'!H23</f>
        <v>0</v>
      </c>
      <c r="I23" s="372">
        <f>'dod3'!I23-'dod3 жовтень'!I23</f>
        <v>0</v>
      </c>
      <c r="J23" s="372">
        <f>'dod3'!J23-'dod3 жовтень'!J23</f>
        <v>-1524000</v>
      </c>
      <c r="K23" s="372">
        <f>'dod3'!K23-'dod3 жовтень'!K23</f>
        <v>-1234000</v>
      </c>
      <c r="L23" s="372">
        <f>'dod3'!L23-'dod3 жовтень'!L23</f>
        <v>0</v>
      </c>
      <c r="M23" s="372">
        <f>'dod3'!M23-'dod3 жовтень'!M23</f>
        <v>0</v>
      </c>
      <c r="N23" s="372">
        <f>'dod3'!N23-'dod3 жовтень'!N23</f>
        <v>-290000</v>
      </c>
      <c r="O23" s="372">
        <f>'dod3'!O23-'dod3 жовтень'!O23</f>
        <v>0</v>
      </c>
      <c r="P23" s="372">
        <f>'dod3'!P23-'dod3 жовтень'!P23</f>
        <v>-1524000</v>
      </c>
    </row>
    <row r="24" spans="1:18" s="196" customFormat="1" ht="409.5" x14ac:dyDescent="0.2">
      <c r="A24" s="587" t="s">
        <v>700</v>
      </c>
      <c r="B24" s="587" t="s">
        <v>699</v>
      </c>
      <c r="C24" s="587" t="s">
        <v>324</v>
      </c>
      <c r="D24" s="482" t="s">
        <v>727</v>
      </c>
      <c r="E24" s="666">
        <f>'dod3'!E24-'dod3 жовтень'!E24</f>
        <v>0</v>
      </c>
      <c r="F24" s="666">
        <f>'dod3'!F24-'dod3 жовтень'!F24</f>
        <v>0</v>
      </c>
      <c r="G24" s="666">
        <f>'dod3'!G24-'dod3 жовтень'!G24</f>
        <v>0</v>
      </c>
      <c r="H24" s="666">
        <f>'dod3'!H24-'dod3 жовтень'!H24</f>
        <v>0</v>
      </c>
      <c r="I24" s="666">
        <f>'dod3'!I24-'dod3 жовтень'!I24</f>
        <v>0</v>
      </c>
      <c r="J24" s="666">
        <f>'dod3'!J24-'dod3 жовтень'!J24</f>
        <v>-1524000</v>
      </c>
      <c r="K24" s="666">
        <f>'dod3'!K24-'dod3 жовтень'!K24</f>
        <v>-1234000</v>
      </c>
      <c r="L24" s="666">
        <f>'dod3'!L24-'dod3 жовтень'!L24</f>
        <v>0</v>
      </c>
      <c r="M24" s="666">
        <f>'dod3'!M24-'dod3 жовтень'!M24</f>
        <v>0</v>
      </c>
      <c r="N24" s="666">
        <f>'dod3'!N24-'dod3 жовтень'!N24</f>
        <v>-290000</v>
      </c>
      <c r="O24" s="666">
        <f>'dod3'!O24-'dod3 жовтень'!O24</f>
        <v>0</v>
      </c>
      <c r="P24" s="666">
        <f>'dod3'!P24-'dod3 жовтень'!P24</f>
        <v>-1524000</v>
      </c>
    </row>
    <row r="25" spans="1:18" s="196" customFormat="1" ht="137.25" x14ac:dyDescent="0.2">
      <c r="A25" s="583"/>
      <c r="B25" s="583"/>
      <c r="C25" s="583"/>
      <c r="D25" s="483" t="s">
        <v>728</v>
      </c>
      <c r="E25" s="667"/>
      <c r="F25" s="667"/>
      <c r="G25" s="667"/>
      <c r="H25" s="667"/>
      <c r="I25" s="667"/>
      <c r="J25" s="667"/>
      <c r="K25" s="667"/>
      <c r="L25" s="667"/>
      <c r="M25" s="667"/>
      <c r="N25" s="667"/>
      <c r="O25" s="667"/>
      <c r="P25" s="667"/>
    </row>
    <row r="26" spans="1:18" ht="91.5" x14ac:dyDescent="0.2">
      <c r="A26" s="516" t="s">
        <v>438</v>
      </c>
      <c r="B26" s="516" t="s">
        <v>439</v>
      </c>
      <c r="C26" s="516" t="s">
        <v>440</v>
      </c>
      <c r="D26" s="515" t="s">
        <v>441</v>
      </c>
      <c r="E26" s="372">
        <f>'dod3'!E26-'dod3 жовтень'!E26</f>
        <v>215000</v>
      </c>
      <c r="F26" s="372">
        <f>'dod3'!F26-'dod3 жовтень'!F26</f>
        <v>215000</v>
      </c>
      <c r="G26" s="372">
        <f>'dod3'!G26-'dod3 жовтень'!G26</f>
        <v>0</v>
      </c>
      <c r="H26" s="372">
        <f>'dod3'!H26-'dod3 жовтень'!H26</f>
        <v>0</v>
      </c>
      <c r="I26" s="372">
        <f>'dod3'!I26-'dod3 жовтень'!I26</f>
        <v>0</v>
      </c>
      <c r="J26" s="372">
        <f>'dod3'!J26-'dod3 жовтень'!J26</f>
        <v>0</v>
      </c>
      <c r="K26" s="372">
        <f>'dod3'!K26-'dod3 жовтень'!K26</f>
        <v>0</v>
      </c>
      <c r="L26" s="372">
        <f>'dod3'!L26-'dod3 жовтень'!L26</f>
        <v>0</v>
      </c>
      <c r="M26" s="372">
        <f>'dod3'!M26-'dod3 жовтень'!M26</f>
        <v>0</v>
      </c>
      <c r="N26" s="372">
        <f>'dod3'!N26-'dod3 жовтень'!N26</f>
        <v>0</v>
      </c>
      <c r="O26" s="372">
        <f>'dod3'!O26-'dod3 жовтень'!O26</f>
        <v>0</v>
      </c>
      <c r="P26" s="372">
        <f>'dod3'!P26-'dod3 жовтень'!P26</f>
        <v>215000</v>
      </c>
    </row>
    <row r="27" spans="1:18" ht="274.5" x14ac:dyDescent="0.2">
      <c r="A27" s="516" t="s">
        <v>442</v>
      </c>
      <c r="B27" s="516" t="s">
        <v>443</v>
      </c>
      <c r="C27" s="516" t="s">
        <v>103</v>
      </c>
      <c r="D27" s="516" t="s">
        <v>444</v>
      </c>
      <c r="E27" s="372">
        <f>'dod3'!E27-'dod3 жовтень'!E27</f>
        <v>0</v>
      </c>
      <c r="F27" s="372">
        <f>'dod3'!F27-'dod3 жовтень'!F27</f>
        <v>0</v>
      </c>
      <c r="G27" s="372">
        <f>'dod3'!G27-'dod3 жовтень'!G27</f>
        <v>0</v>
      </c>
      <c r="H27" s="372">
        <f>'dod3'!H27-'dod3 жовтень'!H27</f>
        <v>0</v>
      </c>
      <c r="I27" s="372">
        <f>'dod3'!I27-'dod3 жовтень'!I27</f>
        <v>0</v>
      </c>
      <c r="J27" s="372">
        <f>'dod3'!J27-'dod3 жовтень'!J27</f>
        <v>0</v>
      </c>
      <c r="K27" s="372">
        <f>'dod3'!K27-'dod3 жовтень'!K27</f>
        <v>0</v>
      </c>
      <c r="L27" s="372">
        <f>'dod3'!L27-'dod3 жовтень'!L27</f>
        <v>0</v>
      </c>
      <c r="M27" s="372">
        <f>'dod3'!M27-'dod3 жовтень'!M27</f>
        <v>0</v>
      </c>
      <c r="N27" s="372">
        <f>'dod3'!N27-'dod3 жовтень'!N27</f>
        <v>0</v>
      </c>
      <c r="O27" s="372">
        <f>'dod3'!O27-'dod3 жовтень'!O27</f>
        <v>0</v>
      </c>
      <c r="P27" s="372">
        <f>'dod3'!P27-'dod3 жовтень'!P27</f>
        <v>0</v>
      </c>
    </row>
    <row r="28" spans="1:18" ht="91.5" x14ac:dyDescent="0.2">
      <c r="A28" s="516" t="s">
        <v>962</v>
      </c>
      <c r="B28" s="516" t="s">
        <v>799</v>
      </c>
      <c r="C28" s="516" t="s">
        <v>103</v>
      </c>
      <c r="D28" s="516" t="s">
        <v>800</v>
      </c>
      <c r="E28" s="372">
        <f>'dod3'!E28-'dod3 жовтень'!E28</f>
        <v>0</v>
      </c>
      <c r="F28" s="372">
        <f>'dod3'!F28-'dod3 жовтень'!F28</f>
        <v>0</v>
      </c>
      <c r="G28" s="372">
        <f>'dod3'!G28-'dod3 жовтень'!G28</f>
        <v>0</v>
      </c>
      <c r="H28" s="372">
        <f>'dod3'!H28-'dod3 жовтень'!H28</f>
        <v>0</v>
      </c>
      <c r="I28" s="372">
        <f>'dod3'!I28-'dod3 жовтень'!I28</f>
        <v>0</v>
      </c>
      <c r="J28" s="372">
        <f>'dod3'!J28-'dod3 жовтень'!J28</f>
        <v>0</v>
      </c>
      <c r="K28" s="372">
        <f>'dod3'!K28-'dod3 жовтень'!K28</f>
        <v>0</v>
      </c>
      <c r="L28" s="372">
        <f>'dod3'!L28-'dod3 жовтень'!L28</f>
        <v>0</v>
      </c>
      <c r="M28" s="372">
        <f>'dod3'!M28-'dod3 жовтень'!M28</f>
        <v>0</v>
      </c>
      <c r="N28" s="372">
        <f>'dod3'!N28-'dod3 жовтень'!N28</f>
        <v>0</v>
      </c>
      <c r="O28" s="372">
        <f>'dod3'!O28-'dod3 жовтень'!O28</f>
        <v>0</v>
      </c>
      <c r="P28" s="372">
        <f>'dod3'!P28-'dod3 жовтень'!P28</f>
        <v>0</v>
      </c>
    </row>
    <row r="29" spans="1:18" ht="228.75" x14ac:dyDescent="0.2">
      <c r="A29" s="516" t="s">
        <v>821</v>
      </c>
      <c r="B29" s="516" t="s">
        <v>822</v>
      </c>
      <c r="C29" s="516" t="s">
        <v>103</v>
      </c>
      <c r="D29" s="516" t="s">
        <v>823</v>
      </c>
      <c r="E29" s="372">
        <f>'dod3'!E29-'dod3 жовтень'!E29</f>
        <v>0</v>
      </c>
      <c r="F29" s="372">
        <f>'dod3'!F29-'dod3 жовтень'!F29</f>
        <v>0</v>
      </c>
      <c r="G29" s="372">
        <f>'dod3'!G29-'dod3 жовтень'!G29</f>
        <v>0</v>
      </c>
      <c r="H29" s="372">
        <f>'dod3'!H29-'dod3 жовтень'!H29</f>
        <v>0</v>
      </c>
      <c r="I29" s="372">
        <f>'dod3'!I29-'dod3 жовтень'!I29</f>
        <v>0</v>
      </c>
      <c r="J29" s="372">
        <f>'dod3'!J29-'dod3 жовтень'!J29</f>
        <v>3149940</v>
      </c>
      <c r="K29" s="372">
        <f>'dod3'!K29-'dod3 жовтень'!K29</f>
        <v>0</v>
      </c>
      <c r="L29" s="372">
        <f>'dod3'!L29-'dod3 жовтень'!L29</f>
        <v>0</v>
      </c>
      <c r="M29" s="372">
        <f>'dod3'!M29-'dod3 жовтень'!M29</f>
        <v>0</v>
      </c>
      <c r="N29" s="372">
        <f>'dod3'!N29-'dod3 жовтень'!N29</f>
        <v>3149940</v>
      </c>
      <c r="O29" s="372">
        <f>'dod3'!O29-'dod3 жовтень'!O29</f>
        <v>3149940</v>
      </c>
      <c r="P29" s="372">
        <f>'dod3'!P29-'dod3 жовтень'!P29</f>
        <v>3149940</v>
      </c>
    </row>
    <row r="30" spans="1:18" ht="135" x14ac:dyDescent="0.2">
      <c r="A30" s="473" t="s">
        <v>306</v>
      </c>
      <c r="B30" s="473"/>
      <c r="C30" s="473"/>
      <c r="D30" s="470" t="s">
        <v>1</v>
      </c>
      <c r="E30" s="476">
        <f>E31</f>
        <v>-2499130.0000000191</v>
      </c>
      <c r="F30" s="476">
        <f t="shared" ref="F30:P30" si="3">F31</f>
        <v>-2499130.0000000191</v>
      </c>
      <c r="G30" s="476">
        <f t="shared" si="3"/>
        <v>195000.00000001444</v>
      </c>
      <c r="H30" s="476">
        <f t="shared" si="3"/>
        <v>-1113500</v>
      </c>
      <c r="I30" s="476">
        <f t="shared" si="3"/>
        <v>0</v>
      </c>
      <c r="J30" s="476">
        <f t="shared" si="3"/>
        <v>1778000</v>
      </c>
      <c r="K30" s="476">
        <f t="shared" si="3"/>
        <v>49496.419999999925</v>
      </c>
      <c r="L30" s="476">
        <f t="shared" si="3"/>
        <v>0</v>
      </c>
      <c r="M30" s="476">
        <f t="shared" si="3"/>
        <v>-133000</v>
      </c>
      <c r="N30" s="476">
        <f t="shared" si="3"/>
        <v>1728503.58</v>
      </c>
      <c r="O30" s="475">
        <f t="shared" si="3"/>
        <v>1778000</v>
      </c>
      <c r="P30" s="476">
        <f t="shared" si="3"/>
        <v>-721130.00000001909</v>
      </c>
    </row>
    <row r="31" spans="1:18" ht="135" x14ac:dyDescent="0.2">
      <c r="A31" s="480" t="s">
        <v>307</v>
      </c>
      <c r="B31" s="480"/>
      <c r="C31" s="480"/>
      <c r="D31" s="474" t="s">
        <v>2</v>
      </c>
      <c r="E31" s="475">
        <f>E32+E33+E34+E35+E36+E38+E39+E37+E42</f>
        <v>-2499130.0000000191</v>
      </c>
      <c r="F31" s="476">
        <f>F32+F33+F34+F35+F36+F38+F39+F37+F42+F417</f>
        <v>-2499130.0000000191</v>
      </c>
      <c r="G31" s="475">
        <f>G32+G33+G34+G35+G36+G38+G39+G37+G42</f>
        <v>195000.00000001444</v>
      </c>
      <c r="H31" s="475">
        <f>H32+H33+H34+H35+H36+H38+H39+H37+H42</f>
        <v>-1113500</v>
      </c>
      <c r="I31" s="476">
        <f>I32+I33+I34+I35+I36+I38+I39+I37</f>
        <v>0</v>
      </c>
      <c r="J31" s="475">
        <f t="shared" ref="J31:O31" si="4">J32+J33+J34+J35+J36+J38+J39+J37+J42</f>
        <v>1778000</v>
      </c>
      <c r="K31" s="476">
        <f t="shared" si="4"/>
        <v>49496.419999999925</v>
      </c>
      <c r="L31" s="475">
        <f t="shared" si="4"/>
        <v>0</v>
      </c>
      <c r="M31" s="475">
        <f t="shared" si="4"/>
        <v>-133000</v>
      </c>
      <c r="N31" s="476">
        <f t="shared" si="4"/>
        <v>1728503.58</v>
      </c>
      <c r="O31" s="475">
        <f t="shared" si="4"/>
        <v>1778000</v>
      </c>
      <c r="P31" s="475">
        <f t="shared" ref="P31" si="5">E31+J31</f>
        <v>-721130.00000001909</v>
      </c>
      <c r="Q31" s="228" t="b">
        <f>P31=P32+P33+P34+P35+P36+P37+P38+P39+P42</f>
        <v>1</v>
      </c>
      <c r="R31" s="228"/>
    </row>
    <row r="32" spans="1:18" ht="67.5" customHeight="1" x14ac:dyDescent="0.55000000000000004">
      <c r="A32" s="516" t="s">
        <v>376</v>
      </c>
      <c r="B32" s="516" t="s">
        <v>377</v>
      </c>
      <c r="C32" s="516" t="s">
        <v>379</v>
      </c>
      <c r="D32" s="516" t="s">
        <v>380</v>
      </c>
      <c r="E32" s="372">
        <f>'dod3'!E32-'dod3 жовтень'!E32</f>
        <v>-485444</v>
      </c>
      <c r="F32" s="372">
        <f>'dod3'!F32-'dod3 жовтень'!F32</f>
        <v>-485444</v>
      </c>
      <c r="G32" s="372">
        <f>'dod3'!G32-'dod3 жовтень'!G32</f>
        <v>-500000</v>
      </c>
      <c r="H32" s="372">
        <f>'dod3'!H32-'dod3 жовтень'!H32</f>
        <v>0</v>
      </c>
      <c r="I32" s="372">
        <f>'dod3'!I32-'dod3 жовтень'!I32</f>
        <v>0</v>
      </c>
      <c r="J32" s="372">
        <f>'dod3'!J32-'dod3 жовтень'!J32</f>
        <v>0</v>
      </c>
      <c r="K32" s="372">
        <f>'dod3'!K32-'dod3 жовтень'!K32</f>
        <v>0</v>
      </c>
      <c r="L32" s="372">
        <f>'dod3'!L32-'dod3 жовтень'!L32</f>
        <v>0</v>
      </c>
      <c r="M32" s="372">
        <f>'dod3'!M32-'dod3 жовтень'!M32</f>
        <v>0</v>
      </c>
      <c r="N32" s="372">
        <f>'dod3'!N32-'dod3 жовтень'!N32</f>
        <v>0</v>
      </c>
      <c r="O32" s="372">
        <f>'dod3'!O32-'dod3 жовтень'!O32</f>
        <v>-120000</v>
      </c>
      <c r="P32" s="372">
        <f>'dod3'!P32-'dod3 жовтень'!P32</f>
        <v>-485444</v>
      </c>
      <c r="Q32" s="25"/>
      <c r="R32" s="25"/>
    </row>
    <row r="33" spans="1:20" ht="389.25" customHeight="1" x14ac:dyDescent="0.55000000000000004">
      <c r="A33" s="516" t="s">
        <v>382</v>
      </c>
      <c r="B33" s="516" t="s">
        <v>378</v>
      </c>
      <c r="C33" s="516" t="s">
        <v>383</v>
      </c>
      <c r="D33" s="516" t="s">
        <v>912</v>
      </c>
      <c r="E33" s="372">
        <f>'dod3'!E33-'dod3 жовтень'!E33</f>
        <v>-158492.98000001907</v>
      </c>
      <c r="F33" s="372">
        <f>'dod3'!F33-'dod3 жовтень'!F33</f>
        <v>-158492.98000001907</v>
      </c>
      <c r="G33" s="372">
        <f>'dod3'!G33-'dod3 жовтень'!G33</f>
        <v>680900.61000001431</v>
      </c>
      <c r="H33" s="372">
        <f>'dod3'!H33-'dod3 жовтень'!H33</f>
        <v>0</v>
      </c>
      <c r="I33" s="372">
        <f>'dod3'!I33-'dod3 жовтень'!I33</f>
        <v>0</v>
      </c>
      <c r="J33" s="372">
        <f>'dod3'!J33-'dod3 жовтень'!J33</f>
        <v>1253000</v>
      </c>
      <c r="K33" s="372">
        <f>'dod3'!K33-'dod3 жовтень'!K33</f>
        <v>2100</v>
      </c>
      <c r="L33" s="372">
        <f>'dod3'!L33-'dod3 жовтень'!L33</f>
        <v>0</v>
      </c>
      <c r="M33" s="372">
        <f>'dod3'!M33-'dod3 жовтень'!M33</f>
        <v>15000</v>
      </c>
      <c r="N33" s="372">
        <f>'dod3'!N33-'dod3 жовтень'!N33</f>
        <v>1250900</v>
      </c>
      <c r="O33" s="372">
        <f>'dod3'!O33-'dod3 жовтень'!O33</f>
        <v>1073000</v>
      </c>
      <c r="P33" s="372">
        <f>'dod3'!P33-'dod3 жовтень'!P33</f>
        <v>1094507.0199999809</v>
      </c>
      <c r="Q33" s="25"/>
      <c r="R33" s="25"/>
      <c r="T33" s="179"/>
    </row>
    <row r="34" spans="1:20" ht="137.25" x14ac:dyDescent="0.2">
      <c r="A34" s="516" t="s">
        <v>384</v>
      </c>
      <c r="B34" s="516" t="s">
        <v>385</v>
      </c>
      <c r="C34" s="516" t="s">
        <v>383</v>
      </c>
      <c r="D34" s="516" t="s">
        <v>46</v>
      </c>
      <c r="E34" s="372">
        <f>'dod3'!E34-'dod3 жовтень'!E34</f>
        <v>-171866.02000000002</v>
      </c>
      <c r="F34" s="372">
        <f>'dod3'!F34-'dod3 жовтень'!F34</f>
        <v>-171866.02000000002</v>
      </c>
      <c r="G34" s="372">
        <f>'dod3'!G34-'dod3 жовтень'!G34</f>
        <v>-155200.60999999987</v>
      </c>
      <c r="H34" s="372">
        <f>'dod3'!H34-'dod3 жовтень'!H34</f>
        <v>0</v>
      </c>
      <c r="I34" s="372">
        <f>'dod3'!I34-'dod3 жовтень'!I34</f>
        <v>0</v>
      </c>
      <c r="J34" s="372">
        <f>'dod3'!J34-'dod3 жовтень'!J34</f>
        <v>0</v>
      </c>
      <c r="K34" s="372">
        <f>'dod3'!K34-'dod3 жовтень'!K34</f>
        <v>0</v>
      </c>
      <c r="L34" s="372">
        <f>'dod3'!L34-'dod3 жовтень'!L34</f>
        <v>0</v>
      </c>
      <c r="M34" s="372">
        <f>'dod3'!M34-'dod3 жовтень'!M34</f>
        <v>0</v>
      </c>
      <c r="N34" s="372">
        <f>'dod3'!N34-'dod3 жовтень'!N34</f>
        <v>0</v>
      </c>
      <c r="O34" s="372">
        <f>'dod3'!O34-'dod3 жовтень'!O34</f>
        <v>0</v>
      </c>
      <c r="P34" s="372">
        <f>'dod3'!P34-'dod3 жовтень'!P34</f>
        <v>-171866.02000000002</v>
      </c>
    </row>
    <row r="35" spans="1:20" ht="409.6" customHeight="1" x14ac:dyDescent="0.2">
      <c r="A35" s="516" t="s">
        <v>387</v>
      </c>
      <c r="B35" s="516" t="s">
        <v>386</v>
      </c>
      <c r="C35" s="516" t="s">
        <v>388</v>
      </c>
      <c r="D35" s="516" t="s">
        <v>47</v>
      </c>
      <c r="E35" s="372">
        <f>'dod3'!E35-'dod3 жовтень'!E35</f>
        <v>80900</v>
      </c>
      <c r="F35" s="372">
        <f>'dod3'!F35-'dod3 жовтень'!F35</f>
        <v>80900</v>
      </c>
      <c r="G35" s="372">
        <f>'dod3'!G35-'dod3 жовтень'!G35</f>
        <v>66300</v>
      </c>
      <c r="H35" s="372">
        <f>'dod3'!H35-'dod3 жовтень'!H35</f>
        <v>0</v>
      </c>
      <c r="I35" s="372">
        <f>'dod3'!I35-'dod3 жовтень'!I35</f>
        <v>0</v>
      </c>
      <c r="J35" s="372">
        <f>'dod3'!J35-'dod3 жовтень'!J35</f>
        <v>0</v>
      </c>
      <c r="K35" s="372">
        <f>'dod3'!K35-'dod3 жовтень'!K35</f>
        <v>0</v>
      </c>
      <c r="L35" s="372">
        <f>'dod3'!L35-'dod3 жовтень'!L35</f>
        <v>0</v>
      </c>
      <c r="M35" s="372">
        <f>'dod3'!M35-'dod3 жовтень'!M35</f>
        <v>0</v>
      </c>
      <c r="N35" s="372">
        <f>'dod3'!N35-'dod3 жовтень'!N35</f>
        <v>0</v>
      </c>
      <c r="O35" s="372">
        <f>'dod3'!O35-'dod3 жовтень'!O35</f>
        <v>0</v>
      </c>
      <c r="P35" s="372">
        <f>'dod3'!P35-'dod3 жовтень'!P35</f>
        <v>80900</v>
      </c>
    </row>
    <row r="36" spans="1:20" ht="183" x14ac:dyDescent="0.2">
      <c r="A36" s="516" t="s">
        <v>389</v>
      </c>
      <c r="B36" s="516" t="s">
        <v>363</v>
      </c>
      <c r="C36" s="516" t="s">
        <v>344</v>
      </c>
      <c r="D36" s="516" t="s">
        <v>48</v>
      </c>
      <c r="E36" s="372">
        <f>'dod3'!E36-'dod3 жовтень'!E36</f>
        <v>491600</v>
      </c>
      <c r="F36" s="372">
        <f>'dod3'!F36-'dod3 жовтень'!F36</f>
        <v>491600</v>
      </c>
      <c r="G36" s="372">
        <f>'dod3'!G36-'dod3 жовтень'!G36</f>
        <v>403000</v>
      </c>
      <c r="H36" s="372">
        <f>'dod3'!H36-'dod3 жовтень'!H36</f>
        <v>0</v>
      </c>
      <c r="I36" s="372">
        <f>'dod3'!I36-'dod3 жовтень'!I36</f>
        <v>0</v>
      </c>
      <c r="J36" s="372">
        <f>'dod3'!J36-'dod3 жовтень'!J36</f>
        <v>0</v>
      </c>
      <c r="K36" s="372">
        <f>'dod3'!K36-'dod3 жовтень'!K36</f>
        <v>47396.419999999925</v>
      </c>
      <c r="L36" s="372">
        <f>'dod3'!L36-'dod3 жовтень'!L36</f>
        <v>0</v>
      </c>
      <c r="M36" s="372">
        <f>'dod3'!M36-'dod3 жовтень'!M36</f>
        <v>0</v>
      </c>
      <c r="N36" s="372">
        <f>'dod3'!N36-'dod3 жовтень'!N36</f>
        <v>-47396.419999999925</v>
      </c>
      <c r="O36" s="372">
        <f>'dod3'!O36-'dod3 жовтень'!O36</f>
        <v>300000</v>
      </c>
      <c r="P36" s="372">
        <f>'dod3'!P36-'dod3 жовтень'!P36</f>
        <v>491600</v>
      </c>
    </row>
    <row r="37" spans="1:20" ht="155.25" customHeight="1" x14ac:dyDescent="0.2">
      <c r="A37" s="516" t="s">
        <v>390</v>
      </c>
      <c r="B37" s="516" t="s">
        <v>391</v>
      </c>
      <c r="C37" s="516" t="s">
        <v>392</v>
      </c>
      <c r="D37" s="516" t="s">
        <v>393</v>
      </c>
      <c r="E37" s="372">
        <f>'dod3'!E37-'dod3 жовтень'!E37</f>
        <v>-1889827</v>
      </c>
      <c r="F37" s="372">
        <f>'dod3'!F37-'dod3 жовтень'!F37</f>
        <v>-1889827</v>
      </c>
      <c r="G37" s="372">
        <f>'dod3'!G37-'dod3 жовтень'!G37</f>
        <v>0</v>
      </c>
      <c r="H37" s="372">
        <f>'dod3'!H37-'dod3 жовтень'!H37</f>
        <v>-1113500</v>
      </c>
      <c r="I37" s="372">
        <f>'dod3'!I37-'dod3 жовтень'!I37</f>
        <v>0</v>
      </c>
      <c r="J37" s="372">
        <f>'dod3'!J37-'dod3 жовтень'!J37</f>
        <v>525000</v>
      </c>
      <c r="K37" s="372">
        <f>'dod3'!K37-'dod3 жовтень'!K37</f>
        <v>0</v>
      </c>
      <c r="L37" s="372">
        <f>'dod3'!L37-'dod3 жовтень'!L37</f>
        <v>0</v>
      </c>
      <c r="M37" s="372">
        <f>'dod3'!M37-'dod3 жовтень'!M37</f>
        <v>-148000</v>
      </c>
      <c r="N37" s="372">
        <f>'dod3'!N37-'dod3 жовтень'!N37</f>
        <v>525000</v>
      </c>
      <c r="O37" s="372">
        <f>'dod3'!O37-'dod3 жовтень'!O37</f>
        <v>525000</v>
      </c>
      <c r="P37" s="372">
        <f>'dod3'!P37-'dod3 жовтень'!P37</f>
        <v>-1364827</v>
      </c>
    </row>
    <row r="38" spans="1:20" ht="130.5" customHeight="1" x14ac:dyDescent="0.2">
      <c r="A38" s="516" t="s">
        <v>395</v>
      </c>
      <c r="B38" s="516" t="s">
        <v>396</v>
      </c>
      <c r="C38" s="516" t="s">
        <v>397</v>
      </c>
      <c r="D38" s="516" t="s">
        <v>394</v>
      </c>
      <c r="E38" s="372">
        <f>'dod3'!E38-'dod3 жовтень'!E38</f>
        <v>0</v>
      </c>
      <c r="F38" s="372">
        <f>'dod3'!F38-'dod3 жовтень'!F38</f>
        <v>0</v>
      </c>
      <c r="G38" s="372">
        <f>'dod3'!G38-'dod3 жовтень'!G38</f>
        <v>0</v>
      </c>
      <c r="H38" s="372">
        <f>'dod3'!H38-'dod3 жовтень'!H38</f>
        <v>0</v>
      </c>
      <c r="I38" s="372">
        <f>'dod3'!I38-'dod3 жовтень'!I38</f>
        <v>0</v>
      </c>
      <c r="J38" s="372">
        <f>'dod3'!J38-'dod3 жовтень'!J38</f>
        <v>0</v>
      </c>
      <c r="K38" s="372">
        <f>'dod3'!K38-'dod3 жовтень'!K38</f>
        <v>0</v>
      </c>
      <c r="L38" s="372">
        <f>'dod3'!L38-'dod3 жовтень'!L38</f>
        <v>0</v>
      </c>
      <c r="M38" s="372">
        <f>'dod3'!M38-'dod3 жовтень'!M38</f>
        <v>0</v>
      </c>
      <c r="N38" s="372">
        <f>'dod3'!N38-'dod3 жовтень'!N38</f>
        <v>0</v>
      </c>
      <c r="O38" s="372">
        <f>'dod3'!O38-'dod3 жовтень'!O38</f>
        <v>0</v>
      </c>
      <c r="P38" s="372">
        <f>'dod3'!P38-'dod3 жовтень'!P38</f>
        <v>0</v>
      </c>
    </row>
    <row r="39" spans="1:20" ht="112.5" customHeight="1" x14ac:dyDescent="0.2">
      <c r="A39" s="516" t="s">
        <v>399</v>
      </c>
      <c r="B39" s="516" t="s">
        <v>400</v>
      </c>
      <c r="C39" s="516"/>
      <c r="D39" s="515" t="s">
        <v>398</v>
      </c>
      <c r="E39" s="372">
        <f>'dod3'!E39-'dod3 жовтень'!E39</f>
        <v>-366000</v>
      </c>
      <c r="F39" s="372">
        <f>'dod3'!F39-'dod3 жовтень'!F39</f>
        <v>-366000</v>
      </c>
      <c r="G39" s="372">
        <f>'dod3'!G39-'dod3 жовтень'!G39</f>
        <v>-300000</v>
      </c>
      <c r="H39" s="372">
        <f>'dod3'!H39-'dod3 жовтень'!H39</f>
        <v>0</v>
      </c>
      <c r="I39" s="372">
        <f>'dod3'!I39-'dod3 жовтень'!I39</f>
        <v>0</v>
      </c>
      <c r="J39" s="372">
        <f>'dod3'!J39-'dod3 жовтень'!J39</f>
        <v>0</v>
      </c>
      <c r="K39" s="372">
        <f>'dod3'!K39-'dod3 жовтень'!K39</f>
        <v>0</v>
      </c>
      <c r="L39" s="372">
        <f>'dod3'!L39-'dod3 жовтень'!L39</f>
        <v>0</v>
      </c>
      <c r="M39" s="372">
        <f>'dod3'!M39-'dod3 жовтень'!M39</f>
        <v>0</v>
      </c>
      <c r="N39" s="372">
        <f>'dod3'!N39-'dod3 жовтень'!N39</f>
        <v>0</v>
      </c>
      <c r="O39" s="372">
        <f>'dod3'!O39-'dod3 жовтень'!O39</f>
        <v>0</v>
      </c>
      <c r="P39" s="372">
        <f>'dod3'!P39-'dod3 жовтень'!P39</f>
        <v>-366000</v>
      </c>
    </row>
    <row r="40" spans="1:20" s="196" customFormat="1" ht="139.5" customHeight="1" x14ac:dyDescent="0.2">
      <c r="A40" s="508" t="s">
        <v>656</v>
      </c>
      <c r="B40" s="508" t="s">
        <v>657</v>
      </c>
      <c r="C40" s="508" t="s">
        <v>397</v>
      </c>
      <c r="D40" s="508" t="s">
        <v>655</v>
      </c>
      <c r="E40" s="372">
        <f>'dod3'!E40-'dod3 жовтень'!E40</f>
        <v>-366000</v>
      </c>
      <c r="F40" s="372">
        <f>'dod3'!F40-'dod3 жовтень'!F40</f>
        <v>-366000</v>
      </c>
      <c r="G40" s="372">
        <f>'dod3'!G40-'dod3 жовтень'!G40</f>
        <v>-300000</v>
      </c>
      <c r="H40" s="372">
        <f>'dod3'!H40-'dod3 жовтень'!H40</f>
        <v>0</v>
      </c>
      <c r="I40" s="372">
        <f>'dod3'!I40-'dod3 жовтень'!I40</f>
        <v>0</v>
      </c>
      <c r="J40" s="372">
        <f>'dod3'!J40-'dod3 жовтень'!J40</f>
        <v>0</v>
      </c>
      <c r="K40" s="372">
        <f>'dod3'!K40-'dod3 жовтень'!K40</f>
        <v>0</v>
      </c>
      <c r="L40" s="372">
        <f>'dod3'!L40-'dod3 жовтень'!L40</f>
        <v>0</v>
      </c>
      <c r="M40" s="372">
        <f>'dod3'!M40-'dod3 жовтень'!M40</f>
        <v>0</v>
      </c>
      <c r="N40" s="372">
        <f>'dod3'!N40-'dod3 жовтень'!N40</f>
        <v>0</v>
      </c>
      <c r="O40" s="372">
        <f>'dod3'!O40-'dod3 жовтень'!O40</f>
        <v>0</v>
      </c>
      <c r="P40" s="372">
        <f>'dod3'!P40-'dod3 жовтень'!P40</f>
        <v>-366000</v>
      </c>
    </row>
    <row r="41" spans="1:20" s="196" customFormat="1" ht="124.5" customHeight="1" x14ac:dyDescent="0.2">
      <c r="A41" s="508" t="s">
        <v>697</v>
      </c>
      <c r="B41" s="508" t="s">
        <v>698</v>
      </c>
      <c r="C41" s="508" t="s">
        <v>397</v>
      </c>
      <c r="D41" s="509" t="s">
        <v>696</v>
      </c>
      <c r="E41" s="372">
        <f>'dod3'!E41-'dod3 жовтень'!E41</f>
        <v>0</v>
      </c>
      <c r="F41" s="372">
        <f>'dod3'!F41-'dod3 жовтень'!F41</f>
        <v>0</v>
      </c>
      <c r="G41" s="372">
        <f>'dod3'!G41-'dod3 жовтень'!G41</f>
        <v>0</v>
      </c>
      <c r="H41" s="372">
        <f>'dod3'!H41-'dod3 жовтень'!H41</f>
        <v>0</v>
      </c>
      <c r="I41" s="372">
        <f>'dod3'!I41-'dod3 жовтень'!I41</f>
        <v>0</v>
      </c>
      <c r="J41" s="372">
        <f>'dod3'!J41-'dod3 жовтень'!J41</f>
        <v>0</v>
      </c>
      <c r="K41" s="372">
        <f>'dod3'!K41-'dod3 жовтень'!K41</f>
        <v>0</v>
      </c>
      <c r="L41" s="372">
        <f>'dod3'!L41-'dod3 жовтень'!L41</f>
        <v>0</v>
      </c>
      <c r="M41" s="372">
        <f>'dod3'!M41-'dod3 жовтень'!M41</f>
        <v>0</v>
      </c>
      <c r="N41" s="372">
        <f>'dod3'!N41-'dod3 жовтень'!N41</f>
        <v>0</v>
      </c>
      <c r="O41" s="372">
        <f>'dod3'!O41-'dod3 жовтень'!O41</f>
        <v>0</v>
      </c>
      <c r="P41" s="372">
        <f>'dod3'!P41-'dod3 жовтень'!P41</f>
        <v>0</v>
      </c>
    </row>
    <row r="42" spans="1:20" ht="46.5" x14ac:dyDescent="0.2">
      <c r="A42" s="516" t="s">
        <v>402</v>
      </c>
      <c r="B42" s="516" t="s">
        <v>403</v>
      </c>
      <c r="C42" s="516" t="s">
        <v>404</v>
      </c>
      <c r="D42" s="516" t="s">
        <v>99</v>
      </c>
      <c r="E42" s="372">
        <f>'dod3'!E42-'dod3 жовтень'!E42</f>
        <v>0</v>
      </c>
      <c r="F42" s="372">
        <f>'dod3'!F42-'dod3 жовтень'!F42</f>
        <v>0</v>
      </c>
      <c r="G42" s="372">
        <f>'dod3'!G42-'dod3 жовтень'!G42</f>
        <v>0</v>
      </c>
      <c r="H42" s="372">
        <f>'dod3'!H42-'dod3 жовтень'!H42</f>
        <v>0</v>
      </c>
      <c r="I42" s="372">
        <f>'dod3'!I42-'dod3 жовтень'!I42</f>
        <v>0</v>
      </c>
      <c r="J42" s="372">
        <f>'dod3'!J42-'dod3 жовтень'!J42</f>
        <v>0</v>
      </c>
      <c r="K42" s="372">
        <f>'dod3'!K42-'dod3 жовтень'!K42</f>
        <v>0</v>
      </c>
      <c r="L42" s="372">
        <f>'dod3'!L42-'dod3 жовтень'!L42</f>
        <v>0</v>
      </c>
      <c r="M42" s="372">
        <f>'dod3'!M42-'dod3 жовтень'!M42</f>
        <v>0</v>
      </c>
      <c r="N42" s="372">
        <f>'dod3'!N42-'dod3 жовтень'!N42</f>
        <v>0</v>
      </c>
      <c r="O42" s="372">
        <f>'dod3'!O42-'dod3 жовтень'!O42</f>
        <v>0</v>
      </c>
      <c r="P42" s="372">
        <f>'dod3'!P42-'dod3 жовтень'!P42</f>
        <v>0</v>
      </c>
    </row>
    <row r="43" spans="1:20" ht="135" x14ac:dyDescent="0.2">
      <c r="A43" s="468" t="s">
        <v>308</v>
      </c>
      <c r="B43" s="469"/>
      <c r="C43" s="469"/>
      <c r="D43" s="470" t="s">
        <v>53</v>
      </c>
      <c r="E43" s="471">
        <f>E44</f>
        <v>1815000</v>
      </c>
      <c r="F43" s="472">
        <f t="shared" ref="F43:P43" si="6">F44</f>
        <v>1815000</v>
      </c>
      <c r="G43" s="471">
        <f t="shared" si="6"/>
        <v>1277000</v>
      </c>
      <c r="H43" s="471">
        <f t="shared" si="6"/>
        <v>101500</v>
      </c>
      <c r="I43" s="472">
        <f t="shared" si="6"/>
        <v>0</v>
      </c>
      <c r="J43" s="471">
        <f t="shared" si="6"/>
        <v>1688000</v>
      </c>
      <c r="K43" s="472">
        <f t="shared" si="6"/>
        <v>0</v>
      </c>
      <c r="L43" s="471">
        <f t="shared" si="6"/>
        <v>0</v>
      </c>
      <c r="M43" s="471">
        <f t="shared" si="6"/>
        <v>0</v>
      </c>
      <c r="N43" s="472">
        <f t="shared" si="6"/>
        <v>1688000</v>
      </c>
      <c r="O43" s="471">
        <f t="shared" si="6"/>
        <v>1688000</v>
      </c>
      <c r="P43" s="471">
        <f t="shared" si="6"/>
        <v>3503000</v>
      </c>
    </row>
    <row r="44" spans="1:20" ht="180" x14ac:dyDescent="0.2">
      <c r="A44" s="473" t="s">
        <v>309</v>
      </c>
      <c r="B44" s="473"/>
      <c r="C44" s="473"/>
      <c r="D44" s="474" t="s">
        <v>91</v>
      </c>
      <c r="E44" s="475">
        <f>E46+E47+E48+E49+E55+E50+E52+E58+E45</f>
        <v>1815000</v>
      </c>
      <c r="F44" s="476">
        <f>F46+F47+F48+F49+F55+F50+F52+F58+F45</f>
        <v>1815000</v>
      </c>
      <c r="G44" s="475">
        <f>G46+G47+G48+G49+G55+G50+G52+G45</f>
        <v>1277000</v>
      </c>
      <c r="H44" s="475">
        <f>H46+H47+H48+H49+H55+H50+H52+H45</f>
        <v>101500</v>
      </c>
      <c r="I44" s="476">
        <v>0</v>
      </c>
      <c r="J44" s="475">
        <f t="shared" ref="J44" si="7">K44+N44</f>
        <v>1688000</v>
      </c>
      <c r="K44" s="476">
        <f>K46+K47+K48+K49+K55+K50+K52+K58+K45</f>
        <v>0</v>
      </c>
      <c r="L44" s="475">
        <f>L46+L47+L48+L49+L55+L50+L52+L45</f>
        <v>0</v>
      </c>
      <c r="M44" s="475">
        <f>M46+M47+M48+M49+M55+M50+M52+M45</f>
        <v>0</v>
      </c>
      <c r="N44" s="476">
        <f>N46+N47+N48+N49+N55+N50+N52+N58+N45</f>
        <v>1688000</v>
      </c>
      <c r="O44" s="475">
        <f>O46+O47+O48+O49+O55+O50+O58+O45</f>
        <v>1688000</v>
      </c>
      <c r="P44" s="475">
        <f>E44+J44</f>
        <v>3503000</v>
      </c>
      <c r="Q44" s="228" t="b">
        <f>P44=P46+P47+P48+P49+P51+P53+P54+P56+P57+P58+P45</f>
        <v>1</v>
      </c>
      <c r="R44" s="228"/>
    </row>
    <row r="45" spans="1:20" ht="228.75" x14ac:dyDescent="0.2">
      <c r="A45" s="516" t="s">
        <v>1025</v>
      </c>
      <c r="B45" s="516" t="s">
        <v>433</v>
      </c>
      <c r="C45" s="516" t="s">
        <v>430</v>
      </c>
      <c r="D45" s="516" t="s">
        <v>431</v>
      </c>
      <c r="E45" s="372">
        <f>'dod3'!E45-0</f>
        <v>1875000</v>
      </c>
      <c r="F45" s="372">
        <f>'dod3'!F45-0</f>
        <v>1875000</v>
      </c>
      <c r="G45" s="372">
        <f>'dod3'!G45-0</f>
        <v>1377000</v>
      </c>
      <c r="H45" s="372">
        <f>'dod3'!H45-0</f>
        <v>101500</v>
      </c>
      <c r="I45" s="372">
        <f>'dod3'!I45-0</f>
        <v>0</v>
      </c>
      <c r="J45" s="372">
        <f>'dod3'!J45-0</f>
        <v>40000</v>
      </c>
      <c r="K45" s="372">
        <f>'dod3'!K45-0</f>
        <v>0</v>
      </c>
      <c r="L45" s="372">
        <f>'dod3'!L45-0</f>
        <v>0</v>
      </c>
      <c r="M45" s="372">
        <f>'dod3'!M45-0</f>
        <v>0</v>
      </c>
      <c r="N45" s="372">
        <f>'dod3'!N45-0</f>
        <v>40000</v>
      </c>
      <c r="O45" s="372">
        <f>'dod3'!O45-0</f>
        <v>40000</v>
      </c>
      <c r="P45" s="372">
        <f>'dod3'!P45-0</f>
        <v>1915000</v>
      </c>
      <c r="Q45" s="228"/>
      <c r="R45" s="228"/>
    </row>
    <row r="46" spans="1:20" ht="91.5" x14ac:dyDescent="0.2">
      <c r="A46" s="516" t="s">
        <v>405</v>
      </c>
      <c r="B46" s="516" t="s">
        <v>401</v>
      </c>
      <c r="C46" s="516" t="s">
        <v>406</v>
      </c>
      <c r="D46" s="516" t="s">
        <v>55</v>
      </c>
      <c r="E46" s="372">
        <f>'dod3'!E46-'dod3 жовтень'!E45</f>
        <v>390700</v>
      </c>
      <c r="F46" s="372">
        <f>'dod3'!F46-'dod3 жовтень'!F45</f>
        <v>390700</v>
      </c>
      <c r="G46" s="372">
        <f>'dod3'!G46-'dod3 жовтень'!G45</f>
        <v>0</v>
      </c>
      <c r="H46" s="372">
        <f>'dod3'!H46-'dod3 жовтень'!H45</f>
        <v>0</v>
      </c>
      <c r="I46" s="372">
        <f>'dod3'!I46-'dod3 жовтень'!I45</f>
        <v>0</v>
      </c>
      <c r="J46" s="372">
        <f>'dod3'!J46-'dod3 жовтень'!J45</f>
        <v>0</v>
      </c>
      <c r="K46" s="372">
        <f>'dod3'!K46-'dod3 жовтень'!K45</f>
        <v>0</v>
      </c>
      <c r="L46" s="372">
        <f>'dod3'!L46-'dod3 жовтень'!L45</f>
        <v>0</v>
      </c>
      <c r="M46" s="372">
        <f>'dod3'!M46-'dod3 жовтень'!M45</f>
        <v>0</v>
      </c>
      <c r="N46" s="372">
        <f>'dod3'!N46-'dod3 жовтень'!N45</f>
        <v>0</v>
      </c>
      <c r="O46" s="372">
        <f>'dod3'!O46-'dod3 жовтень'!O45</f>
        <v>0</v>
      </c>
      <c r="P46" s="372">
        <f>'dod3'!P46-'dod3 жовтень'!P45</f>
        <v>390700</v>
      </c>
    </row>
    <row r="47" spans="1:20" ht="137.25" x14ac:dyDescent="0.2">
      <c r="A47" s="516" t="s">
        <v>407</v>
      </c>
      <c r="B47" s="516" t="s">
        <v>408</v>
      </c>
      <c r="C47" s="516" t="s">
        <v>409</v>
      </c>
      <c r="D47" s="516" t="s">
        <v>410</v>
      </c>
      <c r="E47" s="372">
        <f>'dod3'!E47-'dod3 жовтень'!E46</f>
        <v>208000</v>
      </c>
      <c r="F47" s="372">
        <f>'dod3'!F47-'dod3 жовтень'!F46</f>
        <v>208000</v>
      </c>
      <c r="G47" s="372">
        <f>'dod3'!G47-'dod3 жовтень'!G46</f>
        <v>0</v>
      </c>
      <c r="H47" s="372">
        <f>'dod3'!H47-'dod3 жовтень'!H46</f>
        <v>0</v>
      </c>
      <c r="I47" s="372">
        <f>'dod3'!I47-'dod3 жовтень'!I46</f>
        <v>0</v>
      </c>
      <c r="J47" s="372">
        <f>'dod3'!J47-'dod3 жовтень'!J46</f>
        <v>0</v>
      </c>
      <c r="K47" s="372">
        <f>'dod3'!K47-'dod3 жовтень'!K46</f>
        <v>0</v>
      </c>
      <c r="L47" s="372">
        <f>'dod3'!L47-'dod3 жовтень'!L46</f>
        <v>0</v>
      </c>
      <c r="M47" s="372">
        <f>'dod3'!M47-'dod3 жовтень'!M46</f>
        <v>0</v>
      </c>
      <c r="N47" s="372">
        <f>'dod3'!N47-'dod3 жовтень'!N46</f>
        <v>0</v>
      </c>
      <c r="O47" s="372">
        <f>'dod3'!O47-'dod3 жовтень'!O46</f>
        <v>0</v>
      </c>
      <c r="P47" s="372">
        <f>'dod3'!P47-'dod3 жовтень'!P46</f>
        <v>208000</v>
      </c>
    </row>
    <row r="48" spans="1:20" ht="137.25" x14ac:dyDescent="0.2">
      <c r="A48" s="516" t="s">
        <v>411</v>
      </c>
      <c r="B48" s="516" t="s">
        <v>412</v>
      </c>
      <c r="C48" s="516" t="s">
        <v>413</v>
      </c>
      <c r="D48" s="516" t="s">
        <v>729</v>
      </c>
      <c r="E48" s="372">
        <f>'dod3'!E48-'dod3 жовтень'!E47</f>
        <v>-158000</v>
      </c>
      <c r="F48" s="372">
        <f>'dod3'!F48-'dod3 жовтень'!F47</f>
        <v>-158000</v>
      </c>
      <c r="G48" s="372">
        <f>'dod3'!G48-'dod3 жовтень'!G47</f>
        <v>0</v>
      </c>
      <c r="H48" s="372">
        <f>'dod3'!H48-'dod3 жовтень'!H47</f>
        <v>0</v>
      </c>
      <c r="I48" s="372">
        <f>'dod3'!I48-'dod3 жовтень'!I47</f>
        <v>0</v>
      </c>
      <c r="J48" s="372">
        <f>'dod3'!J48-'dod3 жовтень'!J47</f>
        <v>0</v>
      </c>
      <c r="K48" s="372">
        <f>'dod3'!K48-'dod3 жовтень'!K47</f>
        <v>0</v>
      </c>
      <c r="L48" s="372">
        <f>'dod3'!L48-'dod3 жовтень'!L47</f>
        <v>0</v>
      </c>
      <c r="M48" s="372">
        <f>'dod3'!M48-'dod3 жовтень'!M47</f>
        <v>0</v>
      </c>
      <c r="N48" s="372">
        <f>'dod3'!N48-'dod3 жовтень'!N47</f>
        <v>0</v>
      </c>
      <c r="O48" s="372">
        <f>'dod3'!O48-'dod3 жовтень'!O47</f>
        <v>0</v>
      </c>
      <c r="P48" s="372">
        <f>'dod3'!P48-'dod3 жовтень'!P47</f>
        <v>-158000</v>
      </c>
    </row>
    <row r="49" spans="1:22" ht="91.5" x14ac:dyDescent="0.2">
      <c r="A49" s="516" t="s">
        <v>414</v>
      </c>
      <c r="B49" s="516" t="s">
        <v>415</v>
      </c>
      <c r="C49" s="516" t="s">
        <v>416</v>
      </c>
      <c r="D49" s="516" t="s">
        <v>417</v>
      </c>
      <c r="E49" s="372">
        <f>'dod3'!E49-'dod3 жовтень'!E48</f>
        <v>-463800</v>
      </c>
      <c r="F49" s="372">
        <f>'dod3'!F49-'dod3 жовтень'!F48</f>
        <v>-463800</v>
      </c>
      <c r="G49" s="372">
        <f>'dod3'!G49-'dod3 жовтень'!G48</f>
        <v>0</v>
      </c>
      <c r="H49" s="372">
        <f>'dod3'!H49-'dod3 жовтень'!H48</f>
        <v>0</v>
      </c>
      <c r="I49" s="372">
        <f>'dod3'!I49-'dod3 жовтень'!I48</f>
        <v>0</v>
      </c>
      <c r="J49" s="372">
        <f>'dod3'!J49-'dod3 жовтень'!J48</f>
        <v>1648000</v>
      </c>
      <c r="K49" s="372">
        <f>'dod3'!K49-'dod3 жовтень'!K48</f>
        <v>0</v>
      </c>
      <c r="L49" s="372">
        <f>'dod3'!L49-'dod3 жовтень'!L48</f>
        <v>0</v>
      </c>
      <c r="M49" s="372">
        <f>'dod3'!M49-'dod3 жовтень'!M48</f>
        <v>0</v>
      </c>
      <c r="N49" s="372">
        <f>'dod3'!N49-'dod3 жовтень'!N48</f>
        <v>1648000</v>
      </c>
      <c r="O49" s="372">
        <f>'dod3'!O49-'dod3 жовтень'!O48</f>
        <v>1648000</v>
      </c>
      <c r="P49" s="372">
        <f>'dod3'!P49-'dod3 жовтень'!P48</f>
        <v>1184200</v>
      </c>
    </row>
    <row r="50" spans="1:22" ht="91.5" x14ac:dyDescent="0.2">
      <c r="A50" s="516" t="s">
        <v>418</v>
      </c>
      <c r="B50" s="516" t="s">
        <v>419</v>
      </c>
      <c r="C50" s="516"/>
      <c r="D50" s="516" t="s">
        <v>730</v>
      </c>
      <c r="E50" s="372">
        <f>'dod3'!E50-'dod3 жовтень'!E49</f>
        <v>-34200</v>
      </c>
      <c r="F50" s="372">
        <f>'dod3'!F50-'dod3 жовтень'!F49</f>
        <v>-34200</v>
      </c>
      <c r="G50" s="372">
        <f>'dod3'!G50-'dod3 жовтень'!G49</f>
        <v>0</v>
      </c>
      <c r="H50" s="372">
        <f>'dod3'!H50-'dod3 жовтень'!H49</f>
        <v>0</v>
      </c>
      <c r="I50" s="372">
        <f>'dod3'!I50-'dod3 жовтень'!I49</f>
        <v>0</v>
      </c>
      <c r="J50" s="372">
        <f>'dod3'!J50-'dod3 жовтень'!J49</f>
        <v>0</v>
      </c>
      <c r="K50" s="372">
        <f>'dod3'!K50-'dod3 жовтень'!K49</f>
        <v>0</v>
      </c>
      <c r="L50" s="372">
        <f>'dod3'!L50-'dod3 жовтень'!L49</f>
        <v>0</v>
      </c>
      <c r="M50" s="372">
        <f>'dod3'!M50-'dod3 жовтень'!M49</f>
        <v>0</v>
      </c>
      <c r="N50" s="372">
        <f>'dod3'!N50-'dod3 жовтень'!N49</f>
        <v>0</v>
      </c>
      <c r="O50" s="372">
        <f>'dod3'!O50-'dod3 жовтень'!O49</f>
        <v>0</v>
      </c>
      <c r="P50" s="372">
        <f>'dod3'!P50-'dod3 жовтень'!P49</f>
        <v>-34200</v>
      </c>
    </row>
    <row r="51" spans="1:22" ht="183" x14ac:dyDescent="0.2">
      <c r="A51" s="509" t="s">
        <v>420</v>
      </c>
      <c r="B51" s="508" t="s">
        <v>421</v>
      </c>
      <c r="C51" s="508" t="s">
        <v>731</v>
      </c>
      <c r="D51" s="509" t="s">
        <v>422</v>
      </c>
      <c r="E51" s="372">
        <f>'dod3'!E51-'dod3 жовтень'!E50</f>
        <v>-34200</v>
      </c>
      <c r="F51" s="372">
        <f>'dod3'!F51-'dod3 жовтень'!F50</f>
        <v>-34200</v>
      </c>
      <c r="G51" s="372">
        <f>'dod3'!G51-'dod3 жовтень'!G50</f>
        <v>0</v>
      </c>
      <c r="H51" s="372">
        <f>'dod3'!H51-'dod3 жовтень'!H50</f>
        <v>0</v>
      </c>
      <c r="I51" s="372">
        <f>'dod3'!I51-'dod3 жовтень'!I50</f>
        <v>0</v>
      </c>
      <c r="J51" s="372">
        <f>'dod3'!J51-'dod3 жовтень'!J50</f>
        <v>0</v>
      </c>
      <c r="K51" s="372">
        <f>'dod3'!K51-'dod3 жовтень'!K50</f>
        <v>0</v>
      </c>
      <c r="L51" s="372">
        <f>'dod3'!L51-'dod3 жовтень'!L50</f>
        <v>0</v>
      </c>
      <c r="M51" s="372">
        <f>'dod3'!M51-'dod3 жовтень'!M50</f>
        <v>0</v>
      </c>
      <c r="N51" s="372">
        <f>'dod3'!N51-'dod3 жовтень'!N50</f>
        <v>0</v>
      </c>
      <c r="O51" s="372">
        <f>'dod3'!O51-'dod3 жовтень'!O50</f>
        <v>0</v>
      </c>
      <c r="P51" s="372">
        <f>'dod3'!P51-'dod3 жовтень'!P50</f>
        <v>-34200</v>
      </c>
    </row>
    <row r="52" spans="1:22" ht="91.5" x14ac:dyDescent="0.2">
      <c r="A52" s="516" t="s">
        <v>782</v>
      </c>
      <c r="B52" s="515" t="s">
        <v>783</v>
      </c>
      <c r="C52" s="515"/>
      <c r="D52" s="515" t="s">
        <v>784</v>
      </c>
      <c r="E52" s="372">
        <f>'dod3'!E52-'dod3 жовтень'!E51</f>
        <v>57300</v>
      </c>
      <c r="F52" s="372">
        <f>'dod3'!F52-'dod3 жовтень'!F51</f>
        <v>57300</v>
      </c>
      <c r="G52" s="372">
        <f>'dod3'!G52-'dod3 жовтень'!G51</f>
        <v>0</v>
      </c>
      <c r="H52" s="372">
        <f>'dod3'!H52-'dod3 жовтень'!H51</f>
        <v>0</v>
      </c>
      <c r="I52" s="372">
        <f>'dod3'!I52-'dod3 жовтень'!I51</f>
        <v>0</v>
      </c>
      <c r="J52" s="372">
        <f>'dod3'!J52-'dod3 жовтень'!J51</f>
        <v>0</v>
      </c>
      <c r="K52" s="372">
        <f>'dod3'!K52-'dod3 жовтень'!K51</f>
        <v>0</v>
      </c>
      <c r="L52" s="372">
        <f>'dod3'!L52-'dod3 жовтень'!L51</f>
        <v>0</v>
      </c>
      <c r="M52" s="372">
        <f>'dod3'!M52-'dod3 жовтень'!M51</f>
        <v>0</v>
      </c>
      <c r="N52" s="372">
        <f>'dod3'!N52-'dod3 жовтень'!N51</f>
        <v>0</v>
      </c>
      <c r="O52" s="372">
        <f>'dod3'!O52-'dod3 жовтень'!O51</f>
        <v>0</v>
      </c>
      <c r="P52" s="372">
        <f>'dod3'!P52-'dod3 жовтень'!P51</f>
        <v>57300</v>
      </c>
    </row>
    <row r="53" spans="1:22" ht="137.25" x14ac:dyDescent="0.2">
      <c r="A53" s="509" t="s">
        <v>785</v>
      </c>
      <c r="B53" s="509" t="s">
        <v>786</v>
      </c>
      <c r="C53" s="515" t="s">
        <v>425</v>
      </c>
      <c r="D53" s="432" t="s">
        <v>787</v>
      </c>
      <c r="E53" s="372">
        <f>'dod3'!E53-'dod3 жовтень'!E52</f>
        <v>57300</v>
      </c>
      <c r="F53" s="372">
        <f>'dod3'!F53-'dod3 жовтень'!F52</f>
        <v>57300</v>
      </c>
      <c r="G53" s="372">
        <f>'dod3'!G53-'dod3 жовтень'!G52</f>
        <v>0</v>
      </c>
      <c r="H53" s="372">
        <f>'dod3'!H53-'dod3 жовтень'!H52</f>
        <v>0</v>
      </c>
      <c r="I53" s="372">
        <f>'dod3'!I53-'dod3 жовтень'!I52</f>
        <v>0</v>
      </c>
      <c r="J53" s="372">
        <f>'dod3'!J53-'dod3 жовтень'!J52</f>
        <v>0</v>
      </c>
      <c r="K53" s="372">
        <f>'dod3'!K53-'dod3 жовтень'!K52</f>
        <v>0</v>
      </c>
      <c r="L53" s="372">
        <f>'dod3'!L53-'dod3 жовтень'!L52</f>
        <v>0</v>
      </c>
      <c r="M53" s="372">
        <f>'dod3'!M53-'dod3 жовтень'!M52</f>
        <v>0</v>
      </c>
      <c r="N53" s="372">
        <f>'dod3'!N53-'dod3 жовтень'!N52</f>
        <v>0</v>
      </c>
      <c r="O53" s="372">
        <f>'dod3'!O53-'dod3 жовтень'!O52</f>
        <v>0</v>
      </c>
      <c r="P53" s="372">
        <f>'dod3'!P53-'dod3 жовтень'!P52</f>
        <v>57300</v>
      </c>
    </row>
    <row r="54" spans="1:22" ht="137.25" x14ac:dyDescent="0.2">
      <c r="A54" s="509" t="s">
        <v>790</v>
      </c>
      <c r="B54" s="509" t="s">
        <v>789</v>
      </c>
      <c r="C54" s="515" t="s">
        <v>425</v>
      </c>
      <c r="D54" s="432" t="s">
        <v>788</v>
      </c>
      <c r="E54" s="372">
        <f>'dod3'!E54-'dod3 жовтень'!E53</f>
        <v>0</v>
      </c>
      <c r="F54" s="372">
        <f>'dod3'!F54-'dod3 жовтень'!F53</f>
        <v>0</v>
      </c>
      <c r="G54" s="372">
        <f>'dod3'!G54-'dod3 жовтень'!G53</f>
        <v>0</v>
      </c>
      <c r="H54" s="372">
        <f>'dod3'!H54-'dod3 жовтень'!H53</f>
        <v>0</v>
      </c>
      <c r="I54" s="372">
        <f>'dod3'!I54-'dod3 жовтень'!I53</f>
        <v>0</v>
      </c>
      <c r="J54" s="372">
        <f>'dod3'!J54-'dod3 жовтень'!J53</f>
        <v>0</v>
      </c>
      <c r="K54" s="372">
        <f>'dod3'!K54-'dod3 жовтень'!K53</f>
        <v>0</v>
      </c>
      <c r="L54" s="372">
        <f>'dod3'!L54-'dod3 жовтень'!L53</f>
        <v>0</v>
      </c>
      <c r="M54" s="372">
        <f>'dod3'!M54-'dod3 жовтень'!M53</f>
        <v>0</v>
      </c>
      <c r="N54" s="372">
        <f>'dod3'!N54-'dod3 жовтень'!N53</f>
        <v>0</v>
      </c>
      <c r="O54" s="372">
        <f>'dod3'!O54-'dod3 жовтень'!O53</f>
        <v>0</v>
      </c>
      <c r="P54" s="372">
        <f>'dod3'!P54-'dod3 жовтень'!P53</f>
        <v>0</v>
      </c>
    </row>
    <row r="55" spans="1:22" ht="91.5" customHeight="1" x14ac:dyDescent="0.2">
      <c r="A55" s="516" t="s">
        <v>423</v>
      </c>
      <c r="B55" s="515" t="s">
        <v>424</v>
      </c>
      <c r="C55" s="515"/>
      <c r="D55" s="515" t="s">
        <v>426</v>
      </c>
      <c r="E55" s="372">
        <f>'dod3'!E55-'dod3 жовтень'!E54</f>
        <v>-60000</v>
      </c>
      <c r="F55" s="372">
        <f>'dod3'!F55-'dod3 жовтень'!F54</f>
        <v>-60000</v>
      </c>
      <c r="G55" s="372">
        <f>'dod3'!G55-'dod3 жовтень'!G54</f>
        <v>-100000</v>
      </c>
      <c r="H55" s="372">
        <f>'dod3'!H55-'dod3 жовтень'!H54</f>
        <v>0</v>
      </c>
      <c r="I55" s="372">
        <f>'dod3'!I55-'dod3 жовтень'!I54</f>
        <v>0</v>
      </c>
      <c r="J55" s="372">
        <f>'dod3'!J55-'dod3 жовтень'!J54</f>
        <v>0</v>
      </c>
      <c r="K55" s="372">
        <f>'dod3'!K55-'dod3 жовтень'!K54</f>
        <v>0</v>
      </c>
      <c r="L55" s="372">
        <f>'dod3'!L55-'dod3 жовтень'!L54</f>
        <v>0</v>
      </c>
      <c r="M55" s="372">
        <f>'dod3'!M55-'dod3 жовтень'!M54</f>
        <v>0</v>
      </c>
      <c r="N55" s="372">
        <f>'dod3'!N55-'dod3 жовтень'!N54</f>
        <v>0</v>
      </c>
      <c r="O55" s="372">
        <f>'dod3'!O55-'dod3 жовтень'!O54</f>
        <v>0</v>
      </c>
      <c r="P55" s="372">
        <f>'dod3'!P55-'dod3 жовтень'!P54</f>
        <v>-60000</v>
      </c>
    </row>
    <row r="56" spans="1:22" s="196" customFormat="1" ht="91.5" x14ac:dyDescent="0.2">
      <c r="A56" s="509" t="s">
        <v>660</v>
      </c>
      <c r="B56" s="509" t="s">
        <v>662</v>
      </c>
      <c r="C56" s="508" t="s">
        <v>425</v>
      </c>
      <c r="D56" s="432" t="s">
        <v>658</v>
      </c>
      <c r="E56" s="372">
        <f>'dod3'!E56-'dod3 жовтень'!E55</f>
        <v>-60000</v>
      </c>
      <c r="F56" s="372">
        <f>'dod3'!F56-'dod3 жовтень'!F55</f>
        <v>-60000</v>
      </c>
      <c r="G56" s="372">
        <f>'dod3'!G56-'dod3 жовтень'!G55</f>
        <v>-100000</v>
      </c>
      <c r="H56" s="372">
        <f>'dod3'!H56-'dod3 жовтень'!H55</f>
        <v>0</v>
      </c>
      <c r="I56" s="372">
        <f>'dod3'!I56-'dod3 жовтень'!I55</f>
        <v>0</v>
      </c>
      <c r="J56" s="372">
        <f>'dod3'!J56-'dod3 жовтень'!J55</f>
        <v>0</v>
      </c>
      <c r="K56" s="372">
        <f>'dod3'!K56-'dod3 жовтень'!K55</f>
        <v>0</v>
      </c>
      <c r="L56" s="372">
        <f>'dod3'!L56-'dod3 жовтень'!L55</f>
        <v>0</v>
      </c>
      <c r="M56" s="372">
        <f>'dod3'!M56-'dod3 жовтень'!M55</f>
        <v>0</v>
      </c>
      <c r="N56" s="372">
        <f>'dod3'!N56-'dod3 жовтень'!N55</f>
        <v>0</v>
      </c>
      <c r="O56" s="372">
        <f>'dod3'!O56-'dod3 жовтень'!O55</f>
        <v>0</v>
      </c>
      <c r="P56" s="372">
        <f>'dod3'!P56-'dod3 жовтень'!P55</f>
        <v>-60000</v>
      </c>
    </row>
    <row r="57" spans="1:22" s="196" customFormat="1" ht="91.5" x14ac:dyDescent="0.2">
      <c r="A57" s="509" t="s">
        <v>661</v>
      </c>
      <c r="B57" s="509" t="s">
        <v>663</v>
      </c>
      <c r="C57" s="508" t="s">
        <v>425</v>
      </c>
      <c r="D57" s="432" t="s">
        <v>659</v>
      </c>
      <c r="E57" s="372">
        <f>'dod3'!E57-'dod3 жовтень'!E56</f>
        <v>0</v>
      </c>
      <c r="F57" s="372">
        <f>'dod3'!F57-'dod3 жовтень'!F56</f>
        <v>0</v>
      </c>
      <c r="G57" s="372">
        <f>'dod3'!G57-'dod3 жовтень'!G56</f>
        <v>0</v>
      </c>
      <c r="H57" s="372">
        <f>'dod3'!H57-'dod3 жовтень'!H56</f>
        <v>0</v>
      </c>
      <c r="I57" s="372">
        <f>'dod3'!I57-'dod3 жовтень'!I56</f>
        <v>0</v>
      </c>
      <c r="J57" s="372">
        <f>'dod3'!J57-'dod3 жовтень'!J56</f>
        <v>0</v>
      </c>
      <c r="K57" s="372">
        <f>'dod3'!K57-'dod3 жовтень'!K56</f>
        <v>0</v>
      </c>
      <c r="L57" s="372">
        <f>'dod3'!L57-'dod3 жовтень'!L56</f>
        <v>0</v>
      </c>
      <c r="M57" s="372">
        <f>'dod3'!M57-'dod3 жовтень'!M56</f>
        <v>0</v>
      </c>
      <c r="N57" s="372">
        <f>'dod3'!N57-'dod3 жовтень'!N56</f>
        <v>0</v>
      </c>
      <c r="O57" s="372">
        <f>'dod3'!O57-'dod3 жовтень'!O56</f>
        <v>0</v>
      </c>
      <c r="P57" s="372">
        <f>'dod3'!P57-'dod3 жовтень'!P56</f>
        <v>0</v>
      </c>
    </row>
    <row r="58" spans="1:22" ht="91.5" x14ac:dyDescent="0.2">
      <c r="A58" s="516" t="s">
        <v>798</v>
      </c>
      <c r="B58" s="515" t="s">
        <v>799</v>
      </c>
      <c r="C58" s="515" t="s">
        <v>103</v>
      </c>
      <c r="D58" s="515" t="s">
        <v>800</v>
      </c>
      <c r="E58" s="372">
        <f>'dod3'!E58-'dod3 жовтень'!E57</f>
        <v>0</v>
      </c>
      <c r="F58" s="372">
        <f>'dod3'!F58-'dod3 жовтень'!F57</f>
        <v>0</v>
      </c>
      <c r="G58" s="372">
        <f>'dod3'!G58-'dod3 жовтень'!G57</f>
        <v>0</v>
      </c>
      <c r="H58" s="372">
        <f>'dod3'!H58-'dod3 жовтень'!H57</f>
        <v>0</v>
      </c>
      <c r="I58" s="372">
        <f>'dod3'!I58-'dod3 жовтень'!I57</f>
        <v>0</v>
      </c>
      <c r="J58" s="372">
        <f>'dod3'!J58-'dod3 жовтень'!J57</f>
        <v>0</v>
      </c>
      <c r="K58" s="372">
        <f>'dod3'!K58-'dod3 жовтень'!K57</f>
        <v>0</v>
      </c>
      <c r="L58" s="372">
        <f>'dod3'!L58-'dod3 жовтень'!L57</f>
        <v>0</v>
      </c>
      <c r="M58" s="372">
        <f>'dod3'!M58-'dod3 жовтень'!M57</f>
        <v>0</v>
      </c>
      <c r="N58" s="372">
        <f>'dod3'!N58-'dod3 жовтень'!N57</f>
        <v>0</v>
      </c>
      <c r="O58" s="372">
        <f>'dod3'!O58-'dod3 жовтень'!O57</f>
        <v>0</v>
      </c>
      <c r="P58" s="372">
        <f>'dod3'!P58-'dod3 жовтень'!P57</f>
        <v>0</v>
      </c>
    </row>
    <row r="59" spans="1:22" ht="180" x14ac:dyDescent="0.2">
      <c r="A59" s="473" t="s">
        <v>310</v>
      </c>
      <c r="B59" s="473"/>
      <c r="C59" s="473"/>
      <c r="D59" s="470" t="s">
        <v>92</v>
      </c>
      <c r="E59" s="476">
        <f>E60</f>
        <v>32888636</v>
      </c>
      <c r="F59" s="476">
        <f>F60</f>
        <v>32888636</v>
      </c>
      <c r="G59" s="476">
        <f>G60</f>
        <v>23840870</v>
      </c>
      <c r="H59" s="476">
        <f t="shared" ref="H59:O59" si="8">H60</f>
        <v>991000</v>
      </c>
      <c r="I59" s="476">
        <f t="shared" si="8"/>
        <v>0</v>
      </c>
      <c r="J59" s="476">
        <f t="shared" si="8"/>
        <v>492000</v>
      </c>
      <c r="K59" s="476">
        <f t="shared" si="8"/>
        <v>366000</v>
      </c>
      <c r="L59" s="476">
        <f t="shared" si="8"/>
        <v>0</v>
      </c>
      <c r="M59" s="476">
        <f t="shared" si="8"/>
        <v>0</v>
      </c>
      <c r="N59" s="476">
        <f t="shared" si="8"/>
        <v>126000</v>
      </c>
      <c r="O59" s="475">
        <f t="shared" si="8"/>
        <v>126000</v>
      </c>
      <c r="P59" s="475">
        <f>P60</f>
        <v>33380636</v>
      </c>
    </row>
    <row r="60" spans="1:22" ht="180" x14ac:dyDescent="0.2">
      <c r="A60" s="480" t="s">
        <v>311</v>
      </c>
      <c r="B60" s="480"/>
      <c r="C60" s="480"/>
      <c r="D60" s="474" t="s">
        <v>93</v>
      </c>
      <c r="E60" s="475">
        <f>E99+E91+E108+E94+E74+E83+E68+E62+E65+E106+E82+E90+E95+E98+E61+E101+E113</f>
        <v>32888636</v>
      </c>
      <c r="F60" s="476">
        <f>F99+F91+F108+F94+F74+F83+F68+F62+F65+F106+F82+F90+F95+F98+F61+F101</f>
        <v>32888636</v>
      </c>
      <c r="G60" s="475">
        <f>G99+G91+G108+G94+G74+G83+G68+G62+G65+G106+G82+G90+G61+G101</f>
        <v>23840870</v>
      </c>
      <c r="H60" s="475">
        <f>H99+H91+H108+H94+H74+H83+H68+H62+H65+H106+H82+H90+H61+H101</f>
        <v>991000</v>
      </c>
      <c r="I60" s="476">
        <v>0</v>
      </c>
      <c r="J60" s="475">
        <f>K60+N60</f>
        <v>492000</v>
      </c>
      <c r="K60" s="476">
        <f>K99+K91+K108+K94+K74+K83+K68+K62+K65+K106+K82+K90+K111+K102+K61+K101+K113</f>
        <v>366000</v>
      </c>
      <c r="L60" s="475">
        <f>L99+L91+L108+L94+L74+L83+L68+L62+L65+L106+L82+L90+L61+L101</f>
        <v>0</v>
      </c>
      <c r="M60" s="475">
        <f>M99+M91+M108+M94+M74+M83+M68+M62+M65+M106+M82+M90+M61+M101</f>
        <v>0</v>
      </c>
      <c r="N60" s="476">
        <f>N99+N91+N108+N94+N74+N83+N68+N62+N65+N106+N82+N90+N111+N102+N61+N101+N113</f>
        <v>126000</v>
      </c>
      <c r="O60" s="475">
        <f>O99+O91+O108+O94+O74+O83+O68+O62+O65+O106+O82+O90+O111+O102+O61+O101+O113</f>
        <v>126000</v>
      </c>
      <c r="P60" s="475">
        <f>E60+J60</f>
        <v>33380636</v>
      </c>
      <c r="Q60" s="251" t="b">
        <f>P60=P63+P64+P66+P67+P69+P70+P71+P72+P73+P75+P76+P77+P78+P79+P80+P81+P82+P85+P86+P87+P88+P89+P90+P92+P93+P94+P96+P97+P98+P100+P103+P106+P109+P110+P112+P61+P101+P114</f>
        <v>1</v>
      </c>
      <c r="R60" s="253"/>
      <c r="S60" s="252"/>
      <c r="T60" s="251"/>
      <c r="U60" s="252"/>
      <c r="V60" s="252"/>
    </row>
    <row r="61" spans="1:22" ht="228.75" x14ac:dyDescent="0.2">
      <c r="A61" s="516" t="s">
        <v>1023</v>
      </c>
      <c r="B61" s="516" t="s">
        <v>433</v>
      </c>
      <c r="C61" s="516" t="s">
        <v>430</v>
      </c>
      <c r="D61" s="516" t="s">
        <v>431</v>
      </c>
      <c r="E61" s="372">
        <f>'dod3'!E61-0</f>
        <v>32655636</v>
      </c>
      <c r="F61" s="372">
        <f>'dod3'!F61-0</f>
        <v>32655636</v>
      </c>
      <c r="G61" s="372">
        <f>'dod3'!G61-0</f>
        <v>23649870</v>
      </c>
      <c r="H61" s="372">
        <f>'dod3'!H61-0</f>
        <v>991000</v>
      </c>
      <c r="I61" s="372">
        <f>'dod3'!I61-0</f>
        <v>0</v>
      </c>
      <c r="J61" s="372">
        <f>'dod3'!J61-0</f>
        <v>126000</v>
      </c>
      <c r="K61" s="372">
        <f>'dod3'!K61-0</f>
        <v>0</v>
      </c>
      <c r="L61" s="372">
        <f>'dod3'!L61-0</f>
        <v>0</v>
      </c>
      <c r="M61" s="372">
        <f>'dod3'!M61-0</f>
        <v>0</v>
      </c>
      <c r="N61" s="372">
        <f>'dod3'!N61-0</f>
        <v>126000</v>
      </c>
      <c r="O61" s="372">
        <f>'dod3'!O61-0</f>
        <v>126000</v>
      </c>
      <c r="P61" s="372">
        <f>'dod3'!P61-0</f>
        <v>32781636</v>
      </c>
      <c r="Q61" s="251"/>
      <c r="R61" s="253"/>
      <c r="S61" s="252"/>
      <c r="T61" s="251"/>
      <c r="U61" s="252"/>
      <c r="V61" s="252"/>
    </row>
    <row r="62" spans="1:22" ht="320.25" x14ac:dyDescent="0.2">
      <c r="A62" s="515" t="s">
        <v>451</v>
      </c>
      <c r="B62" s="515" t="s">
        <v>452</v>
      </c>
      <c r="C62" s="515"/>
      <c r="D62" s="515" t="s">
        <v>14</v>
      </c>
      <c r="E62" s="372">
        <f>'dod3'!E62-'dod3 жовтень'!E60</f>
        <v>0</v>
      </c>
      <c r="F62" s="372">
        <f>'dod3'!F62-'dod3 жовтень'!F60</f>
        <v>0</v>
      </c>
      <c r="G62" s="372">
        <f>'dod3'!G62-'dod3 жовтень'!G60</f>
        <v>0</v>
      </c>
      <c r="H62" s="372">
        <f>'dod3'!H62-'dod3 жовтень'!H60</f>
        <v>0</v>
      </c>
      <c r="I62" s="372">
        <f>'dod3'!I62-'dod3 жовтень'!I60</f>
        <v>0</v>
      </c>
      <c r="J62" s="372">
        <f>'dod3'!J62-'dod3 жовтень'!J60</f>
        <v>0</v>
      </c>
      <c r="K62" s="372">
        <f>'dod3'!K62-'dod3 жовтень'!K60</f>
        <v>0</v>
      </c>
      <c r="L62" s="372">
        <f>'dod3'!L62-'dod3 жовтень'!L60</f>
        <v>0</v>
      </c>
      <c r="M62" s="372">
        <f>'dod3'!M62-'dod3 жовтень'!M60</f>
        <v>0</v>
      </c>
      <c r="N62" s="372">
        <f>'dod3'!N62-'dod3 жовтень'!N60</f>
        <v>0</v>
      </c>
      <c r="O62" s="372">
        <f>'dod3'!O62-'dod3 жовтень'!O60</f>
        <v>0</v>
      </c>
      <c r="P62" s="372">
        <f>'dod3'!P62-'dod3 жовтень'!P60</f>
        <v>0</v>
      </c>
    </row>
    <row r="63" spans="1:22" ht="183" x14ac:dyDescent="0.2">
      <c r="A63" s="508" t="s">
        <v>453</v>
      </c>
      <c r="B63" s="508" t="s">
        <v>454</v>
      </c>
      <c r="C63" s="508" t="s">
        <v>385</v>
      </c>
      <c r="D63" s="433" t="s">
        <v>450</v>
      </c>
      <c r="E63" s="372">
        <f>'dod3'!E63-'dod3 жовтень'!E61</f>
        <v>17888844.269999996</v>
      </c>
      <c r="F63" s="372">
        <f>'dod3'!F63-'dod3 жовтень'!F61</f>
        <v>17888844.269999996</v>
      </c>
      <c r="G63" s="372">
        <f>'dod3'!G63-'dod3 жовтень'!G61</f>
        <v>0</v>
      </c>
      <c r="H63" s="372">
        <f>'dod3'!H63-'dod3 жовтень'!H61</f>
        <v>0</v>
      </c>
      <c r="I63" s="372">
        <f>'dod3'!I63-'dod3 жовтень'!I61</f>
        <v>0</v>
      </c>
      <c r="J63" s="372">
        <f>'dod3'!J63-'dod3 жовтень'!J61</f>
        <v>0</v>
      </c>
      <c r="K63" s="372">
        <f>'dod3'!K63-'dod3 жовтень'!K61</f>
        <v>0</v>
      </c>
      <c r="L63" s="372">
        <f>'dod3'!L63-'dod3 жовтень'!L61</f>
        <v>0</v>
      </c>
      <c r="M63" s="372">
        <f>'dod3'!M63-'dod3 жовтень'!M61</f>
        <v>0</v>
      </c>
      <c r="N63" s="372">
        <f>'dod3'!N63-'dod3 жовтень'!N61</f>
        <v>0</v>
      </c>
      <c r="O63" s="372">
        <f>'dod3'!O63-'dod3 жовтень'!O61</f>
        <v>0</v>
      </c>
      <c r="P63" s="372">
        <f>'dod3'!P63-'dod3 жовтень'!P61</f>
        <v>17888844.269999996</v>
      </c>
    </row>
    <row r="64" spans="1:22" ht="183" x14ac:dyDescent="0.2">
      <c r="A64" s="434" t="s">
        <v>476</v>
      </c>
      <c r="B64" s="508" t="s">
        <v>477</v>
      </c>
      <c r="C64" s="508" t="s">
        <v>117</v>
      </c>
      <c r="D64" s="509" t="s">
        <v>15</v>
      </c>
      <c r="E64" s="372">
        <f>'dod3'!E64-'dod3 жовтень'!E62</f>
        <v>-17888844.269999981</v>
      </c>
      <c r="F64" s="372">
        <f>'dod3'!F64-'dod3 жовтень'!F62</f>
        <v>-17888844.269999981</v>
      </c>
      <c r="G64" s="372">
        <f>'dod3'!G64-'dod3 жовтень'!G62</f>
        <v>0</v>
      </c>
      <c r="H64" s="372">
        <f>'dod3'!H64-'dod3 жовтень'!H62</f>
        <v>0</v>
      </c>
      <c r="I64" s="372">
        <f>'dod3'!I64-'dod3 жовтень'!I62</f>
        <v>0</v>
      </c>
      <c r="J64" s="372">
        <f>'dod3'!J64-'dod3 жовтень'!J62</f>
        <v>0</v>
      </c>
      <c r="K64" s="372">
        <f>'dod3'!K64-'dod3 жовтень'!K62</f>
        <v>0</v>
      </c>
      <c r="L64" s="372">
        <f>'dod3'!L64-'dod3 жовтень'!L62</f>
        <v>0</v>
      </c>
      <c r="M64" s="372">
        <f>'dod3'!M64-'dod3 жовтень'!M62</f>
        <v>0</v>
      </c>
      <c r="N64" s="372">
        <f>'dod3'!N64-'dod3 жовтень'!N62</f>
        <v>0</v>
      </c>
      <c r="O64" s="372">
        <f>'dod3'!O64-'dod3 жовтень'!O62</f>
        <v>0</v>
      </c>
      <c r="P64" s="372">
        <f>'dod3'!P64-'dod3 жовтень'!P62</f>
        <v>-17888844.269999981</v>
      </c>
    </row>
    <row r="65" spans="1:16" ht="228.75" x14ac:dyDescent="0.2">
      <c r="A65" s="516" t="s">
        <v>478</v>
      </c>
      <c r="B65" s="516" t="s">
        <v>479</v>
      </c>
      <c r="C65" s="509"/>
      <c r="D65" s="516" t="s">
        <v>16</v>
      </c>
      <c r="E65" s="372">
        <f>'dod3'!E65-'dod3 жовтень'!E63</f>
        <v>0</v>
      </c>
      <c r="F65" s="372">
        <f>'dod3'!F65-'dod3 жовтень'!F63</f>
        <v>0</v>
      </c>
      <c r="G65" s="372">
        <f>'dod3'!G65-'dod3 жовтень'!G63</f>
        <v>0</v>
      </c>
      <c r="H65" s="372">
        <f>'dod3'!H65-'dod3 жовтень'!H63</f>
        <v>0</v>
      </c>
      <c r="I65" s="372">
        <f>'dod3'!I65-'dod3 жовтень'!I63</f>
        <v>0</v>
      </c>
      <c r="J65" s="372">
        <f>'dod3'!J65-'dod3 жовтень'!J63</f>
        <v>0</v>
      </c>
      <c r="K65" s="372">
        <f>'dod3'!K65-'dod3 жовтень'!K63</f>
        <v>0</v>
      </c>
      <c r="L65" s="372">
        <f>'dod3'!L65-'dod3 жовтень'!L63</f>
        <v>0</v>
      </c>
      <c r="M65" s="372">
        <f>'dod3'!M65-'dod3 жовтень'!M63</f>
        <v>0</v>
      </c>
      <c r="N65" s="372">
        <f>'dod3'!N65-'dod3 жовтень'!N63</f>
        <v>0</v>
      </c>
      <c r="O65" s="372">
        <f>'dod3'!O65-'dod3 жовтень'!O63</f>
        <v>0</v>
      </c>
      <c r="P65" s="372">
        <f>'dod3'!P65-'dod3 жовтень'!P63</f>
        <v>0</v>
      </c>
    </row>
    <row r="66" spans="1:16" ht="274.5" x14ac:dyDescent="0.2">
      <c r="A66" s="509" t="s">
        <v>481</v>
      </c>
      <c r="B66" s="509" t="s">
        <v>482</v>
      </c>
      <c r="C66" s="509" t="s">
        <v>385</v>
      </c>
      <c r="D66" s="435" t="s">
        <v>480</v>
      </c>
      <c r="E66" s="372">
        <f>'dod3'!E66-'dod3 жовтень'!E64</f>
        <v>-5.999999999994543E-2</v>
      </c>
      <c r="F66" s="372">
        <f>'dod3'!F66-'dod3 жовтень'!F64</f>
        <v>-5.999999999994543E-2</v>
      </c>
      <c r="G66" s="372">
        <f>'dod3'!G66-'dod3 жовтень'!G64</f>
        <v>0</v>
      </c>
      <c r="H66" s="372">
        <f>'dod3'!H66-'dod3 жовтень'!H64</f>
        <v>0</v>
      </c>
      <c r="I66" s="372">
        <f>'dod3'!I66-'dod3 жовтень'!I64</f>
        <v>0</v>
      </c>
      <c r="J66" s="372">
        <f>'dod3'!J66-'dod3 жовтень'!J64</f>
        <v>0</v>
      </c>
      <c r="K66" s="372">
        <f>'dod3'!K66-'dod3 жовтень'!K64</f>
        <v>0</v>
      </c>
      <c r="L66" s="372">
        <f>'dod3'!L66-'dod3 жовтень'!L64</f>
        <v>0</v>
      </c>
      <c r="M66" s="372">
        <f>'dod3'!M66-'dod3 жовтень'!M64</f>
        <v>0</v>
      </c>
      <c r="N66" s="372">
        <f>'dod3'!N66-'dod3 жовтень'!N64</f>
        <v>0</v>
      </c>
      <c r="O66" s="372">
        <f>'dod3'!O66-'dod3 жовтень'!O64</f>
        <v>0</v>
      </c>
      <c r="P66" s="372">
        <f>'dod3'!P66-'dod3 жовтень'!P64</f>
        <v>-5.999999999994543E-2</v>
      </c>
    </row>
    <row r="67" spans="1:16" ht="228.75" x14ac:dyDescent="0.2">
      <c r="A67" s="509" t="s">
        <v>483</v>
      </c>
      <c r="B67" s="509" t="s">
        <v>484</v>
      </c>
      <c r="C67" s="435">
        <v>1060</v>
      </c>
      <c r="D67" s="436" t="s">
        <v>27</v>
      </c>
      <c r="E67" s="372">
        <f>'dod3'!E67-'dod3 жовтень'!E65</f>
        <v>5.9999999997671694E-2</v>
      </c>
      <c r="F67" s="372">
        <f>'dod3'!F67-'dod3 жовтень'!F65</f>
        <v>5.9999999997671694E-2</v>
      </c>
      <c r="G67" s="372">
        <f>'dod3'!G67-'dod3 жовтень'!G65</f>
        <v>0</v>
      </c>
      <c r="H67" s="372">
        <f>'dod3'!H67-'dod3 жовтень'!H65</f>
        <v>0</v>
      </c>
      <c r="I67" s="372">
        <f>'dod3'!I67-'dod3 жовтень'!I65</f>
        <v>0</v>
      </c>
      <c r="J67" s="372">
        <f>'dod3'!J67-'dod3 жовтень'!J65</f>
        <v>0</v>
      </c>
      <c r="K67" s="372">
        <f>'dod3'!K67-'dod3 жовтень'!K65</f>
        <v>0</v>
      </c>
      <c r="L67" s="372">
        <f>'dod3'!L67-'dod3 жовтень'!L65</f>
        <v>0</v>
      </c>
      <c r="M67" s="372">
        <f>'dod3'!M67-'dod3 жовтень'!M65</f>
        <v>0</v>
      </c>
      <c r="N67" s="372">
        <f>'dod3'!N67-'dod3 жовтень'!N65</f>
        <v>0</v>
      </c>
      <c r="O67" s="372">
        <f>'dod3'!O67-'dod3 жовтень'!O65</f>
        <v>0</v>
      </c>
      <c r="P67" s="372">
        <f>'dod3'!P67-'dod3 жовтень'!P65</f>
        <v>5.9999999997671694E-2</v>
      </c>
    </row>
    <row r="68" spans="1:16" ht="274.5" x14ac:dyDescent="0.2">
      <c r="A68" s="515" t="s">
        <v>514</v>
      </c>
      <c r="B68" s="515" t="s">
        <v>515</v>
      </c>
      <c r="C68" s="515"/>
      <c r="D68" s="437" t="s">
        <v>513</v>
      </c>
      <c r="E68" s="372">
        <f>'dod3'!E68-'dod3 жовтень'!E66</f>
        <v>-260000</v>
      </c>
      <c r="F68" s="372">
        <f>'dod3'!F68-'dod3 жовтень'!F66</f>
        <v>-260000</v>
      </c>
      <c r="G68" s="372">
        <f>'dod3'!G68-'dod3 жовтень'!G66</f>
        <v>0</v>
      </c>
      <c r="H68" s="372">
        <f>'dod3'!H68-'dod3 жовтень'!H66</f>
        <v>0</v>
      </c>
      <c r="I68" s="372">
        <f>'dod3'!I68-'dod3 жовтень'!I66</f>
        <v>0</v>
      </c>
      <c r="J68" s="372">
        <f>'dod3'!J68-'dod3 жовтень'!J66</f>
        <v>0</v>
      </c>
      <c r="K68" s="372">
        <f>'dod3'!K68-'dod3 жовтень'!K66</f>
        <v>0</v>
      </c>
      <c r="L68" s="372">
        <f>'dod3'!L68-'dod3 жовтень'!L66</f>
        <v>0</v>
      </c>
      <c r="M68" s="372">
        <f>'dod3'!M68-'dod3 жовтень'!M66</f>
        <v>0</v>
      </c>
      <c r="N68" s="372">
        <f>'dod3'!N68-'dod3 жовтень'!N66</f>
        <v>0</v>
      </c>
      <c r="O68" s="372">
        <f>'dod3'!O68-'dod3 жовтень'!O66</f>
        <v>0</v>
      </c>
      <c r="P68" s="372">
        <f>'dod3'!P68-'dod3 жовтень'!P66</f>
        <v>-260000</v>
      </c>
    </row>
    <row r="69" spans="1:16" s="196" customFormat="1" ht="137.25" x14ac:dyDescent="0.2">
      <c r="A69" s="508" t="s">
        <v>516</v>
      </c>
      <c r="B69" s="508" t="s">
        <v>517</v>
      </c>
      <c r="C69" s="508" t="s">
        <v>385</v>
      </c>
      <c r="D69" s="438" t="s">
        <v>518</v>
      </c>
      <c r="E69" s="372">
        <f>'dod3'!E69-'dod3 жовтень'!E67</f>
        <v>-70000</v>
      </c>
      <c r="F69" s="372">
        <f>'dod3'!F69-'dod3 жовтень'!F67</f>
        <v>-70000</v>
      </c>
      <c r="G69" s="372">
        <f>'dod3'!G69-'dod3 жовтень'!G67</f>
        <v>0</v>
      </c>
      <c r="H69" s="372">
        <f>'dod3'!H69-'dod3 жовтень'!H67</f>
        <v>0</v>
      </c>
      <c r="I69" s="372">
        <f>'dod3'!I69-'dod3 жовтень'!I67</f>
        <v>0</v>
      </c>
      <c r="J69" s="372">
        <f>'dod3'!J69-'dod3 жовтень'!J67</f>
        <v>0</v>
      </c>
      <c r="K69" s="372">
        <f>'dod3'!K69-'dod3 жовтень'!K67</f>
        <v>0</v>
      </c>
      <c r="L69" s="372">
        <f>'dod3'!L69-'dod3 жовтень'!L67</f>
        <v>0</v>
      </c>
      <c r="M69" s="372">
        <f>'dod3'!M69-'dod3 жовтень'!M67</f>
        <v>0</v>
      </c>
      <c r="N69" s="372">
        <f>'dod3'!N69-'dod3 жовтень'!N67</f>
        <v>0</v>
      </c>
      <c r="O69" s="372">
        <f>'dod3'!O69-'dod3 жовтень'!O67</f>
        <v>0</v>
      </c>
      <c r="P69" s="372">
        <f>'dod3'!P69-'dod3 жовтень'!P67</f>
        <v>-70000</v>
      </c>
    </row>
    <row r="70" spans="1:16" s="196" customFormat="1" ht="137.25" x14ac:dyDescent="0.2">
      <c r="A70" s="509" t="s">
        <v>519</v>
      </c>
      <c r="B70" s="509" t="s">
        <v>520</v>
      </c>
      <c r="C70" s="509" t="s">
        <v>386</v>
      </c>
      <c r="D70" s="509" t="s">
        <v>24</v>
      </c>
      <c r="E70" s="372">
        <f>'dod3'!E70-'dod3 жовтень'!E68</f>
        <v>-190000</v>
      </c>
      <c r="F70" s="372">
        <f>'dod3'!F70-'dod3 жовтень'!F68</f>
        <v>-190000</v>
      </c>
      <c r="G70" s="372">
        <f>'dod3'!G70-'dod3 жовтень'!G68</f>
        <v>0</v>
      </c>
      <c r="H70" s="372">
        <f>'dod3'!H70-'dod3 жовтень'!H68</f>
        <v>0</v>
      </c>
      <c r="I70" s="372">
        <f>'dod3'!I70-'dod3 жовтень'!I68</f>
        <v>0</v>
      </c>
      <c r="J70" s="372">
        <f>'dod3'!J70-'dod3 жовтень'!J68</f>
        <v>0</v>
      </c>
      <c r="K70" s="372">
        <f>'dod3'!K70-'dod3 жовтень'!K68</f>
        <v>0</v>
      </c>
      <c r="L70" s="372">
        <f>'dod3'!L70-'dod3 жовтень'!L68</f>
        <v>0</v>
      </c>
      <c r="M70" s="372">
        <f>'dod3'!M70-'dod3 жовтень'!M68</f>
        <v>0</v>
      </c>
      <c r="N70" s="372">
        <f>'dod3'!N70-'dod3 жовтень'!N68</f>
        <v>0</v>
      </c>
      <c r="O70" s="372">
        <f>'dod3'!O70-'dod3 жовтень'!O68</f>
        <v>0</v>
      </c>
      <c r="P70" s="372">
        <f>'dod3'!P70-'dod3 жовтень'!P68</f>
        <v>-190000</v>
      </c>
    </row>
    <row r="71" spans="1:16" s="196" customFormat="1" ht="183" x14ac:dyDescent="0.2">
      <c r="A71" s="509" t="s">
        <v>522</v>
      </c>
      <c r="B71" s="509" t="s">
        <v>523</v>
      </c>
      <c r="C71" s="509" t="s">
        <v>386</v>
      </c>
      <c r="D71" s="508" t="s">
        <v>25</v>
      </c>
      <c r="E71" s="372">
        <f>'dod3'!E71-'dod3 жовтень'!E69</f>
        <v>1010000</v>
      </c>
      <c r="F71" s="372">
        <f>'dod3'!F71-'dod3 жовтень'!F69</f>
        <v>1010000</v>
      </c>
      <c r="G71" s="372">
        <f>'dod3'!G71-'dod3 жовтень'!G69</f>
        <v>0</v>
      </c>
      <c r="H71" s="372">
        <f>'dod3'!H71-'dod3 жовтень'!H69</f>
        <v>0</v>
      </c>
      <c r="I71" s="372">
        <f>'dod3'!I71-'dod3 жовтень'!I69</f>
        <v>0</v>
      </c>
      <c r="J71" s="372">
        <f>'dod3'!J71-'dod3 жовтень'!J69</f>
        <v>0</v>
      </c>
      <c r="K71" s="372">
        <f>'dod3'!K71-'dod3 жовтень'!K69</f>
        <v>0</v>
      </c>
      <c r="L71" s="372">
        <f>'dod3'!L71-'dod3 жовтень'!L69</f>
        <v>0</v>
      </c>
      <c r="M71" s="372">
        <f>'dod3'!M71-'dod3 жовтень'!M69</f>
        <v>0</v>
      </c>
      <c r="N71" s="372">
        <f>'dod3'!N71-'dod3 жовтень'!N69</f>
        <v>0</v>
      </c>
      <c r="O71" s="372">
        <f>'dod3'!O71-'dod3 жовтень'!O69</f>
        <v>0</v>
      </c>
      <c r="P71" s="372">
        <f>'dod3'!P71-'dod3 жовтень'!P69</f>
        <v>1010000</v>
      </c>
    </row>
    <row r="72" spans="1:16" s="196" customFormat="1" ht="183" x14ac:dyDescent="0.2">
      <c r="A72" s="508" t="s">
        <v>524</v>
      </c>
      <c r="B72" s="508" t="s">
        <v>521</v>
      </c>
      <c r="C72" s="508" t="s">
        <v>386</v>
      </c>
      <c r="D72" s="508" t="s">
        <v>26</v>
      </c>
      <c r="E72" s="372">
        <f>'dod3'!E72-'dod3 жовтень'!E70</f>
        <v>0</v>
      </c>
      <c r="F72" s="372">
        <f>'dod3'!F72-'dod3 жовтень'!F70</f>
        <v>0</v>
      </c>
      <c r="G72" s="372">
        <f>'dod3'!G72-'dod3 жовтень'!G70</f>
        <v>0</v>
      </c>
      <c r="H72" s="372">
        <f>'dod3'!H72-'dod3 жовтень'!H70</f>
        <v>0</v>
      </c>
      <c r="I72" s="372">
        <f>'dod3'!I72-'dod3 жовтень'!I70</f>
        <v>0</v>
      </c>
      <c r="J72" s="372">
        <f>'dod3'!J72-'dod3 жовтень'!J70</f>
        <v>0</v>
      </c>
      <c r="K72" s="372">
        <f>'dod3'!K72-'dod3 жовтень'!K70</f>
        <v>0</v>
      </c>
      <c r="L72" s="372">
        <f>'dod3'!L72-'dod3 жовтень'!L70</f>
        <v>0</v>
      </c>
      <c r="M72" s="372">
        <f>'dod3'!M72-'dod3 жовтень'!M70</f>
        <v>0</v>
      </c>
      <c r="N72" s="372">
        <f>'dod3'!N72-'dod3 жовтень'!N70</f>
        <v>0</v>
      </c>
      <c r="O72" s="372">
        <f>'dod3'!O72-'dod3 жовтень'!O70</f>
        <v>0</v>
      </c>
      <c r="P72" s="372">
        <f>'dod3'!P72-'dod3 жовтень'!P70</f>
        <v>0</v>
      </c>
    </row>
    <row r="73" spans="1:16" s="196" customFormat="1" ht="183" x14ac:dyDescent="0.2">
      <c r="A73" s="508" t="s">
        <v>525</v>
      </c>
      <c r="B73" s="508" t="s">
        <v>526</v>
      </c>
      <c r="C73" s="508" t="s">
        <v>386</v>
      </c>
      <c r="D73" s="508" t="s">
        <v>31</v>
      </c>
      <c r="E73" s="372">
        <f>'dod3'!E73-'dod3 жовтень'!E71</f>
        <v>-1010000</v>
      </c>
      <c r="F73" s="372">
        <f>'dod3'!F73-'dod3 жовтень'!F71</f>
        <v>-1010000</v>
      </c>
      <c r="G73" s="372">
        <f>'dod3'!G73-'dod3 жовтень'!G71</f>
        <v>0</v>
      </c>
      <c r="H73" s="372">
        <f>'dod3'!H73-'dod3 жовтень'!H71</f>
        <v>0</v>
      </c>
      <c r="I73" s="372">
        <f>'dod3'!I73-'dod3 жовтень'!I71</f>
        <v>0</v>
      </c>
      <c r="J73" s="372">
        <f>'dod3'!J73-'dod3 жовтень'!J71</f>
        <v>0</v>
      </c>
      <c r="K73" s="372">
        <f>'dod3'!K73-'dod3 жовтень'!K71</f>
        <v>0</v>
      </c>
      <c r="L73" s="372">
        <f>'dod3'!L73-'dod3 жовтень'!L71</f>
        <v>0</v>
      </c>
      <c r="M73" s="372">
        <f>'dod3'!M73-'dod3 жовтень'!M71</f>
        <v>0</v>
      </c>
      <c r="N73" s="372">
        <f>'dod3'!N73-'dod3 жовтень'!N71</f>
        <v>0</v>
      </c>
      <c r="O73" s="372">
        <f>'dod3'!O73-'dod3 жовтень'!O71</f>
        <v>0</v>
      </c>
      <c r="P73" s="372">
        <f>'dod3'!P73-'dod3 жовтень'!P71</f>
        <v>-1010000</v>
      </c>
    </row>
    <row r="74" spans="1:16" ht="183" x14ac:dyDescent="0.2">
      <c r="A74" s="516" t="s">
        <v>455</v>
      </c>
      <c r="B74" s="516" t="s">
        <v>456</v>
      </c>
      <c r="C74" s="516"/>
      <c r="D74" s="516" t="s">
        <v>732</v>
      </c>
      <c r="E74" s="372">
        <f>'dod3'!E74-'dod3 жовтень'!E72</f>
        <v>0</v>
      </c>
      <c r="F74" s="372">
        <f>'dod3'!F74-'dod3 жовтень'!F72</f>
        <v>0</v>
      </c>
      <c r="G74" s="372">
        <f>'dod3'!G74-'dod3 жовтень'!G72</f>
        <v>0</v>
      </c>
      <c r="H74" s="372">
        <f>'dod3'!H74-'dod3 жовтень'!H72</f>
        <v>0</v>
      </c>
      <c r="I74" s="372">
        <f>'dod3'!I74-'dod3 жовтень'!I72</f>
        <v>0</v>
      </c>
      <c r="J74" s="372">
        <f>'dod3'!J74-'dod3 жовтень'!J72</f>
        <v>0</v>
      </c>
      <c r="K74" s="372">
        <f>'dod3'!K74-'dod3 жовтень'!K72</f>
        <v>0</v>
      </c>
      <c r="L74" s="372">
        <f>'dod3'!L74-'dod3 жовтень'!L72</f>
        <v>0</v>
      </c>
      <c r="M74" s="372">
        <f>'dod3'!M74-'dod3 жовтень'!M72</f>
        <v>0</v>
      </c>
      <c r="N74" s="372">
        <f>'dod3'!N74-'dod3 жовтень'!N72</f>
        <v>0</v>
      </c>
      <c r="O74" s="372">
        <f>'dod3'!O74-'dod3 жовтень'!O72</f>
        <v>0</v>
      </c>
      <c r="P74" s="372">
        <f>'dod3'!P74-'dod3 жовтень'!P72</f>
        <v>0</v>
      </c>
    </row>
    <row r="75" spans="1:16" s="196" customFormat="1" ht="91.5" x14ac:dyDescent="0.2">
      <c r="A75" s="509" t="s">
        <v>465</v>
      </c>
      <c r="B75" s="509" t="s">
        <v>457</v>
      </c>
      <c r="C75" s="509" t="s">
        <v>353</v>
      </c>
      <c r="D75" s="509" t="s">
        <v>18</v>
      </c>
      <c r="E75" s="372">
        <f>'dod3'!E75-'dod3 жовтень'!E73</f>
        <v>0</v>
      </c>
      <c r="F75" s="372">
        <f>'dod3'!F75-'dod3 жовтень'!F73</f>
        <v>0</v>
      </c>
      <c r="G75" s="372">
        <f>'dod3'!G75-'dod3 жовтень'!G73</f>
        <v>0</v>
      </c>
      <c r="H75" s="372">
        <f>'dod3'!H75-'dod3 жовтень'!H73</f>
        <v>0</v>
      </c>
      <c r="I75" s="372">
        <f>'dod3'!I75-'dod3 жовтень'!I73</f>
        <v>0</v>
      </c>
      <c r="J75" s="372">
        <f>'dod3'!J75-'dod3 жовтень'!J73</f>
        <v>0</v>
      </c>
      <c r="K75" s="372">
        <f>'dod3'!K75-'dod3 жовтень'!K73</f>
        <v>0</v>
      </c>
      <c r="L75" s="372">
        <f>'dod3'!L75-'dod3 жовтень'!L73</f>
        <v>0</v>
      </c>
      <c r="M75" s="372">
        <f>'dod3'!M75-'dod3 жовтень'!M73</f>
        <v>0</v>
      </c>
      <c r="N75" s="372">
        <f>'dod3'!N75-'dod3 жовтень'!N73</f>
        <v>0</v>
      </c>
      <c r="O75" s="372">
        <f>'dod3'!O75-'dod3 жовтень'!O73</f>
        <v>0</v>
      </c>
      <c r="P75" s="372">
        <f>'dod3'!P75-'dod3 жовтень'!P73</f>
        <v>0</v>
      </c>
    </row>
    <row r="76" spans="1:16" s="196" customFormat="1" ht="91.5" x14ac:dyDescent="0.2">
      <c r="A76" s="509" t="s">
        <v>466</v>
      </c>
      <c r="B76" s="509" t="s">
        <v>458</v>
      </c>
      <c r="C76" s="509" t="s">
        <v>353</v>
      </c>
      <c r="D76" s="509" t="s">
        <v>464</v>
      </c>
      <c r="E76" s="372">
        <f>'dod3'!E76-'dod3 жовтень'!E74</f>
        <v>0</v>
      </c>
      <c r="F76" s="372">
        <f>'dod3'!F76-'dod3 жовтень'!F74</f>
        <v>0</v>
      </c>
      <c r="G76" s="372">
        <f>'dod3'!G76-'dod3 жовтень'!G74</f>
        <v>0</v>
      </c>
      <c r="H76" s="372">
        <f>'dod3'!H76-'dod3 жовтень'!H74</f>
        <v>0</v>
      </c>
      <c r="I76" s="372">
        <f>'dod3'!I76-'dod3 жовтень'!I74</f>
        <v>0</v>
      </c>
      <c r="J76" s="372">
        <f>'dod3'!J76-'dod3 жовтень'!J74</f>
        <v>0</v>
      </c>
      <c r="K76" s="372">
        <f>'dod3'!K76-'dod3 жовтень'!K74</f>
        <v>0</v>
      </c>
      <c r="L76" s="372">
        <f>'dod3'!L76-'dod3 жовтень'!L74</f>
        <v>0</v>
      </c>
      <c r="M76" s="372">
        <f>'dod3'!M76-'dod3 жовтень'!M74</f>
        <v>0</v>
      </c>
      <c r="N76" s="372">
        <f>'dod3'!N76-'dod3 жовтень'!N74</f>
        <v>0</v>
      </c>
      <c r="O76" s="372">
        <f>'dod3'!O76-'dod3 жовтень'!O74</f>
        <v>0</v>
      </c>
      <c r="P76" s="372">
        <f>'dod3'!P76-'dod3 жовтень'!P74</f>
        <v>0</v>
      </c>
    </row>
    <row r="77" spans="1:16" s="196" customFormat="1" ht="91.5" x14ac:dyDescent="0.2">
      <c r="A77" s="509" t="s">
        <v>467</v>
      </c>
      <c r="B77" s="509" t="s">
        <v>459</v>
      </c>
      <c r="C77" s="509" t="s">
        <v>353</v>
      </c>
      <c r="D77" s="509" t="s">
        <v>19</v>
      </c>
      <c r="E77" s="372">
        <f>'dod3'!E77-'dod3 жовтень'!E75</f>
        <v>0</v>
      </c>
      <c r="F77" s="372">
        <f>'dod3'!F77-'dod3 жовтень'!F75</f>
        <v>0</v>
      </c>
      <c r="G77" s="372">
        <f>'dod3'!G77-'dod3 жовтень'!G75</f>
        <v>0</v>
      </c>
      <c r="H77" s="372">
        <f>'dod3'!H77-'dod3 жовтень'!H75</f>
        <v>0</v>
      </c>
      <c r="I77" s="372">
        <f>'dod3'!I77-'dod3 жовтень'!I75</f>
        <v>0</v>
      </c>
      <c r="J77" s="372">
        <f>'dod3'!J77-'dod3 жовтень'!J75</f>
        <v>0</v>
      </c>
      <c r="K77" s="372">
        <f>'dod3'!K77-'dod3 жовтень'!K75</f>
        <v>0</v>
      </c>
      <c r="L77" s="372">
        <f>'dod3'!L77-'dod3 жовтень'!L75</f>
        <v>0</v>
      </c>
      <c r="M77" s="372">
        <f>'dod3'!M77-'dod3 жовтень'!M75</f>
        <v>0</v>
      </c>
      <c r="N77" s="372">
        <f>'dod3'!N77-'dod3 жовтень'!N75</f>
        <v>0</v>
      </c>
      <c r="O77" s="372">
        <f>'dod3'!O77-'dod3 жовтень'!O75</f>
        <v>0</v>
      </c>
      <c r="P77" s="372">
        <f>'dod3'!P77-'dod3 жовтень'!P75</f>
        <v>0</v>
      </c>
    </row>
    <row r="78" spans="1:16" s="196" customFormat="1" ht="137.25" x14ac:dyDescent="0.2">
      <c r="A78" s="509" t="s">
        <v>468</v>
      </c>
      <c r="B78" s="509" t="s">
        <v>460</v>
      </c>
      <c r="C78" s="509" t="s">
        <v>353</v>
      </c>
      <c r="D78" s="509" t="s">
        <v>20</v>
      </c>
      <c r="E78" s="372">
        <f>'dod3'!E78-'dod3 жовтень'!E76</f>
        <v>0</v>
      </c>
      <c r="F78" s="372">
        <f>'dod3'!F78-'dod3 жовтень'!F76</f>
        <v>0</v>
      </c>
      <c r="G78" s="372">
        <f>'dod3'!G78-'dod3 жовтень'!G76</f>
        <v>0</v>
      </c>
      <c r="H78" s="372">
        <f>'dod3'!H78-'dod3 жовтень'!H76</f>
        <v>0</v>
      </c>
      <c r="I78" s="372">
        <f>'dod3'!I78-'dod3 жовтень'!I76</f>
        <v>0</v>
      </c>
      <c r="J78" s="372">
        <f>'dod3'!J78-'dod3 жовтень'!J76</f>
        <v>0</v>
      </c>
      <c r="K78" s="372">
        <f>'dod3'!K78-'dod3 жовтень'!K76</f>
        <v>0</v>
      </c>
      <c r="L78" s="372">
        <f>'dod3'!L78-'dod3 жовтень'!L76</f>
        <v>0</v>
      </c>
      <c r="M78" s="372">
        <f>'dod3'!M78-'dod3 жовтень'!M76</f>
        <v>0</v>
      </c>
      <c r="N78" s="372">
        <f>'dod3'!N78-'dod3 жовтень'!N76</f>
        <v>0</v>
      </c>
      <c r="O78" s="372">
        <f>'dod3'!O78-'dod3 жовтень'!O76</f>
        <v>0</v>
      </c>
      <c r="P78" s="372">
        <f>'dod3'!P78-'dod3 жовтень'!P76</f>
        <v>0</v>
      </c>
    </row>
    <row r="79" spans="1:16" s="196" customFormat="1" ht="91.5" x14ac:dyDescent="0.2">
      <c r="A79" s="509" t="s">
        <v>469</v>
      </c>
      <c r="B79" s="509" t="s">
        <v>461</v>
      </c>
      <c r="C79" s="509" t="s">
        <v>353</v>
      </c>
      <c r="D79" s="509" t="s">
        <v>21</v>
      </c>
      <c r="E79" s="372">
        <f>'dod3'!E79-'dod3 жовтень'!E77</f>
        <v>0</v>
      </c>
      <c r="F79" s="372">
        <f>'dod3'!F79-'dod3 жовтень'!F77</f>
        <v>0</v>
      </c>
      <c r="G79" s="372">
        <f>'dod3'!G79-'dod3 жовтень'!G77</f>
        <v>0</v>
      </c>
      <c r="H79" s="372">
        <f>'dod3'!H79-'dod3 жовтень'!H77</f>
        <v>0</v>
      </c>
      <c r="I79" s="372">
        <f>'dod3'!I79-'dod3 жовтень'!I77</f>
        <v>0</v>
      </c>
      <c r="J79" s="372">
        <f>'dod3'!J79-'dod3 жовтень'!J77</f>
        <v>0</v>
      </c>
      <c r="K79" s="372">
        <f>'dod3'!K79-'dod3 жовтень'!K77</f>
        <v>0</v>
      </c>
      <c r="L79" s="372">
        <f>'dod3'!L79-'dod3 жовтень'!L77</f>
        <v>0</v>
      </c>
      <c r="M79" s="372">
        <f>'dod3'!M79-'dod3 жовтень'!M77</f>
        <v>0</v>
      </c>
      <c r="N79" s="372">
        <f>'dod3'!N79-'dod3 жовтень'!N77</f>
        <v>0</v>
      </c>
      <c r="O79" s="372">
        <f>'dod3'!O79-'dod3 жовтень'!O77</f>
        <v>0</v>
      </c>
      <c r="P79" s="372">
        <f>'dod3'!P79-'dod3 жовтень'!P77</f>
        <v>0</v>
      </c>
    </row>
    <row r="80" spans="1:16" s="196" customFormat="1" ht="91.5" x14ac:dyDescent="0.2">
      <c r="A80" s="509" t="s">
        <v>470</v>
      </c>
      <c r="B80" s="509" t="s">
        <v>462</v>
      </c>
      <c r="C80" s="509" t="s">
        <v>353</v>
      </c>
      <c r="D80" s="509" t="s">
        <v>22</v>
      </c>
      <c r="E80" s="372">
        <f>'dod3'!E80-'dod3 жовтень'!E78</f>
        <v>0</v>
      </c>
      <c r="F80" s="372">
        <f>'dod3'!F80-'dod3 жовтень'!F78</f>
        <v>0</v>
      </c>
      <c r="G80" s="372">
        <f>'dod3'!G80-'dod3 жовтень'!G78</f>
        <v>0</v>
      </c>
      <c r="H80" s="372">
        <f>'dod3'!H80-'dod3 жовтень'!H78</f>
        <v>0</v>
      </c>
      <c r="I80" s="372">
        <f>'dod3'!I80-'dod3 жовтень'!I78</f>
        <v>0</v>
      </c>
      <c r="J80" s="372">
        <f>'dod3'!J80-'dod3 жовтень'!J78</f>
        <v>0</v>
      </c>
      <c r="K80" s="372">
        <f>'dod3'!K80-'dod3 жовтень'!K78</f>
        <v>0</v>
      </c>
      <c r="L80" s="372">
        <f>'dod3'!L80-'dod3 жовтень'!L78</f>
        <v>0</v>
      </c>
      <c r="M80" s="372">
        <f>'dod3'!M80-'dod3 жовтень'!M78</f>
        <v>0</v>
      </c>
      <c r="N80" s="372">
        <f>'dod3'!N80-'dod3 жовтень'!N78</f>
        <v>0</v>
      </c>
      <c r="O80" s="372">
        <f>'dod3'!O80-'dod3 жовтень'!O78</f>
        <v>0</v>
      </c>
      <c r="P80" s="372">
        <f>'dod3'!P80-'dod3 жовтень'!P78</f>
        <v>0</v>
      </c>
    </row>
    <row r="81" spans="1:16" s="196" customFormat="1" ht="137.25" x14ac:dyDescent="0.2">
      <c r="A81" s="509" t="s">
        <v>471</v>
      </c>
      <c r="B81" s="509" t="s">
        <v>463</v>
      </c>
      <c r="C81" s="509" t="s">
        <v>353</v>
      </c>
      <c r="D81" s="509" t="s">
        <v>23</v>
      </c>
      <c r="E81" s="372">
        <f>'dod3'!E81-'dod3 жовтень'!E79</f>
        <v>0</v>
      </c>
      <c r="F81" s="372">
        <f>'dod3'!F81-'dod3 жовтень'!F79</f>
        <v>0</v>
      </c>
      <c r="G81" s="372">
        <f>'dod3'!G81-'dod3 жовтень'!G79</f>
        <v>0</v>
      </c>
      <c r="H81" s="372">
        <f>'dod3'!H81-'dod3 жовтень'!H79</f>
        <v>0</v>
      </c>
      <c r="I81" s="372">
        <f>'dod3'!I81-'dod3 жовтень'!I79</f>
        <v>0</v>
      </c>
      <c r="J81" s="372">
        <f>'dod3'!J81-'dod3 жовтень'!J79</f>
        <v>0</v>
      </c>
      <c r="K81" s="372">
        <f>'dod3'!K81-'dod3 жовтень'!K79</f>
        <v>0</v>
      </c>
      <c r="L81" s="372">
        <f>'dod3'!L81-'dod3 жовтень'!L79</f>
        <v>0</v>
      </c>
      <c r="M81" s="372">
        <f>'dod3'!M81-'dod3 жовтень'!M79</f>
        <v>0</v>
      </c>
      <c r="N81" s="372">
        <f>'dod3'!N81-'dod3 жовтень'!N79</f>
        <v>0</v>
      </c>
      <c r="O81" s="372">
        <f>'dod3'!O81-'dod3 жовтень'!O79</f>
        <v>0</v>
      </c>
      <c r="P81" s="372">
        <f>'dod3'!P81-'dod3 жовтень'!P79</f>
        <v>0</v>
      </c>
    </row>
    <row r="82" spans="1:16" ht="183" x14ac:dyDescent="0.2">
      <c r="A82" s="516" t="s">
        <v>485</v>
      </c>
      <c r="B82" s="516" t="s">
        <v>472</v>
      </c>
      <c r="C82" s="516" t="s">
        <v>386</v>
      </c>
      <c r="D82" s="516" t="s">
        <v>17</v>
      </c>
      <c r="E82" s="372">
        <f>'dod3'!E82-'dod3 жовтень'!E80</f>
        <v>0</v>
      </c>
      <c r="F82" s="372">
        <f>'dod3'!F82-'dod3 жовтень'!F80</f>
        <v>0</v>
      </c>
      <c r="G82" s="372">
        <f>'dod3'!G82-'dod3 жовтень'!G80</f>
        <v>0</v>
      </c>
      <c r="H82" s="372">
        <f>'dod3'!H82-'dod3 жовтень'!H80</f>
        <v>0</v>
      </c>
      <c r="I82" s="372">
        <f>'dod3'!I82-'dod3 жовтень'!I80</f>
        <v>0</v>
      </c>
      <c r="J82" s="372">
        <f>'dod3'!J82-'dod3 жовтень'!J80</f>
        <v>0</v>
      </c>
      <c r="K82" s="372">
        <f>'dod3'!K82-'dod3 жовтень'!K80</f>
        <v>0</v>
      </c>
      <c r="L82" s="372">
        <f>'dod3'!L82-'dod3 жовтень'!L80</f>
        <v>0</v>
      </c>
      <c r="M82" s="372">
        <f>'dod3'!M82-'dod3 жовтень'!M80</f>
        <v>0</v>
      </c>
      <c r="N82" s="372">
        <f>'dod3'!N82-'dod3 жовтень'!N80</f>
        <v>0</v>
      </c>
      <c r="O82" s="372">
        <f>'dod3'!O82-'dod3 жовтень'!O80</f>
        <v>0</v>
      </c>
      <c r="P82" s="372">
        <f>'dod3'!P82-'dod3 жовтень'!P80</f>
        <v>0</v>
      </c>
    </row>
    <row r="83" spans="1:16" ht="361.5" customHeight="1" x14ac:dyDescent="0.2">
      <c r="A83" s="604" t="s">
        <v>475</v>
      </c>
      <c r="B83" s="605" t="s">
        <v>473</v>
      </c>
      <c r="C83" s="605"/>
      <c r="D83" s="439" t="s">
        <v>736</v>
      </c>
      <c r="E83" s="666">
        <f>'dod3'!E83-'dod3 жовтень'!E81</f>
        <v>0</v>
      </c>
      <c r="F83" s="666">
        <f>'dod3'!F83-'dod3 жовтень'!F81</f>
        <v>0</v>
      </c>
      <c r="G83" s="666">
        <f>'dod3'!G83-'dod3 жовтень'!G81</f>
        <v>0</v>
      </c>
      <c r="H83" s="666">
        <f>'dod3'!H83-'dod3 жовтень'!H81</f>
        <v>0</v>
      </c>
      <c r="I83" s="666">
        <f>'dod3'!I83-'dod3 жовтень'!I81</f>
        <v>0</v>
      </c>
      <c r="J83" s="666">
        <f>'dod3'!J83-'dod3 жовтень'!J81</f>
        <v>0</v>
      </c>
      <c r="K83" s="666">
        <f>'dod3'!K83-'dod3 жовтень'!K81</f>
        <v>0</v>
      </c>
      <c r="L83" s="666">
        <f>'dod3'!L83-'dod3 жовтень'!L81</f>
        <v>0</v>
      </c>
      <c r="M83" s="666">
        <f>'dod3'!M83-'dod3 жовтень'!M81</f>
        <v>0</v>
      </c>
      <c r="N83" s="666">
        <f>'dod3'!N83-'dod3 жовтень'!N81</f>
        <v>0</v>
      </c>
      <c r="O83" s="666">
        <f>'dod3'!O83-'dod3 жовтень'!O81</f>
        <v>0</v>
      </c>
      <c r="P83" s="666">
        <f>'dod3'!P83-'dod3 жовтень'!P81</f>
        <v>0</v>
      </c>
    </row>
    <row r="84" spans="1:16" ht="336" customHeight="1" x14ac:dyDescent="0.2">
      <c r="A84" s="585"/>
      <c r="B84" s="592"/>
      <c r="C84" s="592"/>
      <c r="D84" s="440" t="s">
        <v>737</v>
      </c>
      <c r="E84" s="667"/>
      <c r="F84" s="667"/>
      <c r="G84" s="667"/>
      <c r="H84" s="667"/>
      <c r="I84" s="667"/>
      <c r="J84" s="667"/>
      <c r="K84" s="667"/>
      <c r="L84" s="667"/>
      <c r="M84" s="667"/>
      <c r="N84" s="667"/>
      <c r="O84" s="667"/>
      <c r="P84" s="667"/>
    </row>
    <row r="85" spans="1:16" s="196" customFormat="1" ht="183" x14ac:dyDescent="0.2">
      <c r="A85" s="509" t="s">
        <v>738</v>
      </c>
      <c r="B85" s="509" t="s">
        <v>739</v>
      </c>
      <c r="C85" s="509" t="s">
        <v>377</v>
      </c>
      <c r="D85" s="509" t="s">
        <v>735</v>
      </c>
      <c r="E85" s="372">
        <f>'dod3'!E85-'dod3 жовтень'!E83</f>
        <v>0</v>
      </c>
      <c r="F85" s="372">
        <f>'dod3'!F85-'dod3 жовтень'!F83</f>
        <v>0</v>
      </c>
      <c r="G85" s="372">
        <f>'dod3'!G85-'dod3 жовтень'!G83</f>
        <v>0</v>
      </c>
      <c r="H85" s="372">
        <f>'dod3'!H85-'dod3 жовтень'!H83</f>
        <v>0</v>
      </c>
      <c r="I85" s="372">
        <f>'dod3'!I85-'dod3 жовтень'!I83</f>
        <v>0</v>
      </c>
      <c r="J85" s="372">
        <f>'dod3'!J85-'dod3 жовтень'!J83</f>
        <v>0</v>
      </c>
      <c r="K85" s="372">
        <f>'dod3'!K85-'dod3 жовтень'!K83</f>
        <v>0</v>
      </c>
      <c r="L85" s="372">
        <f>'dod3'!L85-'dod3 жовтень'!L83</f>
        <v>0</v>
      </c>
      <c r="M85" s="372">
        <f>'dod3'!M85-'dod3 жовтень'!M83</f>
        <v>0</v>
      </c>
      <c r="N85" s="372">
        <f>'dod3'!N85-'dod3 жовтень'!N83</f>
        <v>0</v>
      </c>
      <c r="O85" s="372">
        <f>'dod3'!O85-'dod3 жовтень'!O83</f>
        <v>0</v>
      </c>
      <c r="P85" s="372">
        <f>'dod3'!P85-'dod3 жовтень'!P83</f>
        <v>0</v>
      </c>
    </row>
    <row r="86" spans="1:16" s="196" customFormat="1" ht="228.75" x14ac:dyDescent="0.2">
      <c r="A86" s="509" t="s">
        <v>845</v>
      </c>
      <c r="B86" s="509" t="s">
        <v>846</v>
      </c>
      <c r="C86" s="509" t="s">
        <v>377</v>
      </c>
      <c r="D86" s="509" t="s">
        <v>847</v>
      </c>
      <c r="E86" s="372">
        <f>'dod3'!E86-'dod3 жовтень'!E84</f>
        <v>1370728.8399999999</v>
      </c>
      <c r="F86" s="372">
        <f>'dod3'!F86-'dod3 жовтень'!F84</f>
        <v>1370728.8399999999</v>
      </c>
      <c r="G86" s="372">
        <f>'dod3'!G86-'dod3 жовтень'!G84</f>
        <v>0</v>
      </c>
      <c r="H86" s="372">
        <f>'dod3'!H86-'dod3 жовтень'!H84</f>
        <v>0</v>
      </c>
      <c r="I86" s="372">
        <f>'dod3'!I86-'dod3 жовтень'!I84</f>
        <v>0</v>
      </c>
      <c r="J86" s="372">
        <f>'dod3'!J86-'dod3 жовтень'!J84</f>
        <v>0</v>
      </c>
      <c r="K86" s="372">
        <f>'dod3'!K86-'dod3 жовтень'!K84</f>
        <v>0</v>
      </c>
      <c r="L86" s="372">
        <f>'dod3'!L86-'dod3 жовтень'!L84</f>
        <v>0</v>
      </c>
      <c r="M86" s="372">
        <f>'dod3'!M86-'dod3 жовтень'!M84</f>
        <v>0</v>
      </c>
      <c r="N86" s="372">
        <f>'dod3'!N86-'dod3 жовтень'!N84</f>
        <v>0</v>
      </c>
      <c r="O86" s="372">
        <f>'dod3'!O86-'dod3 жовтень'!O84</f>
        <v>0</v>
      </c>
      <c r="P86" s="372">
        <f>'dod3'!P86-'dod3 жовтень'!P84</f>
        <v>1370728.8399999999</v>
      </c>
    </row>
    <row r="87" spans="1:16" s="196" customFormat="1" ht="183" x14ac:dyDescent="0.2">
      <c r="A87" s="509" t="s">
        <v>733</v>
      </c>
      <c r="B87" s="509" t="s">
        <v>734</v>
      </c>
      <c r="C87" s="509" t="s">
        <v>377</v>
      </c>
      <c r="D87" s="509" t="s">
        <v>664</v>
      </c>
      <c r="E87" s="372">
        <f>'dod3'!E87-'dod3 жовтень'!E85</f>
        <v>-1370728.8399999999</v>
      </c>
      <c r="F87" s="372">
        <f>'dod3'!F87-'dod3 жовтень'!F85</f>
        <v>-1370728.8399999999</v>
      </c>
      <c r="G87" s="372">
        <f>'dod3'!G87-'dod3 жовтень'!G85</f>
        <v>0</v>
      </c>
      <c r="H87" s="372">
        <f>'dod3'!H87-'dod3 жовтень'!H85</f>
        <v>0</v>
      </c>
      <c r="I87" s="372">
        <f>'dod3'!I87-'dod3 жовтень'!I85</f>
        <v>0</v>
      </c>
      <c r="J87" s="372">
        <f>'dod3'!J87-'dod3 жовтень'!J85</f>
        <v>0</v>
      </c>
      <c r="K87" s="372">
        <f>'dod3'!K87-'dod3 жовтень'!K85</f>
        <v>0</v>
      </c>
      <c r="L87" s="372">
        <f>'dod3'!L87-'dod3 жовтень'!L85</f>
        <v>0</v>
      </c>
      <c r="M87" s="372">
        <f>'dod3'!M87-'dod3 жовтень'!M85</f>
        <v>0</v>
      </c>
      <c r="N87" s="372">
        <f>'dod3'!N87-'dod3 жовтень'!N85</f>
        <v>0</v>
      </c>
      <c r="O87" s="372">
        <f>'dod3'!O87-'dod3 жовтень'!O85</f>
        <v>0</v>
      </c>
      <c r="P87" s="372">
        <f>'dod3'!P87-'dod3 жовтень'!P85</f>
        <v>-1370728.8399999999</v>
      </c>
    </row>
    <row r="88" spans="1:16" s="196" customFormat="1" ht="274.5" x14ac:dyDescent="0.2">
      <c r="A88" s="509" t="s">
        <v>742</v>
      </c>
      <c r="B88" s="509" t="s">
        <v>743</v>
      </c>
      <c r="C88" s="509" t="s">
        <v>377</v>
      </c>
      <c r="D88" s="509" t="s">
        <v>744</v>
      </c>
      <c r="E88" s="372">
        <f>'dod3'!E88-'dod3 жовтень'!E86</f>
        <v>0</v>
      </c>
      <c r="F88" s="372">
        <f>'dod3'!F88-'dod3 жовтень'!F86</f>
        <v>0</v>
      </c>
      <c r="G88" s="372">
        <f>'dod3'!G88-'dod3 жовтень'!G86</f>
        <v>0</v>
      </c>
      <c r="H88" s="372">
        <f>'dod3'!H88-'dod3 жовтень'!H86</f>
        <v>0</v>
      </c>
      <c r="I88" s="372">
        <f>'dod3'!I88-'dod3 жовтень'!I86</f>
        <v>0</v>
      </c>
      <c r="J88" s="372">
        <f>'dod3'!J88-'dod3 жовтень'!J86</f>
        <v>0</v>
      </c>
      <c r="K88" s="372">
        <f>'dod3'!K88-'dod3 жовтень'!K86</f>
        <v>0</v>
      </c>
      <c r="L88" s="372">
        <f>'dod3'!L88-'dod3 жовтень'!L86</f>
        <v>0</v>
      </c>
      <c r="M88" s="372">
        <f>'dod3'!M88-'dod3 жовтень'!M86</f>
        <v>0</v>
      </c>
      <c r="N88" s="372">
        <f>'dod3'!N88-'dod3 жовтень'!N86</f>
        <v>0</v>
      </c>
      <c r="O88" s="372">
        <f>'dod3'!O88-'dod3 жовтень'!O86</f>
        <v>0</v>
      </c>
      <c r="P88" s="372">
        <f>'dod3'!P88-'dod3 жовтень'!P86</f>
        <v>0</v>
      </c>
    </row>
    <row r="89" spans="1:16" s="196" customFormat="1" ht="320.25" x14ac:dyDescent="0.2">
      <c r="A89" s="509" t="s">
        <v>740</v>
      </c>
      <c r="B89" s="509" t="s">
        <v>741</v>
      </c>
      <c r="C89" s="509" t="s">
        <v>377</v>
      </c>
      <c r="D89" s="509" t="s">
        <v>745</v>
      </c>
      <c r="E89" s="372">
        <f>'dod3'!E89-'dod3 жовтень'!E87</f>
        <v>0</v>
      </c>
      <c r="F89" s="372">
        <f>'dod3'!F89-'dod3 жовтень'!F87</f>
        <v>0</v>
      </c>
      <c r="G89" s="372">
        <f>'dod3'!G89-'dod3 жовтень'!G87</f>
        <v>0</v>
      </c>
      <c r="H89" s="372">
        <f>'dod3'!H89-'dod3 жовтень'!H87</f>
        <v>0</v>
      </c>
      <c r="I89" s="372">
        <f>'dod3'!I89-'dod3 жовтень'!I87</f>
        <v>0</v>
      </c>
      <c r="J89" s="372">
        <f>'dod3'!J89-'dod3 жовтень'!J87</f>
        <v>0</v>
      </c>
      <c r="K89" s="372">
        <f>'dod3'!K89-'dod3 жовтень'!K87</f>
        <v>0</v>
      </c>
      <c r="L89" s="372">
        <f>'dod3'!L89-'dod3 жовтень'!L87</f>
        <v>0</v>
      </c>
      <c r="M89" s="372">
        <f>'dod3'!M89-'dod3 жовтень'!M87</f>
        <v>0</v>
      </c>
      <c r="N89" s="372">
        <f>'dod3'!N89-'dod3 жовтень'!N87</f>
        <v>0</v>
      </c>
      <c r="O89" s="372">
        <f>'dod3'!O89-'dod3 жовтень'!O87</f>
        <v>0</v>
      </c>
      <c r="P89" s="372">
        <f>'dod3'!P89-'dod3 жовтень'!P87</f>
        <v>0</v>
      </c>
    </row>
    <row r="90" spans="1:16" ht="163.5" customHeight="1" x14ac:dyDescent="0.2">
      <c r="A90" s="516" t="s">
        <v>486</v>
      </c>
      <c r="B90" s="516" t="s">
        <v>474</v>
      </c>
      <c r="C90" s="516" t="s">
        <v>385</v>
      </c>
      <c r="D90" s="516" t="s">
        <v>665</v>
      </c>
      <c r="E90" s="372">
        <f>'dod3'!E90-'dod3 жовтень'!E88</f>
        <v>0</v>
      </c>
      <c r="F90" s="372">
        <f>'dod3'!F90-'dod3 жовтень'!F88</f>
        <v>0</v>
      </c>
      <c r="G90" s="372">
        <f>'dod3'!G90-'dod3 жовтень'!G88</f>
        <v>0</v>
      </c>
      <c r="H90" s="372">
        <f>'dod3'!H90-'dod3 жовтень'!H88</f>
        <v>0</v>
      </c>
      <c r="I90" s="372">
        <f>'dod3'!I90-'dod3 жовтень'!I88</f>
        <v>0</v>
      </c>
      <c r="J90" s="372">
        <f>'dod3'!J90-'dod3 жовтень'!J88</f>
        <v>0</v>
      </c>
      <c r="K90" s="372">
        <f>'dod3'!K90-'dod3 жовтень'!K88</f>
        <v>0</v>
      </c>
      <c r="L90" s="372">
        <f>'dod3'!L90-'dod3 жовтень'!L88</f>
        <v>0</v>
      </c>
      <c r="M90" s="372">
        <f>'dod3'!M90-'dod3 жовтень'!M88</f>
        <v>0</v>
      </c>
      <c r="N90" s="372">
        <f>'dod3'!N90-'dod3 жовтень'!N88</f>
        <v>0</v>
      </c>
      <c r="O90" s="372">
        <f>'dod3'!O90-'dod3 жовтень'!O88</f>
        <v>0</v>
      </c>
      <c r="P90" s="372">
        <f>'dod3'!P90-'dod3 жовтень'!P88</f>
        <v>0</v>
      </c>
    </row>
    <row r="91" spans="1:16" ht="274.5" x14ac:dyDescent="0.2">
      <c r="A91" s="516" t="s">
        <v>507</v>
      </c>
      <c r="B91" s="516" t="s">
        <v>508</v>
      </c>
      <c r="C91" s="516"/>
      <c r="D91" s="516" t="s">
        <v>666</v>
      </c>
      <c r="E91" s="372">
        <f>'dod3'!E91-'dod3 жовтень'!E89</f>
        <v>0</v>
      </c>
      <c r="F91" s="372">
        <f>'dod3'!F91-'dod3 жовтень'!F89</f>
        <v>0</v>
      </c>
      <c r="G91" s="372">
        <f>'dod3'!G91-'dod3 жовтень'!G89</f>
        <v>0</v>
      </c>
      <c r="H91" s="372">
        <f>'dod3'!H91-'dod3 жовтень'!H89</f>
        <v>0</v>
      </c>
      <c r="I91" s="372">
        <f>'dod3'!I91-'dod3 жовтень'!I89</f>
        <v>0</v>
      </c>
      <c r="J91" s="372">
        <f>'dod3'!J91-'dod3 жовтень'!J89</f>
        <v>0</v>
      </c>
      <c r="K91" s="372">
        <f>'dod3'!K91-'dod3 жовтень'!K89</f>
        <v>0</v>
      </c>
      <c r="L91" s="372">
        <f>'dod3'!L91-'dod3 жовтень'!L89</f>
        <v>0</v>
      </c>
      <c r="M91" s="372">
        <f>'dod3'!M91-'dod3 жовтень'!M89</f>
        <v>0</v>
      </c>
      <c r="N91" s="372">
        <f>'dod3'!N91-'dod3 жовтень'!N89</f>
        <v>0</v>
      </c>
      <c r="O91" s="372">
        <f>'dod3'!O91-'dod3 жовтень'!O89</f>
        <v>0</v>
      </c>
      <c r="P91" s="372">
        <f>'dod3'!P91-'dod3 жовтень'!P89</f>
        <v>0</v>
      </c>
    </row>
    <row r="92" spans="1:16" ht="301.5" customHeight="1" x14ac:dyDescent="0.2">
      <c r="A92" s="509" t="s">
        <v>511</v>
      </c>
      <c r="B92" s="509" t="s">
        <v>509</v>
      </c>
      <c r="C92" s="509" t="s">
        <v>378</v>
      </c>
      <c r="D92" s="509" t="s">
        <v>52</v>
      </c>
      <c r="E92" s="372">
        <f>'dod3'!E92-'dod3 жовтень'!E90</f>
        <v>0</v>
      </c>
      <c r="F92" s="372">
        <f>'dod3'!F92-'dod3 жовтень'!F90</f>
        <v>0</v>
      </c>
      <c r="G92" s="372">
        <f>'dod3'!G92-'dod3 жовтень'!G90</f>
        <v>0</v>
      </c>
      <c r="H92" s="372">
        <f>'dod3'!H92-'dod3 жовтень'!H90</f>
        <v>0</v>
      </c>
      <c r="I92" s="372">
        <f>'dod3'!I92-'dod3 жовтень'!I90</f>
        <v>0</v>
      </c>
      <c r="J92" s="372">
        <f>'dod3'!J92-'dod3 жовтень'!J90</f>
        <v>0</v>
      </c>
      <c r="K92" s="372">
        <f>'dod3'!K92-'dod3 жовтень'!K90</f>
        <v>0</v>
      </c>
      <c r="L92" s="372">
        <f>'dod3'!L92-'dod3 жовтень'!L90</f>
        <v>0</v>
      </c>
      <c r="M92" s="372">
        <f>'dod3'!M92-'dod3 жовтень'!M90</f>
        <v>0</v>
      </c>
      <c r="N92" s="372">
        <f>'dod3'!N92-'dod3 жовтень'!N90</f>
        <v>0</v>
      </c>
      <c r="O92" s="372">
        <f>'dod3'!O92-'dod3 жовтень'!O90</f>
        <v>0</v>
      </c>
      <c r="P92" s="372">
        <f>'dod3'!P92-'dod3 жовтень'!P90</f>
        <v>0</v>
      </c>
    </row>
    <row r="93" spans="1:16" ht="137.25" x14ac:dyDescent="0.2">
      <c r="A93" s="509" t="s">
        <v>512</v>
      </c>
      <c r="B93" s="509" t="s">
        <v>510</v>
      </c>
      <c r="C93" s="509" t="s">
        <v>377</v>
      </c>
      <c r="D93" s="509" t="s">
        <v>667</v>
      </c>
      <c r="E93" s="372">
        <f>'dod3'!E93-'dod3 жовтень'!E91</f>
        <v>0</v>
      </c>
      <c r="F93" s="372">
        <f>'dod3'!F93-'dod3 жовтень'!F91</f>
        <v>0</v>
      </c>
      <c r="G93" s="372">
        <f>'dod3'!G93-'dod3 жовтень'!G91</f>
        <v>0</v>
      </c>
      <c r="H93" s="372">
        <f>'dod3'!H93-'dod3 жовтень'!H91</f>
        <v>0</v>
      </c>
      <c r="I93" s="372">
        <f>'dod3'!I93-'dod3 жовтень'!I91</f>
        <v>0</v>
      </c>
      <c r="J93" s="372">
        <f>'dod3'!J93-'dod3 жовтень'!J91</f>
        <v>0</v>
      </c>
      <c r="K93" s="372">
        <f>'dod3'!K93-'dod3 жовтень'!K91</f>
        <v>0</v>
      </c>
      <c r="L93" s="372">
        <f>'dod3'!L93-'dod3 жовтень'!L91</f>
        <v>0</v>
      </c>
      <c r="M93" s="372">
        <f>'dod3'!M93-'dod3 жовтень'!M91</f>
        <v>0</v>
      </c>
      <c r="N93" s="372">
        <f>'dod3'!N93-'dod3 жовтень'!N91</f>
        <v>0</v>
      </c>
      <c r="O93" s="372">
        <f>'dod3'!O93-'dod3 жовтень'!O91</f>
        <v>0</v>
      </c>
      <c r="P93" s="372">
        <f>'dod3'!P93-'dod3 жовтень'!P91</f>
        <v>0</v>
      </c>
    </row>
    <row r="94" spans="1:16" ht="366" x14ac:dyDescent="0.2">
      <c r="A94" s="516" t="s">
        <v>504</v>
      </c>
      <c r="B94" s="516" t="s">
        <v>505</v>
      </c>
      <c r="C94" s="516" t="s">
        <v>377</v>
      </c>
      <c r="D94" s="516" t="s">
        <v>668</v>
      </c>
      <c r="E94" s="372">
        <f>'dod3'!E94-'dod3 жовтень'!E92</f>
        <v>0</v>
      </c>
      <c r="F94" s="372">
        <f>'dod3'!F94-'dod3 жовтень'!F92</f>
        <v>0</v>
      </c>
      <c r="G94" s="372">
        <f>'dod3'!G94-'dod3 жовтень'!G92</f>
        <v>0</v>
      </c>
      <c r="H94" s="372">
        <f>'dod3'!H94-'dod3 жовтень'!H92</f>
        <v>0</v>
      </c>
      <c r="I94" s="372">
        <f>'dod3'!I94-'dod3 жовтень'!I92</f>
        <v>0</v>
      </c>
      <c r="J94" s="372">
        <f>'dod3'!J94-'dod3 жовтень'!J92</f>
        <v>0</v>
      </c>
      <c r="K94" s="372">
        <f>'dod3'!K94-'dod3 жовтень'!K92</f>
        <v>0</v>
      </c>
      <c r="L94" s="372">
        <f>'dod3'!L94-'dod3 жовтень'!L92</f>
        <v>0</v>
      </c>
      <c r="M94" s="372">
        <f>'dod3'!M94-'dod3 жовтень'!M92</f>
        <v>0</v>
      </c>
      <c r="N94" s="372">
        <f>'dod3'!N94-'dod3 жовтень'!N92</f>
        <v>0</v>
      </c>
      <c r="O94" s="372">
        <f>'dod3'!O94-'dod3 жовтень'!O92</f>
        <v>0</v>
      </c>
      <c r="P94" s="372">
        <f>'dod3'!P94-'dod3 жовтень'!P92</f>
        <v>0</v>
      </c>
    </row>
    <row r="95" spans="1:16" ht="91.5" x14ac:dyDescent="0.2">
      <c r="A95" s="516" t="s">
        <v>669</v>
      </c>
      <c r="B95" s="516" t="s">
        <v>670</v>
      </c>
      <c r="C95" s="516"/>
      <c r="D95" s="516" t="s">
        <v>671</v>
      </c>
      <c r="E95" s="372">
        <f>'dod3'!E95-'dod3 жовтень'!E93</f>
        <v>0</v>
      </c>
      <c r="F95" s="372">
        <f>'dod3'!F95-'dod3 жовтень'!F93</f>
        <v>0</v>
      </c>
      <c r="G95" s="372">
        <f>'dod3'!G95-'dod3 жовтень'!G93</f>
        <v>0</v>
      </c>
      <c r="H95" s="372">
        <f>'dod3'!H95-'dod3 жовтень'!H93</f>
        <v>0</v>
      </c>
      <c r="I95" s="372">
        <f>'dod3'!I95-'dod3 жовтень'!I93</f>
        <v>0</v>
      </c>
      <c r="J95" s="372">
        <f>'dod3'!J95-'dod3 жовтень'!J93</f>
        <v>0</v>
      </c>
      <c r="K95" s="372">
        <f>'dod3'!K95-'dod3 жовтень'!K93</f>
        <v>0</v>
      </c>
      <c r="L95" s="372">
        <f>'dod3'!L95-'dod3 жовтень'!L93</f>
        <v>0</v>
      </c>
      <c r="M95" s="372">
        <f>'dod3'!M95-'dod3 жовтень'!M93</f>
        <v>0</v>
      </c>
      <c r="N95" s="372">
        <f>'dod3'!N95-'dod3 жовтень'!N93</f>
        <v>0</v>
      </c>
      <c r="O95" s="372">
        <f>'dod3'!O95-'dod3 жовтень'!O93</f>
        <v>0</v>
      </c>
      <c r="P95" s="372">
        <f>'dod3'!P95-'dod3 жовтень'!P93</f>
        <v>0</v>
      </c>
    </row>
    <row r="96" spans="1:16" ht="228.75" x14ac:dyDescent="0.2">
      <c r="A96" s="509" t="s">
        <v>672</v>
      </c>
      <c r="B96" s="509" t="s">
        <v>673</v>
      </c>
      <c r="C96" s="509" t="s">
        <v>377</v>
      </c>
      <c r="D96" s="509" t="s">
        <v>746</v>
      </c>
      <c r="E96" s="372">
        <f>'dod3'!E96-'dod3 жовтень'!E94</f>
        <v>0</v>
      </c>
      <c r="F96" s="372">
        <f>'dod3'!F96-'dod3 жовтень'!F94</f>
        <v>0</v>
      </c>
      <c r="G96" s="372">
        <f>'dod3'!G96-'dod3 жовтень'!G94</f>
        <v>0</v>
      </c>
      <c r="H96" s="372">
        <f>'dod3'!H96-'dod3 жовтень'!H94</f>
        <v>0</v>
      </c>
      <c r="I96" s="372">
        <f>'dod3'!I96-'dod3 жовтень'!I94</f>
        <v>0</v>
      </c>
      <c r="J96" s="372">
        <f>'dod3'!J96-'dod3 жовтень'!J94</f>
        <v>0</v>
      </c>
      <c r="K96" s="372">
        <f>'dod3'!K96-'dod3 жовтень'!K94</f>
        <v>0</v>
      </c>
      <c r="L96" s="372">
        <f>'dod3'!L96-'dod3 жовтень'!L94</f>
        <v>0</v>
      </c>
      <c r="M96" s="372">
        <f>'dod3'!M96-'dod3 жовтень'!M94</f>
        <v>0</v>
      </c>
      <c r="N96" s="372">
        <f>'dod3'!N96-'dod3 жовтень'!N94</f>
        <v>0</v>
      </c>
      <c r="O96" s="372">
        <f>'dod3'!O96-'dod3 жовтень'!O94</f>
        <v>0</v>
      </c>
      <c r="P96" s="372">
        <f>'dod3'!P96-'dod3 жовтень'!P94</f>
        <v>0</v>
      </c>
    </row>
    <row r="97" spans="1:16" ht="112.5" customHeight="1" x14ac:dyDescent="0.2">
      <c r="A97" s="509" t="s">
        <v>674</v>
      </c>
      <c r="B97" s="509" t="s">
        <v>675</v>
      </c>
      <c r="C97" s="509" t="s">
        <v>377</v>
      </c>
      <c r="D97" s="509" t="s">
        <v>747</v>
      </c>
      <c r="E97" s="372">
        <f>'dod3'!E97-'dod3 жовтень'!E95</f>
        <v>0</v>
      </c>
      <c r="F97" s="372">
        <f>'dod3'!F97-'dod3 жовтень'!F95</f>
        <v>0</v>
      </c>
      <c r="G97" s="372">
        <f>'dod3'!G97-'dod3 жовтень'!G95</f>
        <v>0</v>
      </c>
      <c r="H97" s="372">
        <f>'dod3'!H97-'dod3 жовтень'!H95</f>
        <v>0</v>
      </c>
      <c r="I97" s="372">
        <f>'dod3'!I97-'dod3 жовтень'!I95</f>
        <v>0</v>
      </c>
      <c r="J97" s="372">
        <f>'dod3'!J97-'dod3 жовтень'!J95</f>
        <v>0</v>
      </c>
      <c r="K97" s="372">
        <f>'dod3'!K97-'dod3 жовтень'!K95</f>
        <v>0</v>
      </c>
      <c r="L97" s="372">
        <f>'dod3'!L97-'dod3 жовтень'!L95</f>
        <v>0</v>
      </c>
      <c r="M97" s="372">
        <f>'dod3'!M97-'dod3 жовтень'!M95</f>
        <v>0</v>
      </c>
      <c r="N97" s="372">
        <f>'dod3'!N97-'dod3 жовтень'!N95</f>
        <v>0</v>
      </c>
      <c r="O97" s="372">
        <f>'dod3'!O97-'dod3 жовтень'!O95</f>
        <v>0</v>
      </c>
      <c r="P97" s="372">
        <f>'dod3'!P97-'dod3 жовтень'!P95</f>
        <v>0</v>
      </c>
    </row>
    <row r="98" spans="1:16" ht="366" x14ac:dyDescent="0.2">
      <c r="A98" s="516" t="s">
        <v>750</v>
      </c>
      <c r="B98" s="516" t="s">
        <v>749</v>
      </c>
      <c r="C98" s="516" t="s">
        <v>117</v>
      </c>
      <c r="D98" s="516" t="s">
        <v>748</v>
      </c>
      <c r="E98" s="372">
        <f>'dod3'!E98-'dod3 жовтень'!E96</f>
        <v>0</v>
      </c>
      <c r="F98" s="372">
        <f>'dod3'!F98-'dod3 жовтень'!F96</f>
        <v>0</v>
      </c>
      <c r="G98" s="372">
        <f>'dod3'!G98-'dod3 жовтень'!G96</f>
        <v>0</v>
      </c>
      <c r="H98" s="372">
        <f>'dod3'!H98-'dod3 жовтень'!H96</f>
        <v>0</v>
      </c>
      <c r="I98" s="372">
        <f>'dod3'!I98-'dod3 жовтень'!I96</f>
        <v>0</v>
      </c>
      <c r="J98" s="372">
        <f>'dod3'!J98-'dod3 жовтень'!J96</f>
        <v>0</v>
      </c>
      <c r="K98" s="372">
        <f>'dod3'!K98-'dod3 жовтень'!K96</f>
        <v>0</v>
      </c>
      <c r="L98" s="372">
        <f>'dod3'!L98-'dod3 жовтень'!L96</f>
        <v>0</v>
      </c>
      <c r="M98" s="372">
        <f>'dod3'!M98-'dod3 жовтень'!M96</f>
        <v>0</v>
      </c>
      <c r="N98" s="372">
        <f>'dod3'!N98-'dod3 жовтень'!N96</f>
        <v>0</v>
      </c>
      <c r="O98" s="372">
        <f>'dod3'!O98-'dod3 жовтень'!O96</f>
        <v>0</v>
      </c>
      <c r="P98" s="372">
        <f>'dod3'!P98-'dod3 жовтень'!P96</f>
        <v>0</v>
      </c>
    </row>
    <row r="99" spans="1:16" ht="91.5" x14ac:dyDescent="0.2">
      <c r="A99" s="516" t="s">
        <v>676</v>
      </c>
      <c r="B99" s="516" t="s">
        <v>677</v>
      </c>
      <c r="C99" s="516"/>
      <c r="D99" s="441" t="s">
        <v>50</v>
      </c>
      <c r="E99" s="372">
        <f>'dod3'!E99-'dod3 жовтень'!E97</f>
        <v>0</v>
      </c>
      <c r="F99" s="372">
        <f>'dod3'!F99-'dod3 жовтень'!F97</f>
        <v>0</v>
      </c>
      <c r="G99" s="372">
        <f>'dod3'!G99-'dod3 жовтень'!G97</f>
        <v>0</v>
      </c>
      <c r="H99" s="372">
        <f>'dod3'!H99-'dod3 жовтень'!H97</f>
        <v>0</v>
      </c>
      <c r="I99" s="372">
        <f>'dod3'!I99-'dod3 жовтень'!I97</f>
        <v>0</v>
      </c>
      <c r="J99" s="372">
        <f>'dod3'!J99-'dod3 жовтень'!J97</f>
        <v>0</v>
      </c>
      <c r="K99" s="372">
        <f>'dod3'!K99-'dod3 жовтень'!K97</f>
        <v>0</v>
      </c>
      <c r="L99" s="372">
        <f>'dod3'!L99-'dod3 жовтень'!L97</f>
        <v>0</v>
      </c>
      <c r="M99" s="372">
        <f>'dod3'!M99-'dod3 жовтень'!M97</f>
        <v>0</v>
      </c>
      <c r="N99" s="372">
        <f>'dod3'!N99-'dod3 жовтень'!N97</f>
        <v>0</v>
      </c>
      <c r="O99" s="372">
        <f>'dod3'!O99-'dod3 жовтень'!O97</f>
        <v>0</v>
      </c>
      <c r="P99" s="372">
        <f>'dod3'!P99-'dod3 жовтень'!P97</f>
        <v>0</v>
      </c>
    </row>
    <row r="100" spans="1:16" ht="228.75" x14ac:dyDescent="0.2">
      <c r="A100" s="509" t="s">
        <v>678</v>
      </c>
      <c r="B100" s="509" t="s">
        <v>679</v>
      </c>
      <c r="C100" s="509" t="s">
        <v>385</v>
      </c>
      <c r="D100" s="509" t="s">
        <v>751</v>
      </c>
      <c r="E100" s="372">
        <f>'dod3'!E100-'dod3 жовтень'!E98</f>
        <v>0</v>
      </c>
      <c r="F100" s="372">
        <f>'dod3'!F100-'dod3 жовтень'!F98</f>
        <v>0</v>
      </c>
      <c r="G100" s="372">
        <f>'dod3'!G100-'dod3 жовтень'!G98</f>
        <v>0</v>
      </c>
      <c r="H100" s="372">
        <f>'dod3'!H100-'dod3 жовтень'!H98</f>
        <v>0</v>
      </c>
      <c r="I100" s="372">
        <f>'dod3'!I100-'dod3 жовтень'!I98</f>
        <v>0</v>
      </c>
      <c r="J100" s="372">
        <f>'dod3'!J100-'dod3 жовтень'!J98</f>
        <v>0</v>
      </c>
      <c r="K100" s="372">
        <f>'dod3'!K100-'dod3 жовтень'!K98</f>
        <v>0</v>
      </c>
      <c r="L100" s="372">
        <f>'dod3'!L100-'dod3 жовтень'!L98</f>
        <v>0</v>
      </c>
      <c r="M100" s="372">
        <f>'dod3'!M100-'dod3 жовтень'!M98</f>
        <v>0</v>
      </c>
      <c r="N100" s="372">
        <f>'dod3'!N100-'dod3 жовтень'!N98</f>
        <v>0</v>
      </c>
      <c r="O100" s="372">
        <f>'dod3'!O100-'dod3 жовтень'!O98</f>
        <v>0</v>
      </c>
      <c r="P100" s="372">
        <f>'dod3'!P100-'dod3 жовтень'!P98</f>
        <v>0</v>
      </c>
    </row>
    <row r="101" spans="1:16" ht="91.5" x14ac:dyDescent="0.2">
      <c r="A101" s="516" t="s">
        <v>1024</v>
      </c>
      <c r="B101" s="516" t="s">
        <v>928</v>
      </c>
      <c r="C101" s="516" t="s">
        <v>929</v>
      </c>
      <c r="D101" s="516" t="s">
        <v>926</v>
      </c>
      <c r="E101" s="372">
        <f>'dod3'!E101-0</f>
        <v>233000</v>
      </c>
      <c r="F101" s="372">
        <f>'dod3'!F101-0</f>
        <v>233000</v>
      </c>
      <c r="G101" s="372">
        <f>'dod3'!G101-0</f>
        <v>191000</v>
      </c>
      <c r="H101" s="372">
        <f>'dod3'!H101-0</f>
        <v>0</v>
      </c>
      <c r="I101" s="372">
        <f>'dod3'!I101-0</f>
        <v>0</v>
      </c>
      <c r="J101" s="372">
        <f>'dod3'!J101-0</f>
        <v>0</v>
      </c>
      <c r="K101" s="372">
        <f>'dod3'!K101-0</f>
        <v>0</v>
      </c>
      <c r="L101" s="372">
        <f>'dod3'!L101-0</f>
        <v>0</v>
      </c>
      <c r="M101" s="372">
        <f>'dod3'!M101-0</f>
        <v>0</v>
      </c>
      <c r="N101" s="372">
        <f>'dod3'!N101-0</f>
        <v>0</v>
      </c>
      <c r="O101" s="372">
        <f>'dod3'!O101-0</f>
        <v>0</v>
      </c>
      <c r="P101" s="372">
        <f>'dod3'!P101-0</f>
        <v>233000</v>
      </c>
    </row>
    <row r="102" spans="1:16" ht="183" x14ac:dyDescent="0.2">
      <c r="A102" s="516" t="s">
        <v>945</v>
      </c>
      <c r="B102" s="516" t="s">
        <v>946</v>
      </c>
      <c r="C102" s="516"/>
      <c r="D102" s="441" t="s">
        <v>944</v>
      </c>
      <c r="E102" s="372">
        <f>'dod3'!E102-'dod3 жовтень'!E99</f>
        <v>0</v>
      </c>
      <c r="F102" s="372">
        <f>'dod3'!F102-'dod3 жовтень'!F99</f>
        <v>0</v>
      </c>
      <c r="G102" s="372">
        <f>'dod3'!G102-'dod3 жовтень'!G99</f>
        <v>0</v>
      </c>
      <c r="H102" s="372">
        <f>'dod3'!H102-'dod3 жовтень'!H99</f>
        <v>0</v>
      </c>
      <c r="I102" s="372">
        <f>'dod3'!I102-'dod3 жовтень'!I99</f>
        <v>0</v>
      </c>
      <c r="J102" s="372">
        <f>'dod3'!J102-'dod3 жовтень'!J99</f>
        <v>0</v>
      </c>
      <c r="K102" s="372">
        <f>'dod3'!K102-'dod3 жовтень'!K99</f>
        <v>0</v>
      </c>
      <c r="L102" s="372">
        <f>'dod3'!L102-'dod3 жовтень'!L99</f>
        <v>0</v>
      </c>
      <c r="M102" s="372">
        <f>'dod3'!M102-'dod3 жовтень'!M99</f>
        <v>0</v>
      </c>
      <c r="N102" s="372">
        <f>'dod3'!N102-'dod3 жовтень'!N99</f>
        <v>0</v>
      </c>
      <c r="O102" s="372">
        <f>'dod3'!O102-'dod3 жовтень'!O99</f>
        <v>0</v>
      </c>
      <c r="P102" s="372">
        <f>'dod3'!P102-'dod3 жовтень'!P99</f>
        <v>0</v>
      </c>
    </row>
    <row r="103" spans="1:16" s="196" customFormat="1" ht="409.5" x14ac:dyDescent="0.2">
      <c r="A103" s="587" t="s">
        <v>947</v>
      </c>
      <c r="B103" s="587" t="s">
        <v>948</v>
      </c>
      <c r="C103" s="588" t="s">
        <v>117</v>
      </c>
      <c r="D103" s="442" t="s">
        <v>949</v>
      </c>
      <c r="E103" s="666">
        <f>'dod3'!E103-'dod3 жовтень'!E100</f>
        <v>0</v>
      </c>
      <c r="F103" s="666">
        <f>'dod3'!F103-'dod3 жовтень'!F100</f>
        <v>0</v>
      </c>
      <c r="G103" s="666">
        <f>'dod3'!G103-'dod3 жовтень'!G100</f>
        <v>0</v>
      </c>
      <c r="H103" s="666">
        <f>'dod3'!H103-'dod3 жовтень'!H100</f>
        <v>0</v>
      </c>
      <c r="I103" s="666">
        <f>'dod3'!I103-'dod3 жовтень'!I100</f>
        <v>0</v>
      </c>
      <c r="J103" s="666">
        <f>'dod3'!J103-'dod3 жовтень'!J100</f>
        <v>0</v>
      </c>
      <c r="K103" s="666">
        <f>'dod3'!K103-'dod3 жовтень'!K100</f>
        <v>0</v>
      </c>
      <c r="L103" s="666">
        <f>'dod3'!L103-'dod3 жовтень'!L100</f>
        <v>0</v>
      </c>
      <c r="M103" s="666">
        <f>'dod3'!M103-'dod3 жовтень'!M100</f>
        <v>0</v>
      </c>
      <c r="N103" s="666">
        <f>'dod3'!N103-'dod3 жовтень'!N100</f>
        <v>0</v>
      </c>
      <c r="O103" s="666">
        <f>'dod3'!O103-'dod3 жовтень'!O100</f>
        <v>0</v>
      </c>
      <c r="P103" s="666">
        <f>'dod3'!P103-'dod3 жовтень'!P100</f>
        <v>0</v>
      </c>
    </row>
    <row r="104" spans="1:16" s="196" customFormat="1" ht="409.5" x14ac:dyDescent="0.2">
      <c r="A104" s="584"/>
      <c r="B104" s="584"/>
      <c r="C104" s="589"/>
      <c r="D104" s="442" t="s">
        <v>950</v>
      </c>
      <c r="E104" s="668"/>
      <c r="F104" s="668"/>
      <c r="G104" s="668"/>
      <c r="H104" s="668"/>
      <c r="I104" s="668"/>
      <c r="J104" s="668"/>
      <c r="K104" s="668"/>
      <c r="L104" s="668"/>
      <c r="M104" s="668"/>
      <c r="N104" s="668"/>
      <c r="O104" s="668"/>
      <c r="P104" s="668"/>
    </row>
    <row r="105" spans="1:16" s="196" customFormat="1" ht="94.5" customHeight="1" x14ac:dyDescent="0.2">
      <c r="A105" s="583"/>
      <c r="B105" s="583"/>
      <c r="C105" s="589"/>
      <c r="D105" s="443" t="s">
        <v>951</v>
      </c>
      <c r="E105" s="667"/>
      <c r="F105" s="667"/>
      <c r="G105" s="667"/>
      <c r="H105" s="667"/>
      <c r="I105" s="667"/>
      <c r="J105" s="667"/>
      <c r="K105" s="667"/>
      <c r="L105" s="667"/>
      <c r="M105" s="667"/>
      <c r="N105" s="667"/>
      <c r="O105" s="667"/>
      <c r="P105" s="667"/>
    </row>
    <row r="106" spans="1:16" ht="409.5" x14ac:dyDescent="0.2">
      <c r="A106" s="604" t="s">
        <v>503</v>
      </c>
      <c r="B106" s="604" t="s">
        <v>362</v>
      </c>
      <c r="C106" s="605" t="s">
        <v>353</v>
      </c>
      <c r="D106" s="439" t="s">
        <v>680</v>
      </c>
      <c r="E106" s="666">
        <f>'dod3'!E106-'dod3 жовтень'!E103</f>
        <v>0</v>
      </c>
      <c r="F106" s="666">
        <f>'dod3'!F106-'dod3 жовтень'!F103</f>
        <v>0</v>
      </c>
      <c r="G106" s="666">
        <f>'dod3'!G106-'dod3 жовтень'!G103</f>
        <v>0</v>
      </c>
      <c r="H106" s="666">
        <f>'dod3'!H106-'dod3 жовтень'!H103</f>
        <v>0</v>
      </c>
      <c r="I106" s="666">
        <f>'dod3'!I106-'dod3 жовтень'!I103</f>
        <v>0</v>
      </c>
      <c r="J106" s="666">
        <f>'dod3'!J106-'dod3 жовтень'!J103</f>
        <v>0</v>
      </c>
      <c r="K106" s="666">
        <f>'dod3'!K106-'dod3 жовтень'!K103</f>
        <v>0</v>
      </c>
      <c r="L106" s="666">
        <f>'dod3'!L106-'dod3 жовтень'!L103</f>
        <v>0</v>
      </c>
      <c r="M106" s="666">
        <f>'dod3'!M106-'dod3 жовтень'!M103</f>
        <v>0</v>
      </c>
      <c r="N106" s="666">
        <f>'dod3'!N106-'dod3 жовтень'!N103</f>
        <v>0</v>
      </c>
      <c r="O106" s="666">
        <f>'dod3'!O106-'dod3 жовтень'!O103</f>
        <v>0</v>
      </c>
      <c r="P106" s="666">
        <f>'dod3'!P106-'dod3 жовтень'!P103</f>
        <v>0</v>
      </c>
    </row>
    <row r="107" spans="1:16" ht="327.75" customHeight="1" x14ac:dyDescent="0.2">
      <c r="A107" s="585"/>
      <c r="B107" s="585"/>
      <c r="C107" s="592"/>
      <c r="D107" s="444" t="s">
        <v>681</v>
      </c>
      <c r="E107" s="667"/>
      <c r="F107" s="667"/>
      <c r="G107" s="667"/>
      <c r="H107" s="667"/>
      <c r="I107" s="667"/>
      <c r="J107" s="667"/>
      <c r="K107" s="667"/>
      <c r="L107" s="667"/>
      <c r="M107" s="667"/>
      <c r="N107" s="667"/>
      <c r="O107" s="667"/>
      <c r="P107" s="667"/>
    </row>
    <row r="108" spans="1:16" ht="46.5" x14ac:dyDescent="0.2">
      <c r="A108" s="516" t="s">
        <v>684</v>
      </c>
      <c r="B108" s="516" t="s">
        <v>685</v>
      </c>
      <c r="C108" s="516"/>
      <c r="D108" s="516" t="s">
        <v>364</v>
      </c>
      <c r="E108" s="372">
        <f>'dod3'!E108-'dod3 жовтень'!E105</f>
        <v>260000</v>
      </c>
      <c r="F108" s="372">
        <f>'dod3'!F108-'dod3 жовтень'!F105</f>
        <v>260000</v>
      </c>
      <c r="G108" s="372">
        <f>'dod3'!G108-'dod3 жовтень'!G105</f>
        <v>0</v>
      </c>
      <c r="H108" s="372">
        <f>'dod3'!H108-'dod3 жовтень'!H105</f>
        <v>0</v>
      </c>
      <c r="I108" s="372">
        <f>'dod3'!I108-'dod3 жовтень'!I105</f>
        <v>0</v>
      </c>
      <c r="J108" s="372">
        <f>'dod3'!J108-'dod3 жовтень'!J105</f>
        <v>0</v>
      </c>
      <c r="K108" s="372">
        <f>'dod3'!K108-'dod3 жовтень'!K105</f>
        <v>0</v>
      </c>
      <c r="L108" s="372">
        <f>'dod3'!L108-'dod3 жовтень'!L105</f>
        <v>0</v>
      </c>
      <c r="M108" s="372">
        <f>'dod3'!M108-'dod3 жовтень'!M105</f>
        <v>0</v>
      </c>
      <c r="N108" s="372">
        <f>'dod3'!N108-'dod3 жовтень'!N105</f>
        <v>0</v>
      </c>
      <c r="O108" s="372">
        <f>'dod3'!O108-'dod3 жовтень'!O105</f>
        <v>0</v>
      </c>
      <c r="P108" s="372">
        <f>'dod3'!P108-'dod3 жовтень'!P105</f>
        <v>260000</v>
      </c>
    </row>
    <row r="109" spans="1:16" ht="183" x14ac:dyDescent="0.2">
      <c r="A109" s="509" t="s">
        <v>682</v>
      </c>
      <c r="B109" s="509" t="s">
        <v>686</v>
      </c>
      <c r="C109" s="509" t="s">
        <v>363</v>
      </c>
      <c r="D109" s="432" t="s">
        <v>688</v>
      </c>
      <c r="E109" s="372">
        <f>'dod3'!E109-'dod3 жовтень'!E106</f>
        <v>0</v>
      </c>
      <c r="F109" s="372">
        <f>'dod3'!F109-'dod3 жовтень'!F106</f>
        <v>0</v>
      </c>
      <c r="G109" s="372">
        <f>'dod3'!G109-'dod3 жовтень'!G106</f>
        <v>0</v>
      </c>
      <c r="H109" s="372">
        <f>'dod3'!H109-'dod3 жовтень'!H106</f>
        <v>0</v>
      </c>
      <c r="I109" s="372">
        <f>'dod3'!I109-'dod3 жовтень'!I106</f>
        <v>0</v>
      </c>
      <c r="J109" s="372">
        <f>'dod3'!J109-'dod3 жовтень'!J106</f>
        <v>0</v>
      </c>
      <c r="K109" s="372">
        <f>'dod3'!K109-'dod3 жовтень'!K106</f>
        <v>0</v>
      </c>
      <c r="L109" s="372">
        <f>'dod3'!L109-'dod3 жовтень'!L106</f>
        <v>0</v>
      </c>
      <c r="M109" s="372">
        <f>'dod3'!M109-'dod3 жовтень'!M106</f>
        <v>0</v>
      </c>
      <c r="N109" s="372">
        <f>'dod3'!N109-'dod3 жовтень'!N106</f>
        <v>0</v>
      </c>
      <c r="O109" s="372">
        <f>'dod3'!O109-'dod3 жовтень'!O106</f>
        <v>0</v>
      </c>
      <c r="P109" s="372">
        <f>'dod3'!P109-'dod3 жовтень'!P106</f>
        <v>0</v>
      </c>
    </row>
    <row r="110" spans="1:16" ht="137.25" x14ac:dyDescent="0.2">
      <c r="A110" s="509" t="s">
        <v>683</v>
      </c>
      <c r="B110" s="509" t="s">
        <v>687</v>
      </c>
      <c r="C110" s="509" t="s">
        <v>363</v>
      </c>
      <c r="D110" s="432" t="s">
        <v>689</v>
      </c>
      <c r="E110" s="372">
        <f>'dod3'!E110-'dod3 жовтень'!E107</f>
        <v>260000</v>
      </c>
      <c r="F110" s="372">
        <f>'dod3'!F110-'dod3 жовтень'!F107</f>
        <v>260000</v>
      </c>
      <c r="G110" s="372">
        <f>'dod3'!G110-'dod3 жовтень'!G107</f>
        <v>0</v>
      </c>
      <c r="H110" s="372">
        <f>'dod3'!H110-'dod3 жовтень'!H107</f>
        <v>0</v>
      </c>
      <c r="I110" s="372">
        <f>'dod3'!I110-'dod3 жовтень'!I107</f>
        <v>0</v>
      </c>
      <c r="J110" s="372">
        <f>'dod3'!J110-'dod3 жовтень'!J107</f>
        <v>0</v>
      </c>
      <c r="K110" s="372">
        <f>'dod3'!K110-'dod3 жовтень'!K107</f>
        <v>0</v>
      </c>
      <c r="L110" s="372">
        <f>'dod3'!L110-'dod3 жовтень'!L107</f>
        <v>0</v>
      </c>
      <c r="M110" s="372">
        <f>'dod3'!M110-'dod3 жовтень'!M107</f>
        <v>0</v>
      </c>
      <c r="N110" s="372">
        <f>'dod3'!N110-'dod3 жовтень'!N107</f>
        <v>0</v>
      </c>
      <c r="O110" s="372">
        <f>'dod3'!O110-'dod3 жовтень'!O107</f>
        <v>0</v>
      </c>
      <c r="P110" s="372">
        <f>'dod3'!P110-'dod3 жовтень'!P107</f>
        <v>260000</v>
      </c>
    </row>
    <row r="111" spans="1:16" ht="91.5" x14ac:dyDescent="0.2">
      <c r="A111" s="516" t="s">
        <v>831</v>
      </c>
      <c r="B111" s="516" t="s">
        <v>706</v>
      </c>
      <c r="C111" s="516"/>
      <c r="D111" s="516" t="s">
        <v>832</v>
      </c>
      <c r="E111" s="372">
        <f>'dod3'!E111-'dod3 жовтень'!E108</f>
        <v>0</v>
      </c>
      <c r="F111" s="372">
        <f>'dod3'!F111-'dod3 жовтень'!F108</f>
        <v>0</v>
      </c>
      <c r="G111" s="372">
        <f>'dod3'!G111-'dod3 жовтень'!G108</f>
        <v>0</v>
      </c>
      <c r="H111" s="372">
        <f>'dod3'!H111-'dod3 жовтень'!H108</f>
        <v>0</v>
      </c>
      <c r="I111" s="372">
        <f>'dod3'!I111-'dod3 жовтень'!I108</f>
        <v>0</v>
      </c>
      <c r="J111" s="372">
        <f>'dod3'!J111-'dod3 жовтень'!J108</f>
        <v>0</v>
      </c>
      <c r="K111" s="372">
        <f>'dod3'!K111-'dod3 жовтень'!K108</f>
        <v>0</v>
      </c>
      <c r="L111" s="372">
        <f>'dod3'!L111-'dod3 жовтень'!L108</f>
        <v>0</v>
      </c>
      <c r="M111" s="372">
        <f>'dod3'!M111-'dod3 жовтень'!M108</f>
        <v>0</v>
      </c>
      <c r="N111" s="372">
        <f>'dod3'!N111-'dod3 жовтень'!N108</f>
        <v>0</v>
      </c>
      <c r="O111" s="372">
        <f>'dod3'!O111-'dod3 жовтень'!O108</f>
        <v>0</v>
      </c>
      <c r="P111" s="372">
        <f>'dod3'!P111-'dod3 жовтень'!P108</f>
        <v>0</v>
      </c>
    </row>
    <row r="112" spans="1:16" ht="137.25" x14ac:dyDescent="0.2">
      <c r="A112" s="509" t="s">
        <v>835</v>
      </c>
      <c r="B112" s="509" t="s">
        <v>833</v>
      </c>
      <c r="C112" s="509" t="s">
        <v>708</v>
      </c>
      <c r="D112" s="432" t="s">
        <v>834</v>
      </c>
      <c r="E112" s="372">
        <f>'dod3'!E112-'dod3 жовтень'!E109</f>
        <v>0</v>
      </c>
      <c r="F112" s="372">
        <f>'dod3'!F112-'dod3 жовтень'!F109</f>
        <v>0</v>
      </c>
      <c r="G112" s="372">
        <f>'dod3'!G112-'dod3 жовтень'!G109</f>
        <v>0</v>
      </c>
      <c r="H112" s="372">
        <f>'dod3'!H112-'dod3 жовтень'!H109</f>
        <v>0</v>
      </c>
      <c r="I112" s="372">
        <f>'dod3'!I112-'dod3 жовтень'!I109</f>
        <v>0</v>
      </c>
      <c r="J112" s="372">
        <f>'dod3'!J112-'dod3 жовтень'!J109</f>
        <v>0</v>
      </c>
      <c r="K112" s="372">
        <f>'dod3'!K112-'dod3 жовтень'!K109</f>
        <v>0</v>
      </c>
      <c r="L112" s="372">
        <f>'dod3'!L112-'dod3 жовтень'!L109</f>
        <v>0</v>
      </c>
      <c r="M112" s="372">
        <f>'dod3'!M112-'dod3 жовтень'!M109</f>
        <v>0</v>
      </c>
      <c r="N112" s="372">
        <f>'dod3'!N112-'dod3 жовтень'!N109</f>
        <v>0</v>
      </c>
      <c r="O112" s="372">
        <f>'dod3'!O112-'dod3 жовтень'!O109</f>
        <v>0</v>
      </c>
      <c r="P112" s="372">
        <f>'dod3'!P112-'dod3 жовтень'!P109</f>
        <v>0</v>
      </c>
    </row>
    <row r="113" spans="1:18" ht="46.5" x14ac:dyDescent="0.2">
      <c r="A113" s="516" t="s">
        <v>1035</v>
      </c>
      <c r="B113" s="516" t="s">
        <v>449</v>
      </c>
      <c r="C113" s="516"/>
      <c r="D113" s="481" t="s">
        <v>447</v>
      </c>
      <c r="E113" s="372">
        <f>'dod3'!E113-0</f>
        <v>0</v>
      </c>
      <c r="F113" s="372">
        <f>'dod3'!F113-0</f>
        <v>0</v>
      </c>
      <c r="G113" s="372">
        <f>'dod3'!G113-0</f>
        <v>0</v>
      </c>
      <c r="H113" s="372">
        <f>'dod3'!H113-0</f>
        <v>0</v>
      </c>
      <c r="I113" s="372">
        <f>'dod3'!I113-0</f>
        <v>0</v>
      </c>
      <c r="J113" s="372">
        <f>'dod3'!J113-0</f>
        <v>366000</v>
      </c>
      <c r="K113" s="372">
        <f>'dod3'!K113-0</f>
        <v>366000</v>
      </c>
      <c r="L113" s="372">
        <f>'dod3'!L113-0</f>
        <v>0</v>
      </c>
      <c r="M113" s="372">
        <f>'dod3'!M113-0</f>
        <v>0</v>
      </c>
      <c r="N113" s="372">
        <f>'dod3'!N113-0</f>
        <v>0</v>
      </c>
      <c r="O113" s="372">
        <f>'dod3'!O113-0</f>
        <v>0</v>
      </c>
      <c r="P113" s="372">
        <f>'dod3'!P113-0</f>
        <v>366000</v>
      </c>
    </row>
    <row r="114" spans="1:18" ht="409.5" x14ac:dyDescent="0.2">
      <c r="A114" s="587" t="s">
        <v>1036</v>
      </c>
      <c r="B114" s="587" t="s">
        <v>699</v>
      </c>
      <c r="C114" s="587" t="s">
        <v>324</v>
      </c>
      <c r="D114" s="482" t="s">
        <v>727</v>
      </c>
      <c r="E114" s="666">
        <f>'dod3'!E114-0</f>
        <v>0</v>
      </c>
      <c r="F114" s="666">
        <f>'dod3'!F114-0</f>
        <v>0</v>
      </c>
      <c r="G114" s="666">
        <f>'dod3'!G114-0</f>
        <v>0</v>
      </c>
      <c r="H114" s="666">
        <f>'dod3'!H114-0</f>
        <v>0</v>
      </c>
      <c r="I114" s="666">
        <f>'dod3'!I114-0</f>
        <v>0</v>
      </c>
      <c r="J114" s="666">
        <f>'dod3'!J114-0</f>
        <v>366000</v>
      </c>
      <c r="K114" s="666">
        <f>'dod3'!K114-0</f>
        <v>366000</v>
      </c>
      <c r="L114" s="666">
        <f>'dod3'!L114-0</f>
        <v>0</v>
      </c>
      <c r="M114" s="666">
        <f>'dod3'!M114-0</f>
        <v>0</v>
      </c>
      <c r="N114" s="666">
        <f>'dod3'!N114-0</f>
        <v>0</v>
      </c>
      <c r="O114" s="666">
        <f>'dod3'!O114-0</f>
        <v>0</v>
      </c>
      <c r="P114" s="666">
        <f>'dod3'!P114-0</f>
        <v>366000</v>
      </c>
    </row>
    <row r="115" spans="1:18" ht="137.25" x14ac:dyDescent="0.2">
      <c r="A115" s="583"/>
      <c r="B115" s="583"/>
      <c r="C115" s="583"/>
      <c r="D115" s="483" t="s">
        <v>728</v>
      </c>
      <c r="E115" s="667"/>
      <c r="F115" s="667"/>
      <c r="G115" s="667"/>
      <c r="H115" s="667"/>
      <c r="I115" s="667"/>
      <c r="J115" s="667"/>
      <c r="K115" s="667"/>
      <c r="L115" s="667"/>
      <c r="M115" s="667"/>
      <c r="N115" s="667"/>
      <c r="O115" s="667"/>
      <c r="P115" s="667"/>
    </row>
    <row r="116" spans="1:18" ht="135" x14ac:dyDescent="0.2">
      <c r="A116" s="541">
        <v>1000000</v>
      </c>
      <c r="B116" s="541"/>
      <c r="C116" s="541"/>
      <c r="D116" s="473" t="s">
        <v>68</v>
      </c>
      <c r="E116" s="476">
        <f>E117</f>
        <v>0</v>
      </c>
      <c r="F116" s="476">
        <f t="shared" ref="F116:P116" si="9">F117</f>
        <v>0</v>
      </c>
      <c r="G116" s="476">
        <f t="shared" si="9"/>
        <v>0</v>
      </c>
      <c r="H116" s="476">
        <f t="shared" si="9"/>
        <v>0</v>
      </c>
      <c r="I116" s="476">
        <f t="shared" si="9"/>
        <v>0</v>
      </c>
      <c r="J116" s="476">
        <f t="shared" si="9"/>
        <v>0</v>
      </c>
      <c r="K116" s="476">
        <f t="shared" si="9"/>
        <v>0</v>
      </c>
      <c r="L116" s="476">
        <f t="shared" si="9"/>
        <v>0</v>
      </c>
      <c r="M116" s="476">
        <f t="shared" si="9"/>
        <v>0</v>
      </c>
      <c r="N116" s="476">
        <f t="shared" si="9"/>
        <v>0</v>
      </c>
      <c r="O116" s="475">
        <f t="shared" si="9"/>
        <v>0</v>
      </c>
      <c r="P116" s="476">
        <f t="shared" si="9"/>
        <v>0</v>
      </c>
    </row>
    <row r="117" spans="1:18" ht="180" x14ac:dyDescent="0.2">
      <c r="A117" s="542">
        <v>1010000</v>
      </c>
      <c r="B117" s="542"/>
      <c r="C117" s="542"/>
      <c r="D117" s="480" t="s">
        <v>94</v>
      </c>
      <c r="E117" s="475">
        <f>E119+E120+E121+E122+E118+E124+E123+E127</f>
        <v>0</v>
      </c>
      <c r="F117" s="476">
        <f>F119+F120+F121+F122+F118+F124+F123+F127</f>
        <v>0</v>
      </c>
      <c r="G117" s="475">
        <f>G119+G120+G121+G122+G118+G124+G123+G127</f>
        <v>0</v>
      </c>
      <c r="H117" s="475">
        <f>H119+H120+H121+H122+H118+H124+H123+H127</f>
        <v>0</v>
      </c>
      <c r="I117" s="476">
        <v>0</v>
      </c>
      <c r="J117" s="475">
        <f t="shared" ref="J117" si="10">K117+N117</f>
        <v>0</v>
      </c>
      <c r="K117" s="476">
        <f>K119+K120+K121+K122+K118+K124+K123+K127</f>
        <v>0</v>
      </c>
      <c r="L117" s="475">
        <f>L119+L120+L121+L122+L118+L124+L123+L127</f>
        <v>0</v>
      </c>
      <c r="M117" s="475">
        <f>M119+M120+M121+M122+M118+M124+M123+M127</f>
        <v>0</v>
      </c>
      <c r="N117" s="476">
        <f>N119+N120+N121+N122+N118+N124+N123+N127</f>
        <v>0</v>
      </c>
      <c r="O117" s="475">
        <f>O119+O120+O121+O122+O118+O124+O123+O127</f>
        <v>0</v>
      </c>
      <c r="P117" s="475">
        <f t="shared" ref="P117" si="11">E117+J117</f>
        <v>0</v>
      </c>
      <c r="Q117" s="251" t="b">
        <f>P117=P118+P119+P120+P121+P122+P123+P125+P126+P127</f>
        <v>1</v>
      </c>
      <c r="R117" s="253"/>
    </row>
    <row r="118" spans="1:18" ht="228.75" x14ac:dyDescent="0.2">
      <c r="A118" s="516" t="s">
        <v>49</v>
      </c>
      <c r="B118" s="516" t="s">
        <v>343</v>
      </c>
      <c r="C118" s="516" t="s">
        <v>344</v>
      </c>
      <c r="D118" s="516" t="s">
        <v>342</v>
      </c>
      <c r="E118" s="372">
        <f>'dod3'!E118-'dod3 жовтень'!E112</f>
        <v>0</v>
      </c>
      <c r="F118" s="372">
        <f>'dod3'!F118-'dod3 жовтень'!F112</f>
        <v>0</v>
      </c>
      <c r="G118" s="372">
        <f>'dod3'!G118-'dod3 жовтень'!G112</f>
        <v>0</v>
      </c>
      <c r="H118" s="372">
        <f>'dod3'!H118-'dod3 жовтень'!H112</f>
        <v>0</v>
      </c>
      <c r="I118" s="372">
        <f>'dod3'!I118-'dod3 жовтень'!I112</f>
        <v>0</v>
      </c>
      <c r="J118" s="372">
        <f>'dod3'!J118-'dod3 жовтень'!J112</f>
        <v>0</v>
      </c>
      <c r="K118" s="372">
        <f>'dod3'!K118-'dod3 жовтень'!K112</f>
        <v>0</v>
      </c>
      <c r="L118" s="372">
        <f>'dod3'!L118-'dod3 жовтень'!L112</f>
        <v>0</v>
      </c>
      <c r="M118" s="372">
        <f>'dod3'!M118-'dod3 жовтень'!M112</f>
        <v>0</v>
      </c>
      <c r="N118" s="372">
        <f>'dod3'!N118-'dod3 жовтень'!N112</f>
        <v>0</v>
      </c>
      <c r="O118" s="372">
        <f>'dod3'!O118-'dod3 жовтень'!O112</f>
        <v>0</v>
      </c>
      <c r="P118" s="372">
        <f>'dod3'!P118-'dod3 жовтень'!P112</f>
        <v>0</v>
      </c>
    </row>
    <row r="119" spans="1:18" ht="46.5" x14ac:dyDescent="0.2">
      <c r="A119" s="516" t="s">
        <v>325</v>
      </c>
      <c r="B119" s="516" t="s">
        <v>326</v>
      </c>
      <c r="C119" s="516" t="s">
        <v>330</v>
      </c>
      <c r="D119" s="516" t="s">
        <v>331</v>
      </c>
      <c r="E119" s="372">
        <f>'dod3'!E119-'dod3 жовтень'!E113</f>
        <v>0</v>
      </c>
      <c r="F119" s="372">
        <f>'dod3'!F119-'dod3 жовтень'!F113</f>
        <v>0</v>
      </c>
      <c r="G119" s="372">
        <f>'dod3'!G119-'dod3 жовтень'!G113</f>
        <v>0</v>
      </c>
      <c r="H119" s="372">
        <f>'dod3'!H119-'dod3 жовтень'!H113</f>
        <v>0</v>
      </c>
      <c r="I119" s="372">
        <f>'dod3'!I119-'dod3 жовтень'!I113</f>
        <v>0</v>
      </c>
      <c r="J119" s="372">
        <f>'dod3'!J119-'dod3 жовтень'!J113</f>
        <v>0</v>
      </c>
      <c r="K119" s="372">
        <f>'dod3'!K119-'dod3 жовтень'!K113</f>
        <v>0</v>
      </c>
      <c r="L119" s="372">
        <f>'dod3'!L119-'dod3 жовтень'!L113</f>
        <v>0</v>
      </c>
      <c r="M119" s="372">
        <f>'dod3'!M119-'dod3 жовтень'!M113</f>
        <v>0</v>
      </c>
      <c r="N119" s="372">
        <f>'dod3'!N119-'dod3 жовтень'!N113</f>
        <v>0</v>
      </c>
      <c r="O119" s="372">
        <f>'dod3'!O119-'dod3 жовтень'!O113</f>
        <v>0</v>
      </c>
      <c r="P119" s="372">
        <f>'dod3'!P119-'dod3 жовтень'!P113</f>
        <v>0</v>
      </c>
    </row>
    <row r="120" spans="1:18" ht="46.5" x14ac:dyDescent="0.2">
      <c r="A120" s="516" t="s">
        <v>332</v>
      </c>
      <c r="B120" s="516" t="s">
        <v>333</v>
      </c>
      <c r="C120" s="516" t="s">
        <v>334</v>
      </c>
      <c r="D120" s="516" t="s">
        <v>335</v>
      </c>
      <c r="E120" s="372">
        <f>'dod3'!E120-'dod3 жовтень'!E114</f>
        <v>0</v>
      </c>
      <c r="F120" s="372">
        <f>'dod3'!F120-'dod3 жовтень'!F114</f>
        <v>0</v>
      </c>
      <c r="G120" s="372">
        <f>'dod3'!G120-'dod3 жовтень'!G114</f>
        <v>0</v>
      </c>
      <c r="H120" s="372">
        <f>'dod3'!H120-'dod3 жовтень'!H114</f>
        <v>0</v>
      </c>
      <c r="I120" s="372">
        <f>'dod3'!I120-'dod3 жовтень'!I114</f>
        <v>0</v>
      </c>
      <c r="J120" s="372">
        <f>'dod3'!J120-'dod3 жовтень'!J114</f>
        <v>0</v>
      </c>
      <c r="K120" s="372">
        <f>'dod3'!K120-'dod3 жовтень'!K114</f>
        <v>0</v>
      </c>
      <c r="L120" s="372">
        <f>'dod3'!L120-'dod3 жовтень'!L114</f>
        <v>0</v>
      </c>
      <c r="M120" s="372">
        <f>'dod3'!M120-'dod3 жовтень'!M114</f>
        <v>0</v>
      </c>
      <c r="N120" s="372">
        <f>'dod3'!N120-'dod3 жовтень'!N114</f>
        <v>0</v>
      </c>
      <c r="O120" s="372">
        <f>'dod3'!O120-'dod3 жовтень'!O114</f>
        <v>0</v>
      </c>
      <c r="P120" s="372">
        <f>'dod3'!P120-'dod3 жовтень'!P114</f>
        <v>0</v>
      </c>
    </row>
    <row r="121" spans="1:18" ht="91.5" x14ac:dyDescent="0.2">
      <c r="A121" s="516" t="s">
        <v>336</v>
      </c>
      <c r="B121" s="516" t="s">
        <v>337</v>
      </c>
      <c r="C121" s="516" t="s">
        <v>334</v>
      </c>
      <c r="D121" s="516" t="s">
        <v>338</v>
      </c>
      <c r="E121" s="372">
        <f>'dod3'!E121-'dod3 жовтень'!E115</f>
        <v>0</v>
      </c>
      <c r="F121" s="372">
        <f>'dod3'!F121-'dod3 жовтень'!F115</f>
        <v>0</v>
      </c>
      <c r="G121" s="372">
        <f>'dod3'!G121-'dod3 жовтень'!G115</f>
        <v>0</v>
      </c>
      <c r="H121" s="372">
        <f>'dod3'!H121-'dod3 жовтень'!H115</f>
        <v>0</v>
      </c>
      <c r="I121" s="372">
        <f>'dod3'!I121-'dod3 жовтень'!I115</f>
        <v>0</v>
      </c>
      <c r="J121" s="372">
        <f>'dod3'!J121-'dod3 жовтень'!J115</f>
        <v>0</v>
      </c>
      <c r="K121" s="372">
        <f>'dod3'!K121-'dod3 жовтень'!K115</f>
        <v>0</v>
      </c>
      <c r="L121" s="372">
        <f>'dod3'!L121-'dod3 жовтень'!L115</f>
        <v>0</v>
      </c>
      <c r="M121" s="372">
        <f>'dod3'!M121-'dod3 жовтень'!M115</f>
        <v>0</v>
      </c>
      <c r="N121" s="372">
        <f>'dod3'!N121-'dod3 жовтень'!N115</f>
        <v>0</v>
      </c>
      <c r="O121" s="372">
        <f>'dod3'!O121-'dod3 жовтень'!O115</f>
        <v>0</v>
      </c>
      <c r="P121" s="372">
        <f>'dod3'!P121-'dod3 жовтень'!P115</f>
        <v>0</v>
      </c>
    </row>
    <row r="122" spans="1:18" ht="183" x14ac:dyDescent="0.2">
      <c r="A122" s="516" t="s">
        <v>339</v>
      </c>
      <c r="B122" s="516" t="s">
        <v>327</v>
      </c>
      <c r="C122" s="516" t="s">
        <v>340</v>
      </c>
      <c r="D122" s="516" t="s">
        <v>341</v>
      </c>
      <c r="E122" s="372">
        <f>'dod3'!E122-'dod3 жовтень'!E116</f>
        <v>0</v>
      </c>
      <c r="F122" s="372">
        <f>'dod3'!F122-'dod3 жовтень'!F116</f>
        <v>0</v>
      </c>
      <c r="G122" s="372">
        <f>'dod3'!G122-'dod3 жовтень'!G116</f>
        <v>0</v>
      </c>
      <c r="H122" s="372">
        <f>'dod3'!H122-'dod3 жовтень'!H116</f>
        <v>0</v>
      </c>
      <c r="I122" s="372">
        <f>'dod3'!I122-'dod3 жовтень'!I116</f>
        <v>0</v>
      </c>
      <c r="J122" s="372">
        <f>'dod3'!J122-'dod3 жовтень'!J116</f>
        <v>0</v>
      </c>
      <c r="K122" s="372">
        <f>'dod3'!K122-'dod3 жовтень'!K116</f>
        <v>0</v>
      </c>
      <c r="L122" s="372">
        <f>'dod3'!L122-'dod3 жовтень'!L116</f>
        <v>0</v>
      </c>
      <c r="M122" s="372">
        <f>'dod3'!M122-'dod3 жовтень'!M116</f>
        <v>0</v>
      </c>
      <c r="N122" s="372">
        <f>'dod3'!N122-'dod3 жовтень'!N116</f>
        <v>0</v>
      </c>
      <c r="O122" s="372">
        <f>'dod3'!O122-'dod3 жовтень'!O116</f>
        <v>0</v>
      </c>
      <c r="P122" s="372">
        <f>'dod3'!P122-'dod3 жовтень'!P116</f>
        <v>0</v>
      </c>
    </row>
    <row r="123" spans="1:18" ht="91.5" x14ac:dyDescent="0.2">
      <c r="A123" s="516" t="s">
        <v>814</v>
      </c>
      <c r="B123" s="516" t="s">
        <v>815</v>
      </c>
      <c r="C123" s="516" t="s">
        <v>816</v>
      </c>
      <c r="D123" s="516" t="s">
        <v>813</v>
      </c>
      <c r="E123" s="372">
        <f>'dod3'!E123-'dod3 жовтень'!E117</f>
        <v>0</v>
      </c>
      <c r="F123" s="372">
        <f>'dod3'!F123-'dod3 жовтень'!F117</f>
        <v>0</v>
      </c>
      <c r="G123" s="372">
        <f>'dod3'!G123-'dod3 жовтень'!G117</f>
        <v>0</v>
      </c>
      <c r="H123" s="372">
        <f>'dod3'!H123-'dod3 жовтень'!H117</f>
        <v>0</v>
      </c>
      <c r="I123" s="372">
        <f>'dod3'!I123-'dod3 жовтень'!I117</f>
        <v>0</v>
      </c>
      <c r="J123" s="372">
        <f>'dod3'!J123-'dod3 жовтень'!J117</f>
        <v>0</v>
      </c>
      <c r="K123" s="372">
        <f>'dod3'!K123-'dod3 жовтень'!K117</f>
        <v>0</v>
      </c>
      <c r="L123" s="372">
        <f>'dod3'!L123-'dod3 жовтень'!L117</f>
        <v>0</v>
      </c>
      <c r="M123" s="372">
        <f>'dod3'!M123-'dod3 жовтень'!M117</f>
        <v>0</v>
      </c>
      <c r="N123" s="372">
        <f>'dod3'!N123-'dod3 жовтень'!N117</f>
        <v>0</v>
      </c>
      <c r="O123" s="372">
        <f>'dod3'!O123-'dod3 жовтень'!O117</f>
        <v>0</v>
      </c>
      <c r="P123" s="372">
        <f>'dod3'!P123-'dod3 жовтень'!P117</f>
        <v>0</v>
      </c>
    </row>
    <row r="124" spans="1:18" ht="91.5" x14ac:dyDescent="0.2">
      <c r="A124" s="516" t="s">
        <v>346</v>
      </c>
      <c r="B124" s="516" t="s">
        <v>347</v>
      </c>
      <c r="C124" s="516"/>
      <c r="D124" s="516" t="s">
        <v>345</v>
      </c>
      <c r="E124" s="372">
        <f>'dod3'!E124-'dod3 жовтень'!E118</f>
        <v>0</v>
      </c>
      <c r="F124" s="372">
        <f>'dod3'!F124-'dod3 жовтень'!F118</f>
        <v>0</v>
      </c>
      <c r="G124" s="372">
        <f>'dod3'!G124-'dod3 жовтень'!G118</f>
        <v>0</v>
      </c>
      <c r="H124" s="372">
        <f>'dod3'!H124-'dod3 жовтень'!H118</f>
        <v>0</v>
      </c>
      <c r="I124" s="372">
        <f>'dod3'!I124-'dod3 жовтень'!I118</f>
        <v>0</v>
      </c>
      <c r="J124" s="372">
        <f>'dod3'!J124-'dod3 жовтень'!J118</f>
        <v>0</v>
      </c>
      <c r="K124" s="372">
        <f>'dod3'!K124-'dod3 жовтень'!K118</f>
        <v>0</v>
      </c>
      <c r="L124" s="372">
        <f>'dod3'!L124-'dod3 жовтень'!L118</f>
        <v>0</v>
      </c>
      <c r="M124" s="372">
        <f>'dod3'!M124-'dod3 жовтень'!M118</f>
        <v>0</v>
      </c>
      <c r="N124" s="372">
        <f>'dod3'!N124-'dod3 жовтень'!N118</f>
        <v>0</v>
      </c>
      <c r="O124" s="372">
        <f>'dod3'!O124-'dod3 жовтень'!O118</f>
        <v>0</v>
      </c>
      <c r="P124" s="372">
        <f>'dod3'!P124-'dod3 жовтень'!P118</f>
        <v>0</v>
      </c>
    </row>
    <row r="125" spans="1:18" ht="137.25" x14ac:dyDescent="0.2">
      <c r="A125" s="509" t="s">
        <v>691</v>
      </c>
      <c r="B125" s="509" t="s">
        <v>692</v>
      </c>
      <c r="C125" s="509" t="s">
        <v>348</v>
      </c>
      <c r="D125" s="509" t="s">
        <v>690</v>
      </c>
      <c r="E125" s="372">
        <f>'dod3'!E125-'dod3 жовтень'!E119</f>
        <v>0</v>
      </c>
      <c r="F125" s="372">
        <f>'dod3'!F125-'dod3 жовтень'!F119</f>
        <v>0</v>
      </c>
      <c r="G125" s="372">
        <f>'dod3'!G125-'dod3 жовтень'!G119</f>
        <v>0</v>
      </c>
      <c r="H125" s="372">
        <f>'dod3'!H125-'dod3 жовтень'!H119</f>
        <v>0</v>
      </c>
      <c r="I125" s="372">
        <f>'dod3'!I125-'dod3 жовтень'!I119</f>
        <v>0</v>
      </c>
      <c r="J125" s="372">
        <f>'dod3'!J125-'dod3 жовтень'!J119</f>
        <v>0</v>
      </c>
      <c r="K125" s="372">
        <f>'dod3'!K125-'dod3 жовтень'!K119</f>
        <v>0</v>
      </c>
      <c r="L125" s="372">
        <f>'dod3'!L125-'dod3 жовтень'!L119</f>
        <v>0</v>
      </c>
      <c r="M125" s="372">
        <f>'dod3'!M125-'dod3 жовтень'!M119</f>
        <v>0</v>
      </c>
      <c r="N125" s="372">
        <f>'dod3'!N125-'dod3 жовтень'!N119</f>
        <v>0</v>
      </c>
      <c r="O125" s="372">
        <f>'dod3'!O125-'dod3 жовтень'!O119</f>
        <v>0</v>
      </c>
      <c r="P125" s="372">
        <f>'dod3'!P125-'dod3 жовтень'!P119</f>
        <v>0</v>
      </c>
    </row>
    <row r="126" spans="1:18" ht="91.5" x14ac:dyDescent="0.2">
      <c r="A126" s="509" t="s">
        <v>693</v>
      </c>
      <c r="B126" s="509" t="s">
        <v>694</v>
      </c>
      <c r="C126" s="509" t="s">
        <v>348</v>
      </c>
      <c r="D126" s="509" t="s">
        <v>695</v>
      </c>
      <c r="E126" s="372">
        <f>'dod3'!E126-'dod3 жовтень'!E120</f>
        <v>0</v>
      </c>
      <c r="F126" s="372">
        <f>'dod3'!F126-'dod3 жовтень'!F120</f>
        <v>0</v>
      </c>
      <c r="G126" s="372">
        <f>'dod3'!G126-'dod3 жовтень'!G120</f>
        <v>0</v>
      </c>
      <c r="H126" s="372">
        <f>'dod3'!H126-'dod3 жовтень'!H120</f>
        <v>0</v>
      </c>
      <c r="I126" s="372">
        <f>'dod3'!I126-'dod3 жовтень'!I120</f>
        <v>0</v>
      </c>
      <c r="J126" s="372">
        <f>'dod3'!J126-'dod3 жовтень'!J120</f>
        <v>0</v>
      </c>
      <c r="K126" s="372">
        <f>'dod3'!K126-'dod3 жовтень'!K120</f>
        <v>0</v>
      </c>
      <c r="L126" s="372">
        <f>'dod3'!L126-'dod3 жовтень'!L120</f>
        <v>0</v>
      </c>
      <c r="M126" s="372">
        <f>'dod3'!M126-'dod3 жовтень'!M120</f>
        <v>0</v>
      </c>
      <c r="N126" s="372">
        <f>'dod3'!N126-'dod3 жовтень'!N120</f>
        <v>0</v>
      </c>
      <c r="O126" s="372">
        <f>'dod3'!O126-'dod3 жовтень'!O120</f>
        <v>0</v>
      </c>
      <c r="P126" s="372">
        <f>'dod3'!P126-'dod3 жовтень'!P120</f>
        <v>0</v>
      </c>
    </row>
    <row r="127" spans="1:18" ht="91.5" x14ac:dyDescent="0.2">
      <c r="A127" s="516" t="s">
        <v>818</v>
      </c>
      <c r="B127" s="516" t="s">
        <v>373</v>
      </c>
      <c r="C127" s="516" t="s">
        <v>324</v>
      </c>
      <c r="D127" s="516" t="s">
        <v>817</v>
      </c>
      <c r="E127" s="372">
        <f>'dod3'!E127-'dod3 жовтень'!E121</f>
        <v>0</v>
      </c>
      <c r="F127" s="372">
        <f>'dod3'!F127-'dod3 жовтень'!F121</f>
        <v>0</v>
      </c>
      <c r="G127" s="372">
        <f>'dod3'!G127-'dod3 жовтень'!G121</f>
        <v>0</v>
      </c>
      <c r="H127" s="372">
        <f>'dod3'!H127-'dod3 жовтень'!H121</f>
        <v>0</v>
      </c>
      <c r="I127" s="372">
        <f>'dod3'!I127-'dod3 жовтень'!I121</f>
        <v>0</v>
      </c>
      <c r="J127" s="372">
        <f>'dod3'!J127-'dod3 жовтень'!J121</f>
        <v>0</v>
      </c>
      <c r="K127" s="372">
        <f>'dod3'!K127-'dod3 жовтень'!K121</f>
        <v>0</v>
      </c>
      <c r="L127" s="372">
        <f>'dod3'!L127-'dod3 жовтень'!L121</f>
        <v>0</v>
      </c>
      <c r="M127" s="372">
        <f>'dod3'!M127-'dod3 жовтень'!M121</f>
        <v>0</v>
      </c>
      <c r="N127" s="372">
        <f>'dod3'!N127-'dod3 жовтень'!N121</f>
        <v>0</v>
      </c>
      <c r="O127" s="372">
        <f>'dod3'!O127-'dod3 жовтень'!O121</f>
        <v>0</v>
      </c>
      <c r="P127" s="372">
        <f>'dod3'!P127-'dod3 жовтень'!P121</f>
        <v>0</v>
      </c>
    </row>
    <row r="128" spans="1:18" ht="135" x14ac:dyDescent="0.2">
      <c r="A128" s="473" t="s">
        <v>65</v>
      </c>
      <c r="B128" s="473"/>
      <c r="C128" s="473"/>
      <c r="D128" s="473" t="s">
        <v>66</v>
      </c>
      <c r="E128" s="476">
        <f>E129</f>
        <v>-20823</v>
      </c>
      <c r="F128" s="476">
        <f t="shared" ref="F128:P128" si="12">F129</f>
        <v>-20823</v>
      </c>
      <c r="G128" s="476">
        <f t="shared" si="12"/>
        <v>78277</v>
      </c>
      <c r="H128" s="476">
        <f t="shared" si="12"/>
        <v>-102600</v>
      </c>
      <c r="I128" s="476">
        <f t="shared" si="12"/>
        <v>0</v>
      </c>
      <c r="J128" s="476">
        <f t="shared" si="12"/>
        <v>56400</v>
      </c>
      <c r="K128" s="476">
        <f t="shared" si="12"/>
        <v>0</v>
      </c>
      <c r="L128" s="476">
        <f t="shared" si="12"/>
        <v>0</v>
      </c>
      <c r="M128" s="476">
        <f t="shared" si="12"/>
        <v>-4108</v>
      </c>
      <c r="N128" s="476">
        <f t="shared" si="12"/>
        <v>56400</v>
      </c>
      <c r="O128" s="475">
        <f t="shared" si="12"/>
        <v>56400</v>
      </c>
      <c r="P128" s="476">
        <f t="shared" si="12"/>
        <v>35577</v>
      </c>
    </row>
    <row r="129" spans="1:18" ht="135" x14ac:dyDescent="0.2">
      <c r="A129" s="480" t="s">
        <v>64</v>
      </c>
      <c r="B129" s="480"/>
      <c r="C129" s="480"/>
      <c r="D129" s="480" t="s">
        <v>90</v>
      </c>
      <c r="E129" s="475">
        <f>E130+E132+E136+E139+E141+E146+E151+E149+E152+E144</f>
        <v>-20823</v>
      </c>
      <c r="F129" s="476">
        <f>F130+F132+F136+F139+F141+F146+F151+F149+F152+F144</f>
        <v>-20823</v>
      </c>
      <c r="G129" s="475">
        <f>G130+G132+G136+G139+G141+G146+G151+G149+G152+G144</f>
        <v>78277</v>
      </c>
      <c r="H129" s="475">
        <f>H130+H132+H136+H139+H141+H146+H151+H149+H152+H144</f>
        <v>-102600</v>
      </c>
      <c r="I129" s="476">
        <f>I130+I132+I136+I139+I141+I146+I151</f>
        <v>0</v>
      </c>
      <c r="J129" s="471">
        <f>K129+N129</f>
        <v>56400</v>
      </c>
      <c r="K129" s="476">
        <f>K130+K132+K136+K139+K141+K146+K151+K149+K152+K144</f>
        <v>0</v>
      </c>
      <c r="L129" s="475">
        <f>L130+L132+L136+L139+L141+L146+L151+L149+L152+L144</f>
        <v>0</v>
      </c>
      <c r="M129" s="475">
        <f>M130+M132+M136+M139+M141+M146+M151+M149+M152+M144</f>
        <v>-4108</v>
      </c>
      <c r="N129" s="476">
        <f>N130+N132+N136+N139+N141+N146+N151+N152+N144</f>
        <v>56400</v>
      </c>
      <c r="O129" s="475">
        <f>O130+O132+O136+O139+O141+O146+O151+O152+O144</f>
        <v>56400</v>
      </c>
      <c r="P129" s="475">
        <f>E129+J129</f>
        <v>35577</v>
      </c>
      <c r="Q129" s="251" t="b">
        <f>P129=P131+P133+P134+P135+P137+P138+P140+P142+P143+P147+P148+P150+P151+P152+P144</f>
        <v>1</v>
      </c>
      <c r="R129" s="253"/>
    </row>
    <row r="130" spans="1:18" ht="137.25" x14ac:dyDescent="0.2">
      <c r="A130" s="516" t="s">
        <v>349</v>
      </c>
      <c r="B130" s="516" t="s">
        <v>350</v>
      </c>
      <c r="C130" s="516"/>
      <c r="D130" s="516" t="s">
        <v>106</v>
      </c>
      <c r="E130" s="372">
        <f>'dod3'!E130-'dod3 жовтень'!E124</f>
        <v>0</v>
      </c>
      <c r="F130" s="372">
        <f>'dod3'!F130-'dod3 жовтень'!F124</f>
        <v>0</v>
      </c>
      <c r="G130" s="372">
        <f>'dod3'!G130-'dod3 жовтень'!G124</f>
        <v>0</v>
      </c>
      <c r="H130" s="372">
        <f>'dod3'!H130-'dod3 жовтень'!H124</f>
        <v>0</v>
      </c>
      <c r="I130" s="372">
        <f>'dod3'!I130-'dod3 жовтень'!I124</f>
        <v>0</v>
      </c>
      <c r="J130" s="372">
        <f>'dod3'!J130-'dod3 жовтень'!J124</f>
        <v>0</v>
      </c>
      <c r="K130" s="372">
        <f>'dod3'!K130-'dod3 жовтень'!K124</f>
        <v>0</v>
      </c>
      <c r="L130" s="372">
        <f>'dod3'!L130-'dod3 жовтень'!L124</f>
        <v>0</v>
      </c>
      <c r="M130" s="372">
        <f>'dod3'!M130-'dod3 жовтень'!M124</f>
        <v>0</v>
      </c>
      <c r="N130" s="372">
        <f>'dod3'!N130-'dod3 жовтень'!N124</f>
        <v>0</v>
      </c>
      <c r="O130" s="372">
        <f>'dod3'!O130-'dod3 жовтень'!O124</f>
        <v>0</v>
      </c>
      <c r="P130" s="372">
        <f>'dod3'!P130-'dod3 жовтень'!P124</f>
        <v>0</v>
      </c>
    </row>
    <row r="131" spans="1:18" ht="137.25" x14ac:dyDescent="0.2">
      <c r="A131" s="509" t="s">
        <v>351</v>
      </c>
      <c r="B131" s="509" t="s">
        <v>352</v>
      </c>
      <c r="C131" s="509" t="s">
        <v>353</v>
      </c>
      <c r="D131" s="509" t="s">
        <v>354</v>
      </c>
      <c r="E131" s="372">
        <f>'dod3'!E131-'dod3 жовтень'!E125</f>
        <v>0</v>
      </c>
      <c r="F131" s="372">
        <f>'dod3'!F131-'dod3 жовтень'!F125</f>
        <v>0</v>
      </c>
      <c r="G131" s="372">
        <f>'dod3'!G131-'dod3 жовтень'!G125</f>
        <v>0</v>
      </c>
      <c r="H131" s="372">
        <f>'dod3'!H131-'dod3 жовтень'!H125</f>
        <v>0</v>
      </c>
      <c r="I131" s="372">
        <f>'dod3'!I131-'dod3 жовтень'!I125</f>
        <v>0</v>
      </c>
      <c r="J131" s="372">
        <f>'dod3'!J131-'dod3 жовтень'!J125</f>
        <v>0</v>
      </c>
      <c r="K131" s="372">
        <f>'dod3'!K131-'dod3 жовтень'!K125</f>
        <v>0</v>
      </c>
      <c r="L131" s="372">
        <f>'dod3'!L131-'dod3 жовтень'!L125</f>
        <v>0</v>
      </c>
      <c r="M131" s="372">
        <f>'dod3'!M131-'dod3 жовтень'!M125</f>
        <v>0</v>
      </c>
      <c r="N131" s="372">
        <f>'dod3'!N131-'dod3 жовтень'!N125</f>
        <v>0</v>
      </c>
      <c r="O131" s="372">
        <f>'dod3'!O131-'dod3 жовтень'!O125</f>
        <v>0</v>
      </c>
      <c r="P131" s="372">
        <f>'dod3'!P131-'dod3 жовтень'!P125</f>
        <v>0</v>
      </c>
    </row>
    <row r="132" spans="1:18" ht="91.5" x14ac:dyDescent="0.2">
      <c r="A132" s="516" t="s">
        <v>105</v>
      </c>
      <c r="B132" s="516" t="s">
        <v>328</v>
      </c>
      <c r="C132" s="516"/>
      <c r="D132" s="516" t="s">
        <v>76</v>
      </c>
      <c r="E132" s="372">
        <f>'dod3'!E132-'dod3 жовтень'!E126</f>
        <v>-30823</v>
      </c>
      <c r="F132" s="372">
        <f>'dod3'!F132-'dod3 жовтень'!F126</f>
        <v>-30823</v>
      </c>
      <c r="G132" s="372">
        <f>'dod3'!G132-'dod3 жовтень'!G126</f>
        <v>78277</v>
      </c>
      <c r="H132" s="372">
        <f>'dod3'!H132-'dod3 жовтень'!H126</f>
        <v>-109100</v>
      </c>
      <c r="I132" s="372">
        <f>'dod3'!I132-'dod3 жовтень'!I126</f>
        <v>0</v>
      </c>
      <c r="J132" s="372">
        <f>'dod3'!J132-'dod3 жовтень'!J126</f>
        <v>56400</v>
      </c>
      <c r="K132" s="372">
        <f>'dod3'!K132-'dod3 жовтень'!K126</f>
        <v>0</v>
      </c>
      <c r="L132" s="372">
        <f>'dod3'!L132-'dod3 жовтень'!L126</f>
        <v>0</v>
      </c>
      <c r="M132" s="372">
        <f>'dod3'!M132-'dod3 жовтень'!M126</f>
        <v>0</v>
      </c>
      <c r="N132" s="372">
        <f>'dod3'!N132-'dod3 жовтень'!N126</f>
        <v>56400</v>
      </c>
      <c r="O132" s="372">
        <f>'dod3'!O132-'dod3 жовтень'!O126</f>
        <v>56400</v>
      </c>
      <c r="P132" s="372">
        <f>'dod3'!P132-'dod3 жовтень'!P126</f>
        <v>25577</v>
      </c>
    </row>
    <row r="133" spans="1:18" ht="183" x14ac:dyDescent="0.2">
      <c r="A133" s="509" t="s">
        <v>104</v>
      </c>
      <c r="B133" s="509" t="s">
        <v>329</v>
      </c>
      <c r="C133" s="509" t="s">
        <v>353</v>
      </c>
      <c r="D133" s="509" t="s">
        <v>33</v>
      </c>
      <c r="E133" s="372">
        <f>'dod3'!E133-'dod3 жовтень'!E127</f>
        <v>0</v>
      </c>
      <c r="F133" s="372">
        <f>'dod3'!F133-'dod3 жовтень'!F127</f>
        <v>0</v>
      </c>
      <c r="G133" s="372">
        <f>'dod3'!G133-'dod3 жовтень'!G127</f>
        <v>0</v>
      </c>
      <c r="H133" s="372">
        <f>'dod3'!H133-'dod3 жовтень'!H127</f>
        <v>0</v>
      </c>
      <c r="I133" s="372">
        <f>'dod3'!I133-'dod3 жовтень'!I127</f>
        <v>0</v>
      </c>
      <c r="J133" s="372">
        <f>'dod3'!J133-'dod3 жовтень'!J127</f>
        <v>0</v>
      </c>
      <c r="K133" s="372">
        <f>'dod3'!K133-'dod3 жовтень'!K127</f>
        <v>0</v>
      </c>
      <c r="L133" s="372">
        <f>'dod3'!L133-'dod3 жовтень'!L127</f>
        <v>0</v>
      </c>
      <c r="M133" s="372">
        <f>'dod3'!M133-'dod3 жовтень'!M127</f>
        <v>0</v>
      </c>
      <c r="N133" s="372">
        <f>'dod3'!N133-'dod3 жовтень'!N127</f>
        <v>0</v>
      </c>
      <c r="O133" s="372">
        <f>'dod3'!O133-'dod3 жовтень'!O127</f>
        <v>0</v>
      </c>
      <c r="P133" s="372">
        <f>'dod3'!P133-'dod3 жовтень'!P127</f>
        <v>0</v>
      </c>
    </row>
    <row r="134" spans="1:18" ht="91.5" x14ac:dyDescent="0.2">
      <c r="A134" s="509" t="s">
        <v>360</v>
      </c>
      <c r="B134" s="509" t="s">
        <v>361</v>
      </c>
      <c r="C134" s="509" t="s">
        <v>353</v>
      </c>
      <c r="D134" s="509" t="s">
        <v>34</v>
      </c>
      <c r="E134" s="372">
        <f>'dod3'!E134-'dod3 жовтень'!E128</f>
        <v>-30823</v>
      </c>
      <c r="F134" s="372">
        <f>'dod3'!F134-'dod3 жовтень'!F128</f>
        <v>-30823</v>
      </c>
      <c r="G134" s="372">
        <f>'dod3'!G134-'dod3 жовтень'!G128</f>
        <v>78277</v>
      </c>
      <c r="H134" s="372">
        <f>'dod3'!H134-'dod3 жовтень'!H128</f>
        <v>-109100</v>
      </c>
      <c r="I134" s="372">
        <f>'dod3'!I134-'dod3 жовтень'!I128</f>
        <v>0</v>
      </c>
      <c r="J134" s="372">
        <f>'dod3'!J134-'dod3 жовтень'!J128</f>
        <v>56400</v>
      </c>
      <c r="K134" s="372">
        <f>'dod3'!K134-'dod3 жовтень'!K128</f>
        <v>0</v>
      </c>
      <c r="L134" s="372">
        <f>'dod3'!L134-'dod3 жовтень'!L128</f>
        <v>0</v>
      </c>
      <c r="M134" s="372">
        <f>'dod3'!M134-'dod3 жовтень'!M128</f>
        <v>0</v>
      </c>
      <c r="N134" s="372">
        <f>'dod3'!N134-'dod3 жовтень'!N128</f>
        <v>56400</v>
      </c>
      <c r="O134" s="372">
        <f>'dod3'!O134-'dod3 жовтень'!O128</f>
        <v>56400</v>
      </c>
      <c r="P134" s="372">
        <f>'dod3'!P134-'dod3 жовтень'!P128</f>
        <v>25577</v>
      </c>
    </row>
    <row r="135" spans="1:18" ht="91.5" x14ac:dyDescent="0.2">
      <c r="A135" s="509" t="s">
        <v>760</v>
      </c>
      <c r="B135" s="509" t="s">
        <v>761</v>
      </c>
      <c r="C135" s="509" t="s">
        <v>353</v>
      </c>
      <c r="D135" s="509" t="s">
        <v>762</v>
      </c>
      <c r="E135" s="372">
        <f>'dod3'!E135-'dod3 жовтень'!E129</f>
        <v>0</v>
      </c>
      <c r="F135" s="372">
        <f>'dod3'!F135-'dod3 жовтень'!F129</f>
        <v>0</v>
      </c>
      <c r="G135" s="372">
        <f>'dod3'!G135-'dod3 жовтень'!G129</f>
        <v>0</v>
      </c>
      <c r="H135" s="372">
        <f>'dod3'!H135-'dod3 жовтень'!H129</f>
        <v>0</v>
      </c>
      <c r="I135" s="372">
        <f>'dod3'!I135-'dod3 жовтень'!I129</f>
        <v>0</v>
      </c>
      <c r="J135" s="372">
        <f>'dod3'!J135-'dod3 жовтень'!J129</f>
        <v>0</v>
      </c>
      <c r="K135" s="372">
        <f>'dod3'!K135-'dod3 жовтень'!K129</f>
        <v>0</v>
      </c>
      <c r="L135" s="372">
        <f>'dod3'!L135-'dod3 жовтень'!L129</f>
        <v>0</v>
      </c>
      <c r="M135" s="372">
        <f>'dod3'!M135-'dod3 жовтень'!M129</f>
        <v>0</v>
      </c>
      <c r="N135" s="372">
        <f>'dod3'!N135-'dod3 жовтень'!N129</f>
        <v>0</v>
      </c>
      <c r="O135" s="372">
        <f>'dod3'!O135-'dod3 жовтень'!O129</f>
        <v>0</v>
      </c>
      <c r="P135" s="372">
        <f>'dod3'!P135-'dod3 жовтень'!P129</f>
        <v>0</v>
      </c>
    </row>
    <row r="136" spans="1:18" ht="91.5" x14ac:dyDescent="0.2">
      <c r="A136" s="516" t="s">
        <v>107</v>
      </c>
      <c r="B136" s="516" t="s">
        <v>355</v>
      </c>
      <c r="C136" s="516"/>
      <c r="D136" s="516" t="s">
        <v>108</v>
      </c>
      <c r="E136" s="372">
        <f>'dod3'!E136-'dod3 жовтень'!E130</f>
        <v>0</v>
      </c>
      <c r="F136" s="372">
        <f>'dod3'!F136-'dod3 жовтень'!F130</f>
        <v>0</v>
      </c>
      <c r="G136" s="372">
        <f>'dod3'!G136-'dod3 жовтень'!G130</f>
        <v>0</v>
      </c>
      <c r="H136" s="372">
        <f>'dod3'!H136-'dod3 жовтень'!H130</f>
        <v>0</v>
      </c>
      <c r="I136" s="372">
        <f>'dod3'!I136-'dod3 жовтень'!I130</f>
        <v>0</v>
      </c>
      <c r="J136" s="372">
        <f>'dod3'!J136-'dod3 жовтень'!J130</f>
        <v>0</v>
      </c>
      <c r="K136" s="372">
        <f>'dod3'!K136-'dod3 жовтень'!K130</f>
        <v>0</v>
      </c>
      <c r="L136" s="372">
        <f>'dod3'!L136-'dod3 жовтень'!L130</f>
        <v>0</v>
      </c>
      <c r="M136" s="372">
        <f>'dod3'!M136-'dod3 жовтень'!M130</f>
        <v>0</v>
      </c>
      <c r="N136" s="372">
        <f>'dod3'!N136-'dod3 жовтень'!N130</f>
        <v>0</v>
      </c>
      <c r="O136" s="372">
        <f>'dod3'!O136-'dod3 жовтень'!O130</f>
        <v>0</v>
      </c>
      <c r="P136" s="372">
        <f>'dod3'!P136-'dod3 жовтень'!P130</f>
        <v>0</v>
      </c>
    </row>
    <row r="137" spans="1:18" ht="137.25" x14ac:dyDescent="0.2">
      <c r="A137" s="509" t="s">
        <v>109</v>
      </c>
      <c r="B137" s="509" t="s">
        <v>356</v>
      </c>
      <c r="C137" s="509" t="s">
        <v>370</v>
      </c>
      <c r="D137" s="509" t="s">
        <v>110</v>
      </c>
      <c r="E137" s="372">
        <f>'dod3'!E137-'dod3 жовтень'!E131</f>
        <v>0</v>
      </c>
      <c r="F137" s="372">
        <f>'dod3'!F137-'dod3 жовтень'!F131</f>
        <v>0</v>
      </c>
      <c r="G137" s="372">
        <f>'dod3'!G137-'dod3 жовтень'!G131</f>
        <v>0</v>
      </c>
      <c r="H137" s="372">
        <f>'dod3'!H137-'dod3 жовтень'!H131</f>
        <v>0</v>
      </c>
      <c r="I137" s="372">
        <f>'dod3'!I137-'dod3 жовтень'!I131</f>
        <v>0</v>
      </c>
      <c r="J137" s="372">
        <f>'dod3'!J137-'dod3 жовтень'!J131</f>
        <v>0</v>
      </c>
      <c r="K137" s="372">
        <f>'dod3'!K137-'dod3 жовтень'!K131</f>
        <v>0</v>
      </c>
      <c r="L137" s="372">
        <f>'dod3'!L137-'dod3 жовтень'!L131</f>
        <v>0</v>
      </c>
      <c r="M137" s="372">
        <f>'dod3'!M137-'dod3 жовтень'!M131</f>
        <v>0</v>
      </c>
      <c r="N137" s="372">
        <f>'dod3'!N137-'dod3 жовтень'!N131</f>
        <v>0</v>
      </c>
      <c r="O137" s="372">
        <f>'dod3'!O137-'dod3 жовтень'!O131</f>
        <v>0</v>
      </c>
      <c r="P137" s="372">
        <f>'dod3'!P137-'dod3 жовтень'!P131</f>
        <v>0</v>
      </c>
    </row>
    <row r="138" spans="1:18" ht="137.25" x14ac:dyDescent="0.2">
      <c r="A138" s="509" t="s">
        <v>111</v>
      </c>
      <c r="B138" s="509" t="s">
        <v>357</v>
      </c>
      <c r="C138" s="509" t="s">
        <v>370</v>
      </c>
      <c r="D138" s="509" t="s">
        <v>11</v>
      </c>
      <c r="E138" s="372">
        <f>'dod3'!E138-'dod3 жовтень'!E132</f>
        <v>0</v>
      </c>
      <c r="F138" s="372">
        <f>'dod3'!F138-'dod3 жовтень'!F132</f>
        <v>0</v>
      </c>
      <c r="G138" s="372">
        <f>'dod3'!G138-'dod3 жовтень'!G132</f>
        <v>0</v>
      </c>
      <c r="H138" s="372">
        <f>'dod3'!H138-'dod3 жовтень'!H132</f>
        <v>0</v>
      </c>
      <c r="I138" s="372">
        <f>'dod3'!I138-'dod3 жовтень'!I132</f>
        <v>0</v>
      </c>
      <c r="J138" s="372">
        <f>'dod3'!J138-'dod3 жовтень'!J132</f>
        <v>0</v>
      </c>
      <c r="K138" s="372">
        <f>'dod3'!K138-'dod3 жовтень'!K132</f>
        <v>0</v>
      </c>
      <c r="L138" s="372">
        <f>'dod3'!L138-'dod3 жовтень'!L132</f>
        <v>0</v>
      </c>
      <c r="M138" s="372">
        <f>'dod3'!M138-'dod3 жовтень'!M132</f>
        <v>0</v>
      </c>
      <c r="N138" s="372">
        <f>'dod3'!N138-'dod3 жовтень'!N132</f>
        <v>0</v>
      </c>
      <c r="O138" s="372">
        <f>'dod3'!O138-'dod3 жовтень'!O132</f>
        <v>0</v>
      </c>
      <c r="P138" s="372">
        <f>'dod3'!P138-'dod3 жовтень'!P132</f>
        <v>0</v>
      </c>
    </row>
    <row r="139" spans="1:18" ht="137.25" x14ac:dyDescent="0.2">
      <c r="A139" s="516" t="s">
        <v>112</v>
      </c>
      <c r="B139" s="516" t="s">
        <v>358</v>
      </c>
      <c r="C139" s="516"/>
      <c r="D139" s="516" t="s">
        <v>752</v>
      </c>
      <c r="E139" s="372">
        <f>'dod3'!E139-'dod3 жовтень'!E133</f>
        <v>0</v>
      </c>
      <c r="F139" s="372">
        <f>'dod3'!F139-'dod3 жовтень'!F133</f>
        <v>0</v>
      </c>
      <c r="G139" s="372">
        <f>'dod3'!G139-'dod3 жовтень'!G133</f>
        <v>0</v>
      </c>
      <c r="H139" s="372">
        <f>'dod3'!H139-'dod3 жовтень'!H133</f>
        <v>0</v>
      </c>
      <c r="I139" s="372">
        <f>'dod3'!I139-'dod3 жовтень'!I133</f>
        <v>0</v>
      </c>
      <c r="J139" s="372">
        <f>'dod3'!J139-'dod3 жовтень'!J133</f>
        <v>0</v>
      </c>
      <c r="K139" s="372">
        <f>'dod3'!K139-'dod3 жовтень'!K133</f>
        <v>0</v>
      </c>
      <c r="L139" s="372">
        <f>'dod3'!L139-'dod3 жовтень'!L133</f>
        <v>0</v>
      </c>
      <c r="M139" s="372">
        <f>'dod3'!M139-'dod3 жовтень'!M133</f>
        <v>0</v>
      </c>
      <c r="N139" s="372">
        <f>'dod3'!N139-'dod3 жовтень'!N133</f>
        <v>0</v>
      </c>
      <c r="O139" s="372">
        <f>'dod3'!O139-'dod3 жовтень'!O133</f>
        <v>0</v>
      </c>
      <c r="P139" s="372">
        <f>'dod3'!P139-'dod3 жовтень'!P133</f>
        <v>0</v>
      </c>
    </row>
    <row r="140" spans="1:18" ht="183" x14ac:dyDescent="0.2">
      <c r="A140" s="509" t="s">
        <v>113</v>
      </c>
      <c r="B140" s="509" t="s">
        <v>359</v>
      </c>
      <c r="C140" s="509" t="s">
        <v>370</v>
      </c>
      <c r="D140" s="509" t="s">
        <v>753</v>
      </c>
      <c r="E140" s="372">
        <f>'dod3'!E140-'dod3 жовтень'!E134</f>
        <v>0</v>
      </c>
      <c r="F140" s="372">
        <f>'dod3'!F140-'dod3 жовтень'!F134</f>
        <v>0</v>
      </c>
      <c r="G140" s="372">
        <f>'dod3'!G140-'dod3 жовтень'!G134</f>
        <v>0</v>
      </c>
      <c r="H140" s="372">
        <f>'dod3'!H140-'dod3 жовтень'!H134</f>
        <v>0</v>
      </c>
      <c r="I140" s="372">
        <f>'dod3'!I140-'dod3 жовтень'!I134</f>
        <v>0</v>
      </c>
      <c r="J140" s="372">
        <f>'dod3'!J140-'dod3 жовтень'!J134</f>
        <v>0</v>
      </c>
      <c r="K140" s="372">
        <f>'dod3'!K140-'dod3 жовтень'!K134</f>
        <v>0</v>
      </c>
      <c r="L140" s="372">
        <f>'dod3'!L140-'dod3 жовтень'!L134</f>
        <v>0</v>
      </c>
      <c r="M140" s="372">
        <f>'dod3'!M140-'dod3 жовтень'!M134</f>
        <v>0</v>
      </c>
      <c r="N140" s="372">
        <f>'dod3'!N140-'dod3 жовтень'!N134</f>
        <v>0</v>
      </c>
      <c r="O140" s="372">
        <f>'dod3'!O140-'dod3 жовтень'!O134</f>
        <v>0</v>
      </c>
      <c r="P140" s="372">
        <f>'dod3'!P140-'dod3 жовтень'!P134</f>
        <v>0</v>
      </c>
    </row>
    <row r="141" spans="1:18" ht="91.5" x14ac:dyDescent="0.2">
      <c r="A141" s="516" t="s">
        <v>78</v>
      </c>
      <c r="B141" s="516" t="s">
        <v>365</v>
      </c>
      <c r="C141" s="516"/>
      <c r="D141" s="516" t="s">
        <v>79</v>
      </c>
      <c r="E141" s="372">
        <f>'dod3'!E141-'dod3 жовтень'!E135</f>
        <v>-5000</v>
      </c>
      <c r="F141" s="372">
        <f>'dod3'!F141-'dod3 жовтень'!F135</f>
        <v>-5000</v>
      </c>
      <c r="G141" s="372">
        <f>'dod3'!G141-'dod3 жовтень'!G135</f>
        <v>0</v>
      </c>
      <c r="H141" s="372">
        <f>'dod3'!H141-'dod3 жовтень'!H135</f>
        <v>6500</v>
      </c>
      <c r="I141" s="372">
        <f>'dod3'!I141-'dod3 жовтень'!I135</f>
        <v>0</v>
      </c>
      <c r="J141" s="372">
        <f>'dod3'!J141-'dod3 жовтень'!J135</f>
        <v>0</v>
      </c>
      <c r="K141" s="372">
        <f>'dod3'!K141-'dod3 жовтень'!K135</f>
        <v>0</v>
      </c>
      <c r="L141" s="372">
        <f>'dod3'!L141-'dod3 жовтень'!L135</f>
        <v>0</v>
      </c>
      <c r="M141" s="372">
        <f>'dod3'!M141-'dod3 жовтень'!M135</f>
        <v>-4108</v>
      </c>
      <c r="N141" s="372">
        <f>'dod3'!N141-'dod3 жовтень'!N135</f>
        <v>0</v>
      </c>
      <c r="O141" s="372">
        <f>'dod3'!O141-'dod3 жовтень'!O135</f>
        <v>0</v>
      </c>
      <c r="P141" s="372">
        <f>'dod3'!P141-'dod3 жовтень'!P135</f>
        <v>-5000</v>
      </c>
    </row>
    <row r="142" spans="1:18" ht="183" x14ac:dyDescent="0.2">
      <c r="A142" s="509" t="s">
        <v>77</v>
      </c>
      <c r="B142" s="509" t="s">
        <v>366</v>
      </c>
      <c r="C142" s="509" t="s">
        <v>370</v>
      </c>
      <c r="D142" s="509" t="s">
        <v>114</v>
      </c>
      <c r="E142" s="372">
        <f>'dod3'!E142-'dod3 жовтень'!E136</f>
        <v>-5000</v>
      </c>
      <c r="F142" s="372">
        <f>'dod3'!F142-'dod3 жовтень'!F136</f>
        <v>-5000</v>
      </c>
      <c r="G142" s="372">
        <f>'dod3'!G142-'dod3 жовтень'!G136</f>
        <v>0</v>
      </c>
      <c r="H142" s="372">
        <f>'dod3'!H142-'dod3 жовтень'!H136</f>
        <v>6500</v>
      </c>
      <c r="I142" s="372">
        <f>'dod3'!I142-'dod3 жовтень'!I136</f>
        <v>0</v>
      </c>
      <c r="J142" s="372">
        <f>'dod3'!J142-'dod3 жовтень'!J136</f>
        <v>0</v>
      </c>
      <c r="K142" s="372">
        <f>'dod3'!K142-'dod3 жовтень'!K136</f>
        <v>0</v>
      </c>
      <c r="L142" s="372">
        <f>'dod3'!L142-'dod3 жовтень'!L136</f>
        <v>0</v>
      </c>
      <c r="M142" s="372">
        <f>'dod3'!M142-'dod3 жовтень'!M136</f>
        <v>-4108</v>
      </c>
      <c r="N142" s="372">
        <f>'dod3'!N142-'dod3 жовтень'!N136</f>
        <v>0</v>
      </c>
      <c r="O142" s="372">
        <f>'dod3'!O142-'dod3 жовтень'!O136</f>
        <v>0</v>
      </c>
      <c r="P142" s="372">
        <f>'dod3'!P142-'dod3 жовтень'!P136</f>
        <v>-5000</v>
      </c>
    </row>
    <row r="143" spans="1:18" ht="183" x14ac:dyDescent="0.2">
      <c r="A143" s="509" t="s">
        <v>80</v>
      </c>
      <c r="B143" s="509" t="s">
        <v>367</v>
      </c>
      <c r="C143" s="509" t="s">
        <v>370</v>
      </c>
      <c r="D143" s="509" t="s">
        <v>115</v>
      </c>
      <c r="E143" s="372">
        <f>'dod3'!E143-'dod3 жовтень'!E137</f>
        <v>0</v>
      </c>
      <c r="F143" s="372">
        <f>'dod3'!F143-'dod3 жовтень'!F137</f>
        <v>0</v>
      </c>
      <c r="G143" s="372">
        <f>'dod3'!G143-'dod3 жовтень'!G137</f>
        <v>0</v>
      </c>
      <c r="H143" s="372">
        <f>'dod3'!H143-'dod3 жовтень'!H137</f>
        <v>0</v>
      </c>
      <c r="I143" s="372">
        <f>'dod3'!I143-'dod3 жовтень'!I137</f>
        <v>0</v>
      </c>
      <c r="J143" s="372">
        <f>'dod3'!J143-'dod3 жовтень'!J137</f>
        <v>0</v>
      </c>
      <c r="K143" s="372">
        <f>'dod3'!K143-'dod3 жовтень'!K137</f>
        <v>0</v>
      </c>
      <c r="L143" s="372">
        <f>'dod3'!L143-'dod3 жовтень'!L137</f>
        <v>0</v>
      </c>
      <c r="M143" s="372">
        <f>'dod3'!M143-'dod3 жовтень'!M137</f>
        <v>0</v>
      </c>
      <c r="N143" s="372">
        <f>'dod3'!N143-'dod3 жовтень'!N137</f>
        <v>0</v>
      </c>
      <c r="O143" s="372">
        <f>'dod3'!O143-'dod3 жовтень'!O137</f>
        <v>0</v>
      </c>
      <c r="P143" s="372">
        <f>'dod3'!P143-'dod3 жовтень'!P137</f>
        <v>0</v>
      </c>
    </row>
    <row r="144" spans="1:18" ht="91.5" x14ac:dyDescent="0.2">
      <c r="A144" s="516" t="s">
        <v>1004</v>
      </c>
      <c r="B144" s="516" t="s">
        <v>1005</v>
      </c>
      <c r="C144" s="516"/>
      <c r="D144" s="516" t="s">
        <v>1003</v>
      </c>
      <c r="E144" s="372">
        <f>'dod3'!E144-'dod3 жовтень'!E138</f>
        <v>15000</v>
      </c>
      <c r="F144" s="372">
        <f>'dod3'!F144-'dod3 жовтень'!F138</f>
        <v>15000</v>
      </c>
      <c r="G144" s="372">
        <f>'dod3'!G144-'dod3 жовтень'!G138</f>
        <v>0</v>
      </c>
      <c r="H144" s="372">
        <f>'dod3'!H144-'dod3 жовтень'!H138</f>
        <v>0</v>
      </c>
      <c r="I144" s="372">
        <f>'dod3'!I144-'dod3 жовтень'!I138</f>
        <v>0</v>
      </c>
      <c r="J144" s="372">
        <f>'dod3'!J144-'dod3 жовтень'!J138</f>
        <v>0</v>
      </c>
      <c r="K144" s="372">
        <f>'dod3'!K144-'dod3 жовтень'!K138</f>
        <v>0</v>
      </c>
      <c r="L144" s="372">
        <f>'dod3'!L144-'dod3 жовтень'!L138</f>
        <v>0</v>
      </c>
      <c r="M144" s="372">
        <f>'dod3'!M144-'dod3 жовтень'!M138</f>
        <v>0</v>
      </c>
      <c r="N144" s="372">
        <f>'dod3'!N144-'dod3 жовтень'!N138</f>
        <v>0</v>
      </c>
      <c r="O144" s="372">
        <f>'dod3'!O144-'dod3 жовтень'!O138</f>
        <v>0</v>
      </c>
      <c r="P144" s="372">
        <f>'dod3'!P144-'dod3 жовтень'!P138</f>
        <v>15000</v>
      </c>
    </row>
    <row r="145" spans="1:18" ht="320.25" x14ac:dyDescent="0.2">
      <c r="A145" s="509" t="s">
        <v>1007</v>
      </c>
      <c r="B145" s="509" t="s">
        <v>1008</v>
      </c>
      <c r="C145" s="509" t="s">
        <v>370</v>
      </c>
      <c r="D145" s="509" t="s">
        <v>1006</v>
      </c>
      <c r="E145" s="372">
        <f>'dod3'!E145-'dod3 жовтень'!E139</f>
        <v>15000</v>
      </c>
      <c r="F145" s="372">
        <f>'dod3'!F145-'dod3 жовтень'!F139</f>
        <v>15000</v>
      </c>
      <c r="G145" s="372">
        <f>'dod3'!G145-'dod3 жовтень'!G139</f>
        <v>0</v>
      </c>
      <c r="H145" s="372">
        <f>'dod3'!H145-'dod3 жовтень'!H139</f>
        <v>0</v>
      </c>
      <c r="I145" s="372">
        <f>'dod3'!I145-'dod3 жовтень'!I139</f>
        <v>0</v>
      </c>
      <c r="J145" s="372">
        <f>'dod3'!J145-'dod3 жовтень'!J139</f>
        <v>0</v>
      </c>
      <c r="K145" s="372">
        <f>'dod3'!K145-'dod3 жовтень'!K139</f>
        <v>0</v>
      </c>
      <c r="L145" s="372">
        <f>'dod3'!L145-'dod3 жовтень'!L139</f>
        <v>0</v>
      </c>
      <c r="M145" s="372">
        <f>'dod3'!M145-'dod3 жовтень'!M139</f>
        <v>0</v>
      </c>
      <c r="N145" s="372">
        <f>'dod3'!N145-'dod3 жовтень'!N139</f>
        <v>0</v>
      </c>
      <c r="O145" s="372">
        <f>'dod3'!O145-'dod3 жовтень'!O139</f>
        <v>0</v>
      </c>
      <c r="P145" s="372">
        <f>'dod3'!P145-'dod3 жовтень'!P139</f>
        <v>15000</v>
      </c>
    </row>
    <row r="146" spans="1:18" ht="91.5" x14ac:dyDescent="0.2">
      <c r="A146" s="516" t="s">
        <v>116</v>
      </c>
      <c r="B146" s="516" t="s">
        <v>368</v>
      </c>
      <c r="C146" s="516"/>
      <c r="D146" s="516" t="s">
        <v>81</v>
      </c>
      <c r="E146" s="372">
        <f>'dod3'!E146-'dod3 жовтень'!E140</f>
        <v>0</v>
      </c>
      <c r="F146" s="372">
        <f>'dod3'!F146-'dod3 жовтень'!F140</f>
        <v>0</v>
      </c>
      <c r="G146" s="372">
        <f>'dod3'!G146-'dod3 жовтень'!G140</f>
        <v>0</v>
      </c>
      <c r="H146" s="372">
        <f>'dod3'!H146-'dod3 жовтень'!H140</f>
        <v>0</v>
      </c>
      <c r="I146" s="372">
        <f>'dod3'!I146-'dod3 жовтень'!I140</f>
        <v>0</v>
      </c>
      <c r="J146" s="372">
        <f>'dod3'!J146-'dod3 жовтень'!J140</f>
        <v>0</v>
      </c>
      <c r="K146" s="372">
        <f>'dod3'!K146-'dod3 жовтень'!K140</f>
        <v>0</v>
      </c>
      <c r="L146" s="372">
        <f>'dod3'!L146-'dod3 жовтень'!L140</f>
        <v>0</v>
      </c>
      <c r="M146" s="372">
        <f>'dod3'!M146-'dod3 жовтень'!M140</f>
        <v>0</v>
      </c>
      <c r="N146" s="372">
        <f>'dod3'!N146-'dod3 жовтень'!N140</f>
        <v>0</v>
      </c>
      <c r="O146" s="372">
        <f>'dod3'!O146-'dod3 жовтень'!O140</f>
        <v>0</v>
      </c>
      <c r="P146" s="372">
        <f>'dod3'!P146-'dod3 жовтень'!P140</f>
        <v>0</v>
      </c>
    </row>
    <row r="147" spans="1:18" ht="274.5" x14ac:dyDescent="0.2">
      <c r="A147" s="446" t="s">
        <v>82</v>
      </c>
      <c r="B147" s="446" t="s">
        <v>369</v>
      </c>
      <c r="C147" s="446" t="s">
        <v>370</v>
      </c>
      <c r="D147" s="509" t="s">
        <v>83</v>
      </c>
      <c r="E147" s="372">
        <f>'dod3'!E147-'dod3 жовтень'!E141</f>
        <v>0</v>
      </c>
      <c r="F147" s="372">
        <f>'dod3'!F147-'dod3 жовтень'!F141</f>
        <v>0</v>
      </c>
      <c r="G147" s="372">
        <f>'dod3'!G147-'dod3 жовтень'!G141</f>
        <v>0</v>
      </c>
      <c r="H147" s="372">
        <f>'dod3'!H147-'dod3 жовтень'!H141</f>
        <v>0</v>
      </c>
      <c r="I147" s="372">
        <f>'dod3'!I147-'dod3 жовтень'!I141</f>
        <v>0</v>
      </c>
      <c r="J147" s="372">
        <f>'dod3'!J147-'dod3 жовтень'!J141</f>
        <v>0</v>
      </c>
      <c r="K147" s="372">
        <f>'dod3'!K147-'dod3 жовтень'!K141</f>
        <v>0</v>
      </c>
      <c r="L147" s="372">
        <f>'dod3'!L147-'dod3 жовтень'!L141</f>
        <v>0</v>
      </c>
      <c r="M147" s="372">
        <f>'dod3'!M147-'dod3 жовтень'!M141</f>
        <v>0</v>
      </c>
      <c r="N147" s="372">
        <f>'dod3'!N147-'dod3 жовтень'!N141</f>
        <v>0</v>
      </c>
      <c r="O147" s="372">
        <f>'dod3'!O147-'dod3 жовтень'!O141</f>
        <v>0</v>
      </c>
      <c r="P147" s="372">
        <f>'dod3'!P147-'dod3 жовтень'!P141</f>
        <v>0</v>
      </c>
    </row>
    <row r="148" spans="1:18" ht="91.5" x14ac:dyDescent="0.2">
      <c r="A148" s="446" t="s">
        <v>84</v>
      </c>
      <c r="B148" s="446" t="s">
        <v>371</v>
      </c>
      <c r="C148" s="446" t="s">
        <v>370</v>
      </c>
      <c r="D148" s="509" t="s">
        <v>85</v>
      </c>
      <c r="E148" s="372">
        <f>'dod3'!E148-'dod3 жовтень'!E142</f>
        <v>0</v>
      </c>
      <c r="F148" s="372">
        <f>'dod3'!F148-'dod3 жовтень'!F142</f>
        <v>0</v>
      </c>
      <c r="G148" s="372">
        <f>'dod3'!G148-'dod3 жовтень'!G142</f>
        <v>0</v>
      </c>
      <c r="H148" s="372">
        <f>'dod3'!H148-'dod3 жовтень'!H142</f>
        <v>0</v>
      </c>
      <c r="I148" s="372">
        <f>'dod3'!I148-'dod3 жовтень'!I142</f>
        <v>0</v>
      </c>
      <c r="J148" s="372">
        <f>'dod3'!J148-'dod3 жовтень'!J142</f>
        <v>0</v>
      </c>
      <c r="K148" s="372">
        <f>'dod3'!K148-'dod3 жовтень'!K142</f>
        <v>0</v>
      </c>
      <c r="L148" s="372">
        <f>'dod3'!L148-'dod3 жовтень'!L142</f>
        <v>0</v>
      </c>
      <c r="M148" s="372">
        <f>'dod3'!M148-'dod3 жовтень'!M142</f>
        <v>0</v>
      </c>
      <c r="N148" s="372">
        <f>'dod3'!N148-'dod3 жовтень'!N142</f>
        <v>0</v>
      </c>
      <c r="O148" s="372">
        <f>'dod3'!O148-'dod3 жовтень'!O142</f>
        <v>0</v>
      </c>
      <c r="P148" s="372">
        <f>'dod3'!P148-'dod3 жовтень'!P142</f>
        <v>0</v>
      </c>
    </row>
    <row r="149" spans="1:18" ht="91.5" x14ac:dyDescent="0.2">
      <c r="A149" s="429" t="s">
        <v>704</v>
      </c>
      <c r="B149" s="429" t="s">
        <v>706</v>
      </c>
      <c r="C149" s="429"/>
      <c r="D149" s="516" t="s">
        <v>705</v>
      </c>
      <c r="E149" s="372">
        <f>'dod3'!E149-'dod3 жовтень'!E143</f>
        <v>0</v>
      </c>
      <c r="F149" s="372">
        <f>'dod3'!F149-'dod3 жовтень'!F143</f>
        <v>0</v>
      </c>
      <c r="G149" s="372">
        <f>'dod3'!G149-'dod3 жовтень'!G143</f>
        <v>0</v>
      </c>
      <c r="H149" s="372">
        <f>'dod3'!H149-'dod3 жовтень'!H143</f>
        <v>0</v>
      </c>
      <c r="I149" s="372">
        <f>'dod3'!I149-'dod3 жовтень'!I143</f>
        <v>0</v>
      </c>
      <c r="J149" s="372">
        <f>'dod3'!J149-'dod3 жовтень'!J143</f>
        <v>0</v>
      </c>
      <c r="K149" s="372">
        <f>'dod3'!K149-'dod3 жовтень'!K143</f>
        <v>0</v>
      </c>
      <c r="L149" s="372">
        <f>'dod3'!L149-'dod3 жовтень'!L143</f>
        <v>0</v>
      </c>
      <c r="M149" s="372">
        <f>'dod3'!M149-'dod3 жовтень'!M143</f>
        <v>0</v>
      </c>
      <c r="N149" s="372">
        <f>'dod3'!N149-'dod3 жовтень'!N143</f>
        <v>0</v>
      </c>
      <c r="O149" s="372">
        <f>'dod3'!O149-'dod3 жовтень'!O143</f>
        <v>0</v>
      </c>
      <c r="P149" s="372">
        <f>'dod3'!P149-'dod3 жовтень'!P143</f>
        <v>0</v>
      </c>
    </row>
    <row r="150" spans="1:18" ht="274.5" x14ac:dyDescent="0.2">
      <c r="A150" s="446" t="s">
        <v>710</v>
      </c>
      <c r="B150" s="446" t="s">
        <v>709</v>
      </c>
      <c r="C150" s="446" t="s">
        <v>708</v>
      </c>
      <c r="D150" s="509" t="s">
        <v>707</v>
      </c>
      <c r="E150" s="372">
        <f>'dod3'!E150-'dod3 жовтень'!E144</f>
        <v>0</v>
      </c>
      <c r="F150" s="372">
        <f>'dod3'!F150-'dod3 жовтень'!F144</f>
        <v>0</v>
      </c>
      <c r="G150" s="372">
        <f>'dod3'!G150-'dod3 жовтень'!G144</f>
        <v>0</v>
      </c>
      <c r="H150" s="372">
        <f>'dod3'!H150-'dod3 жовтень'!H144</f>
        <v>0</v>
      </c>
      <c r="I150" s="372">
        <f>'dod3'!I150-'dod3 жовтень'!I144</f>
        <v>0</v>
      </c>
      <c r="J150" s="372">
        <f>'dod3'!J150-'dod3 жовтень'!J144</f>
        <v>0</v>
      </c>
      <c r="K150" s="372">
        <f>'dod3'!K150-'dod3 жовтень'!K144</f>
        <v>0</v>
      </c>
      <c r="L150" s="372">
        <f>'dod3'!L150-'dod3 жовтень'!L144</f>
        <v>0</v>
      </c>
      <c r="M150" s="372">
        <f>'dod3'!M150-'dod3 жовтень'!M144</f>
        <v>0</v>
      </c>
      <c r="N150" s="372">
        <f>'dod3'!N150-'dod3 жовтень'!N144</f>
        <v>0</v>
      </c>
      <c r="O150" s="372">
        <f>'dod3'!O150-'dod3 жовтень'!O144</f>
        <v>0</v>
      </c>
      <c r="P150" s="372">
        <f>'dod3'!P150-'dod3 жовтень'!P144</f>
        <v>0</v>
      </c>
    </row>
    <row r="151" spans="1:18" ht="91.5" x14ac:dyDescent="0.2">
      <c r="A151" s="429" t="s">
        <v>372</v>
      </c>
      <c r="B151" s="429" t="s">
        <v>373</v>
      </c>
      <c r="C151" s="429" t="s">
        <v>324</v>
      </c>
      <c r="D151" s="516" t="s">
        <v>89</v>
      </c>
      <c r="E151" s="372">
        <f>'dod3'!E151-'dod3 жовтень'!E145</f>
        <v>0</v>
      </c>
      <c r="F151" s="372">
        <f>'dod3'!F151-'dod3 жовтень'!F145</f>
        <v>0</v>
      </c>
      <c r="G151" s="372">
        <f>'dod3'!G151-'dod3 жовтень'!G145</f>
        <v>0</v>
      </c>
      <c r="H151" s="372">
        <f>'dod3'!H151-'dod3 жовтень'!H145</f>
        <v>0</v>
      </c>
      <c r="I151" s="372">
        <f>'dod3'!I151-'dod3 жовтень'!I145</f>
        <v>0</v>
      </c>
      <c r="J151" s="372">
        <f>'dod3'!J151-'dod3 жовтень'!J145</f>
        <v>0</v>
      </c>
      <c r="K151" s="372">
        <f>'dod3'!K151-'dod3 жовтень'!K145</f>
        <v>0</v>
      </c>
      <c r="L151" s="372">
        <f>'dod3'!L151-'dod3 жовтень'!L145</f>
        <v>0</v>
      </c>
      <c r="M151" s="372">
        <f>'dod3'!M151-'dod3 жовтень'!M145</f>
        <v>0</v>
      </c>
      <c r="N151" s="372">
        <f>'dod3'!N151-'dod3 жовтень'!N145</f>
        <v>0</v>
      </c>
      <c r="O151" s="372">
        <f>'dod3'!O151-'dod3 жовтень'!O145</f>
        <v>0</v>
      </c>
      <c r="P151" s="372">
        <f>'dod3'!P151-'dod3 жовтень'!P145</f>
        <v>0</v>
      </c>
    </row>
    <row r="152" spans="1:18" ht="91.5" hidden="1" x14ac:dyDescent="0.2">
      <c r="A152" s="409" t="s">
        <v>964</v>
      </c>
      <c r="B152" s="416" t="s">
        <v>799</v>
      </c>
      <c r="C152" s="416" t="s">
        <v>103</v>
      </c>
      <c r="D152" s="416" t="s">
        <v>800</v>
      </c>
      <c r="E152" s="372">
        <f>'dod3'!E152-'dod3 жовтень'!E146</f>
        <v>0</v>
      </c>
      <c r="F152" s="372">
        <f>'dod3'!F152-'dod3 жовтень'!F146</f>
        <v>0</v>
      </c>
      <c r="G152" s="372">
        <f>'dod3'!G152-'dod3 жовтень'!G146</f>
        <v>0</v>
      </c>
      <c r="H152" s="372">
        <f>'dod3'!H152-'dod3 жовтень'!H146</f>
        <v>0</v>
      </c>
      <c r="I152" s="372">
        <f>'dod3'!I152-'dod3 жовтень'!I146</f>
        <v>0</v>
      </c>
      <c r="J152" s="372">
        <f>'dod3'!J152-'dod3 жовтень'!J146</f>
        <v>0</v>
      </c>
      <c r="K152" s="372">
        <f>'dod3'!K152-'dod3 жовтень'!K146</f>
        <v>0</v>
      </c>
      <c r="L152" s="372">
        <f>'dod3'!L152-'dod3 жовтень'!L146</f>
        <v>0</v>
      </c>
      <c r="M152" s="372">
        <f>'dod3'!M152-'dod3 жовтень'!M146</f>
        <v>0</v>
      </c>
      <c r="N152" s="372">
        <f>'dod3'!N152-'dod3 жовтень'!N146</f>
        <v>0</v>
      </c>
      <c r="O152" s="372">
        <f>'dod3'!O152-'dod3 жовтень'!O146</f>
        <v>0</v>
      </c>
      <c r="P152" s="372">
        <f>'dod3'!P152-'dod3 жовтень'!P146</f>
        <v>0</v>
      </c>
    </row>
    <row r="153" spans="1:18" ht="180" x14ac:dyDescent="0.2">
      <c r="A153" s="473" t="s">
        <v>312</v>
      </c>
      <c r="B153" s="473"/>
      <c r="C153" s="473"/>
      <c r="D153" s="473" t="s">
        <v>67</v>
      </c>
      <c r="E153" s="476">
        <f>E154</f>
        <v>16323369</v>
      </c>
      <c r="F153" s="476">
        <f t="shared" ref="F153:P153" si="13">F154</f>
        <v>16323369</v>
      </c>
      <c r="G153" s="476">
        <f t="shared" si="13"/>
        <v>6147900</v>
      </c>
      <c r="H153" s="476">
        <f t="shared" si="13"/>
        <v>139865</v>
      </c>
      <c r="I153" s="476">
        <f t="shared" si="13"/>
        <v>0</v>
      </c>
      <c r="J153" s="476">
        <f t="shared" si="13"/>
        <v>9329948</v>
      </c>
      <c r="K153" s="476">
        <f t="shared" si="13"/>
        <v>798000</v>
      </c>
      <c r="L153" s="476">
        <f t="shared" si="13"/>
        <v>0</v>
      </c>
      <c r="M153" s="476">
        <f t="shared" si="13"/>
        <v>0</v>
      </c>
      <c r="N153" s="476">
        <f t="shared" si="13"/>
        <v>8531948</v>
      </c>
      <c r="O153" s="475">
        <f t="shared" si="13"/>
        <v>8241948</v>
      </c>
      <c r="P153" s="476">
        <f t="shared" si="13"/>
        <v>25653317</v>
      </c>
    </row>
    <row r="154" spans="1:18" ht="180" x14ac:dyDescent="0.2">
      <c r="A154" s="480" t="s">
        <v>313</v>
      </c>
      <c r="B154" s="480"/>
      <c r="C154" s="480"/>
      <c r="D154" s="480" t="s">
        <v>95</v>
      </c>
      <c r="E154" s="475">
        <f>E156+E162+E163+E164+E168+E170+E172+E173+E177+E178+E166+E155+E174</f>
        <v>16323369</v>
      </c>
      <c r="F154" s="476">
        <f>F156+F162+F163+F164+F168+F170+F172+F173+F177+F178+F166+F155</f>
        <v>16323369</v>
      </c>
      <c r="G154" s="475">
        <f>G156+G162+G163+G164+G168+G170+G172+G173+G177+G178+G155</f>
        <v>6147900</v>
      </c>
      <c r="H154" s="475">
        <f>H156+H162+H163+H164+H168+H170+H172+H173+H177+H178+H155</f>
        <v>139865</v>
      </c>
      <c r="I154" s="476">
        <f>I156+I162+I163+I164+I168+I170+I172+I173+I177+I178</f>
        <v>0</v>
      </c>
      <c r="J154" s="475">
        <f>K154+N154</f>
        <v>9329948</v>
      </c>
      <c r="K154" s="476">
        <f>K156+K162+K163+K164+K168+K170+K172+K173+K177+K178+K166+K155+K174</f>
        <v>798000</v>
      </c>
      <c r="L154" s="475">
        <f>L156+L162+L163+L164+L168+L170+L172+L173+L177+L178+L155</f>
        <v>0</v>
      </c>
      <c r="M154" s="475">
        <f>M156+M162+M163+M164+M168+M170+M172+M173+M177+M178+M155</f>
        <v>0</v>
      </c>
      <c r="N154" s="476">
        <f>N156+N162+N163+N164+N165+N168+N170+N172+N173+N177+N178+N166+N155+N174</f>
        <v>8531948</v>
      </c>
      <c r="O154" s="475">
        <f>O156+O162+O163+O164+O165+O168+O170+O172+O173+O177+O178+O166+O155+O174</f>
        <v>8241948</v>
      </c>
      <c r="P154" s="475">
        <f>E154+J154</f>
        <v>25653317</v>
      </c>
      <c r="Q154" s="251" t="b">
        <f>P154=P157+P159+P160+P161+P162+P163+P164+P165+P169+P171+P172+P173+P177+P178+P158+P166+P155+P175</f>
        <v>1</v>
      </c>
      <c r="R154" s="253"/>
    </row>
    <row r="155" spans="1:18" ht="228.75" x14ac:dyDescent="0.2">
      <c r="A155" s="516" t="s">
        <v>1026</v>
      </c>
      <c r="B155" s="516" t="s">
        <v>433</v>
      </c>
      <c r="C155" s="516" t="s">
        <v>430</v>
      </c>
      <c r="D155" s="516" t="s">
        <v>431</v>
      </c>
      <c r="E155" s="372">
        <f>'dod3'!E155-0</f>
        <v>8447304</v>
      </c>
      <c r="F155" s="372">
        <f>'dod3'!F155-0</f>
        <v>8447304</v>
      </c>
      <c r="G155" s="372">
        <f>'dod3'!G155-0</f>
        <v>6147900</v>
      </c>
      <c r="H155" s="372">
        <f>'dod3'!H155-0</f>
        <v>135000</v>
      </c>
      <c r="I155" s="372">
        <f>'dod3'!I155-0</f>
        <v>0</v>
      </c>
      <c r="J155" s="372">
        <f>'dod3'!J155-0</f>
        <v>66000</v>
      </c>
      <c r="K155" s="372">
        <f>'dod3'!K155-0</f>
        <v>0</v>
      </c>
      <c r="L155" s="372">
        <f>'dod3'!L155-0</f>
        <v>0</v>
      </c>
      <c r="M155" s="372">
        <f>'dod3'!M155-0</f>
        <v>0</v>
      </c>
      <c r="N155" s="372">
        <f>'dod3'!N155-0</f>
        <v>66000</v>
      </c>
      <c r="O155" s="372">
        <f>'dod3'!O155-0</f>
        <v>66000</v>
      </c>
      <c r="P155" s="372">
        <f>'dod3'!P155-0</f>
        <v>8513304</v>
      </c>
      <c r="Q155" s="251"/>
      <c r="R155" s="253"/>
    </row>
    <row r="156" spans="1:18" ht="137.25" x14ac:dyDescent="0.2">
      <c r="A156" s="516" t="s">
        <v>527</v>
      </c>
      <c r="B156" s="516" t="s">
        <v>528</v>
      </c>
      <c r="C156" s="516"/>
      <c r="D156" s="516" t="s">
        <v>531</v>
      </c>
      <c r="E156" s="372">
        <f>'dod3'!E156-'dod3 жовтень'!E149</f>
        <v>6000000</v>
      </c>
      <c r="F156" s="372">
        <f>'dod3'!F156-'dod3 жовтень'!F149</f>
        <v>6000000</v>
      </c>
      <c r="G156" s="372">
        <f>'dod3'!G156-'dod3 жовтень'!G149</f>
        <v>0</v>
      </c>
      <c r="H156" s="372">
        <f>'dod3'!H156-'dod3 жовтень'!H149</f>
        <v>0</v>
      </c>
      <c r="I156" s="372">
        <f>'dod3'!I156-'dod3 жовтень'!I149</f>
        <v>0</v>
      </c>
      <c r="J156" s="372">
        <f>'dod3'!J156-'dod3 жовтень'!J149</f>
        <v>-304746</v>
      </c>
      <c r="K156" s="372">
        <f>'dod3'!K156-'dod3 жовтень'!K149</f>
        <v>0</v>
      </c>
      <c r="L156" s="372">
        <f>'dod3'!L156-'dod3 жовтень'!L149</f>
        <v>0</v>
      </c>
      <c r="M156" s="372">
        <f>'dod3'!M156-'dod3 жовтень'!M149</f>
        <v>0</v>
      </c>
      <c r="N156" s="372">
        <f>'dod3'!N156-'dod3 жовтень'!N149</f>
        <v>-304746</v>
      </c>
      <c r="O156" s="372">
        <f>'dod3'!O156-'dod3 жовтень'!O149</f>
        <v>-304746</v>
      </c>
      <c r="P156" s="372">
        <f>'dod3'!P156-'dod3 жовтень'!P149</f>
        <v>5695254</v>
      </c>
      <c r="R156" s="253">
        <f>O154-'dod5'!J111</f>
        <v>-219218036.88</v>
      </c>
    </row>
    <row r="157" spans="1:18" ht="137.25" x14ac:dyDescent="0.2">
      <c r="A157" s="509" t="s">
        <v>529</v>
      </c>
      <c r="B157" s="509" t="s">
        <v>530</v>
      </c>
      <c r="C157" s="509" t="s">
        <v>533</v>
      </c>
      <c r="D157" s="509" t="s">
        <v>532</v>
      </c>
      <c r="E157" s="372">
        <f>'dod3'!E157-'dod3 жовтень'!E150</f>
        <v>0</v>
      </c>
      <c r="F157" s="372">
        <f>'dod3'!F157-'dod3 жовтень'!F150</f>
        <v>0</v>
      </c>
      <c r="G157" s="372">
        <f>'dod3'!G157-'dod3 жовтень'!G150</f>
        <v>0</v>
      </c>
      <c r="H157" s="372">
        <f>'dod3'!H157-'dod3 жовтень'!H150</f>
        <v>0</v>
      </c>
      <c r="I157" s="372">
        <f>'dod3'!I157-'dod3 жовтень'!I150</f>
        <v>0</v>
      </c>
      <c r="J157" s="372">
        <f>'dod3'!J157-'dod3 жовтень'!J150</f>
        <v>275254</v>
      </c>
      <c r="K157" s="372">
        <f>'dod3'!K157-'dod3 жовтень'!K150</f>
        <v>0</v>
      </c>
      <c r="L157" s="372">
        <f>'dod3'!L157-'dod3 жовтень'!L150</f>
        <v>0</v>
      </c>
      <c r="M157" s="372">
        <f>'dod3'!M157-'dod3 жовтень'!M150</f>
        <v>0</v>
      </c>
      <c r="N157" s="372">
        <f>'dod3'!N157-'dod3 жовтень'!N150</f>
        <v>275254</v>
      </c>
      <c r="O157" s="372">
        <f>'dod3'!O157-'dod3 жовтень'!O150</f>
        <v>275254</v>
      </c>
      <c r="P157" s="372">
        <f>'dod3'!P157-'dod3 жовтень'!P150</f>
        <v>275254</v>
      </c>
    </row>
    <row r="158" spans="1:18" ht="137.25" x14ac:dyDescent="0.2">
      <c r="A158" s="509" t="s">
        <v>971</v>
      </c>
      <c r="B158" s="509" t="s">
        <v>972</v>
      </c>
      <c r="C158" s="509" t="s">
        <v>533</v>
      </c>
      <c r="D158" s="509" t="s">
        <v>973</v>
      </c>
      <c r="E158" s="372">
        <f>'dod3'!E158-'dod3 жовтень'!E151</f>
        <v>4000000</v>
      </c>
      <c r="F158" s="372">
        <f>'dod3'!F158-'dod3 жовтень'!F151</f>
        <v>4000000</v>
      </c>
      <c r="G158" s="372">
        <f>'dod3'!G158-'dod3 жовтень'!G151</f>
        <v>0</v>
      </c>
      <c r="H158" s="372">
        <f>'dod3'!H158-'dod3 жовтень'!H151</f>
        <v>0</v>
      </c>
      <c r="I158" s="372">
        <f>'dod3'!I158-'dod3 жовтень'!I151</f>
        <v>0</v>
      </c>
      <c r="J158" s="372">
        <f>'dod3'!J158-'dod3 жовтень'!J151</f>
        <v>0</v>
      </c>
      <c r="K158" s="372">
        <f>'dod3'!K158-'dod3 жовтень'!K151</f>
        <v>0</v>
      </c>
      <c r="L158" s="372">
        <f>'dod3'!L158-'dod3 жовтень'!L151</f>
        <v>0</v>
      </c>
      <c r="M158" s="372">
        <f>'dod3'!M158-'dod3 жовтень'!M151</f>
        <v>0</v>
      </c>
      <c r="N158" s="372">
        <f>'dod3'!N158-'dod3 жовтень'!N151</f>
        <v>0</v>
      </c>
      <c r="O158" s="372">
        <f>'dod3'!O158-'dod3 жовтень'!O151</f>
        <v>0</v>
      </c>
      <c r="P158" s="372">
        <f>'dod3'!P158-'dod3 жовтень'!P151</f>
        <v>4000000</v>
      </c>
    </row>
    <row r="159" spans="1:18" ht="137.25" x14ac:dyDescent="0.2">
      <c r="A159" s="509" t="s">
        <v>537</v>
      </c>
      <c r="B159" s="509" t="s">
        <v>538</v>
      </c>
      <c r="C159" s="509" t="s">
        <v>533</v>
      </c>
      <c r="D159" s="509" t="s">
        <v>539</v>
      </c>
      <c r="E159" s="372">
        <f>'dod3'!E159-'dod3 жовтень'!E152</f>
        <v>2000000</v>
      </c>
      <c r="F159" s="372">
        <f>'dod3'!F159-'dod3 жовтень'!F152</f>
        <v>2000000</v>
      </c>
      <c r="G159" s="372">
        <f>'dod3'!G159-'dod3 жовтень'!G152</f>
        <v>0</v>
      </c>
      <c r="H159" s="372">
        <f>'dod3'!H159-'dod3 жовтень'!H152</f>
        <v>0</v>
      </c>
      <c r="I159" s="372">
        <f>'dod3'!I159-'dod3 жовтень'!I152</f>
        <v>0</v>
      </c>
      <c r="J159" s="372">
        <f>'dod3'!J159-'dod3 жовтень'!J152</f>
        <v>0</v>
      </c>
      <c r="K159" s="372">
        <f>'dod3'!K159-'dod3 жовтень'!K152</f>
        <v>0</v>
      </c>
      <c r="L159" s="372">
        <f>'dod3'!L159-'dod3 жовтень'!L152</f>
        <v>0</v>
      </c>
      <c r="M159" s="372">
        <f>'dod3'!M159-'dod3 жовтень'!M152</f>
        <v>0</v>
      </c>
      <c r="N159" s="372">
        <f>'dod3'!N159-'dod3 жовтень'!N152</f>
        <v>0</v>
      </c>
      <c r="O159" s="372">
        <f>'dod3'!O159-'dod3 жовтень'!O152</f>
        <v>0</v>
      </c>
      <c r="P159" s="372">
        <f>'dod3'!P159-'dod3 жовтень'!P152</f>
        <v>2000000</v>
      </c>
    </row>
    <row r="160" spans="1:18" ht="137.25" x14ac:dyDescent="0.2">
      <c r="A160" s="509" t="s">
        <v>567</v>
      </c>
      <c r="B160" s="509" t="s">
        <v>568</v>
      </c>
      <c r="C160" s="509" t="s">
        <v>533</v>
      </c>
      <c r="D160" s="509" t="s">
        <v>569</v>
      </c>
      <c r="E160" s="372">
        <f>'dod3'!E160-'dod3 жовтень'!E153</f>
        <v>0</v>
      </c>
      <c r="F160" s="372">
        <f>'dod3'!F160-'dod3 жовтень'!F153</f>
        <v>0</v>
      </c>
      <c r="G160" s="372">
        <f>'dod3'!G160-'dod3 жовтень'!G153</f>
        <v>0</v>
      </c>
      <c r="H160" s="372">
        <f>'dod3'!H160-'dod3 жовтень'!H153</f>
        <v>0</v>
      </c>
      <c r="I160" s="372">
        <f>'dod3'!I160-'dod3 жовтень'!I153</f>
        <v>0</v>
      </c>
      <c r="J160" s="372">
        <f>'dod3'!J160-'dod3 жовтень'!J153</f>
        <v>-580000</v>
      </c>
      <c r="K160" s="372">
        <f>'dod3'!K160-'dod3 жовтень'!K153</f>
        <v>0</v>
      </c>
      <c r="L160" s="372">
        <f>'dod3'!L160-'dod3 жовтень'!L153</f>
        <v>0</v>
      </c>
      <c r="M160" s="372">
        <f>'dod3'!M160-'dod3 жовтень'!M153</f>
        <v>0</v>
      </c>
      <c r="N160" s="372">
        <f>'dod3'!N160-'dod3 жовтень'!N153</f>
        <v>-580000</v>
      </c>
      <c r="O160" s="372">
        <f>'dod3'!O160-'dod3 жовтень'!O153</f>
        <v>-580000</v>
      </c>
      <c r="P160" s="372">
        <f>'dod3'!P160-'dod3 жовтень'!P153</f>
        <v>-580000</v>
      </c>
    </row>
    <row r="161" spans="1:17" ht="183" x14ac:dyDescent="0.2">
      <c r="A161" s="509" t="s">
        <v>534</v>
      </c>
      <c r="B161" s="509" t="s">
        <v>535</v>
      </c>
      <c r="C161" s="509" t="s">
        <v>533</v>
      </c>
      <c r="D161" s="509" t="s">
        <v>536</v>
      </c>
      <c r="E161" s="372">
        <f>'dod3'!E161-'dod3 жовтень'!E154</f>
        <v>0</v>
      </c>
      <c r="F161" s="372">
        <f>'dod3'!F161-'dod3 жовтень'!F154</f>
        <v>0</v>
      </c>
      <c r="G161" s="372">
        <f>'dod3'!G161-'dod3 жовтень'!G154</f>
        <v>0</v>
      </c>
      <c r="H161" s="372">
        <f>'dod3'!H161-'dod3 жовтень'!H154</f>
        <v>0</v>
      </c>
      <c r="I161" s="372">
        <f>'dod3'!I161-'dod3 жовтень'!I154</f>
        <v>0</v>
      </c>
      <c r="J161" s="372">
        <f>'dod3'!J161-'dod3 жовтень'!J154</f>
        <v>0</v>
      </c>
      <c r="K161" s="372">
        <f>'dod3'!K161-'dod3 жовтень'!K154</f>
        <v>0</v>
      </c>
      <c r="L161" s="372">
        <f>'dod3'!L161-'dod3 жовтень'!L154</f>
        <v>0</v>
      </c>
      <c r="M161" s="372">
        <f>'dod3'!M161-'dod3 жовтень'!M154</f>
        <v>0</v>
      </c>
      <c r="N161" s="372">
        <f>'dod3'!N161-'dod3 жовтень'!N154</f>
        <v>0</v>
      </c>
      <c r="O161" s="372">
        <f>'dod3'!O161-'dod3 жовтень'!O154</f>
        <v>0</v>
      </c>
      <c r="P161" s="372">
        <f>'dod3'!P161-'dod3 жовтень'!P154</f>
        <v>0</v>
      </c>
    </row>
    <row r="162" spans="1:17" ht="228.75" x14ac:dyDescent="0.2">
      <c r="A162" s="516" t="s">
        <v>561</v>
      </c>
      <c r="B162" s="516" t="s">
        <v>562</v>
      </c>
      <c r="C162" s="516" t="s">
        <v>533</v>
      </c>
      <c r="D162" s="516" t="s">
        <v>563</v>
      </c>
      <c r="E162" s="372">
        <f>'dod3'!E162-'dod3 жовтень'!E155</f>
        <v>-787090</v>
      </c>
      <c r="F162" s="372">
        <f>'dod3'!F162-'dod3 жовтень'!F155</f>
        <v>-787090</v>
      </c>
      <c r="G162" s="372">
        <f>'dod3'!G162-'dod3 жовтень'!G155</f>
        <v>0</v>
      </c>
      <c r="H162" s="372">
        <f>'dod3'!H162-'dod3 жовтень'!H155</f>
        <v>0</v>
      </c>
      <c r="I162" s="372">
        <f>'dod3'!I162-'dod3 жовтень'!I155</f>
        <v>0</v>
      </c>
      <c r="J162" s="372">
        <f>'dod3'!J162-'dod3 жовтень'!J155</f>
        <v>0</v>
      </c>
      <c r="K162" s="372">
        <f>'dod3'!K162-'dod3 жовтень'!K155</f>
        <v>0</v>
      </c>
      <c r="L162" s="372">
        <f>'dod3'!L162-'dod3 жовтень'!L155</f>
        <v>0</v>
      </c>
      <c r="M162" s="372">
        <f>'dod3'!M162-'dod3 жовтень'!M155</f>
        <v>0</v>
      </c>
      <c r="N162" s="372">
        <f>'dod3'!N162-'dod3 жовтень'!N155</f>
        <v>0</v>
      </c>
      <c r="O162" s="372">
        <f>'dod3'!O162-'dod3 жовтень'!O155</f>
        <v>0</v>
      </c>
      <c r="P162" s="372">
        <f>'dod3'!P162-'dod3 жовтень'!P155</f>
        <v>-787090</v>
      </c>
    </row>
    <row r="163" spans="1:17" ht="91.5" x14ac:dyDescent="0.2">
      <c r="A163" s="516" t="s">
        <v>540</v>
      </c>
      <c r="B163" s="516" t="s">
        <v>541</v>
      </c>
      <c r="C163" s="516" t="s">
        <v>533</v>
      </c>
      <c r="D163" s="516" t="s">
        <v>542</v>
      </c>
      <c r="E163" s="372">
        <f>'dod3'!E163-'dod3 жовтень'!E156</f>
        <v>1397000</v>
      </c>
      <c r="F163" s="372">
        <f>'dod3'!F163-'dod3 жовтень'!F156</f>
        <v>1397000</v>
      </c>
      <c r="G163" s="372">
        <f>'dod3'!G163-'dod3 жовтень'!G156</f>
        <v>0</v>
      </c>
      <c r="H163" s="372">
        <f>'dod3'!H163-'dod3 жовтень'!H156</f>
        <v>4865</v>
      </c>
      <c r="I163" s="372">
        <f>'dod3'!I163-'dod3 жовтень'!I156</f>
        <v>0</v>
      </c>
      <c r="J163" s="372">
        <f>'dod3'!J163-'dod3 жовтень'!J156</f>
        <v>303000</v>
      </c>
      <c r="K163" s="372">
        <f>'dod3'!K163-'dod3 жовтень'!K156</f>
        <v>0</v>
      </c>
      <c r="L163" s="372">
        <f>'dod3'!L163-'dod3 жовтень'!L156</f>
        <v>0</v>
      </c>
      <c r="M163" s="372">
        <f>'dod3'!M163-'dod3 жовтень'!M156</f>
        <v>0</v>
      </c>
      <c r="N163" s="372">
        <f>'dod3'!N163-'dod3 жовтень'!N156</f>
        <v>303000</v>
      </c>
      <c r="O163" s="372">
        <f>'dod3'!O163-'dod3 жовтень'!O156</f>
        <v>303000</v>
      </c>
      <c r="P163" s="372">
        <f>'dod3'!P163-'dod3 жовтень'!P156</f>
        <v>1700000</v>
      </c>
    </row>
    <row r="164" spans="1:17" ht="92.25" x14ac:dyDescent="0.2">
      <c r="A164" s="516" t="s">
        <v>571</v>
      </c>
      <c r="B164" s="516" t="s">
        <v>572</v>
      </c>
      <c r="C164" s="516" t="s">
        <v>570</v>
      </c>
      <c r="D164" s="516" t="s">
        <v>573</v>
      </c>
      <c r="E164" s="372">
        <f>'dod3'!E164-'dod3 жовтень'!E157</f>
        <v>0</v>
      </c>
      <c r="F164" s="372">
        <f>'dod3'!F164-'dod3 жовтень'!F157</f>
        <v>0</v>
      </c>
      <c r="G164" s="372">
        <f>'dod3'!G164-'dod3 жовтень'!G157</f>
        <v>0</v>
      </c>
      <c r="H164" s="372">
        <f>'dod3'!H164-'dod3 жовтень'!H157</f>
        <v>0</v>
      </c>
      <c r="I164" s="372">
        <f>'dod3'!I164-'dod3 жовтень'!I157</f>
        <v>0</v>
      </c>
      <c r="J164" s="372">
        <f>'dod3'!J164-'dod3 жовтень'!J157</f>
        <v>-525446</v>
      </c>
      <c r="K164" s="372">
        <f>'dod3'!K164-'dod3 жовтень'!K157</f>
        <v>0</v>
      </c>
      <c r="L164" s="372">
        <f>'dod3'!L164-'dod3 жовтень'!L157</f>
        <v>0</v>
      </c>
      <c r="M164" s="372">
        <f>'dod3'!M164-'dod3 жовтень'!M157</f>
        <v>0</v>
      </c>
      <c r="N164" s="372">
        <f>'dod3'!N164-'dod3 жовтень'!N157</f>
        <v>-525446</v>
      </c>
      <c r="O164" s="372">
        <f>'dod3'!O164-'dod3 жовтень'!O157</f>
        <v>-525446</v>
      </c>
      <c r="P164" s="372">
        <f>'dod3'!P164-'dod3 жовтень'!P157</f>
        <v>-525446</v>
      </c>
    </row>
    <row r="165" spans="1:17" ht="183" x14ac:dyDescent="0.2">
      <c r="A165" s="516" t="s">
        <v>721</v>
      </c>
      <c r="B165" s="516" t="s">
        <v>609</v>
      </c>
      <c r="C165" s="516" t="s">
        <v>570</v>
      </c>
      <c r="D165" s="516" t="s">
        <v>607</v>
      </c>
      <c r="E165" s="372">
        <f>'dod3'!E165-'dod3 жовтень'!E158</f>
        <v>0</v>
      </c>
      <c r="F165" s="372">
        <f>'dod3'!F165-'dod3 жовтень'!F158</f>
        <v>0</v>
      </c>
      <c r="G165" s="372">
        <f>'dod3'!G165-'dod3 жовтень'!G158</f>
        <v>0</v>
      </c>
      <c r="H165" s="372">
        <f>'dod3'!H165-'dod3 жовтень'!H158</f>
        <v>0</v>
      </c>
      <c r="I165" s="372">
        <f>'dod3'!I165-'dod3 жовтень'!I158</f>
        <v>0</v>
      </c>
      <c r="J165" s="372">
        <f>'dod3'!J165-'dod3 жовтень'!J158</f>
        <v>0</v>
      </c>
      <c r="K165" s="372">
        <f>'dod3'!K165-'dod3 жовтень'!K158</f>
        <v>0</v>
      </c>
      <c r="L165" s="372">
        <f>'dod3'!L165-'dod3 жовтень'!L158</f>
        <v>0</v>
      </c>
      <c r="M165" s="372">
        <f>'dod3'!M165-'dod3 жовтень'!M158</f>
        <v>0</v>
      </c>
      <c r="N165" s="372">
        <f>'dod3'!N165-'dod3 жовтень'!N158</f>
        <v>0</v>
      </c>
      <c r="O165" s="372">
        <f>'dod3'!O165-'dod3 жовтень'!O158</f>
        <v>0</v>
      </c>
      <c r="P165" s="372">
        <f>'dod3'!P165-'dod3 жовтень'!P158</f>
        <v>0</v>
      </c>
    </row>
    <row r="166" spans="1:17" ht="91.5" hidden="1" x14ac:dyDescent="0.2">
      <c r="A166" s="516" t="s">
        <v>975</v>
      </c>
      <c r="B166" s="516" t="s">
        <v>976</v>
      </c>
      <c r="C166" s="516"/>
      <c r="D166" s="516" t="s">
        <v>974</v>
      </c>
      <c r="E166" s="372">
        <f>'dod3'!E166-'dod3 жовтень'!E159</f>
        <v>0</v>
      </c>
      <c r="F166" s="372">
        <f>'dod3'!F166-'dod3 жовтень'!F159</f>
        <v>0</v>
      </c>
      <c r="G166" s="372">
        <f>'dod3'!G166-'dod3 жовтень'!G159</f>
        <v>0</v>
      </c>
      <c r="H166" s="372">
        <f>'dod3'!H166-'dod3 жовтень'!H159</f>
        <v>0</v>
      </c>
      <c r="I166" s="372">
        <f>'dod3'!I166-'dod3 жовтень'!I159</f>
        <v>0</v>
      </c>
      <c r="J166" s="372">
        <f>'dod3'!J166-'dod3 жовтень'!J159</f>
        <v>0</v>
      </c>
      <c r="K166" s="372">
        <f>'dod3'!K166-'dod3 жовтень'!K159</f>
        <v>0</v>
      </c>
      <c r="L166" s="372">
        <f>'dod3'!L166-'dod3 жовтень'!L159</f>
        <v>0</v>
      </c>
      <c r="M166" s="372">
        <f>'dod3'!M166-'dod3 жовтень'!M159</f>
        <v>0</v>
      </c>
      <c r="N166" s="372">
        <f>'dod3'!N166-'dod3 жовтень'!N159</f>
        <v>0</v>
      </c>
      <c r="O166" s="372">
        <f>'dod3'!O166-'dod3 жовтень'!O159</f>
        <v>0</v>
      </c>
      <c r="P166" s="372">
        <f>'dod3'!P166-'dod3 жовтень'!P159</f>
        <v>0</v>
      </c>
    </row>
    <row r="167" spans="1:17" ht="228.75" hidden="1" x14ac:dyDescent="0.2">
      <c r="A167" s="516" t="s">
        <v>977</v>
      </c>
      <c r="B167" s="516" t="s">
        <v>979</v>
      </c>
      <c r="C167" s="516" t="s">
        <v>324</v>
      </c>
      <c r="D167" s="516" t="s">
        <v>978</v>
      </c>
      <c r="E167" s="372">
        <f>'dod3'!E167-'dod3 жовтень'!E160</f>
        <v>0</v>
      </c>
      <c r="F167" s="372">
        <f>'dod3'!F167-'dod3 жовтень'!F160</f>
        <v>0</v>
      </c>
      <c r="G167" s="372">
        <f>'dod3'!G167-'dod3 жовтень'!G160</f>
        <v>0</v>
      </c>
      <c r="H167" s="372">
        <f>'dod3'!H167-'dod3 жовтень'!H160</f>
        <v>0</v>
      </c>
      <c r="I167" s="372">
        <f>'dod3'!I167-'dod3 жовтень'!I160</f>
        <v>0</v>
      </c>
      <c r="J167" s="372">
        <f>'dod3'!J167-'dod3 жовтень'!J160</f>
        <v>0</v>
      </c>
      <c r="K167" s="372">
        <f>'dod3'!K167-'dod3 жовтень'!K160</f>
        <v>0</v>
      </c>
      <c r="L167" s="372">
        <f>'dod3'!L167-'dod3 жовтень'!L160</f>
        <v>0</v>
      </c>
      <c r="M167" s="372">
        <f>'dod3'!M167-'dod3 жовтень'!M160</f>
        <v>0</v>
      </c>
      <c r="N167" s="372">
        <f>'dod3'!N167-'dod3 жовтень'!N160</f>
        <v>0</v>
      </c>
      <c r="O167" s="372">
        <f>'dod3'!O167-'dod3 жовтень'!O160</f>
        <v>0</v>
      </c>
      <c r="P167" s="372">
        <f>'dod3'!P167-'dod3 жовтень'!P160</f>
        <v>0</v>
      </c>
    </row>
    <row r="168" spans="1:17" ht="137.25" x14ac:dyDescent="0.2">
      <c r="A168" s="516" t="s">
        <v>544</v>
      </c>
      <c r="B168" s="516" t="s">
        <v>545</v>
      </c>
      <c r="C168" s="516"/>
      <c r="D168" s="516" t="s">
        <v>547</v>
      </c>
      <c r="E168" s="372">
        <f>'dod3'!E168-'dod3 жовтень'!E161</f>
        <v>0</v>
      </c>
      <c r="F168" s="372">
        <f>'dod3'!F168-'dod3 жовтень'!F161</f>
        <v>0</v>
      </c>
      <c r="G168" s="372">
        <f>'dod3'!G168-'dod3 жовтень'!G161</f>
        <v>0</v>
      </c>
      <c r="H168" s="372">
        <f>'dod3'!H168-'dod3 жовтень'!H161</f>
        <v>0</v>
      </c>
      <c r="I168" s="372">
        <f>'dod3'!I168-'dod3 жовтень'!I161</f>
        <v>0</v>
      </c>
      <c r="J168" s="372">
        <f>'dod3'!J168-'dod3 жовтень'!J161</f>
        <v>0</v>
      </c>
      <c r="K168" s="372">
        <f>'dod3'!K168-'dod3 жовтень'!K161</f>
        <v>0</v>
      </c>
      <c r="L168" s="372">
        <f>'dod3'!L168-'dod3 жовтень'!L161</f>
        <v>0</v>
      </c>
      <c r="M168" s="372">
        <f>'dod3'!M168-'dod3 жовтень'!M161</f>
        <v>0</v>
      </c>
      <c r="N168" s="372">
        <f>'dod3'!N168-'dod3 жовтень'!N161</f>
        <v>0</v>
      </c>
      <c r="O168" s="372">
        <f>'dod3'!O168-'dod3 жовтень'!O161</f>
        <v>0</v>
      </c>
      <c r="P168" s="372">
        <f>'dod3'!P168-'dod3 жовтень'!P161</f>
        <v>0</v>
      </c>
    </row>
    <row r="169" spans="1:17" ht="91.5" x14ac:dyDescent="0.2">
      <c r="A169" s="509" t="s">
        <v>543</v>
      </c>
      <c r="B169" s="509" t="s">
        <v>546</v>
      </c>
      <c r="C169" s="509" t="s">
        <v>549</v>
      </c>
      <c r="D169" s="509" t="s">
        <v>548</v>
      </c>
      <c r="E169" s="372">
        <f>'dod3'!E169-'dod3 жовтень'!E162</f>
        <v>0</v>
      </c>
      <c r="F169" s="372">
        <f>'dod3'!F169-'dod3 жовтень'!F162</f>
        <v>0</v>
      </c>
      <c r="G169" s="372">
        <f>'dod3'!G169-'dod3 жовтень'!G162</f>
        <v>0</v>
      </c>
      <c r="H169" s="372">
        <f>'dod3'!H169-'dod3 жовтень'!H162</f>
        <v>0</v>
      </c>
      <c r="I169" s="372">
        <f>'dod3'!I169-'dod3 жовтень'!I162</f>
        <v>0</v>
      </c>
      <c r="J169" s="372">
        <f>'dod3'!J169-'dod3 жовтень'!J162</f>
        <v>0</v>
      </c>
      <c r="K169" s="372">
        <f>'dod3'!K169-'dod3 жовтень'!K162</f>
        <v>0</v>
      </c>
      <c r="L169" s="372">
        <f>'dod3'!L169-'dod3 жовтень'!L162</f>
        <v>0</v>
      </c>
      <c r="M169" s="372">
        <f>'dod3'!M169-'dod3 жовтень'!M162</f>
        <v>0</v>
      </c>
      <c r="N169" s="372">
        <f>'dod3'!N169-'dod3 жовтень'!N162</f>
        <v>0</v>
      </c>
      <c r="O169" s="372">
        <f>'dod3'!O169-'dod3 жовтень'!O162</f>
        <v>0</v>
      </c>
      <c r="P169" s="372">
        <f>'dod3'!P169-'dod3 жовтень'!P162</f>
        <v>0</v>
      </c>
    </row>
    <row r="170" spans="1:17" ht="137.25" x14ac:dyDescent="0.2">
      <c r="A170" s="516" t="s">
        <v>550</v>
      </c>
      <c r="B170" s="516" t="s">
        <v>551</v>
      </c>
      <c r="C170" s="516"/>
      <c r="D170" s="516" t="s">
        <v>552</v>
      </c>
      <c r="E170" s="372">
        <f>'dod3'!E170-'dod3 жовтень'!E163</f>
        <v>1266155</v>
      </c>
      <c r="F170" s="372">
        <f>'dod3'!F170-'dod3 жовтень'!F163</f>
        <v>1266155</v>
      </c>
      <c r="G170" s="372">
        <f>'dod3'!G170-'dod3 жовтень'!G163</f>
        <v>0</v>
      </c>
      <c r="H170" s="372">
        <f>'dod3'!H170-'dod3 жовтень'!H163</f>
        <v>0</v>
      </c>
      <c r="I170" s="372">
        <f>'dod3'!I170-'dod3 жовтень'!I163</f>
        <v>0</v>
      </c>
      <c r="J170" s="372">
        <f>'dod3'!J170-'dod3 жовтень'!J163</f>
        <v>5272990</v>
      </c>
      <c r="K170" s="372">
        <f>'dod3'!K170-'dod3 жовтень'!K163</f>
        <v>0</v>
      </c>
      <c r="L170" s="372">
        <f>'dod3'!L170-'dod3 жовтень'!L163</f>
        <v>0</v>
      </c>
      <c r="M170" s="372">
        <f>'dod3'!M170-'dod3 жовтень'!M163</f>
        <v>0</v>
      </c>
      <c r="N170" s="372">
        <f>'dod3'!N170-'dod3 жовтень'!N163</f>
        <v>5272990</v>
      </c>
      <c r="O170" s="372">
        <f>'dod3'!O170-'dod3 жовтень'!O163</f>
        <v>5272990</v>
      </c>
      <c r="P170" s="372">
        <f>'dod3'!P170-'dod3 жовтень'!P163</f>
        <v>6539145</v>
      </c>
    </row>
    <row r="171" spans="1:17" ht="228.75" x14ac:dyDescent="0.2">
      <c r="A171" s="509" t="s">
        <v>553</v>
      </c>
      <c r="B171" s="509" t="s">
        <v>554</v>
      </c>
      <c r="C171" s="509" t="s">
        <v>556</v>
      </c>
      <c r="D171" s="509" t="s">
        <v>555</v>
      </c>
      <c r="E171" s="372">
        <f>'dod3'!E171-'dod3 жовтень'!E164</f>
        <v>1266155</v>
      </c>
      <c r="F171" s="372">
        <f>'dod3'!F171-'dod3 жовтень'!F164</f>
        <v>1266155</v>
      </c>
      <c r="G171" s="372">
        <f>'dod3'!G171-'dod3 жовтень'!G164</f>
        <v>0</v>
      </c>
      <c r="H171" s="372">
        <f>'dod3'!H171-'dod3 жовтень'!H164</f>
        <v>0</v>
      </c>
      <c r="I171" s="372">
        <f>'dod3'!I171-'dod3 жовтень'!I164</f>
        <v>0</v>
      </c>
      <c r="J171" s="372">
        <f>'dod3'!J171-'dod3 жовтень'!J164</f>
        <v>5272990</v>
      </c>
      <c r="K171" s="372">
        <f>'dod3'!K171-'dod3 жовтень'!K164</f>
        <v>0</v>
      </c>
      <c r="L171" s="372">
        <f>'dod3'!L171-'dod3 жовтень'!L164</f>
        <v>0</v>
      </c>
      <c r="M171" s="372">
        <f>'dod3'!M171-'dod3 жовтень'!M164</f>
        <v>0</v>
      </c>
      <c r="N171" s="372">
        <f>'dod3'!N171-'dod3 жовтень'!N164</f>
        <v>5272990</v>
      </c>
      <c r="O171" s="372">
        <f>'dod3'!O171-'dod3 жовтень'!O164</f>
        <v>5272990</v>
      </c>
      <c r="P171" s="372">
        <f>'dod3'!P171-'dod3 жовтень'!P164</f>
        <v>6539145</v>
      </c>
    </row>
    <row r="172" spans="1:17" ht="46.5" x14ac:dyDescent="0.2">
      <c r="A172" s="516" t="s">
        <v>557</v>
      </c>
      <c r="B172" s="516" t="s">
        <v>403</v>
      </c>
      <c r="C172" s="516" t="s">
        <v>404</v>
      </c>
      <c r="D172" s="516" t="s">
        <v>99</v>
      </c>
      <c r="E172" s="372">
        <f>'dod3'!E172-'dod3 жовтень'!E165</f>
        <v>0</v>
      </c>
      <c r="F172" s="372">
        <f>'dod3'!F172-'dod3 жовтень'!F165</f>
        <v>0</v>
      </c>
      <c r="G172" s="372">
        <f>'dod3'!G172-'dod3 жовтень'!G165</f>
        <v>0</v>
      </c>
      <c r="H172" s="372">
        <f>'dod3'!H172-'dod3 жовтень'!H165</f>
        <v>0</v>
      </c>
      <c r="I172" s="372">
        <f>'dod3'!I172-'dod3 жовтень'!I165</f>
        <v>0</v>
      </c>
      <c r="J172" s="372">
        <f>'dod3'!J172-'dod3 жовтень'!J165</f>
        <v>-150000</v>
      </c>
      <c r="K172" s="372">
        <f>'dod3'!K172-'dod3 жовтень'!K165</f>
        <v>0</v>
      </c>
      <c r="L172" s="372">
        <f>'dod3'!L172-'dod3 жовтень'!L165</f>
        <v>0</v>
      </c>
      <c r="M172" s="372">
        <f>'dod3'!M172-'dod3 жовтень'!M165</f>
        <v>0</v>
      </c>
      <c r="N172" s="372">
        <f>'dod3'!N172-'dod3 жовтень'!N165</f>
        <v>-150000</v>
      </c>
      <c r="O172" s="372">
        <f>'dod3'!O172-'dod3 жовтень'!O165</f>
        <v>-150000</v>
      </c>
      <c r="P172" s="372">
        <f>'dod3'!P172-'dod3 жовтень'!P165</f>
        <v>-150000</v>
      </c>
    </row>
    <row r="173" spans="1:17" ht="91.5" x14ac:dyDescent="0.65">
      <c r="A173" s="516" t="s">
        <v>575</v>
      </c>
      <c r="B173" s="516" t="s">
        <v>373</v>
      </c>
      <c r="C173" s="516" t="s">
        <v>324</v>
      </c>
      <c r="D173" s="516" t="s">
        <v>89</v>
      </c>
      <c r="E173" s="372">
        <f>'dod3'!E173-'dod3 жовтень'!E166</f>
        <v>0</v>
      </c>
      <c r="F173" s="372">
        <f>'dod3'!F173-'dod3 жовтень'!F166</f>
        <v>0</v>
      </c>
      <c r="G173" s="372">
        <f>'dod3'!G173-'dod3 жовтень'!G166</f>
        <v>0</v>
      </c>
      <c r="H173" s="372">
        <f>'dod3'!H173-'dod3 жовтень'!H166</f>
        <v>0</v>
      </c>
      <c r="I173" s="372">
        <f>'dod3'!I173-'dod3 жовтень'!I166</f>
        <v>0</v>
      </c>
      <c r="J173" s="372">
        <f>'dod3'!J173-'dod3 жовтень'!J166</f>
        <v>3580150</v>
      </c>
      <c r="K173" s="372">
        <f>'dod3'!K173-'dod3 жовтень'!K166</f>
        <v>0</v>
      </c>
      <c r="L173" s="372">
        <f>'dod3'!L173-'dod3 жовтень'!L166</f>
        <v>0</v>
      </c>
      <c r="M173" s="372">
        <f>'dod3'!M173-'dod3 жовтень'!M166</f>
        <v>0</v>
      </c>
      <c r="N173" s="372">
        <f>'dod3'!N173-'dod3 жовтень'!N166</f>
        <v>3580150</v>
      </c>
      <c r="O173" s="372">
        <f>'dod3'!O173-'dod3 жовтень'!O166</f>
        <v>3580150</v>
      </c>
      <c r="P173" s="372">
        <f>'dod3'!P173-'dod3 жовтень'!P166</f>
        <v>3580150</v>
      </c>
      <c r="Q173" s="373"/>
    </row>
    <row r="174" spans="1:17" ht="46.5" x14ac:dyDescent="0.65">
      <c r="A174" s="516" t="s">
        <v>1033</v>
      </c>
      <c r="B174" s="516" t="s">
        <v>449</v>
      </c>
      <c r="C174" s="516"/>
      <c r="D174" s="481" t="s">
        <v>447</v>
      </c>
      <c r="E174" s="372">
        <f>'dod3'!E174-0</f>
        <v>0</v>
      </c>
      <c r="F174" s="372">
        <f>'dod3'!F174-0</f>
        <v>0</v>
      </c>
      <c r="G174" s="372">
        <f>'dod3'!G174-0</f>
        <v>0</v>
      </c>
      <c r="H174" s="372">
        <f>'dod3'!H174-0</f>
        <v>0</v>
      </c>
      <c r="I174" s="372">
        <f>'dod3'!I174-0</f>
        <v>0</v>
      </c>
      <c r="J174" s="372">
        <f>'dod3'!J174-0</f>
        <v>1088000</v>
      </c>
      <c r="K174" s="372">
        <f>'dod3'!K174-0</f>
        <v>798000</v>
      </c>
      <c r="L174" s="372">
        <f>'dod3'!L174-0</f>
        <v>0</v>
      </c>
      <c r="M174" s="372">
        <f>'dod3'!M174-0</f>
        <v>0</v>
      </c>
      <c r="N174" s="372">
        <f>'dod3'!N174-0</f>
        <v>290000</v>
      </c>
      <c r="O174" s="372">
        <f>'dod3'!O174-0</f>
        <v>0</v>
      </c>
      <c r="P174" s="372">
        <f>'dod3'!P174-0</f>
        <v>1088000</v>
      </c>
      <c r="Q174" s="373"/>
    </row>
    <row r="175" spans="1:17" ht="409.5" x14ac:dyDescent="0.65">
      <c r="A175" s="587" t="s">
        <v>1034</v>
      </c>
      <c r="B175" s="587" t="s">
        <v>699</v>
      </c>
      <c r="C175" s="587" t="s">
        <v>324</v>
      </c>
      <c r="D175" s="482" t="s">
        <v>727</v>
      </c>
      <c r="E175" s="666">
        <f>'dod3'!E175-0</f>
        <v>0</v>
      </c>
      <c r="F175" s="666">
        <f>'dod3'!F175-0</f>
        <v>0</v>
      </c>
      <c r="G175" s="666">
        <f>'dod3'!G175-0</f>
        <v>0</v>
      </c>
      <c r="H175" s="666">
        <f>'dod3'!H175-0</f>
        <v>0</v>
      </c>
      <c r="I175" s="666">
        <f>'dod3'!I175-0</f>
        <v>0</v>
      </c>
      <c r="J175" s="666">
        <f>'dod3'!J175-0</f>
        <v>1088000</v>
      </c>
      <c r="K175" s="666">
        <f>'dod3'!K175-0</f>
        <v>798000</v>
      </c>
      <c r="L175" s="666">
        <f>'dod3'!L175-0</f>
        <v>0</v>
      </c>
      <c r="M175" s="666">
        <f>'dod3'!M175-0</f>
        <v>0</v>
      </c>
      <c r="N175" s="666">
        <f>'dod3'!N175-0</f>
        <v>290000</v>
      </c>
      <c r="O175" s="666">
        <f>'dod3'!O175-0</f>
        <v>0</v>
      </c>
      <c r="P175" s="666">
        <f>'dod3'!P175-0</f>
        <v>1088000</v>
      </c>
      <c r="Q175" s="373"/>
    </row>
    <row r="176" spans="1:17" ht="137.25" x14ac:dyDescent="0.65">
      <c r="A176" s="583"/>
      <c r="B176" s="583"/>
      <c r="C176" s="583"/>
      <c r="D176" s="483" t="s">
        <v>728</v>
      </c>
      <c r="E176" s="667"/>
      <c r="F176" s="667"/>
      <c r="G176" s="667"/>
      <c r="H176" s="667"/>
      <c r="I176" s="667"/>
      <c r="J176" s="667"/>
      <c r="K176" s="667"/>
      <c r="L176" s="667"/>
      <c r="M176" s="667"/>
      <c r="N176" s="667"/>
      <c r="O176" s="667"/>
      <c r="P176" s="667"/>
      <c r="Q176" s="373"/>
    </row>
    <row r="177" spans="1:18" ht="137.25" x14ac:dyDescent="0.2">
      <c r="A177" s="516" t="s">
        <v>558</v>
      </c>
      <c r="B177" s="516" t="s">
        <v>559</v>
      </c>
      <c r="C177" s="516" t="s">
        <v>490</v>
      </c>
      <c r="D177" s="516" t="s">
        <v>703</v>
      </c>
      <c r="E177" s="177">
        <f>'dod3'!E177-'dod3 жовтень'!E167</f>
        <v>0</v>
      </c>
      <c r="F177" s="177">
        <f>'dod3'!F177-'dod3 жовтень'!F167</f>
        <v>0</v>
      </c>
      <c r="G177" s="177">
        <f>'dod3'!G177-'dod3 жовтень'!G167</f>
        <v>0</v>
      </c>
      <c r="H177" s="177">
        <f>'dod3'!H177-'dod3 жовтень'!H167</f>
        <v>0</v>
      </c>
      <c r="I177" s="177">
        <f>'dod3'!I177-'dod3 жовтень'!I167</f>
        <v>0</v>
      </c>
      <c r="J177" s="177">
        <f>'dod3'!J177-'dod3 жовтень'!J167</f>
        <v>0</v>
      </c>
      <c r="K177" s="177">
        <f>'dod3'!K177-'dod3 жовтень'!K167</f>
        <v>0</v>
      </c>
      <c r="L177" s="177">
        <f>'dod3'!L177-'dod3 жовтень'!L167</f>
        <v>0</v>
      </c>
      <c r="M177" s="177">
        <f>'dod3'!M177-'dod3 жовтень'!M167</f>
        <v>0</v>
      </c>
      <c r="N177" s="177">
        <f>'dod3'!N177-'dod3 жовтень'!N167</f>
        <v>0</v>
      </c>
      <c r="O177" s="177">
        <f>'dod3'!O177-'dod3 жовтень'!O167</f>
        <v>0</v>
      </c>
      <c r="P177" s="177">
        <f>'dod3'!P177-'dod3 жовтень'!P167</f>
        <v>0</v>
      </c>
    </row>
    <row r="178" spans="1:18" ht="91.5" x14ac:dyDescent="0.2">
      <c r="A178" s="516" t="s">
        <v>488</v>
      </c>
      <c r="B178" s="516" t="s">
        <v>489</v>
      </c>
      <c r="C178" s="516" t="s">
        <v>490</v>
      </c>
      <c r="D178" s="516" t="s">
        <v>487</v>
      </c>
      <c r="E178" s="177">
        <f>'dod3'!E178-'dod3 жовтень'!E168</f>
        <v>0</v>
      </c>
      <c r="F178" s="177">
        <f>'dod3'!F178-'dod3 жовтень'!F168</f>
        <v>0</v>
      </c>
      <c r="G178" s="177">
        <f>'dod3'!G178-'dod3 жовтень'!G168</f>
        <v>0</v>
      </c>
      <c r="H178" s="177">
        <f>'dod3'!H178-'dod3 жовтень'!H168</f>
        <v>0</v>
      </c>
      <c r="I178" s="177">
        <f>'dod3'!I178-'dod3 жовтень'!I168</f>
        <v>0</v>
      </c>
      <c r="J178" s="177">
        <f>'dod3'!J178-'dod3 жовтень'!J168</f>
        <v>0</v>
      </c>
      <c r="K178" s="177">
        <f>'dod3'!K178-'dod3 жовтень'!K168</f>
        <v>0</v>
      </c>
      <c r="L178" s="177">
        <f>'dod3'!L178-'dod3 жовтень'!L168</f>
        <v>0</v>
      </c>
      <c r="M178" s="177">
        <f>'dod3'!M178-'dod3 жовтень'!M168</f>
        <v>0</v>
      </c>
      <c r="N178" s="177">
        <f>'dod3'!N178-'dod3 жовтень'!N168</f>
        <v>0</v>
      </c>
      <c r="O178" s="177">
        <f>'dod3'!O178-'dod3 жовтень'!O168</f>
        <v>0</v>
      </c>
      <c r="P178" s="177">
        <f>'dod3'!P178-'dod3 жовтень'!P168</f>
        <v>0</v>
      </c>
    </row>
    <row r="179" spans="1:18" ht="270" x14ac:dyDescent="0.2">
      <c r="A179" s="473" t="s">
        <v>69</v>
      </c>
      <c r="B179" s="473"/>
      <c r="C179" s="473"/>
      <c r="D179" s="473" t="s">
        <v>931</v>
      </c>
      <c r="E179" s="476">
        <f>E180</f>
        <v>2312734</v>
      </c>
      <c r="F179" s="476">
        <f t="shared" ref="F179:P179" si="14">F180</f>
        <v>2312734</v>
      </c>
      <c r="G179" s="476">
        <f t="shared" si="14"/>
        <v>1489400</v>
      </c>
      <c r="H179" s="476">
        <f t="shared" si="14"/>
        <v>100000</v>
      </c>
      <c r="I179" s="476">
        <f t="shared" si="14"/>
        <v>0</v>
      </c>
      <c r="J179" s="476">
        <f t="shared" si="14"/>
        <v>-10582800</v>
      </c>
      <c r="K179" s="476">
        <f t="shared" si="14"/>
        <v>0</v>
      </c>
      <c r="L179" s="476">
        <f t="shared" si="14"/>
        <v>0</v>
      </c>
      <c r="M179" s="476">
        <f t="shared" si="14"/>
        <v>0</v>
      </c>
      <c r="N179" s="476">
        <f t="shared" si="14"/>
        <v>-10582800</v>
      </c>
      <c r="O179" s="475">
        <f>O180</f>
        <v>-10582800</v>
      </c>
      <c r="P179" s="476">
        <f t="shared" si="14"/>
        <v>-8270066</v>
      </c>
    </row>
    <row r="180" spans="1:18" ht="270" x14ac:dyDescent="0.2">
      <c r="A180" s="480" t="s">
        <v>70</v>
      </c>
      <c r="B180" s="480"/>
      <c r="C180" s="480"/>
      <c r="D180" s="480" t="s">
        <v>930</v>
      </c>
      <c r="E180" s="475">
        <f>E182+E185+E186+E181</f>
        <v>2312734</v>
      </c>
      <c r="F180" s="476">
        <f>F182+F185+F186+F181</f>
        <v>2312734</v>
      </c>
      <c r="G180" s="475">
        <f>G182+G185+G186+G181</f>
        <v>1489400</v>
      </c>
      <c r="H180" s="475">
        <f>H182+H185+H186+H181</f>
        <v>100000</v>
      </c>
      <c r="I180" s="476">
        <f t="shared" ref="I180" si="15">I182+I185+I186</f>
        <v>0</v>
      </c>
      <c r="J180" s="475">
        <f>K180+N180</f>
        <v>-10582800</v>
      </c>
      <c r="K180" s="476">
        <f>K182+K185+K186+K181</f>
        <v>0</v>
      </c>
      <c r="L180" s="475">
        <f>L182+L185+L186+L181</f>
        <v>0</v>
      </c>
      <c r="M180" s="475">
        <f>M182+M185+M186+M181</f>
        <v>0</v>
      </c>
      <c r="N180" s="476">
        <f>N182+N185+N186+N181</f>
        <v>-10582800</v>
      </c>
      <c r="O180" s="475">
        <f>O182+O185+O186+O181</f>
        <v>-10582800</v>
      </c>
      <c r="P180" s="475">
        <f t="shared" ref="P180" si="16">+J180+E180</f>
        <v>-8270066</v>
      </c>
      <c r="Q180" s="251" t="b">
        <f>P180=P183+P184+P185+P186+P181</f>
        <v>1</v>
      </c>
      <c r="R180" s="253"/>
    </row>
    <row r="181" spans="1:18" ht="228.75" x14ac:dyDescent="0.2">
      <c r="A181" s="516" t="s">
        <v>1027</v>
      </c>
      <c r="B181" s="516" t="s">
        <v>433</v>
      </c>
      <c r="C181" s="516" t="s">
        <v>430</v>
      </c>
      <c r="D181" s="516" t="s">
        <v>431</v>
      </c>
      <c r="E181" s="372">
        <f>'dod3'!E181-0</f>
        <v>2312734</v>
      </c>
      <c r="F181" s="372">
        <f>'dod3'!F181-0</f>
        <v>2312734</v>
      </c>
      <c r="G181" s="372">
        <f>'dod3'!G181-0</f>
        <v>1489400</v>
      </c>
      <c r="H181" s="372">
        <f>'dod3'!H181-0</f>
        <v>100000</v>
      </c>
      <c r="I181" s="372">
        <f>'dod3'!I181-0</f>
        <v>0</v>
      </c>
      <c r="J181" s="372">
        <f>'dod3'!J181-0</f>
        <v>0</v>
      </c>
      <c r="K181" s="372">
        <f>'dod3'!K181-0</f>
        <v>0</v>
      </c>
      <c r="L181" s="372">
        <f>'dod3'!L181-0</f>
        <v>0</v>
      </c>
      <c r="M181" s="372">
        <f>'dod3'!M181-0</f>
        <v>0</v>
      </c>
      <c r="N181" s="372">
        <f>'dod3'!N181-0</f>
        <v>0</v>
      </c>
      <c r="O181" s="372">
        <f>'dod3'!O181-0</f>
        <v>0</v>
      </c>
      <c r="P181" s="372">
        <f>'dod3'!P181-0</f>
        <v>2312734</v>
      </c>
      <c r="Q181" s="251"/>
      <c r="R181" s="253"/>
    </row>
    <row r="182" spans="1:18" ht="91.5" x14ac:dyDescent="0.2">
      <c r="A182" s="516" t="s">
        <v>599</v>
      </c>
      <c r="B182" s="516" t="s">
        <v>600</v>
      </c>
      <c r="C182" s="516"/>
      <c r="D182" s="516" t="s">
        <v>598</v>
      </c>
      <c r="E182" s="177">
        <f>'dod3'!E182-'dod3 жовтень'!E171</f>
        <v>0</v>
      </c>
      <c r="F182" s="177">
        <f>'dod3'!F182-'dod3 жовтень'!F171</f>
        <v>0</v>
      </c>
      <c r="G182" s="177">
        <f>'dod3'!G182-'dod3 жовтень'!G171</f>
        <v>0</v>
      </c>
      <c r="H182" s="177">
        <f>'dod3'!H182-'dod3 жовтень'!H171</f>
        <v>0</v>
      </c>
      <c r="I182" s="177">
        <f>'dod3'!I182-'dod3 жовтень'!I171</f>
        <v>0</v>
      </c>
      <c r="J182" s="177">
        <f>'dod3'!J182-'dod3 жовтень'!J171</f>
        <v>2217200</v>
      </c>
      <c r="K182" s="177">
        <f>'dod3'!K182-'dod3 жовтень'!K171</f>
        <v>0</v>
      </c>
      <c r="L182" s="177">
        <f>'dod3'!L182-'dod3 жовтень'!L171</f>
        <v>0</v>
      </c>
      <c r="M182" s="177">
        <f>'dod3'!M182-'dod3 жовтень'!M171</f>
        <v>0</v>
      </c>
      <c r="N182" s="177">
        <f>'dod3'!N182-'dod3 жовтень'!N171</f>
        <v>2217200</v>
      </c>
      <c r="O182" s="177">
        <f>'dod3'!O182-'dod3 жовтень'!O171</f>
        <v>2217200</v>
      </c>
      <c r="P182" s="177">
        <f>'dod3'!P182-'dod3 жовтень'!P171</f>
        <v>2217200</v>
      </c>
    </row>
    <row r="183" spans="1:18" ht="91.5" x14ac:dyDescent="0.2">
      <c r="A183" s="509" t="s">
        <v>602</v>
      </c>
      <c r="B183" s="509" t="s">
        <v>603</v>
      </c>
      <c r="C183" s="509" t="s">
        <v>570</v>
      </c>
      <c r="D183" s="509" t="s">
        <v>601</v>
      </c>
      <c r="E183" s="177">
        <f>'dod3'!E183-'dod3 жовтень'!E172</f>
        <v>0</v>
      </c>
      <c r="F183" s="177">
        <f>'dod3'!F183-'dod3 жовтень'!F172</f>
        <v>0</v>
      </c>
      <c r="G183" s="177">
        <f>'dod3'!G183-'dod3 жовтень'!G172</f>
        <v>0</v>
      </c>
      <c r="H183" s="177">
        <f>'dod3'!H183-'dod3 жовтень'!H172</f>
        <v>0</v>
      </c>
      <c r="I183" s="177">
        <f>'dod3'!I183-'dod3 жовтень'!I172</f>
        <v>0</v>
      </c>
      <c r="J183" s="177">
        <f>'dod3'!J183-'dod3 жовтень'!J172</f>
        <v>2817200</v>
      </c>
      <c r="K183" s="177">
        <f>'dod3'!K183-'dod3 жовтень'!K172</f>
        <v>0</v>
      </c>
      <c r="L183" s="177">
        <f>'dod3'!L183-'dod3 жовтень'!L172</f>
        <v>0</v>
      </c>
      <c r="M183" s="177">
        <f>'dod3'!M183-'dod3 жовтень'!M172</f>
        <v>0</v>
      </c>
      <c r="N183" s="177">
        <f>'dod3'!N183-'dod3 жовтень'!N172</f>
        <v>2817200</v>
      </c>
      <c r="O183" s="177">
        <f>'dod3'!O183-'dod3 жовтень'!O172</f>
        <v>2817200</v>
      </c>
      <c r="P183" s="177">
        <f>'dod3'!P183-'dod3 жовтень'!P172</f>
        <v>2817200</v>
      </c>
    </row>
    <row r="184" spans="1:18" ht="137.25" x14ac:dyDescent="0.2">
      <c r="A184" s="509" t="s">
        <v>604</v>
      </c>
      <c r="B184" s="509" t="s">
        <v>605</v>
      </c>
      <c r="C184" s="509" t="s">
        <v>570</v>
      </c>
      <c r="D184" s="509" t="s">
        <v>606</v>
      </c>
      <c r="E184" s="177">
        <f>'dod3'!E184-'dod3 жовтень'!E173</f>
        <v>0</v>
      </c>
      <c r="F184" s="177">
        <f>'dod3'!F184-'dod3 жовтень'!F173</f>
        <v>0</v>
      </c>
      <c r="G184" s="177">
        <f>'dod3'!G184-'dod3 жовтень'!G173</f>
        <v>0</v>
      </c>
      <c r="H184" s="177">
        <f>'dod3'!H184-'dod3 жовтень'!H173</f>
        <v>0</v>
      </c>
      <c r="I184" s="177">
        <f>'dod3'!I184-'dod3 жовтень'!I173</f>
        <v>0</v>
      </c>
      <c r="J184" s="177">
        <f>'dod3'!J184-'dod3 жовтень'!J173</f>
        <v>-600000</v>
      </c>
      <c r="K184" s="177">
        <f>'dod3'!K184-'dod3 жовтень'!K173</f>
        <v>0</v>
      </c>
      <c r="L184" s="177">
        <f>'dod3'!L184-'dod3 жовтень'!L173</f>
        <v>0</v>
      </c>
      <c r="M184" s="177">
        <f>'dod3'!M184-'dod3 жовтень'!M173</f>
        <v>0</v>
      </c>
      <c r="N184" s="177">
        <f>'dod3'!N184-'dod3 жовтень'!N173</f>
        <v>-600000</v>
      </c>
      <c r="O184" s="177">
        <f>'dod3'!O184-'dod3 жовтень'!O173</f>
        <v>-600000</v>
      </c>
      <c r="P184" s="177">
        <f>'dod3'!P184-'dod3 жовтень'!P173</f>
        <v>-600000</v>
      </c>
    </row>
    <row r="185" spans="1:18" ht="183" x14ac:dyDescent="0.2">
      <c r="A185" s="516" t="s">
        <v>608</v>
      </c>
      <c r="B185" s="516" t="s">
        <v>609</v>
      </c>
      <c r="C185" s="516" t="s">
        <v>570</v>
      </c>
      <c r="D185" s="516" t="s">
        <v>607</v>
      </c>
      <c r="E185" s="177">
        <f>'dod3'!E185-'dod3 жовтень'!E174</f>
        <v>0</v>
      </c>
      <c r="F185" s="177">
        <f>'dod3'!F185-'dod3 жовтень'!F174</f>
        <v>0</v>
      </c>
      <c r="G185" s="177">
        <f>'dod3'!G185-'dod3 жовтень'!G174</f>
        <v>0</v>
      </c>
      <c r="H185" s="177">
        <f>'dod3'!H185-'dod3 жовтень'!H174</f>
        <v>0</v>
      </c>
      <c r="I185" s="177">
        <f>'dod3'!I185-'dod3 жовтень'!I174</f>
        <v>0</v>
      </c>
      <c r="J185" s="177">
        <f>'dod3'!J185-'dod3 жовтень'!J174</f>
        <v>-12800000</v>
      </c>
      <c r="K185" s="177">
        <f>'dod3'!K185-'dod3 жовтень'!K174</f>
        <v>0</v>
      </c>
      <c r="L185" s="177">
        <f>'dod3'!L185-'dod3 жовтень'!L174</f>
        <v>0</v>
      </c>
      <c r="M185" s="177">
        <f>'dod3'!M185-'dod3 жовтень'!M174</f>
        <v>0</v>
      </c>
      <c r="N185" s="177">
        <f>'dod3'!N185-'dod3 жовтень'!N174</f>
        <v>-12800000</v>
      </c>
      <c r="O185" s="177">
        <f>'dod3'!O185-'dod3 жовтень'!O174</f>
        <v>-12800000</v>
      </c>
      <c r="P185" s="177">
        <f>'dod3'!P185-'dod3 жовтень'!P174</f>
        <v>-12800000</v>
      </c>
    </row>
    <row r="186" spans="1:18" ht="91.5" x14ac:dyDescent="0.2">
      <c r="A186" s="516" t="s">
        <v>610</v>
      </c>
      <c r="B186" s="516" t="s">
        <v>373</v>
      </c>
      <c r="C186" s="516" t="s">
        <v>324</v>
      </c>
      <c r="D186" s="516" t="s">
        <v>89</v>
      </c>
      <c r="E186" s="177">
        <f>'dod3'!E186-'dod3 жовтень'!E175</f>
        <v>0</v>
      </c>
      <c r="F186" s="177">
        <f>'dod3'!F186-'dod3 жовтень'!F175</f>
        <v>0</v>
      </c>
      <c r="G186" s="177">
        <f>'dod3'!G186-'dod3 жовтень'!G175</f>
        <v>0</v>
      </c>
      <c r="H186" s="177">
        <f>'dod3'!H186-'dod3 жовтень'!H175</f>
        <v>0</v>
      </c>
      <c r="I186" s="177">
        <f>'dod3'!I186-'dod3 жовтень'!I175</f>
        <v>0</v>
      </c>
      <c r="J186" s="177">
        <f>'dod3'!J186-'dod3 жовтень'!J175</f>
        <v>0</v>
      </c>
      <c r="K186" s="177">
        <f>'dod3'!K186-'dod3 жовтень'!K175</f>
        <v>0</v>
      </c>
      <c r="L186" s="177">
        <f>'dod3'!L186-'dod3 жовтень'!L175</f>
        <v>0</v>
      </c>
      <c r="M186" s="177">
        <f>'dod3'!M186-'dod3 жовтень'!M175</f>
        <v>0</v>
      </c>
      <c r="N186" s="177">
        <f>'dod3'!N186-'dod3 жовтень'!N175</f>
        <v>0</v>
      </c>
      <c r="O186" s="177">
        <f>'dod3'!O186-'dod3 жовтень'!O175</f>
        <v>0</v>
      </c>
      <c r="P186" s="177">
        <f>'dod3'!P186-'dod3 жовтень'!P175</f>
        <v>0</v>
      </c>
    </row>
    <row r="187" spans="1:18" ht="225" x14ac:dyDescent="0.2">
      <c r="A187" s="473" t="s">
        <v>314</v>
      </c>
      <c r="B187" s="473"/>
      <c r="C187" s="473"/>
      <c r="D187" s="473" t="s">
        <v>71</v>
      </c>
      <c r="E187" s="476">
        <f>E188</f>
        <v>2737100</v>
      </c>
      <c r="F187" s="476">
        <f t="shared" ref="F187:P187" si="17">F188</f>
        <v>2737100</v>
      </c>
      <c r="G187" s="476">
        <f t="shared" si="17"/>
        <v>2022400</v>
      </c>
      <c r="H187" s="476">
        <f t="shared" si="17"/>
        <v>95000</v>
      </c>
      <c r="I187" s="476">
        <f t="shared" si="17"/>
        <v>0</v>
      </c>
      <c r="J187" s="476">
        <f t="shared" si="17"/>
        <v>33000</v>
      </c>
      <c r="K187" s="476">
        <f t="shared" si="17"/>
        <v>0</v>
      </c>
      <c r="L187" s="476">
        <f t="shared" si="17"/>
        <v>0</v>
      </c>
      <c r="M187" s="476">
        <f t="shared" si="17"/>
        <v>0</v>
      </c>
      <c r="N187" s="476">
        <f t="shared" si="17"/>
        <v>33000</v>
      </c>
      <c r="O187" s="475">
        <f t="shared" si="17"/>
        <v>33000</v>
      </c>
      <c r="P187" s="476">
        <f t="shared" si="17"/>
        <v>2770100</v>
      </c>
    </row>
    <row r="188" spans="1:18" ht="225" x14ac:dyDescent="0.2">
      <c r="A188" s="480" t="s">
        <v>315</v>
      </c>
      <c r="B188" s="480"/>
      <c r="C188" s="480"/>
      <c r="D188" s="480" t="s">
        <v>96</v>
      </c>
      <c r="E188" s="475">
        <f>E190+E189</f>
        <v>2737100</v>
      </c>
      <c r="F188" s="476">
        <f>E188</f>
        <v>2737100</v>
      </c>
      <c r="G188" s="475">
        <f>G190+G189</f>
        <v>2022400</v>
      </c>
      <c r="H188" s="475">
        <f>H190+H189</f>
        <v>95000</v>
      </c>
      <c r="I188" s="476">
        <f>I190</f>
        <v>0</v>
      </c>
      <c r="J188" s="475">
        <f>K188+N188</f>
        <v>33000</v>
      </c>
      <c r="K188" s="476">
        <f>K190+K189</f>
        <v>0</v>
      </c>
      <c r="L188" s="475">
        <f>L190+L189</f>
        <v>0</v>
      </c>
      <c r="M188" s="475">
        <f>M190+M189</f>
        <v>0</v>
      </c>
      <c r="N188" s="476">
        <f>N190+N189</f>
        <v>33000</v>
      </c>
      <c r="O188" s="475">
        <f>O190+O189</f>
        <v>33000</v>
      </c>
      <c r="P188" s="475">
        <f>+J188+E188</f>
        <v>2770100</v>
      </c>
      <c r="Q188" s="251" t="b">
        <f>P188=P190+P189</f>
        <v>1</v>
      </c>
      <c r="R188" s="253"/>
    </row>
    <row r="189" spans="1:18" ht="228.75" x14ac:dyDescent="0.2">
      <c r="A189" s="516" t="s">
        <v>1028</v>
      </c>
      <c r="B189" s="516" t="s">
        <v>433</v>
      </c>
      <c r="C189" s="516" t="s">
        <v>430</v>
      </c>
      <c r="D189" s="516" t="s">
        <v>431</v>
      </c>
      <c r="E189" s="372">
        <f>'dod3'!E189-0</f>
        <v>2737100</v>
      </c>
      <c r="F189" s="372">
        <f>'dod3'!F189-0</f>
        <v>2737100</v>
      </c>
      <c r="G189" s="372">
        <f>'dod3'!G189-0</f>
        <v>2022400</v>
      </c>
      <c r="H189" s="372">
        <f>'dod3'!H189-0</f>
        <v>95000</v>
      </c>
      <c r="I189" s="372">
        <f>'dod3'!I189-0</f>
        <v>0</v>
      </c>
      <c r="J189" s="372">
        <f>'dod3'!J189-0</f>
        <v>33000</v>
      </c>
      <c r="K189" s="372">
        <f>'dod3'!K189-0</f>
        <v>0</v>
      </c>
      <c r="L189" s="372">
        <f>'dod3'!L189-0</f>
        <v>0</v>
      </c>
      <c r="M189" s="372">
        <f>'dod3'!M189-0</f>
        <v>0</v>
      </c>
      <c r="N189" s="372">
        <f>'dod3'!N189-0</f>
        <v>33000</v>
      </c>
      <c r="O189" s="372">
        <f>'dod3'!O189-0</f>
        <v>33000</v>
      </c>
      <c r="P189" s="372">
        <f>'dod3'!P189-0</f>
        <v>2770100</v>
      </c>
      <c r="Q189" s="251"/>
      <c r="R189" s="253"/>
    </row>
    <row r="190" spans="1:18" ht="137.25" x14ac:dyDescent="0.2">
      <c r="A190" s="516" t="s">
        <v>580</v>
      </c>
      <c r="B190" s="516" t="s">
        <v>581</v>
      </c>
      <c r="C190" s="516" t="s">
        <v>570</v>
      </c>
      <c r="D190" s="516" t="s">
        <v>582</v>
      </c>
      <c r="E190" s="372">
        <f>'dod3'!E190-'dod3 жовтень'!E178</f>
        <v>0</v>
      </c>
      <c r="F190" s="372">
        <f>'dod3'!F190-'dod3 жовтень'!F178</f>
        <v>0</v>
      </c>
      <c r="G190" s="372">
        <f>'dod3'!G190-'dod3 жовтень'!G178</f>
        <v>0</v>
      </c>
      <c r="H190" s="372">
        <f>'dod3'!H190-'dod3 жовтень'!H178</f>
        <v>0</v>
      </c>
      <c r="I190" s="372">
        <f>'dod3'!I190-'dod3 жовтень'!I178</f>
        <v>0</v>
      </c>
      <c r="J190" s="372">
        <f>'dod3'!J190-'dod3 жовтень'!J178</f>
        <v>0</v>
      </c>
      <c r="K190" s="372">
        <f>'dod3'!K190-'dod3 жовтень'!K178</f>
        <v>0</v>
      </c>
      <c r="L190" s="372">
        <f>'dod3'!L190-'dod3 жовтень'!L178</f>
        <v>0</v>
      </c>
      <c r="M190" s="372">
        <f>'dod3'!M190-'dod3 жовтень'!M178</f>
        <v>0</v>
      </c>
      <c r="N190" s="372">
        <f>'dod3'!N190-'dod3 жовтень'!N178</f>
        <v>0</v>
      </c>
      <c r="O190" s="372">
        <f>'dod3'!O190-'dod3 жовтень'!O178</f>
        <v>0</v>
      </c>
      <c r="P190" s="372">
        <f>'dod3'!P190-'dod3 жовтень'!P178</f>
        <v>0</v>
      </c>
    </row>
    <row r="191" spans="1:18" ht="135" x14ac:dyDescent="0.2">
      <c r="A191" s="473" t="s">
        <v>320</v>
      </c>
      <c r="B191" s="473"/>
      <c r="C191" s="473"/>
      <c r="D191" s="473" t="s">
        <v>763</v>
      </c>
      <c r="E191" s="476">
        <f>E192</f>
        <v>0</v>
      </c>
      <c r="F191" s="476">
        <f t="shared" ref="F191:P191" si="18">F192</f>
        <v>0</v>
      </c>
      <c r="G191" s="476">
        <f t="shared" si="18"/>
        <v>0</v>
      </c>
      <c r="H191" s="476">
        <f t="shared" si="18"/>
        <v>0</v>
      </c>
      <c r="I191" s="476">
        <f t="shared" si="18"/>
        <v>0</v>
      </c>
      <c r="J191" s="476">
        <f t="shared" si="18"/>
        <v>70000</v>
      </c>
      <c r="K191" s="476">
        <f t="shared" si="18"/>
        <v>70000</v>
      </c>
      <c r="L191" s="476">
        <f t="shared" si="18"/>
        <v>0</v>
      </c>
      <c r="M191" s="476">
        <f t="shared" si="18"/>
        <v>0</v>
      </c>
      <c r="N191" s="476">
        <f t="shared" si="18"/>
        <v>0</v>
      </c>
      <c r="O191" s="475">
        <f t="shared" si="18"/>
        <v>0</v>
      </c>
      <c r="P191" s="476">
        <f t="shared" si="18"/>
        <v>70000</v>
      </c>
    </row>
    <row r="192" spans="1:18" ht="135" x14ac:dyDescent="0.2">
      <c r="A192" s="480" t="s">
        <v>321</v>
      </c>
      <c r="B192" s="480"/>
      <c r="C192" s="480"/>
      <c r="D192" s="480" t="s">
        <v>764</v>
      </c>
      <c r="E192" s="475">
        <f>SUM(E193:E196)</f>
        <v>0</v>
      </c>
      <c r="F192" s="476">
        <f t="shared" ref="F192:I192" si="19">SUM(F193:F196)</f>
        <v>0</v>
      </c>
      <c r="G192" s="476">
        <f t="shared" si="19"/>
        <v>0</v>
      </c>
      <c r="H192" s="476">
        <f t="shared" si="19"/>
        <v>0</v>
      </c>
      <c r="I192" s="476">
        <f t="shared" si="19"/>
        <v>0</v>
      </c>
      <c r="J192" s="475">
        <f>K192+N192</f>
        <v>70000</v>
      </c>
      <c r="K192" s="476">
        <f>SUM(K193:K196)</f>
        <v>70000</v>
      </c>
      <c r="L192" s="475">
        <f t="shared" ref="L192:M192" si="20">SUM(L193:L196)</f>
        <v>0</v>
      </c>
      <c r="M192" s="475">
        <f t="shared" si="20"/>
        <v>0</v>
      </c>
      <c r="N192" s="476">
        <f>SUM(N193:N196)</f>
        <v>0</v>
      </c>
      <c r="O192" s="475">
        <f>SUM(O193:O196)</f>
        <v>0</v>
      </c>
      <c r="P192" s="475">
        <f>E192+J192</f>
        <v>70000</v>
      </c>
      <c r="Q192" s="251" t="b">
        <f>P192=P193+P194+P195+P199+P197</f>
        <v>1</v>
      </c>
      <c r="R192" s="253"/>
    </row>
    <row r="193" spans="1:19" ht="137.25" x14ac:dyDescent="0.2">
      <c r="A193" s="516" t="s">
        <v>754</v>
      </c>
      <c r="B193" s="516" t="s">
        <v>755</v>
      </c>
      <c r="C193" s="516" t="s">
        <v>324</v>
      </c>
      <c r="D193" s="516" t="s">
        <v>502</v>
      </c>
      <c r="E193" s="372">
        <f>'dod3'!E193-'dod3 жовтень'!E181</f>
        <v>0</v>
      </c>
      <c r="F193" s="372">
        <f>'dod3'!F193-'dod3 жовтень'!F181</f>
        <v>0</v>
      </c>
      <c r="G193" s="372">
        <f>'dod3'!G193-'dod3 жовтень'!G181</f>
        <v>0</v>
      </c>
      <c r="H193" s="372">
        <f>'dod3'!H193-'dod3 жовтень'!H181</f>
        <v>0</v>
      </c>
      <c r="I193" s="372">
        <f>'dod3'!I193-'dod3 жовтень'!I181</f>
        <v>0</v>
      </c>
      <c r="J193" s="372">
        <f>'dod3'!J193-'dod3 жовтень'!J181</f>
        <v>0</v>
      </c>
      <c r="K193" s="372">
        <f>'dod3'!K193-'dod3 жовтень'!K181</f>
        <v>0</v>
      </c>
      <c r="L193" s="372">
        <f>'dod3'!L193-'dod3 жовтень'!L181</f>
        <v>0</v>
      </c>
      <c r="M193" s="372">
        <f>'dod3'!M193-'dod3 жовтень'!M181</f>
        <v>0</v>
      </c>
      <c r="N193" s="372">
        <f>'dod3'!N193-'dod3 жовтень'!N181</f>
        <v>0</v>
      </c>
      <c r="O193" s="372">
        <f>'dod3'!O193-'dod3 жовтень'!O181</f>
        <v>0</v>
      </c>
      <c r="P193" s="372">
        <f>'dod3'!P193-'dod3 жовтень'!P181</f>
        <v>0</v>
      </c>
    </row>
    <row r="194" spans="1:19" ht="91.5" x14ac:dyDescent="0.2">
      <c r="A194" s="516" t="s">
        <v>500</v>
      </c>
      <c r="B194" s="516" t="s">
        <v>501</v>
      </c>
      <c r="C194" s="516" t="s">
        <v>499</v>
      </c>
      <c r="D194" s="516" t="s">
        <v>498</v>
      </c>
      <c r="E194" s="372">
        <f>'dod3'!E194-'dod3 жовтень'!E182</f>
        <v>0</v>
      </c>
      <c r="F194" s="372">
        <f>'dod3'!F194-'dod3 жовтень'!F182</f>
        <v>0</v>
      </c>
      <c r="G194" s="372">
        <f>'dod3'!G194-'dod3 жовтень'!G182</f>
        <v>0</v>
      </c>
      <c r="H194" s="372">
        <f>'dod3'!H194-'dod3 жовтень'!H182</f>
        <v>0</v>
      </c>
      <c r="I194" s="372">
        <f>'dod3'!I194-'dod3 жовтень'!I182</f>
        <v>0</v>
      </c>
      <c r="J194" s="372">
        <f>'dod3'!J194-'dod3 жовтень'!J182</f>
        <v>0</v>
      </c>
      <c r="K194" s="372">
        <f>'dod3'!K194-'dod3 жовтень'!K182</f>
        <v>0</v>
      </c>
      <c r="L194" s="372">
        <f>'dod3'!L194-'dod3 жовтень'!L182</f>
        <v>0</v>
      </c>
      <c r="M194" s="372">
        <f>'dod3'!M194-'dod3 жовтень'!M182</f>
        <v>0</v>
      </c>
      <c r="N194" s="372">
        <f>'dod3'!N194-'dod3 жовтень'!N182</f>
        <v>0</v>
      </c>
      <c r="O194" s="372">
        <f>'dod3'!O194-'dod3 жовтень'!O182</f>
        <v>0</v>
      </c>
      <c r="P194" s="372">
        <f>'dod3'!P194-'dod3 жовтень'!P182</f>
        <v>0</v>
      </c>
    </row>
    <row r="195" spans="1:19" ht="137.25" x14ac:dyDescent="0.2">
      <c r="A195" s="516" t="s">
        <v>491</v>
      </c>
      <c r="B195" s="516" t="s">
        <v>493</v>
      </c>
      <c r="C195" s="516" t="s">
        <v>404</v>
      </c>
      <c r="D195" s="516" t="s">
        <v>492</v>
      </c>
      <c r="E195" s="372">
        <f>'dod3'!E195-'dod3 жовтень'!E183</f>
        <v>0</v>
      </c>
      <c r="F195" s="372">
        <f>'dod3'!F195-'dod3 жовтень'!F183</f>
        <v>0</v>
      </c>
      <c r="G195" s="372">
        <f>'dod3'!G195-'dod3 жовтень'!G183</f>
        <v>0</v>
      </c>
      <c r="H195" s="372">
        <f>'dod3'!H195-'dod3 жовтень'!H183</f>
        <v>0</v>
      </c>
      <c r="I195" s="372">
        <f>'dod3'!I195-'dod3 жовтень'!I183</f>
        <v>0</v>
      </c>
      <c r="J195" s="372">
        <f>'dod3'!J195-'dod3 жовтень'!J183</f>
        <v>0</v>
      </c>
      <c r="K195" s="372">
        <f>'dod3'!K195-'dod3 жовтень'!K183</f>
        <v>0</v>
      </c>
      <c r="L195" s="372">
        <f>'dod3'!L195-'dod3 жовтень'!L183</f>
        <v>0</v>
      </c>
      <c r="M195" s="372">
        <f>'dod3'!M195-'dod3 жовтень'!M183</f>
        <v>0</v>
      </c>
      <c r="N195" s="372">
        <f>'dod3'!N195-'dod3 жовтень'!N183</f>
        <v>0</v>
      </c>
      <c r="O195" s="372">
        <f>'dod3'!O195-'dod3 жовтень'!O183</f>
        <v>0</v>
      </c>
      <c r="P195" s="372">
        <f>'dod3'!P195-'dod3 жовтень'!P183</f>
        <v>0</v>
      </c>
    </row>
    <row r="196" spans="1:19" ht="46.5" x14ac:dyDescent="0.2">
      <c r="A196" s="516" t="s">
        <v>495</v>
      </c>
      <c r="B196" s="516" t="s">
        <v>449</v>
      </c>
      <c r="C196" s="516" t="s">
        <v>324</v>
      </c>
      <c r="D196" s="516" t="s">
        <v>447</v>
      </c>
      <c r="E196" s="372">
        <f>'dod3'!E196-'dod3 жовтень'!E184</f>
        <v>0</v>
      </c>
      <c r="F196" s="372">
        <f>'dod3'!F196-'dod3 жовтень'!F184</f>
        <v>0</v>
      </c>
      <c r="G196" s="372">
        <f>'dod3'!G196-'dod3 жовтень'!G184</f>
        <v>0</v>
      </c>
      <c r="H196" s="372">
        <f>'dod3'!H196-'dod3 жовтень'!H184</f>
        <v>0</v>
      </c>
      <c r="I196" s="372">
        <f>'dod3'!I196-'dod3 жовтень'!I184</f>
        <v>0</v>
      </c>
      <c r="J196" s="372">
        <f>'dod3'!J196-'dod3 жовтень'!J184</f>
        <v>70000</v>
      </c>
      <c r="K196" s="372">
        <f>'dod3'!K196-'dod3 жовтень'!K184</f>
        <v>70000</v>
      </c>
      <c r="L196" s="372">
        <f>'dod3'!L196-'dod3 жовтень'!L184</f>
        <v>0</v>
      </c>
      <c r="M196" s="372">
        <f>'dod3'!M196-'dod3 жовтень'!M184</f>
        <v>0</v>
      </c>
      <c r="N196" s="372">
        <f>'dod3'!N196-'dod3 жовтень'!N184</f>
        <v>0</v>
      </c>
      <c r="O196" s="372">
        <f>'dod3'!O196-'dod3 жовтень'!O184</f>
        <v>0</v>
      </c>
      <c r="P196" s="372">
        <f>'dod3'!P196-'dod3 жовтень'!P184</f>
        <v>70000</v>
      </c>
    </row>
    <row r="197" spans="1:19" ht="409.5" x14ac:dyDescent="0.2">
      <c r="A197" s="587" t="s">
        <v>1037</v>
      </c>
      <c r="B197" s="587" t="s">
        <v>699</v>
      </c>
      <c r="C197" s="587" t="s">
        <v>324</v>
      </c>
      <c r="D197" s="482" t="s">
        <v>727</v>
      </c>
      <c r="E197" s="666">
        <f>'dod3'!E197:E198-0</f>
        <v>0</v>
      </c>
      <c r="F197" s="666">
        <f>'dod3'!F197:F198-0</f>
        <v>0</v>
      </c>
      <c r="G197" s="666">
        <f>'dod3'!G197:G198-0</f>
        <v>0</v>
      </c>
      <c r="H197" s="666">
        <f>'dod3'!H197:H198-0</f>
        <v>0</v>
      </c>
      <c r="I197" s="666">
        <f>'dod3'!I197:I198-0</f>
        <v>0</v>
      </c>
      <c r="J197" s="666">
        <f>'dod3'!J197:J198-0</f>
        <v>70000</v>
      </c>
      <c r="K197" s="666">
        <f>'dod3'!K197:K198-0</f>
        <v>70000</v>
      </c>
      <c r="L197" s="666">
        <f>'dod3'!L197:L198-0</f>
        <v>0</v>
      </c>
      <c r="M197" s="666">
        <f>'dod3'!M197:M198-0</f>
        <v>0</v>
      </c>
      <c r="N197" s="666">
        <f>'dod3'!N197:N198-0</f>
        <v>0</v>
      </c>
      <c r="O197" s="666">
        <f>'dod3'!O197:O198-0</f>
        <v>0</v>
      </c>
      <c r="P197" s="666">
        <f>'dod3'!P197:P198-0</f>
        <v>70000</v>
      </c>
    </row>
    <row r="198" spans="1:19" ht="137.25" x14ac:dyDescent="0.2">
      <c r="A198" s="583"/>
      <c r="B198" s="583"/>
      <c r="C198" s="583"/>
      <c r="D198" s="483" t="s">
        <v>728</v>
      </c>
      <c r="E198" s="667"/>
      <c r="F198" s="667"/>
      <c r="G198" s="667"/>
      <c r="H198" s="667"/>
      <c r="I198" s="667"/>
      <c r="J198" s="667"/>
      <c r="K198" s="667"/>
      <c r="L198" s="667"/>
      <c r="M198" s="667"/>
      <c r="N198" s="667"/>
      <c r="O198" s="667"/>
      <c r="P198" s="667"/>
    </row>
    <row r="199" spans="1:19" ht="91.5" x14ac:dyDescent="0.2">
      <c r="A199" s="509" t="s">
        <v>496</v>
      </c>
      <c r="B199" s="509" t="s">
        <v>497</v>
      </c>
      <c r="C199" s="509" t="s">
        <v>324</v>
      </c>
      <c r="D199" s="509" t="s">
        <v>494</v>
      </c>
      <c r="E199" s="510">
        <f>'dod3'!E199-'dod3 жовтень'!E185</f>
        <v>0</v>
      </c>
      <c r="F199" s="510">
        <f>'dod3'!F199-'dod3 жовтень'!F185</f>
        <v>0</v>
      </c>
      <c r="G199" s="510">
        <f>'dod3'!G199-'dod3 жовтень'!G185</f>
        <v>0</v>
      </c>
      <c r="H199" s="510">
        <f>'dod3'!H199-'dod3 жовтень'!H185</f>
        <v>0</v>
      </c>
      <c r="I199" s="510">
        <f>'dod3'!I199-'dod3 жовтень'!I185</f>
        <v>0</v>
      </c>
      <c r="J199" s="510">
        <f>'dod3'!J199-'dod3 жовтень'!J185</f>
        <v>0</v>
      </c>
      <c r="K199" s="510">
        <f>'dod3'!K199-'dod3 жовтень'!K185</f>
        <v>0</v>
      </c>
      <c r="L199" s="510">
        <f>'dod3'!L199-'dod3 жовтень'!L185</f>
        <v>0</v>
      </c>
      <c r="M199" s="510">
        <f>'dod3'!M199-'dod3 жовтень'!M185</f>
        <v>0</v>
      </c>
      <c r="N199" s="510">
        <f>'dod3'!N199-'dod3 жовтень'!N185</f>
        <v>0</v>
      </c>
      <c r="O199" s="510">
        <f>'dod3'!O199-'dod3 жовтень'!O185</f>
        <v>0</v>
      </c>
      <c r="P199" s="510">
        <f>'dod3'!P199-'dod3 жовтень'!P185</f>
        <v>0</v>
      </c>
    </row>
    <row r="200" spans="1:19" ht="135" x14ac:dyDescent="0.2">
      <c r="A200" s="473" t="s">
        <v>318</v>
      </c>
      <c r="B200" s="473"/>
      <c r="C200" s="473"/>
      <c r="D200" s="473" t="s">
        <v>72</v>
      </c>
      <c r="E200" s="476">
        <f>E201</f>
        <v>3621500</v>
      </c>
      <c r="F200" s="476">
        <f t="shared" ref="F200:P200" si="21">F201</f>
        <v>3621500</v>
      </c>
      <c r="G200" s="476">
        <f t="shared" si="21"/>
        <v>2740000</v>
      </c>
      <c r="H200" s="476">
        <f t="shared" si="21"/>
        <v>117900</v>
      </c>
      <c r="I200" s="476">
        <f t="shared" si="21"/>
        <v>0</v>
      </c>
      <c r="J200" s="476">
        <f t="shared" si="21"/>
        <v>66000</v>
      </c>
      <c r="K200" s="476">
        <f t="shared" si="21"/>
        <v>0</v>
      </c>
      <c r="L200" s="476">
        <f t="shared" si="21"/>
        <v>0</v>
      </c>
      <c r="M200" s="476">
        <f t="shared" si="21"/>
        <v>0</v>
      </c>
      <c r="N200" s="476">
        <f t="shared" si="21"/>
        <v>66000</v>
      </c>
      <c r="O200" s="475">
        <f t="shared" si="21"/>
        <v>66000</v>
      </c>
      <c r="P200" s="476">
        <f t="shared" si="21"/>
        <v>3687500</v>
      </c>
    </row>
    <row r="201" spans="1:19" ht="180" x14ac:dyDescent="0.2">
      <c r="A201" s="480" t="s">
        <v>319</v>
      </c>
      <c r="B201" s="480"/>
      <c r="C201" s="480"/>
      <c r="D201" s="480" t="s">
        <v>97</v>
      </c>
      <c r="E201" s="475">
        <f>E202+E203+E206+E207</f>
        <v>3621500</v>
      </c>
      <c r="F201" s="475">
        <f t="shared" ref="F201:H201" si="22">F202+F203+F206+F207</f>
        <v>3621500</v>
      </c>
      <c r="G201" s="475">
        <f t="shared" si="22"/>
        <v>2740000</v>
      </c>
      <c r="H201" s="475">
        <f t="shared" si="22"/>
        <v>117900</v>
      </c>
      <c r="I201" s="476">
        <f>I206+I207+I203</f>
        <v>0</v>
      </c>
      <c r="J201" s="475">
        <f>K201+N201</f>
        <v>66000</v>
      </c>
      <c r="K201" s="476">
        <f>K206+K207+K203+K202</f>
        <v>0</v>
      </c>
      <c r="L201" s="475">
        <f>L206+L207+L203+L202</f>
        <v>0</v>
      </c>
      <c r="M201" s="475">
        <f>M206+M207+M203+M202</f>
        <v>0</v>
      </c>
      <c r="N201" s="476">
        <f>N206+N207+N203+N202</f>
        <v>66000</v>
      </c>
      <c r="O201" s="475">
        <f>O206+O207+O203+O202</f>
        <v>66000</v>
      </c>
      <c r="P201" s="475">
        <f>E201+J201</f>
        <v>3687500</v>
      </c>
      <c r="Q201" s="251" t="b">
        <f>P201=P204+P205+P206+P207+P202</f>
        <v>1</v>
      </c>
      <c r="R201" s="253"/>
      <c r="S201" s="253" t="b">
        <f>O201='dod5'!J260</f>
        <v>1</v>
      </c>
    </row>
    <row r="202" spans="1:19" ht="228.75" x14ac:dyDescent="0.2">
      <c r="A202" s="516" t="s">
        <v>1029</v>
      </c>
      <c r="B202" s="516" t="s">
        <v>433</v>
      </c>
      <c r="C202" s="516" t="s">
        <v>430</v>
      </c>
      <c r="D202" s="516" t="s">
        <v>431</v>
      </c>
      <c r="E202" s="372">
        <f>'dod3'!E202-0</f>
        <v>3621500</v>
      </c>
      <c r="F202" s="372">
        <f>'dod3'!F202-0</f>
        <v>3621500</v>
      </c>
      <c r="G202" s="372">
        <f>'dod3'!G202-0</f>
        <v>2740000</v>
      </c>
      <c r="H202" s="372">
        <f>'dod3'!H202-0</f>
        <v>117900</v>
      </c>
      <c r="I202" s="372">
        <f>'dod3'!I202-0</f>
        <v>0</v>
      </c>
      <c r="J202" s="372">
        <f>'dod3'!J202-0</f>
        <v>66000</v>
      </c>
      <c r="K202" s="372">
        <f>'dod3'!K202-0</f>
        <v>0</v>
      </c>
      <c r="L202" s="372">
        <f>'dod3'!L202-0</f>
        <v>0</v>
      </c>
      <c r="M202" s="372">
        <f>'dod3'!M202-0</f>
        <v>0</v>
      </c>
      <c r="N202" s="372">
        <f>'dod3'!N202-0</f>
        <v>66000</v>
      </c>
      <c r="O202" s="372">
        <f>'dod3'!O202-0</f>
        <v>66000</v>
      </c>
      <c r="P202" s="372">
        <f>'dod3'!P202-0</f>
        <v>3687500</v>
      </c>
      <c r="Q202" s="251"/>
      <c r="R202" s="253"/>
    </row>
    <row r="203" spans="1:19" ht="137.25" x14ac:dyDescent="0.2">
      <c r="A203" s="516" t="s">
        <v>583</v>
      </c>
      <c r="B203" s="516" t="s">
        <v>584</v>
      </c>
      <c r="C203" s="516"/>
      <c r="D203" s="516" t="s">
        <v>585</v>
      </c>
      <c r="E203" s="177">
        <f>'dod3'!E203-'dod3 жовтень'!E188</f>
        <v>0</v>
      </c>
      <c r="F203" s="177">
        <f>'dod3'!F203-'dod3 жовтень'!F188</f>
        <v>0</v>
      </c>
      <c r="G203" s="177">
        <f>'dod3'!G203-'dod3 жовтень'!G188</f>
        <v>0</v>
      </c>
      <c r="H203" s="177">
        <f>'dod3'!H203-'dod3 жовтень'!H188</f>
        <v>0</v>
      </c>
      <c r="I203" s="177">
        <f>'dod3'!I203-'dod3 жовтень'!I188</f>
        <v>0</v>
      </c>
      <c r="J203" s="177">
        <f>'dod3'!J203-'dod3 жовтень'!J188</f>
        <v>0</v>
      </c>
      <c r="K203" s="177">
        <f>'dod3'!K203-'dod3 жовтень'!K188</f>
        <v>0</v>
      </c>
      <c r="L203" s="177">
        <f>'dod3'!L203-'dod3 жовтень'!L188</f>
        <v>0</v>
      </c>
      <c r="M203" s="177">
        <f>'dod3'!M203-'dod3 жовтень'!M188</f>
        <v>0</v>
      </c>
      <c r="N203" s="177">
        <f>'dod3'!N203-'dod3 жовтень'!N188</f>
        <v>0</v>
      </c>
      <c r="O203" s="177">
        <f>'dod3'!O203-'dod3 жовтень'!O188</f>
        <v>0</v>
      </c>
      <c r="P203" s="177">
        <f>'dod3'!P203-'dod3 жовтень'!P188</f>
        <v>0</v>
      </c>
    </row>
    <row r="204" spans="1:19" ht="137.25" x14ac:dyDescent="0.2">
      <c r="A204" s="509" t="s">
        <v>586</v>
      </c>
      <c r="B204" s="509" t="s">
        <v>587</v>
      </c>
      <c r="C204" s="509" t="s">
        <v>119</v>
      </c>
      <c r="D204" s="509" t="s">
        <v>120</v>
      </c>
      <c r="E204" s="177">
        <f>'dod3'!E204-'dod3 жовтень'!E189</f>
        <v>0</v>
      </c>
      <c r="F204" s="177">
        <f>'dod3'!F204-'dod3 жовтень'!F189</f>
        <v>0</v>
      </c>
      <c r="G204" s="177">
        <f>'dod3'!G204-'dod3 жовтень'!G189</f>
        <v>0</v>
      </c>
      <c r="H204" s="177">
        <f>'dod3'!H204-'dod3 жовтень'!H189</f>
        <v>0</v>
      </c>
      <c r="I204" s="177">
        <f>'dod3'!I204-'dod3 жовтень'!I189</f>
        <v>0</v>
      </c>
      <c r="J204" s="177">
        <f>'dod3'!J204-'dod3 жовтень'!J189</f>
        <v>0</v>
      </c>
      <c r="K204" s="177">
        <f>'dod3'!K204-'dod3 жовтень'!K189</f>
        <v>0</v>
      </c>
      <c r="L204" s="177">
        <f>'dod3'!L204-'dod3 жовтень'!L189</f>
        <v>0</v>
      </c>
      <c r="M204" s="177">
        <f>'dod3'!M204-'dod3 жовтень'!M189</f>
        <v>0</v>
      </c>
      <c r="N204" s="177">
        <f>'dod3'!N204-'dod3 жовтень'!N189</f>
        <v>0</v>
      </c>
      <c r="O204" s="177">
        <f>'dod3'!O204-'dod3 жовтень'!O189</f>
        <v>0</v>
      </c>
      <c r="P204" s="177">
        <f>'dod3'!P204-'dod3 жовтень'!P189</f>
        <v>0</v>
      </c>
    </row>
    <row r="205" spans="1:19" ht="46.5" x14ac:dyDescent="0.2">
      <c r="A205" s="509" t="s">
        <v>588</v>
      </c>
      <c r="B205" s="509" t="s">
        <v>589</v>
      </c>
      <c r="C205" s="509" t="s">
        <v>121</v>
      </c>
      <c r="D205" s="509" t="s">
        <v>590</v>
      </c>
      <c r="E205" s="177">
        <f>'dod3'!E205-'dod3 жовтень'!E190</f>
        <v>0</v>
      </c>
      <c r="F205" s="177">
        <f>'dod3'!F205-'dod3 жовтень'!F190</f>
        <v>0</v>
      </c>
      <c r="G205" s="177">
        <f>'dod3'!G205-'dod3 жовтень'!G190</f>
        <v>0</v>
      </c>
      <c r="H205" s="177">
        <f>'dod3'!H205-'dod3 жовтень'!H190</f>
        <v>0</v>
      </c>
      <c r="I205" s="177">
        <f>'dod3'!I205-'dod3 жовтень'!I190</f>
        <v>0</v>
      </c>
      <c r="J205" s="177">
        <f>'dod3'!J205-'dod3 жовтень'!J190</f>
        <v>0</v>
      </c>
      <c r="K205" s="177">
        <f>'dod3'!K205-'dod3 жовтень'!K190</f>
        <v>0</v>
      </c>
      <c r="L205" s="177">
        <f>'dod3'!L205-'dod3 жовтень'!L190</f>
        <v>0</v>
      </c>
      <c r="M205" s="177">
        <f>'dod3'!M205-'dod3 жовтень'!M190</f>
        <v>0</v>
      </c>
      <c r="N205" s="177">
        <f>'dod3'!N205-'dod3 жовтень'!N190</f>
        <v>0</v>
      </c>
      <c r="O205" s="177">
        <f>'dod3'!O205-'dod3 жовтень'!O190</f>
        <v>0</v>
      </c>
      <c r="P205" s="177">
        <f>'dod3'!P205-'dod3 жовтень'!P190</f>
        <v>0</v>
      </c>
    </row>
    <row r="206" spans="1:19" ht="91.5" x14ac:dyDescent="0.2">
      <c r="A206" s="516" t="s">
        <v>591</v>
      </c>
      <c r="B206" s="516" t="s">
        <v>592</v>
      </c>
      <c r="C206" s="516" t="s">
        <v>123</v>
      </c>
      <c r="D206" s="516" t="s">
        <v>130</v>
      </c>
      <c r="E206" s="177">
        <f>'dod3'!E206-'dod3 жовтень'!E191</f>
        <v>0</v>
      </c>
      <c r="F206" s="177">
        <f>'dod3'!F206-'dod3 жовтень'!F191</f>
        <v>0</v>
      </c>
      <c r="G206" s="177">
        <f>'dod3'!G206-'dod3 жовтень'!G191</f>
        <v>0</v>
      </c>
      <c r="H206" s="177">
        <f>'dod3'!H206-'dod3 жовтень'!H191</f>
        <v>0</v>
      </c>
      <c r="I206" s="177">
        <f>'dod3'!I206-'dod3 жовтень'!I191</f>
        <v>0</v>
      </c>
      <c r="J206" s="177">
        <f>'dod3'!J206-'dod3 жовтень'!J191</f>
        <v>0</v>
      </c>
      <c r="K206" s="177">
        <f>'dod3'!K206-'dod3 жовтень'!K191</f>
        <v>0</v>
      </c>
      <c r="L206" s="177">
        <f>'dod3'!L206-'dod3 жовтень'!L191</f>
        <v>0</v>
      </c>
      <c r="M206" s="177">
        <f>'dod3'!M206-'dod3 жовтень'!M191</f>
        <v>0</v>
      </c>
      <c r="N206" s="177">
        <f>'dod3'!N206-'dod3 жовтень'!N191</f>
        <v>0</v>
      </c>
      <c r="O206" s="177">
        <f>'dod3'!O206-'dod3 жовтень'!O191</f>
        <v>0</v>
      </c>
      <c r="P206" s="177">
        <f>'dod3'!P206-'dod3 жовтень'!P191</f>
        <v>0</v>
      </c>
    </row>
    <row r="207" spans="1:19" ht="91.5" x14ac:dyDescent="0.2">
      <c r="A207" s="516" t="s">
        <v>593</v>
      </c>
      <c r="B207" s="516" t="s">
        <v>594</v>
      </c>
      <c r="C207" s="516" t="s">
        <v>122</v>
      </c>
      <c r="D207" s="516" t="s">
        <v>595</v>
      </c>
      <c r="E207" s="177">
        <f>'dod3'!E207-'dod3 жовтень'!E192</f>
        <v>0</v>
      </c>
      <c r="F207" s="177">
        <f>'dod3'!F207-'dod3 жовтень'!F192</f>
        <v>0</v>
      </c>
      <c r="G207" s="177">
        <f>'dod3'!G207-'dod3 жовтень'!G192</f>
        <v>0</v>
      </c>
      <c r="H207" s="177">
        <f>'dod3'!H207-'dod3 жовтень'!H192</f>
        <v>0</v>
      </c>
      <c r="I207" s="177">
        <f>'dod3'!I207-'dod3 жовтень'!I192</f>
        <v>0</v>
      </c>
      <c r="J207" s="177">
        <f>'dod3'!J207-'dod3 жовтень'!J192</f>
        <v>0</v>
      </c>
      <c r="K207" s="177">
        <f>'dod3'!K207-'dod3 жовтень'!K192</f>
        <v>0</v>
      </c>
      <c r="L207" s="177">
        <f>'dod3'!L207-'dod3 жовтень'!L192</f>
        <v>0</v>
      </c>
      <c r="M207" s="177">
        <f>'dod3'!M207-'dod3 жовтень'!M192</f>
        <v>0</v>
      </c>
      <c r="N207" s="177">
        <f>'dod3'!N207-'dod3 жовтень'!N192</f>
        <v>0</v>
      </c>
      <c r="O207" s="177">
        <f>'dod3'!O207-'dod3 жовтень'!O192</f>
        <v>0</v>
      </c>
      <c r="P207" s="177">
        <f>'dod3'!P207-'dod3 жовтень'!P192</f>
        <v>0</v>
      </c>
    </row>
    <row r="208" spans="1:19" ht="225" x14ac:dyDescent="0.2">
      <c r="A208" s="473" t="s">
        <v>316</v>
      </c>
      <c r="B208" s="473"/>
      <c r="C208" s="473"/>
      <c r="D208" s="473" t="s">
        <v>765</v>
      </c>
      <c r="E208" s="476">
        <f>E209</f>
        <v>2725580</v>
      </c>
      <c r="F208" s="476">
        <f t="shared" ref="F208:P208" si="23">F209</f>
        <v>2725580</v>
      </c>
      <c r="G208" s="476">
        <f t="shared" si="23"/>
        <v>2049100</v>
      </c>
      <c r="H208" s="476">
        <f t="shared" si="23"/>
        <v>60000</v>
      </c>
      <c r="I208" s="476">
        <f t="shared" si="23"/>
        <v>0</v>
      </c>
      <c r="J208" s="476">
        <f t="shared" si="23"/>
        <v>38000</v>
      </c>
      <c r="K208" s="476">
        <f t="shared" si="23"/>
        <v>0</v>
      </c>
      <c r="L208" s="476">
        <f t="shared" si="23"/>
        <v>0</v>
      </c>
      <c r="M208" s="476">
        <f t="shared" si="23"/>
        <v>0</v>
      </c>
      <c r="N208" s="476">
        <f t="shared" si="23"/>
        <v>38000</v>
      </c>
      <c r="O208" s="475">
        <f t="shared" si="23"/>
        <v>38000</v>
      </c>
      <c r="P208" s="476">
        <f t="shared" si="23"/>
        <v>2763580</v>
      </c>
    </row>
    <row r="209" spans="1:20" ht="270" x14ac:dyDescent="0.2">
      <c r="A209" s="480" t="s">
        <v>317</v>
      </c>
      <c r="B209" s="480"/>
      <c r="C209" s="480"/>
      <c r="D209" s="480" t="s">
        <v>766</v>
      </c>
      <c r="E209" s="475">
        <f>E211+E212+E210</f>
        <v>2725580</v>
      </c>
      <c r="F209" s="476">
        <f>F211+F212+F210</f>
        <v>2725580</v>
      </c>
      <c r="G209" s="475">
        <f>G211+G212+G210</f>
        <v>2049100</v>
      </c>
      <c r="H209" s="475">
        <f>H211+H212+H210</f>
        <v>60000</v>
      </c>
      <c r="I209" s="476">
        <f>I211+I212</f>
        <v>0</v>
      </c>
      <c r="J209" s="475">
        <f>K209+N209</f>
        <v>38000</v>
      </c>
      <c r="K209" s="476">
        <f>K211+K212+K210</f>
        <v>0</v>
      </c>
      <c r="L209" s="475">
        <f>L211+L212+L210</f>
        <v>0</v>
      </c>
      <c r="M209" s="475">
        <f>M211+M212+M210</f>
        <v>0</v>
      </c>
      <c r="N209" s="476">
        <f>N210+N211+N212</f>
        <v>38000</v>
      </c>
      <c r="O209" s="475">
        <f>O211+O212+O210</f>
        <v>38000</v>
      </c>
      <c r="P209" s="475">
        <f>+J209+E209</f>
        <v>2763580</v>
      </c>
      <c r="Q209" s="251" t="b">
        <f>P209=P211+P212+P210</f>
        <v>1</v>
      </c>
      <c r="R209" s="253"/>
    </row>
    <row r="210" spans="1:20" ht="228.75" x14ac:dyDescent="0.2">
      <c r="A210" s="516" t="s">
        <v>1031</v>
      </c>
      <c r="B210" s="516" t="s">
        <v>433</v>
      </c>
      <c r="C210" s="516" t="s">
        <v>430</v>
      </c>
      <c r="D210" s="516" t="s">
        <v>431</v>
      </c>
      <c r="E210" s="372">
        <f>'dod3'!E210-0</f>
        <v>2725580</v>
      </c>
      <c r="F210" s="372">
        <f>'dod3'!F210-0</f>
        <v>2725580</v>
      </c>
      <c r="G210" s="372">
        <f>'dod3'!G210-0</f>
        <v>2049100</v>
      </c>
      <c r="H210" s="372">
        <f>'dod3'!H210-0</f>
        <v>60000</v>
      </c>
      <c r="I210" s="372">
        <f>'dod3'!I210-0</f>
        <v>0</v>
      </c>
      <c r="J210" s="372">
        <f>'dod3'!J210-0</f>
        <v>38000</v>
      </c>
      <c r="K210" s="372">
        <f>'dod3'!K210-0</f>
        <v>0</v>
      </c>
      <c r="L210" s="372">
        <f>'dod3'!L210-0</f>
        <v>0</v>
      </c>
      <c r="M210" s="372">
        <f>'dod3'!M210-0</f>
        <v>0</v>
      </c>
      <c r="N210" s="372">
        <f>'dod3'!N210-0</f>
        <v>38000</v>
      </c>
      <c r="O210" s="372">
        <f>'dod3'!O210-0</f>
        <v>38000</v>
      </c>
      <c r="P210" s="372">
        <f>'dod3'!P210-0</f>
        <v>2763580</v>
      </c>
      <c r="Q210" s="251"/>
      <c r="R210" s="253"/>
    </row>
    <row r="211" spans="1:20" ht="91.5" x14ac:dyDescent="0.2">
      <c r="A211" s="516" t="s">
        <v>577</v>
      </c>
      <c r="B211" s="516" t="s">
        <v>578</v>
      </c>
      <c r="C211" s="516" t="s">
        <v>579</v>
      </c>
      <c r="D211" s="516" t="s">
        <v>576</v>
      </c>
      <c r="E211" s="372">
        <f>'dod3'!E211-'dod3 жовтень'!E195</f>
        <v>0</v>
      </c>
      <c r="F211" s="372">
        <f>'dod3'!F211-'dod3 жовтень'!F195</f>
        <v>0</v>
      </c>
      <c r="G211" s="372">
        <f>'dod3'!G211-'dod3 жовтень'!G195</f>
        <v>0</v>
      </c>
      <c r="H211" s="372">
        <f>'dod3'!H211-'dod3 жовтень'!H195</f>
        <v>0</v>
      </c>
      <c r="I211" s="372">
        <f>'dod3'!I211-'dod3 жовтень'!I195</f>
        <v>0</v>
      </c>
      <c r="J211" s="372">
        <f>'dod3'!J211-'dod3 жовтень'!J195</f>
        <v>0</v>
      </c>
      <c r="K211" s="372">
        <f>'dod3'!K211-'dod3 жовтень'!K195</f>
        <v>0</v>
      </c>
      <c r="L211" s="372">
        <f>'dod3'!L211-'dod3 жовтень'!L195</f>
        <v>0</v>
      </c>
      <c r="M211" s="372">
        <f>'dod3'!M211-'dod3 жовтень'!M195</f>
        <v>0</v>
      </c>
      <c r="N211" s="372">
        <f>'dod3'!N211-'dod3 жовтень'!N195</f>
        <v>0</v>
      </c>
      <c r="O211" s="372">
        <f>'dod3'!O211-'dod3 жовтень'!O195</f>
        <v>0</v>
      </c>
      <c r="P211" s="372">
        <f>'dod3'!P211-'dod3 жовтень'!P195</f>
        <v>0</v>
      </c>
    </row>
    <row r="212" spans="1:20" ht="137.25" x14ac:dyDescent="0.2">
      <c r="A212" s="516" t="s">
        <v>838</v>
      </c>
      <c r="B212" s="516" t="s">
        <v>839</v>
      </c>
      <c r="C212" s="516" t="s">
        <v>324</v>
      </c>
      <c r="D212" s="516" t="s">
        <v>840</v>
      </c>
      <c r="E212" s="372">
        <f>'dod3'!E212-'dod3 жовтень'!E196</f>
        <v>0</v>
      </c>
      <c r="F212" s="372">
        <f>'dod3'!F212-'dod3 жовтень'!F196</f>
        <v>0</v>
      </c>
      <c r="G212" s="372">
        <f>'dod3'!G212-'dod3 жовтень'!G196</f>
        <v>0</v>
      </c>
      <c r="H212" s="372">
        <f>'dod3'!H212-'dod3 жовтень'!H196</f>
        <v>0</v>
      </c>
      <c r="I212" s="372">
        <f>'dod3'!I212-'dod3 жовтень'!I196</f>
        <v>0</v>
      </c>
      <c r="J212" s="372">
        <f>'dod3'!J212-'dod3 жовтень'!J196</f>
        <v>0</v>
      </c>
      <c r="K212" s="372">
        <f>'dod3'!K212-'dod3 жовтень'!K196</f>
        <v>0</v>
      </c>
      <c r="L212" s="372">
        <f>'dod3'!L212-'dod3 жовтень'!L196</f>
        <v>0</v>
      </c>
      <c r="M212" s="372">
        <f>'dod3'!M212-'dod3 жовтень'!M196</f>
        <v>0</v>
      </c>
      <c r="N212" s="372">
        <f>'dod3'!N212-'dod3 жовтень'!N196</f>
        <v>0</v>
      </c>
      <c r="O212" s="372">
        <f>'dod3'!O212-'dod3 жовтень'!O196</f>
        <v>0</v>
      </c>
      <c r="P212" s="372">
        <f>'dod3'!P212-'dod3 жовтень'!P196</f>
        <v>0</v>
      </c>
    </row>
    <row r="213" spans="1:20" ht="135" x14ac:dyDescent="0.2">
      <c r="A213" s="473" t="s">
        <v>322</v>
      </c>
      <c r="B213" s="473"/>
      <c r="C213" s="473"/>
      <c r="D213" s="473" t="s">
        <v>74</v>
      </c>
      <c r="E213" s="476">
        <f>E214</f>
        <v>5108900</v>
      </c>
      <c r="F213" s="476">
        <f t="shared" ref="F213:P213" si="24">F214</f>
        <v>5108900</v>
      </c>
      <c r="G213" s="476">
        <f t="shared" si="24"/>
        <v>3944900</v>
      </c>
      <c r="H213" s="476">
        <f t="shared" si="24"/>
        <v>105400</v>
      </c>
      <c r="I213" s="476">
        <f t="shared" si="24"/>
        <v>0</v>
      </c>
      <c r="J213" s="476">
        <f t="shared" si="24"/>
        <v>81000</v>
      </c>
      <c r="K213" s="476">
        <f t="shared" si="24"/>
        <v>0</v>
      </c>
      <c r="L213" s="476">
        <f t="shared" si="24"/>
        <v>0</v>
      </c>
      <c r="M213" s="476">
        <f t="shared" si="24"/>
        <v>0</v>
      </c>
      <c r="N213" s="476">
        <f t="shared" si="24"/>
        <v>81000</v>
      </c>
      <c r="O213" s="475">
        <f t="shared" si="24"/>
        <v>81000</v>
      </c>
      <c r="P213" s="476">
        <f t="shared" si="24"/>
        <v>5189900</v>
      </c>
    </row>
    <row r="214" spans="1:20" ht="135" x14ac:dyDescent="0.2">
      <c r="A214" s="480" t="s">
        <v>323</v>
      </c>
      <c r="B214" s="480"/>
      <c r="C214" s="480"/>
      <c r="D214" s="480" t="s">
        <v>98</v>
      </c>
      <c r="E214" s="475">
        <f>E217+E216+E218+E215</f>
        <v>5108900</v>
      </c>
      <c r="F214" s="476">
        <f>F217+F216+F218+F215</f>
        <v>5108900</v>
      </c>
      <c r="G214" s="475">
        <f>SUM(G215:G218)</f>
        <v>3944900</v>
      </c>
      <c r="H214" s="475">
        <f>SUM(H215:H218)</f>
        <v>105400</v>
      </c>
      <c r="I214" s="476">
        <v>0</v>
      </c>
      <c r="J214" s="475">
        <f>K214+N214</f>
        <v>81000</v>
      </c>
      <c r="K214" s="476">
        <f>K215+K216+K217+K218</f>
        <v>0</v>
      </c>
      <c r="L214" s="475">
        <f t="shared" ref="L214:O214" si="25">L215+L216+L217+L218</f>
        <v>0</v>
      </c>
      <c r="M214" s="475">
        <f t="shared" si="25"/>
        <v>0</v>
      </c>
      <c r="N214" s="476">
        <f t="shared" si="25"/>
        <v>81000</v>
      </c>
      <c r="O214" s="475">
        <f t="shared" si="25"/>
        <v>81000</v>
      </c>
      <c r="P214" s="475">
        <f>E214+J214</f>
        <v>5189900</v>
      </c>
      <c r="Q214" s="251" t="b">
        <f>P214=P216+P217+P218+P215</f>
        <v>1</v>
      </c>
      <c r="R214" s="253"/>
    </row>
    <row r="215" spans="1:20" ht="228.75" x14ac:dyDescent="0.2">
      <c r="A215" s="516" t="s">
        <v>1032</v>
      </c>
      <c r="B215" s="516" t="s">
        <v>433</v>
      </c>
      <c r="C215" s="516" t="s">
        <v>430</v>
      </c>
      <c r="D215" s="516" t="s">
        <v>431</v>
      </c>
      <c r="E215" s="372">
        <f>'dod3'!E215-0</f>
        <v>5108900</v>
      </c>
      <c r="F215" s="372">
        <f>'dod3'!F215-0</f>
        <v>5108900</v>
      </c>
      <c r="G215" s="372">
        <f>'dod3'!G215-0</f>
        <v>3944900</v>
      </c>
      <c r="H215" s="372">
        <f>'dod3'!H215-0</f>
        <v>105400</v>
      </c>
      <c r="I215" s="372">
        <f>'dod3'!I215-0</f>
        <v>0</v>
      </c>
      <c r="J215" s="372">
        <f>'dod3'!J215-0</f>
        <v>81000</v>
      </c>
      <c r="K215" s="372">
        <f>'dod3'!K215-0</f>
        <v>0</v>
      </c>
      <c r="L215" s="372">
        <f>'dod3'!L215-0</f>
        <v>0</v>
      </c>
      <c r="M215" s="372">
        <f>'dod3'!M215-0</f>
        <v>0</v>
      </c>
      <c r="N215" s="372">
        <f>'dod3'!N215-0</f>
        <v>81000</v>
      </c>
      <c r="O215" s="372">
        <f>'dod3'!O215-0</f>
        <v>81000</v>
      </c>
      <c r="P215" s="372">
        <f>'dod3'!P215-0</f>
        <v>5189900</v>
      </c>
      <c r="Q215" s="251"/>
      <c r="R215" s="253"/>
    </row>
    <row r="216" spans="1:20" ht="46.5" x14ac:dyDescent="0.65">
      <c r="A216" s="448">
        <v>3718600</v>
      </c>
      <c r="B216" s="448">
        <v>8600</v>
      </c>
      <c r="C216" s="516" t="s">
        <v>780</v>
      </c>
      <c r="D216" s="448" t="s">
        <v>781</v>
      </c>
      <c r="E216" s="372">
        <f>'dod3'!E216-'dod3 жовтень'!E199</f>
        <v>0</v>
      </c>
      <c r="F216" s="372">
        <f>'dod3'!F216-'dod3 жовтень'!F199</f>
        <v>0</v>
      </c>
      <c r="G216" s="372">
        <f>'dod3'!G216-'dod3 жовтень'!G199</f>
        <v>0</v>
      </c>
      <c r="H216" s="372">
        <f>'dod3'!H216-'dod3 жовтень'!H199</f>
        <v>0</v>
      </c>
      <c r="I216" s="372">
        <f>'dod3'!I216-'dod3 жовтень'!I199</f>
        <v>0</v>
      </c>
      <c r="J216" s="372">
        <f>'dod3'!J216-'dod3 жовтень'!J199</f>
        <v>0</v>
      </c>
      <c r="K216" s="372">
        <f>'dod3'!K216-'dod3 жовтень'!K199</f>
        <v>0</v>
      </c>
      <c r="L216" s="372">
        <f>'dod3'!L216-'dod3 жовтень'!L199</f>
        <v>0</v>
      </c>
      <c r="M216" s="372">
        <f>'dod3'!M216-'dod3 жовтень'!M199</f>
        <v>0</v>
      </c>
      <c r="N216" s="372">
        <f>'dod3'!N216-'dod3 жовтень'!N199</f>
        <v>0</v>
      </c>
      <c r="O216" s="372">
        <f>'dod3'!O216-'dod3 жовтень'!O199</f>
        <v>0</v>
      </c>
      <c r="P216" s="372">
        <f>'dod3'!P216-'dod3 жовтень'!P199</f>
        <v>0</v>
      </c>
      <c r="Q216" s="373"/>
      <c r="R216" s="373"/>
    </row>
    <row r="217" spans="1:20" ht="69" customHeight="1" x14ac:dyDescent="0.65">
      <c r="A217" s="448">
        <v>3718700</v>
      </c>
      <c r="B217" s="448">
        <v>8700</v>
      </c>
      <c r="C217" s="516" t="s">
        <v>102</v>
      </c>
      <c r="D217" s="441" t="s">
        <v>100</v>
      </c>
      <c r="E217" s="372">
        <f>'dod3'!E217-'dod3 жовтень'!E200</f>
        <v>0</v>
      </c>
      <c r="F217" s="372">
        <f>'dod3'!F217-'dod3 жовтень'!F200</f>
        <v>0</v>
      </c>
      <c r="G217" s="372">
        <f>'dod3'!G217-'dod3 жовтень'!G200</f>
        <v>0</v>
      </c>
      <c r="H217" s="372">
        <f>'dod3'!H217-'dod3 жовтень'!H200</f>
        <v>0</v>
      </c>
      <c r="I217" s="372">
        <f>'dod3'!I217-'dod3 жовтень'!I200</f>
        <v>0</v>
      </c>
      <c r="J217" s="372">
        <f>'dod3'!J217-'dod3 жовтень'!J200</f>
        <v>0</v>
      </c>
      <c r="K217" s="372">
        <f>'dod3'!K217-'dod3 жовтень'!K200</f>
        <v>0</v>
      </c>
      <c r="L217" s="372">
        <f>'dod3'!L217-'dod3 жовтень'!L200</f>
        <v>0</v>
      </c>
      <c r="M217" s="372">
        <f>'dod3'!M217-'dod3 жовтень'!M200</f>
        <v>0</v>
      </c>
      <c r="N217" s="372">
        <f>'dod3'!N217-'dod3 жовтень'!N200</f>
        <v>0</v>
      </c>
      <c r="O217" s="372">
        <f>'dod3'!O217-'dod3 жовтень'!O200</f>
        <v>0</v>
      </c>
      <c r="P217" s="372">
        <f>'dod3'!P217-'dod3 жовтень'!P200</f>
        <v>0</v>
      </c>
      <c r="Q217" s="373"/>
      <c r="R217" s="373"/>
    </row>
    <row r="218" spans="1:20" ht="65.25" customHeight="1" x14ac:dyDescent="0.65">
      <c r="A218" s="448">
        <v>3719110</v>
      </c>
      <c r="B218" s="448">
        <v>9110</v>
      </c>
      <c r="C218" s="516" t="s">
        <v>103</v>
      </c>
      <c r="D218" s="441" t="s">
        <v>101</v>
      </c>
      <c r="E218" s="372">
        <f>'dod3'!E218-'dod3 жовтень'!E201</f>
        <v>0</v>
      </c>
      <c r="F218" s="372">
        <f>'dod3'!F218-'dod3 жовтень'!F201</f>
        <v>0</v>
      </c>
      <c r="G218" s="372">
        <f>'dod3'!G218-'dod3 жовтень'!G201</f>
        <v>0</v>
      </c>
      <c r="H218" s="372">
        <f>'dod3'!H218-'dod3 жовтень'!H201</f>
        <v>0</v>
      </c>
      <c r="I218" s="372">
        <f>'dod3'!I218-'dod3 жовтень'!I201</f>
        <v>0</v>
      </c>
      <c r="J218" s="372">
        <f>'dod3'!J218-'dod3 жовтень'!J201</f>
        <v>0</v>
      </c>
      <c r="K218" s="372">
        <f>'dod3'!K218-'dod3 жовтень'!K201</f>
        <v>0</v>
      </c>
      <c r="L218" s="372">
        <f>'dod3'!L218-'dod3 жовтень'!L201</f>
        <v>0</v>
      </c>
      <c r="M218" s="372">
        <f>'dod3'!M218-'dod3 жовтень'!M201</f>
        <v>0</v>
      </c>
      <c r="N218" s="372">
        <f>'dod3'!N218-'dod3 жовтень'!N201</f>
        <v>0</v>
      </c>
      <c r="O218" s="372">
        <f>'dod3'!O218-'dod3 жовтень'!O201</f>
        <v>0</v>
      </c>
      <c r="P218" s="372">
        <f>'dod3'!P218-'dod3 жовтень'!P201</f>
        <v>0</v>
      </c>
      <c r="Q218" s="373"/>
      <c r="R218" s="373"/>
    </row>
    <row r="219" spans="1:20" s="5" customFormat="1" ht="81.75" customHeight="1" x14ac:dyDescent="0.65">
      <c r="A219" s="603" t="s">
        <v>8</v>
      </c>
      <c r="B219" s="603"/>
      <c r="C219" s="603"/>
      <c r="D219" s="603"/>
      <c r="E219" s="232">
        <f>E13+E31+E129+E44+E60+E117+E154+E180+E188+E214+E192+E201+E209</f>
        <v>4641111.9999999776</v>
      </c>
      <c r="F219" s="233">
        <f>F13+F31+F129+F44+F59+F117+F154+F180+F188+F214+F192+F201+F209</f>
        <v>4641111.9999999776</v>
      </c>
      <c r="G219" s="232">
        <f t="shared" ref="G219:O219" si="26">G13+G31+G129+G44+G60+G117+G154+G180+G188+G214+G192+G201+G209</f>
        <v>-718722.9999999851</v>
      </c>
      <c r="H219" s="232">
        <f t="shared" si="26"/>
        <v>-1212835</v>
      </c>
      <c r="I219" s="233">
        <f t="shared" si="26"/>
        <v>0</v>
      </c>
      <c r="J219" s="232">
        <f t="shared" si="26"/>
        <v>4225488</v>
      </c>
      <c r="K219" s="233">
        <f t="shared" si="26"/>
        <v>49496.419999999925</v>
      </c>
      <c r="L219" s="232">
        <f t="shared" si="26"/>
        <v>0</v>
      </c>
      <c r="M219" s="232">
        <f t="shared" si="26"/>
        <v>-137108</v>
      </c>
      <c r="N219" s="233">
        <f t="shared" si="26"/>
        <v>4175991.58</v>
      </c>
      <c r="O219" s="232">
        <f t="shared" si="26"/>
        <v>4225488</v>
      </c>
      <c r="P219" s="232">
        <f>P13+P31+P129+P44+P59+P117+P154+P180+P188+P214+P192+P201+P209</f>
        <v>8866599.9999999776</v>
      </c>
      <c r="Q219" s="465"/>
      <c r="R219" s="466"/>
      <c r="T219" s="402"/>
    </row>
    <row r="220" spans="1:20" ht="31.5" customHeight="1" x14ac:dyDescent="0.65">
      <c r="A220" s="606" t="s">
        <v>574</v>
      </c>
      <c r="B220" s="607"/>
      <c r="C220" s="607"/>
      <c r="D220" s="607"/>
      <c r="E220" s="607"/>
      <c r="F220" s="607"/>
      <c r="G220" s="607"/>
      <c r="H220" s="607"/>
      <c r="I220" s="607"/>
      <c r="J220" s="607"/>
      <c r="K220" s="607"/>
      <c r="L220" s="607"/>
      <c r="M220" s="607"/>
      <c r="N220" s="607"/>
      <c r="O220" s="607"/>
      <c r="P220" s="607"/>
      <c r="Q220" s="467"/>
      <c r="R220" s="373"/>
    </row>
    <row r="221" spans="1:20" ht="79.5" customHeight="1" x14ac:dyDescent="0.2">
      <c r="A221" s="192"/>
      <c r="B221" s="193"/>
      <c r="C221" s="193"/>
      <c r="D221" s="193"/>
      <c r="E221" s="475">
        <f>(1409900+3535512)-1866000+5000+1556700</f>
        <v>4641112</v>
      </c>
      <c r="F221" s="475">
        <f>(1409900+3535512)-1866000+5000+1556700</f>
        <v>4641112</v>
      </c>
      <c r="G221" s="475">
        <f>(1155700-1521400+78277-100000)-1888000+1556700</f>
        <v>-718723</v>
      </c>
      <c r="H221" s="475">
        <f>(-12000-1113500-102600+4865+50000)-39600</f>
        <v>-1212835</v>
      </c>
      <c r="I221" s="194"/>
      <c r="J221" s="475">
        <f>-3535512+7761000</f>
        <v>4225488</v>
      </c>
      <c r="K221" s="475">
        <v>49496.42</v>
      </c>
      <c r="L221" s="475">
        <v>0</v>
      </c>
      <c r="M221" s="475">
        <f>-152108+15000</f>
        <v>-137108</v>
      </c>
      <c r="N221" s="475">
        <f>-3585008.42+7761000</f>
        <v>4175991.58</v>
      </c>
      <c r="O221" s="475">
        <f>-3535512+7761000</f>
        <v>4225488</v>
      </c>
      <c r="P221" s="475">
        <f>E221+J221</f>
        <v>8866600</v>
      </c>
      <c r="Q221" s="23"/>
    </row>
    <row r="222" spans="1:20" ht="61.5" customHeight="1" x14ac:dyDescent="0.65">
      <c r="A222" s="513"/>
      <c r="B222" s="513"/>
      <c r="C222" s="513"/>
      <c r="D222" s="602" t="s">
        <v>1021</v>
      </c>
      <c r="E222" s="602"/>
      <c r="F222" s="602"/>
      <c r="G222" s="602"/>
      <c r="H222" s="602"/>
      <c r="I222" s="602"/>
      <c r="J222" s="602"/>
      <c r="K222" s="602"/>
      <c r="L222" s="602"/>
      <c r="M222" s="602"/>
      <c r="N222" s="602"/>
      <c r="O222" s="602"/>
      <c r="P222" s="602"/>
      <c r="Q222" s="24"/>
    </row>
    <row r="223" spans="1:20" ht="45.75" x14ac:dyDescent="0.2">
      <c r="E223" s="55"/>
      <c r="F223" s="11"/>
      <c r="J223" s="9"/>
      <c r="N223" s="50"/>
      <c r="O223" s="54"/>
      <c r="P223" s="47"/>
    </row>
    <row r="224" spans="1:20" ht="45.75" x14ac:dyDescent="0.65">
      <c r="D224" s="602" t="s">
        <v>290</v>
      </c>
      <c r="E224" s="602"/>
      <c r="F224" s="602"/>
      <c r="G224" s="602"/>
      <c r="H224" s="602"/>
      <c r="I224" s="602"/>
      <c r="J224" s="602"/>
      <c r="K224" s="602"/>
      <c r="L224" s="602"/>
      <c r="M224" s="602"/>
      <c r="N224" s="602"/>
      <c r="O224" s="602"/>
      <c r="P224" s="602"/>
      <c r="Q224" s="25"/>
    </row>
    <row r="225" spans="1:18" x14ac:dyDescent="0.2">
      <c r="E225" s="7"/>
      <c r="F225" s="11"/>
      <c r="J225" s="7"/>
      <c r="O225" s="6"/>
    </row>
    <row r="226" spans="1:18" x14ac:dyDescent="0.2">
      <c r="E226" s="7"/>
      <c r="F226" s="11"/>
      <c r="J226" s="7"/>
    </row>
    <row r="227" spans="1:18" ht="44.25" x14ac:dyDescent="0.55000000000000004">
      <c r="E227" s="47" t="b">
        <f>E221=E219</f>
        <v>0</v>
      </c>
      <c r="F227" s="47" t="b">
        <f t="shared" ref="F227:O227" si="27">F221=F219</f>
        <v>0</v>
      </c>
      <c r="G227" s="47" t="b">
        <f>G221=G219</f>
        <v>0</v>
      </c>
      <c r="H227" s="47" t="b">
        <f t="shared" si="27"/>
        <v>1</v>
      </c>
      <c r="I227" s="47" t="b">
        <f t="shared" si="27"/>
        <v>1</v>
      </c>
      <c r="J227" s="47" t="b">
        <f t="shared" si="27"/>
        <v>1</v>
      </c>
      <c r="K227" s="47" t="b">
        <f t="shared" si="27"/>
        <v>0</v>
      </c>
      <c r="L227" s="47" t="b">
        <f t="shared" si="27"/>
        <v>1</v>
      </c>
      <c r="M227" s="47" t="b">
        <f t="shared" si="27"/>
        <v>1</v>
      </c>
      <c r="N227" s="47" t="b">
        <f t="shared" si="27"/>
        <v>1</v>
      </c>
      <c r="O227" s="47" t="b">
        <f t="shared" si="27"/>
        <v>1</v>
      </c>
      <c r="P227" s="180" t="b">
        <f>E219+J219=P219</f>
        <v>1</v>
      </c>
    </row>
    <row r="228" spans="1:18" ht="13.5" x14ac:dyDescent="0.2">
      <c r="E228" s="10"/>
      <c r="F228" s="13"/>
      <c r="G228" s="4"/>
      <c r="H228" s="4"/>
      <c r="I228" s="4"/>
      <c r="J228" s="7"/>
    </row>
    <row r="229" spans="1:18" ht="59.25" x14ac:dyDescent="0.75">
      <c r="A229"/>
      <c r="B229"/>
      <c r="C229"/>
      <c r="D229" s="249" t="s">
        <v>941</v>
      </c>
      <c r="E229" s="250" t="b">
        <f>E219=F219</f>
        <v>1</v>
      </c>
      <c r="F229" s="50">
        <f>F217/P219*100</f>
        <v>0</v>
      </c>
      <c r="G229" s="209" t="s">
        <v>650</v>
      </c>
      <c r="I229" s="249"/>
      <c r="J229" s="250"/>
      <c r="K229" s="196"/>
      <c r="L229" s="271"/>
      <c r="M229"/>
      <c r="N229" s="196"/>
      <c r="O229"/>
      <c r="P229"/>
    </row>
    <row r="230" spans="1:18" ht="60.75" x14ac:dyDescent="0.2">
      <c r="D230" s="249" t="s">
        <v>942</v>
      </c>
      <c r="E230" s="250" t="b">
        <f>G219=839900+735946698</f>
        <v>0</v>
      </c>
      <c r="G230" s="53"/>
      <c r="I230" s="249" t="s">
        <v>942</v>
      </c>
      <c r="J230" s="250" t="b">
        <f>L219=0+27261672</f>
        <v>0</v>
      </c>
      <c r="O230" s="209"/>
      <c r="P230" s="190"/>
      <c r="Q230" s="191"/>
      <c r="R230" s="190"/>
    </row>
    <row r="231" spans="1:18" ht="60.75" x14ac:dyDescent="0.2">
      <c r="A231"/>
      <c r="B231"/>
      <c r="C231"/>
      <c r="D231" s="249" t="s">
        <v>943</v>
      </c>
      <c r="E231" s="250" t="b">
        <f>H219=97533765+11500</f>
        <v>0</v>
      </c>
      <c r="F231" s="50"/>
      <c r="G231" s="6"/>
      <c r="I231" s="249" t="s">
        <v>943</v>
      </c>
      <c r="J231" s="250" t="b">
        <f>M219=0+7617512</f>
        <v>0</v>
      </c>
      <c r="K231" s="196"/>
      <c r="L231"/>
      <c r="M231"/>
      <c r="N231" s="196"/>
      <c r="O231" s="190"/>
      <c r="P231" s="190"/>
      <c r="Q231" s="191"/>
      <c r="R231" s="190"/>
    </row>
    <row r="232" spans="1:18" ht="60.75" x14ac:dyDescent="0.2">
      <c r="D232" s="249"/>
      <c r="E232" s="250"/>
      <c r="F232" s="52"/>
      <c r="O232" s="209"/>
      <c r="P232" s="190"/>
    </row>
    <row r="233" spans="1:18" ht="60.75" x14ac:dyDescent="0.75">
      <c r="A233"/>
      <c r="B233"/>
      <c r="C233"/>
      <c r="D233" s="249"/>
      <c r="E233" s="250"/>
      <c r="F233" s="50"/>
      <c r="G233" s="6"/>
      <c r="J233" s="7"/>
      <c r="K233" s="196"/>
      <c r="L233"/>
      <c r="M233"/>
      <c r="N233" s="196"/>
      <c r="O233" s="271"/>
      <c r="P233" s="190"/>
    </row>
    <row r="234" spans="1:18" ht="62.25" x14ac:dyDescent="0.8">
      <c r="A234"/>
      <c r="B234"/>
      <c r="C234"/>
      <c r="D234"/>
      <c r="E234" s="49"/>
      <c r="F234" s="50"/>
      <c r="J234" s="7"/>
      <c r="K234" s="196"/>
      <c r="L234"/>
      <c r="M234"/>
      <c r="N234" s="196"/>
      <c r="O234"/>
      <c r="P234" s="270"/>
    </row>
    <row r="235" spans="1:18" ht="45.75" x14ac:dyDescent="0.2">
      <c r="E235" s="51"/>
      <c r="F235" s="52"/>
    </row>
    <row r="236" spans="1:18" ht="45.75" x14ac:dyDescent="0.2">
      <c r="A236"/>
      <c r="B236"/>
      <c r="C236"/>
      <c r="D236"/>
      <c r="E236" s="49"/>
      <c r="F236" s="50"/>
      <c r="K236" s="196"/>
      <c r="L236"/>
      <c r="M236"/>
      <c r="N236" s="196"/>
      <c r="O236"/>
      <c r="P236"/>
    </row>
    <row r="237" spans="1:18" ht="45.75" x14ac:dyDescent="0.2">
      <c r="E237" s="51"/>
      <c r="F237" s="52"/>
    </row>
    <row r="238" spans="1:18" ht="45.75" x14ac:dyDescent="0.2">
      <c r="E238" s="51"/>
      <c r="F238" s="52"/>
    </row>
    <row r="239" spans="1:18" ht="45.75" x14ac:dyDescent="0.2">
      <c r="E239" s="51"/>
      <c r="F239" s="52"/>
    </row>
    <row r="240" spans="1:18" ht="45.75" x14ac:dyDescent="0.2">
      <c r="A240"/>
      <c r="B240"/>
      <c r="C240"/>
      <c r="D240"/>
      <c r="E240" s="51"/>
      <c r="F240" s="52"/>
      <c r="G240"/>
      <c r="H240"/>
      <c r="I240" s="196"/>
      <c r="J240"/>
      <c r="K240" s="196"/>
      <c r="L240"/>
      <c r="M240"/>
      <c r="N240" s="196"/>
      <c r="O240"/>
      <c r="P240"/>
    </row>
    <row r="241" spans="1:16" ht="45.75" x14ac:dyDescent="0.2">
      <c r="A241"/>
      <c r="B241"/>
      <c r="C241"/>
      <c r="D241"/>
      <c r="E241" s="51"/>
      <c r="F241" s="52"/>
      <c r="G241"/>
      <c r="H241"/>
      <c r="I241" s="196"/>
      <c r="J241"/>
      <c r="K241" s="196"/>
      <c r="L241"/>
      <c r="M241"/>
      <c r="N241" s="196"/>
      <c r="O241"/>
      <c r="P241"/>
    </row>
    <row r="242" spans="1:16" ht="45.75" x14ac:dyDescent="0.2">
      <c r="A242"/>
      <c r="B242"/>
      <c r="C242"/>
      <c r="D242"/>
      <c r="E242" s="51"/>
      <c r="F242" s="52"/>
      <c r="G242"/>
      <c r="H242"/>
      <c r="I242" s="196"/>
      <c r="J242"/>
      <c r="K242" s="196"/>
      <c r="L242"/>
      <c r="M242"/>
      <c r="N242" s="196"/>
      <c r="O242"/>
      <c r="P242"/>
    </row>
    <row r="243" spans="1:16" ht="45.75" x14ac:dyDescent="0.2">
      <c r="A243"/>
      <c r="B243"/>
      <c r="C243"/>
      <c r="D243"/>
      <c r="E243" s="51"/>
      <c r="F243" s="52"/>
      <c r="G243"/>
      <c r="H243"/>
      <c r="I243" s="196"/>
      <c r="J243"/>
      <c r="K243" s="196"/>
      <c r="L243"/>
      <c r="M243"/>
      <c r="N243" s="196"/>
      <c r="O243"/>
      <c r="P243"/>
    </row>
  </sheetData>
  <mergeCells count="129">
    <mergeCell ref="F24:F25"/>
    <mergeCell ref="G24:G25"/>
    <mergeCell ref="O83:O84"/>
    <mergeCell ref="P83:P84"/>
    <mergeCell ref="N1:P1"/>
    <mergeCell ref="N2:P2"/>
    <mergeCell ref="N3:P3"/>
    <mergeCell ref="A5:P5"/>
    <mergeCell ref="A6:P6"/>
    <mergeCell ref="A8:A10"/>
    <mergeCell ref="B8:B10"/>
    <mergeCell ref="C8:C10"/>
    <mergeCell ref="D8:D10"/>
    <mergeCell ref="E8:I8"/>
    <mergeCell ref="J8:N8"/>
    <mergeCell ref="P8:P10"/>
    <mergeCell ref="E9:E10"/>
    <mergeCell ref="F9:F10"/>
    <mergeCell ref="G9:H9"/>
    <mergeCell ref="I9:I10"/>
    <mergeCell ref="J9:J10"/>
    <mergeCell ref="K9:K10"/>
    <mergeCell ref="L9:M9"/>
    <mergeCell ref="N9:N10"/>
    <mergeCell ref="G103:G105"/>
    <mergeCell ref="H103:H105"/>
    <mergeCell ref="I103:I105"/>
    <mergeCell ref="I83:I84"/>
    <mergeCell ref="N24:N25"/>
    <mergeCell ref="O24:O25"/>
    <mergeCell ref="P24:P25"/>
    <mergeCell ref="A83:A84"/>
    <mergeCell ref="B83:B84"/>
    <mergeCell ref="C83:C84"/>
    <mergeCell ref="E83:E84"/>
    <mergeCell ref="F83:F84"/>
    <mergeCell ref="G83:G84"/>
    <mergeCell ref="H83:H84"/>
    <mergeCell ref="H24:H25"/>
    <mergeCell ref="I24:I25"/>
    <mergeCell ref="J24:J25"/>
    <mergeCell ref="K24:K25"/>
    <mergeCell ref="L24:L25"/>
    <mergeCell ref="M24:M25"/>
    <mergeCell ref="A24:A25"/>
    <mergeCell ref="B24:B25"/>
    <mergeCell ref="C24:C25"/>
    <mergeCell ref="E24:E25"/>
    <mergeCell ref="J83:J84"/>
    <mergeCell ref="K83:K84"/>
    <mergeCell ref="L83:L84"/>
    <mergeCell ref="M83:M84"/>
    <mergeCell ref="N83:N84"/>
    <mergeCell ref="K106:K107"/>
    <mergeCell ref="L106:L107"/>
    <mergeCell ref="M106:M107"/>
    <mergeCell ref="N106:N107"/>
    <mergeCell ref="P175:P176"/>
    <mergeCell ref="O106:O107"/>
    <mergeCell ref="P106:P107"/>
    <mergeCell ref="P103:P105"/>
    <mergeCell ref="A106:A107"/>
    <mergeCell ref="B106:B107"/>
    <mergeCell ref="C106:C107"/>
    <mergeCell ref="E106:E107"/>
    <mergeCell ref="F106:F107"/>
    <mergeCell ref="G106:G107"/>
    <mergeCell ref="H106:H107"/>
    <mergeCell ref="I106:I107"/>
    <mergeCell ref="J106:J107"/>
    <mergeCell ref="J103:J105"/>
    <mergeCell ref="K103:K105"/>
    <mergeCell ref="L103:L105"/>
    <mergeCell ref="M103:M105"/>
    <mergeCell ref="N103:N105"/>
    <mergeCell ref="O103:O105"/>
    <mergeCell ref="A103:A105"/>
    <mergeCell ref="B103:B105"/>
    <mergeCell ref="C103:C105"/>
    <mergeCell ref="E103:E105"/>
    <mergeCell ref="F103:F105"/>
    <mergeCell ref="I175:I176"/>
    <mergeCell ref="N114:N115"/>
    <mergeCell ref="O114:O115"/>
    <mergeCell ref="P114:P115"/>
    <mergeCell ref="A175:A176"/>
    <mergeCell ref="B175:B176"/>
    <mergeCell ref="C175:C176"/>
    <mergeCell ref="E175:E176"/>
    <mergeCell ref="F175:F176"/>
    <mergeCell ref="G175:G176"/>
    <mergeCell ref="H175:H176"/>
    <mergeCell ref="H114:H115"/>
    <mergeCell ref="I114:I115"/>
    <mergeCell ref="J114:J115"/>
    <mergeCell ref="K114:K115"/>
    <mergeCell ref="L114:L115"/>
    <mergeCell ref="M114:M115"/>
    <mergeCell ref="A114:A115"/>
    <mergeCell ref="B114:B115"/>
    <mergeCell ref="C114:C115"/>
    <mergeCell ref="E114:E115"/>
    <mergeCell ref="F114:F115"/>
    <mergeCell ref="G114:G115"/>
    <mergeCell ref="O175:O176"/>
    <mergeCell ref="D224:P224"/>
    <mergeCell ref="J197:J198"/>
    <mergeCell ref="K197:K198"/>
    <mergeCell ref="L197:L198"/>
    <mergeCell ref="M197:M198"/>
    <mergeCell ref="N197:N198"/>
    <mergeCell ref="O197:O198"/>
    <mergeCell ref="J175:J176"/>
    <mergeCell ref="K175:K176"/>
    <mergeCell ref="L175:L176"/>
    <mergeCell ref="M175:M176"/>
    <mergeCell ref="N175:N176"/>
    <mergeCell ref="P197:P198"/>
    <mergeCell ref="A219:D219"/>
    <mergeCell ref="A220:P220"/>
    <mergeCell ref="D222:P222"/>
    <mergeCell ref="A197:A198"/>
    <mergeCell ref="B197:B198"/>
    <mergeCell ref="C197:C198"/>
    <mergeCell ref="E197:E198"/>
    <mergeCell ref="F197:F198"/>
    <mergeCell ref="G197:G198"/>
    <mergeCell ref="H197:H198"/>
    <mergeCell ref="I197:I198"/>
  </mergeCells>
  <conditionalFormatting sqref="Q188:R189">
    <cfRule type="iconSet" priority="7">
      <iconSet iconSet="3Arrows">
        <cfvo type="percent" val="0"/>
        <cfvo type="percent" val="33"/>
        <cfvo type="percent" val="67"/>
      </iconSet>
    </cfRule>
  </conditionalFormatting>
  <conditionalFormatting sqref="Q192:R192">
    <cfRule type="iconSet" priority="6">
      <iconSet iconSet="3Arrows">
        <cfvo type="percent" val="0"/>
        <cfvo type="percent" val="33"/>
        <cfvo type="percent" val="67"/>
      </iconSet>
    </cfRule>
  </conditionalFormatting>
  <conditionalFormatting sqref="Q201:R202">
    <cfRule type="iconSet" priority="5">
      <iconSet iconSet="3Arrows">
        <cfvo type="percent" val="0"/>
        <cfvo type="percent" val="33"/>
        <cfvo type="percent" val="67"/>
      </iconSet>
    </cfRule>
  </conditionalFormatting>
  <conditionalFormatting sqref="Q215:R215 Q214">
    <cfRule type="iconSet" priority="4">
      <iconSet iconSet="3Arrows">
        <cfvo type="percent" val="0"/>
        <cfvo type="percent" val="33"/>
        <cfvo type="percent" val="67"/>
      </iconSet>
    </cfRule>
  </conditionalFormatting>
  <conditionalFormatting sqref="Q209:R210">
    <cfRule type="iconSet" priority="3">
      <iconSet iconSet="3Arrows">
        <cfvo type="percent" val="0"/>
        <cfvo type="percent" val="33"/>
        <cfvo type="percent" val="67"/>
      </iconSet>
    </cfRule>
  </conditionalFormatting>
  <conditionalFormatting sqref="S201">
    <cfRule type="iconSet" priority="2">
      <iconSet iconSet="3Arrows">
        <cfvo type="percent" val="0"/>
        <cfvo type="percent" val="33"/>
        <cfvo type="percent" val="67"/>
      </iconSet>
    </cfRule>
  </conditionalFormatting>
  <conditionalFormatting sqref="R214">
    <cfRule type="iconSet" priority="1">
      <iconSet iconSet="3Arrows">
        <cfvo type="percent" val="0"/>
        <cfvo type="percent" val="33"/>
        <cfvo type="percent" val="67"/>
      </iconSet>
    </cfRule>
  </conditionalFormatting>
  <pageMargins left="0.23622047244094491" right="0.27559055118110237" top="0.27559055118110237" bottom="0.15748031496062992" header="0.23622047244094491" footer="0.27559055118110237"/>
  <pageSetup paperSize="9" scale="16" fitToHeight="2" orientation="landscape" r:id="rId1"/>
  <headerFooter alignWithMargins="0">
    <oddFooter>&amp;C&amp;"Times New Roman Cyr,курсив"Сторінка &amp;P з &amp;N</oddFooter>
  </headerFooter>
  <rowBreaks count="7" manualBreakCount="7">
    <brk id="28" max="15" man="1"/>
    <brk id="50" max="15" man="1"/>
    <brk id="68" max="15" man="1"/>
    <brk id="88" max="15" man="1"/>
    <brk id="103" max="15" man="1"/>
    <brk id="123" max="15" man="1"/>
    <brk id="147"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7"/>
  <sheetViews>
    <sheetView view="pageBreakPreview" topLeftCell="A22" zoomScaleSheetLayoutView="100" workbookViewId="0">
      <selection activeCell="E35" sqref="E35"/>
    </sheetView>
  </sheetViews>
  <sheetFormatPr defaultColWidth="9.140625" defaultRowHeight="12.75" x14ac:dyDescent="0.2"/>
  <cols>
    <col min="1" max="1" width="9.7109375" style="128" customWidth="1"/>
    <col min="2" max="2" width="22.140625" style="128" customWidth="1"/>
    <col min="3" max="3" width="14.140625" style="128" customWidth="1"/>
    <col min="4" max="4" width="14" style="128" customWidth="1"/>
    <col min="5" max="5" width="13.140625" style="128" customWidth="1"/>
    <col min="6" max="6" width="13.85546875" style="128" customWidth="1"/>
    <col min="7" max="7" width="15.140625" style="128" customWidth="1"/>
    <col min="8" max="8" width="16.42578125" style="128" customWidth="1"/>
    <col min="9" max="9" width="8.28515625" style="128" customWidth="1"/>
    <col min="10" max="10" width="9.140625" style="128"/>
    <col min="11" max="11" width="9.7109375" style="128" customWidth="1"/>
    <col min="12" max="12" width="9.140625" style="128"/>
    <col min="13" max="13" width="8.140625" style="128" customWidth="1"/>
    <col min="14" max="16384" width="9.140625" style="128"/>
  </cols>
  <sheetData>
    <row r="1" spans="1:17" x14ac:dyDescent="0.2">
      <c r="E1" s="129" t="s">
        <v>224</v>
      </c>
      <c r="F1" s="129"/>
    </row>
    <row r="2" spans="1:17" x14ac:dyDescent="0.2">
      <c r="E2" s="129" t="s">
        <v>225</v>
      </c>
      <c r="F2" s="129"/>
    </row>
    <row r="3" spans="1:17" x14ac:dyDescent="0.2">
      <c r="E3" s="129" t="s">
        <v>226</v>
      </c>
      <c r="F3" s="129"/>
    </row>
    <row r="5" spans="1:17" ht="18.75" x14ac:dyDescent="0.3">
      <c r="A5" s="574" t="s">
        <v>711</v>
      </c>
      <c r="B5" s="574"/>
      <c r="C5" s="574"/>
      <c r="D5" s="574"/>
      <c r="E5" s="574"/>
      <c r="F5" s="574"/>
    </row>
    <row r="7" spans="1:17" x14ac:dyDescent="0.2">
      <c r="A7" s="575" t="s">
        <v>144</v>
      </c>
      <c r="B7" s="575" t="s">
        <v>227</v>
      </c>
      <c r="C7" s="213"/>
      <c r="D7" s="575" t="s">
        <v>124</v>
      </c>
      <c r="E7" s="575"/>
      <c r="F7" s="575" t="s">
        <v>35</v>
      </c>
    </row>
    <row r="8" spans="1:17" ht="24.75" customHeight="1" x14ac:dyDescent="0.2">
      <c r="A8" s="575"/>
      <c r="B8" s="575"/>
      <c r="C8" s="213" t="s">
        <v>36</v>
      </c>
      <c r="D8" s="213" t="s">
        <v>35</v>
      </c>
      <c r="E8" s="213" t="s">
        <v>228</v>
      </c>
      <c r="F8" s="575"/>
    </row>
    <row r="9" spans="1:17" x14ac:dyDescent="0.2">
      <c r="A9" s="130">
        <v>1</v>
      </c>
      <c r="B9" s="130">
        <v>2</v>
      </c>
      <c r="C9" s="130">
        <v>3</v>
      </c>
      <c r="D9" s="131">
        <v>4</v>
      </c>
      <c r="E9" s="131">
        <v>5</v>
      </c>
      <c r="F9" s="130">
        <v>6</v>
      </c>
    </row>
    <row r="10" spans="1:17" ht="25.5" x14ac:dyDescent="0.2">
      <c r="A10" s="130"/>
      <c r="B10" s="216" t="s">
        <v>772</v>
      </c>
      <c r="C10" s="130"/>
      <c r="D10" s="131"/>
      <c r="E10" s="131"/>
      <c r="F10" s="130"/>
    </row>
    <row r="11" spans="1:17" x14ac:dyDescent="0.2">
      <c r="A11" s="132" t="s">
        <v>229</v>
      </c>
      <c r="B11" s="132" t="s">
        <v>230</v>
      </c>
      <c r="C11" s="132">
        <f>C12+C14</f>
        <v>-189234289.09999999</v>
      </c>
      <c r="D11" s="132">
        <f>D12+D14</f>
        <v>318049926.00999999</v>
      </c>
      <c r="E11" s="132">
        <f>E12+E14</f>
        <v>316505933.63999999</v>
      </c>
      <c r="F11" s="132">
        <f>C11+D11</f>
        <v>128815636.91</v>
      </c>
      <c r="G11" s="182"/>
      <c r="H11" s="182"/>
      <c r="I11" s="182"/>
      <c r="J11" s="182"/>
      <c r="K11" s="182"/>
      <c r="L11" s="182"/>
      <c r="M11" s="182"/>
      <c r="N11" s="182"/>
      <c r="O11" s="182"/>
      <c r="P11" s="182"/>
      <c r="Q11" s="182"/>
    </row>
    <row r="12" spans="1:17" ht="16.5" customHeight="1" x14ac:dyDescent="0.2">
      <c r="A12" s="133" t="s">
        <v>231</v>
      </c>
      <c r="B12" s="133" t="s">
        <v>232</v>
      </c>
      <c r="C12" s="134">
        <v>118676107.09999999</v>
      </c>
      <c r="D12" s="134">
        <v>10139529.810000001</v>
      </c>
      <c r="E12" s="134">
        <v>8595537.4399999995</v>
      </c>
      <c r="F12" s="134">
        <f t="shared" ref="F12:F30" si="0">C12+D12</f>
        <v>128815636.91</v>
      </c>
      <c r="G12" s="182"/>
      <c r="H12" s="182"/>
      <c r="I12" s="182"/>
      <c r="J12" s="182"/>
      <c r="K12" s="182"/>
      <c r="L12" s="182"/>
      <c r="M12" s="182"/>
      <c r="N12" s="182"/>
      <c r="O12" s="182"/>
      <c r="P12" s="182"/>
      <c r="Q12" s="182"/>
    </row>
    <row r="13" spans="1:17" ht="18.75" hidden="1" customHeight="1" x14ac:dyDescent="0.2">
      <c r="A13" s="133">
        <v>208200</v>
      </c>
      <c r="B13" s="133" t="s">
        <v>233</v>
      </c>
      <c r="C13" s="134"/>
      <c r="D13" s="134"/>
      <c r="E13" s="132"/>
      <c r="F13" s="134">
        <f t="shared" si="0"/>
        <v>0</v>
      </c>
      <c r="G13" s="182"/>
      <c r="H13" s="182"/>
      <c r="I13" s="182"/>
      <c r="J13" s="182"/>
      <c r="K13" s="182"/>
      <c r="L13" s="182"/>
      <c r="M13" s="182"/>
      <c r="N13" s="182"/>
      <c r="O13" s="182"/>
      <c r="P13" s="182"/>
      <c r="Q13" s="182"/>
    </row>
    <row r="14" spans="1:17" ht="51" x14ac:dyDescent="0.2">
      <c r="A14" s="133">
        <v>208400</v>
      </c>
      <c r="B14" s="135" t="s">
        <v>234</v>
      </c>
      <c r="C14" s="132">
        <v>-307910396.19999999</v>
      </c>
      <c r="D14" s="132">
        <v>307910396.19999999</v>
      </c>
      <c r="E14" s="132">
        <v>307910396.19999999</v>
      </c>
      <c r="F14" s="132">
        <f t="shared" si="0"/>
        <v>0</v>
      </c>
      <c r="G14" s="182"/>
      <c r="H14" s="182"/>
      <c r="I14" s="182"/>
      <c r="J14" s="182"/>
      <c r="K14" s="182"/>
      <c r="L14" s="182"/>
      <c r="M14" s="182"/>
      <c r="N14" s="182"/>
      <c r="O14" s="182"/>
      <c r="P14" s="182"/>
      <c r="Q14" s="182"/>
    </row>
    <row r="15" spans="1:17" x14ac:dyDescent="0.2">
      <c r="A15" s="214">
        <v>300000</v>
      </c>
      <c r="B15" s="183" t="s">
        <v>767</v>
      </c>
      <c r="C15" s="132">
        <v>0</v>
      </c>
      <c r="D15" s="132">
        <v>5556846.3399999999</v>
      </c>
      <c r="E15" s="132">
        <v>5556846.3399999999</v>
      </c>
      <c r="F15" s="132">
        <v>5556846.3399999999</v>
      </c>
      <c r="G15" s="182"/>
      <c r="H15" s="182"/>
      <c r="I15" s="182"/>
      <c r="J15" s="182"/>
      <c r="K15" s="182"/>
      <c r="L15" s="182"/>
      <c r="M15" s="182"/>
      <c r="N15" s="182"/>
      <c r="O15" s="182"/>
      <c r="P15" s="182"/>
      <c r="Q15" s="182"/>
    </row>
    <row r="16" spans="1:17" ht="38.25" x14ac:dyDescent="0.2">
      <c r="A16" s="215">
        <v>301000</v>
      </c>
      <c r="B16" s="183" t="s">
        <v>768</v>
      </c>
      <c r="C16" s="132">
        <v>0</v>
      </c>
      <c r="D16" s="132">
        <v>5556846.3399999999</v>
      </c>
      <c r="E16" s="132">
        <v>5556846.3399999999</v>
      </c>
      <c r="F16" s="132">
        <v>5556846.3399999999</v>
      </c>
      <c r="G16" s="182"/>
      <c r="H16" s="182"/>
      <c r="I16" s="182"/>
      <c r="J16" s="182"/>
      <c r="K16" s="182"/>
      <c r="L16" s="182"/>
      <c r="M16" s="182"/>
      <c r="N16" s="182"/>
      <c r="O16" s="182"/>
      <c r="P16" s="182"/>
      <c r="Q16" s="182"/>
    </row>
    <row r="17" spans="1:17" x14ac:dyDescent="0.2">
      <c r="A17" s="133">
        <v>301100</v>
      </c>
      <c r="B17" s="135" t="s">
        <v>769</v>
      </c>
      <c r="C17" s="132"/>
      <c r="D17" s="132">
        <v>8287748</v>
      </c>
      <c r="E17" s="132">
        <v>8287748</v>
      </c>
      <c r="F17" s="132"/>
      <c r="G17" s="182"/>
      <c r="H17" s="182"/>
      <c r="I17" s="182"/>
      <c r="J17" s="182"/>
      <c r="K17" s="182"/>
      <c r="L17" s="182"/>
      <c r="M17" s="182"/>
      <c r="N17" s="182"/>
      <c r="O17" s="182"/>
      <c r="P17" s="182"/>
      <c r="Q17" s="182"/>
    </row>
    <row r="18" spans="1:17" x14ac:dyDescent="0.2">
      <c r="A18" s="133">
        <v>301200</v>
      </c>
      <c r="B18" s="135" t="s">
        <v>770</v>
      </c>
      <c r="C18" s="132"/>
      <c r="D18" s="132">
        <v>-2730901.66</v>
      </c>
      <c r="E18" s="132">
        <v>-2730901.66</v>
      </c>
      <c r="F18" s="132"/>
      <c r="G18" s="182"/>
      <c r="H18" s="182"/>
      <c r="I18" s="182"/>
      <c r="J18" s="182"/>
      <c r="K18" s="182"/>
      <c r="L18" s="182"/>
      <c r="M18" s="182"/>
      <c r="N18" s="182"/>
      <c r="O18" s="182"/>
      <c r="P18" s="182"/>
      <c r="Q18" s="182"/>
    </row>
    <row r="19" spans="1:17" ht="51" x14ac:dyDescent="0.2">
      <c r="A19" s="133"/>
      <c r="B19" s="183" t="s">
        <v>771</v>
      </c>
      <c r="C19" s="132">
        <v>-307910396.19999999</v>
      </c>
      <c r="D19" s="132">
        <v>313467242.54000002</v>
      </c>
      <c r="E19" s="132">
        <v>313467242.54000002</v>
      </c>
      <c r="F19" s="132">
        <v>5556846.3399999999</v>
      </c>
      <c r="G19" s="182"/>
      <c r="H19" s="182"/>
      <c r="I19" s="182"/>
      <c r="J19" s="182"/>
      <c r="K19" s="182"/>
      <c r="L19" s="182"/>
      <c r="M19" s="182"/>
      <c r="N19" s="182"/>
      <c r="O19" s="182"/>
      <c r="P19" s="182"/>
      <c r="Q19" s="182"/>
    </row>
    <row r="20" spans="1:17" ht="38.25" x14ac:dyDescent="0.2">
      <c r="A20" s="133"/>
      <c r="B20" s="183" t="s">
        <v>773</v>
      </c>
      <c r="C20" s="132"/>
      <c r="D20" s="132"/>
      <c r="E20" s="132"/>
      <c r="F20" s="132"/>
      <c r="G20" s="182"/>
      <c r="H20" s="182"/>
      <c r="I20" s="182"/>
      <c r="J20" s="182"/>
      <c r="K20" s="182"/>
      <c r="L20" s="182"/>
      <c r="M20" s="182"/>
      <c r="N20" s="182"/>
      <c r="O20" s="182"/>
      <c r="P20" s="182"/>
      <c r="Q20" s="182"/>
    </row>
    <row r="21" spans="1:17" ht="25.5" x14ac:dyDescent="0.2">
      <c r="A21" s="215">
        <v>400000</v>
      </c>
      <c r="B21" s="183" t="s">
        <v>235</v>
      </c>
      <c r="C21" s="132"/>
      <c r="D21" s="132">
        <v>5556846.3399999999</v>
      </c>
      <c r="E21" s="132">
        <v>5556846.3399999999</v>
      </c>
      <c r="F21" s="132">
        <v>5556846.3399999999</v>
      </c>
      <c r="G21" s="182"/>
      <c r="H21" s="182"/>
      <c r="I21" s="182"/>
      <c r="J21" s="182"/>
      <c r="K21" s="182"/>
      <c r="L21" s="182"/>
      <c r="M21" s="182"/>
      <c r="N21" s="182"/>
      <c r="O21" s="182"/>
      <c r="P21" s="182"/>
      <c r="Q21" s="182"/>
    </row>
    <row r="22" spans="1:17" x14ac:dyDescent="0.2">
      <c r="A22" s="215">
        <v>401000</v>
      </c>
      <c r="B22" s="183" t="s">
        <v>236</v>
      </c>
      <c r="C22" s="132"/>
      <c r="D22" s="132">
        <v>8287748</v>
      </c>
      <c r="E22" s="132">
        <v>8287748</v>
      </c>
      <c r="F22" s="132">
        <v>8287748</v>
      </c>
      <c r="G22" s="182"/>
      <c r="H22" s="182"/>
      <c r="I22" s="182"/>
      <c r="J22" s="182"/>
      <c r="K22" s="182"/>
      <c r="L22" s="182"/>
      <c r="M22" s="182"/>
      <c r="N22" s="182"/>
      <c r="O22" s="182"/>
      <c r="P22" s="182"/>
      <c r="Q22" s="182"/>
    </row>
    <row r="23" spans="1:17" s="218" customFormat="1" x14ac:dyDescent="0.2">
      <c r="A23" s="215">
        <v>401200</v>
      </c>
      <c r="B23" s="183" t="s">
        <v>774</v>
      </c>
      <c r="C23" s="132"/>
      <c r="D23" s="132">
        <v>8287748</v>
      </c>
      <c r="E23" s="132">
        <v>8287748</v>
      </c>
      <c r="F23" s="132">
        <v>8287748</v>
      </c>
      <c r="G23" s="217"/>
      <c r="H23" s="217"/>
      <c r="I23" s="217"/>
      <c r="J23" s="217"/>
      <c r="K23" s="217"/>
      <c r="L23" s="217"/>
      <c r="M23" s="217"/>
      <c r="N23" s="217"/>
      <c r="O23" s="217"/>
      <c r="P23" s="217"/>
      <c r="Q23" s="217"/>
    </row>
    <row r="24" spans="1:17" ht="25.5" x14ac:dyDescent="0.2">
      <c r="A24" s="133">
        <v>401202</v>
      </c>
      <c r="B24" s="135" t="s">
        <v>775</v>
      </c>
      <c r="C24" s="132"/>
      <c r="D24" s="134">
        <v>8287748</v>
      </c>
      <c r="E24" s="134">
        <v>8287748</v>
      </c>
      <c r="F24" s="134">
        <v>8287748</v>
      </c>
      <c r="G24" s="182"/>
      <c r="H24" s="182"/>
      <c r="I24" s="182"/>
      <c r="J24" s="182"/>
      <c r="K24" s="182"/>
      <c r="L24" s="182"/>
      <c r="M24" s="182"/>
      <c r="N24" s="182"/>
      <c r="O24" s="182"/>
      <c r="P24" s="182"/>
      <c r="Q24" s="182"/>
    </row>
    <row r="25" spans="1:17" s="218" customFormat="1" x14ac:dyDescent="0.2">
      <c r="A25" s="215">
        <v>402000</v>
      </c>
      <c r="B25" s="183" t="s">
        <v>776</v>
      </c>
      <c r="C25" s="132"/>
      <c r="D25" s="132">
        <v>-2730901.66</v>
      </c>
      <c r="E25" s="132">
        <v>-2730901.66</v>
      </c>
      <c r="F25" s="132">
        <v>-2730901.66</v>
      </c>
      <c r="G25" s="217"/>
      <c r="H25" s="217"/>
      <c r="I25" s="217"/>
      <c r="J25" s="217"/>
      <c r="K25" s="217"/>
      <c r="L25" s="217"/>
      <c r="M25" s="217"/>
      <c r="N25" s="217"/>
      <c r="O25" s="217"/>
      <c r="P25" s="217"/>
      <c r="Q25" s="217"/>
    </row>
    <row r="26" spans="1:17" s="218" customFormat="1" x14ac:dyDescent="0.2">
      <c r="A26" s="215">
        <v>402200</v>
      </c>
      <c r="B26" s="183" t="s">
        <v>777</v>
      </c>
      <c r="C26" s="132"/>
      <c r="D26" s="132">
        <v>-2730901.66</v>
      </c>
      <c r="E26" s="132">
        <v>-2730901.66</v>
      </c>
      <c r="F26" s="132">
        <v>-2730901.66</v>
      </c>
      <c r="G26" s="217"/>
      <c r="H26" s="217"/>
      <c r="I26" s="217"/>
      <c r="J26" s="217"/>
      <c r="K26" s="217"/>
      <c r="L26" s="217"/>
      <c r="M26" s="217"/>
      <c r="N26" s="217"/>
      <c r="O26" s="217"/>
      <c r="P26" s="217"/>
      <c r="Q26" s="217"/>
    </row>
    <row r="27" spans="1:17" ht="25.5" customHeight="1" x14ac:dyDescent="0.2">
      <c r="A27" s="133">
        <v>402202</v>
      </c>
      <c r="B27" s="135" t="s">
        <v>775</v>
      </c>
      <c r="C27" s="132"/>
      <c r="D27" s="134">
        <v>-2730901.66</v>
      </c>
      <c r="E27" s="134">
        <v>-2730901.66</v>
      </c>
      <c r="F27" s="134">
        <v>-2730901.66</v>
      </c>
      <c r="G27" s="182"/>
      <c r="H27" s="182"/>
      <c r="I27" s="182"/>
      <c r="J27" s="182"/>
      <c r="K27" s="182"/>
      <c r="L27" s="182"/>
      <c r="M27" s="182"/>
      <c r="N27" s="182"/>
      <c r="O27" s="182"/>
      <c r="P27" s="182"/>
      <c r="Q27" s="182"/>
    </row>
    <row r="28" spans="1:17" ht="25.5" customHeight="1" x14ac:dyDescent="0.2">
      <c r="A28" s="215"/>
      <c r="B28" s="183" t="s">
        <v>890</v>
      </c>
      <c r="C28" s="132">
        <v>-307910396.19999999</v>
      </c>
      <c r="D28" s="132">
        <v>442282879.44999999</v>
      </c>
      <c r="E28" s="132">
        <v>441405466.07999998</v>
      </c>
      <c r="F28" s="132">
        <v>134372483.25</v>
      </c>
      <c r="G28" s="182"/>
      <c r="H28" s="182"/>
      <c r="I28" s="182"/>
      <c r="J28" s="182"/>
      <c r="K28" s="182"/>
      <c r="L28" s="182"/>
      <c r="M28" s="182"/>
      <c r="N28" s="182"/>
      <c r="O28" s="182"/>
      <c r="P28" s="182"/>
      <c r="Q28" s="182"/>
    </row>
    <row r="29" spans="1:17" ht="25.5" x14ac:dyDescent="0.2">
      <c r="A29" s="212" t="s">
        <v>237</v>
      </c>
      <c r="B29" s="212" t="s">
        <v>238</v>
      </c>
      <c r="C29" s="132">
        <v>-307910396.19999999</v>
      </c>
      <c r="D29" s="132">
        <v>307910396.19999999</v>
      </c>
      <c r="E29" s="132">
        <v>307910396.19999999</v>
      </c>
      <c r="F29" s="132">
        <f t="shared" si="0"/>
        <v>0</v>
      </c>
      <c r="G29" s="182"/>
      <c r="H29" s="182"/>
      <c r="I29" s="182"/>
      <c r="J29" s="182"/>
      <c r="K29" s="182"/>
      <c r="L29" s="182"/>
      <c r="M29" s="182"/>
      <c r="N29" s="182"/>
      <c r="O29" s="182"/>
      <c r="P29" s="182"/>
      <c r="Q29" s="182"/>
    </row>
    <row r="30" spans="1:17" ht="36" customHeight="1" x14ac:dyDescent="0.2">
      <c r="A30" s="133">
        <v>602100</v>
      </c>
      <c r="B30" s="135" t="s">
        <v>239</v>
      </c>
      <c r="C30" s="134"/>
      <c r="D30" s="134"/>
      <c r="E30" s="134"/>
      <c r="F30" s="134">
        <f t="shared" si="0"/>
        <v>0</v>
      </c>
      <c r="G30" s="182"/>
      <c r="H30" s="182"/>
      <c r="I30" s="182"/>
      <c r="J30" s="182"/>
      <c r="K30" s="182"/>
      <c r="L30" s="182"/>
      <c r="M30" s="182"/>
      <c r="N30" s="182"/>
      <c r="O30" s="182"/>
      <c r="P30" s="182"/>
      <c r="Q30" s="182"/>
    </row>
    <row r="31" spans="1:17" ht="39.75" hidden="1" customHeight="1" x14ac:dyDescent="0.2">
      <c r="A31" s="133">
        <v>602200</v>
      </c>
      <c r="B31" s="135" t="s">
        <v>240</v>
      </c>
      <c r="C31" s="134"/>
      <c r="D31" s="134"/>
      <c r="E31" s="132"/>
      <c r="F31" s="134">
        <f>SUM(C31:D31)</f>
        <v>0</v>
      </c>
      <c r="G31" s="182"/>
      <c r="H31" s="182"/>
      <c r="I31" s="182"/>
      <c r="J31" s="182"/>
      <c r="K31" s="182"/>
      <c r="L31" s="182"/>
      <c r="M31" s="182"/>
      <c r="N31" s="182"/>
      <c r="O31" s="182"/>
      <c r="P31" s="182"/>
      <c r="Q31" s="182"/>
    </row>
    <row r="32" spans="1:17" ht="52.5" customHeight="1" x14ac:dyDescent="0.2">
      <c r="A32" s="133">
        <v>602400</v>
      </c>
      <c r="B32" s="135" t="s">
        <v>234</v>
      </c>
      <c r="C32" s="132">
        <v>-307910396.19999999</v>
      </c>
      <c r="D32" s="132">
        <v>307910396.19999999</v>
      </c>
      <c r="E32" s="132">
        <v>307910396.19999999</v>
      </c>
      <c r="F32" s="132">
        <v>0</v>
      </c>
      <c r="G32" s="182"/>
      <c r="H32" s="182"/>
      <c r="I32" s="182"/>
      <c r="J32" s="182"/>
      <c r="K32" s="182"/>
      <c r="L32" s="182"/>
      <c r="M32" s="182"/>
      <c r="N32" s="182"/>
      <c r="O32" s="182"/>
      <c r="P32" s="182"/>
      <c r="Q32" s="182"/>
    </row>
    <row r="33" spans="1:17" ht="66" customHeight="1" x14ac:dyDescent="0.2">
      <c r="A33" s="215"/>
      <c r="B33" s="183" t="s">
        <v>885</v>
      </c>
      <c r="C33" s="132">
        <v>-189234289.09999999</v>
      </c>
      <c r="D33" s="132">
        <v>323606772.35000002</v>
      </c>
      <c r="E33" s="132">
        <v>322062779.98000002</v>
      </c>
      <c r="F33" s="132">
        <f>C33+D33</f>
        <v>134372483.25000003</v>
      </c>
      <c r="G33" s="182"/>
      <c r="H33" s="182"/>
      <c r="I33" s="182"/>
      <c r="J33" s="182"/>
      <c r="K33" s="182"/>
      <c r="L33" s="182"/>
      <c r="M33" s="182"/>
      <c r="N33" s="182"/>
      <c r="O33" s="182"/>
      <c r="P33" s="182"/>
      <c r="Q33" s="182"/>
    </row>
    <row r="34" spans="1:17" x14ac:dyDescent="0.2">
      <c r="A34" s="199"/>
      <c r="B34" s="199"/>
      <c r="C34" s="199"/>
      <c r="D34" s="199"/>
      <c r="E34" s="199"/>
      <c r="F34" s="199"/>
      <c r="G34" s="199"/>
      <c r="H34" s="199"/>
      <c r="I34" s="199"/>
    </row>
    <row r="35" spans="1:17" x14ac:dyDescent="0.2">
      <c r="A35" s="199"/>
      <c r="B35" s="576" t="s">
        <v>1042</v>
      </c>
      <c r="C35" s="577"/>
      <c r="D35" s="199"/>
      <c r="E35" s="199" t="s">
        <v>1043</v>
      </c>
      <c r="F35" s="199"/>
      <c r="G35" s="199"/>
      <c r="H35" s="199"/>
      <c r="I35" s="199"/>
    </row>
    <row r="36" spans="1:17" x14ac:dyDescent="0.2">
      <c r="A36" s="199"/>
      <c r="B36" s="383"/>
      <c r="C36" s="199"/>
      <c r="D36" s="199"/>
      <c r="E36" s="199"/>
      <c r="F36" s="199"/>
      <c r="G36" s="199"/>
      <c r="H36" s="199"/>
      <c r="I36" s="199"/>
    </row>
    <row r="37" spans="1:17" x14ac:dyDescent="0.2">
      <c r="A37" s="573" t="s">
        <v>1020</v>
      </c>
      <c r="B37" s="573"/>
      <c r="C37" s="573"/>
      <c r="D37" s="573"/>
      <c r="E37" s="573"/>
      <c r="F37" s="573"/>
      <c r="G37" s="573"/>
      <c r="H37" s="573"/>
      <c r="I37" s="573"/>
    </row>
  </sheetData>
  <mergeCells count="7">
    <mergeCell ref="A37:I37"/>
    <mergeCell ref="A5:F5"/>
    <mergeCell ref="A7:A8"/>
    <mergeCell ref="B7:B8"/>
    <mergeCell ref="D7:E7"/>
    <mergeCell ref="F7:F8"/>
    <mergeCell ref="B35:C35"/>
  </mergeCells>
  <pageMargins left="1.1811023622047245" right="0.44" top="0.39370078740157483" bottom="0.19685039370078741" header="0.39370078740157483" footer="0.15748031496062992"/>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43"/>
  <sheetViews>
    <sheetView view="pageBreakPreview" zoomScale="25" zoomScaleNormal="25" zoomScaleSheetLayoutView="25" zoomScalePageLayoutView="10" workbookViewId="0">
      <pane ySplit="11" topLeftCell="A213" activePane="bottomLeft" state="frozen"/>
      <selection pane="bottomLeft" activeCell="D218" sqref="D218"/>
    </sheetView>
  </sheetViews>
  <sheetFormatPr defaultRowHeight="12.75" x14ac:dyDescent="0.2"/>
  <cols>
    <col min="1" max="3" width="43.42578125" style="2" customWidth="1"/>
    <col min="4" max="4" width="106.28515625" style="2" customWidth="1"/>
    <col min="5" max="5" width="66.42578125" style="8" customWidth="1"/>
    <col min="6" max="6" width="58.5703125" style="12" customWidth="1"/>
    <col min="7" max="7" width="55.42578125" style="2" customWidth="1"/>
    <col min="8" max="8" width="48.140625" style="2" customWidth="1"/>
    <col min="9" max="9" width="32.7109375" style="12" customWidth="1"/>
    <col min="10" max="10" width="50.5703125" style="8" customWidth="1"/>
    <col min="11" max="11" width="56.140625" style="12" customWidth="1"/>
    <col min="12" max="12" width="54.85546875" style="2" customWidth="1"/>
    <col min="13" max="13" width="44.28515625" style="2" customWidth="1"/>
    <col min="14" max="14" width="54.7109375" style="12" customWidth="1"/>
    <col min="15" max="15" width="55.5703125" style="2" customWidth="1"/>
    <col min="16" max="16" width="86.28515625" style="8" customWidth="1"/>
    <col min="17" max="17" width="60.7109375" customWidth="1"/>
    <col min="18" max="18" width="78.42578125" customWidth="1"/>
    <col min="19" max="19" width="29.7109375" customWidth="1"/>
    <col min="20" max="20" width="24.7109375" bestFit="1" customWidth="1"/>
  </cols>
  <sheetData>
    <row r="1" spans="1:18" ht="45.75" x14ac:dyDescent="0.2">
      <c r="D1" s="14"/>
      <c r="E1" s="15"/>
      <c r="F1" s="16"/>
      <c r="G1" s="17"/>
      <c r="H1" s="17"/>
      <c r="I1" s="17"/>
      <c r="J1" s="15"/>
      <c r="K1" s="17"/>
      <c r="L1" s="17"/>
      <c r="M1" s="17"/>
      <c r="N1" s="593" t="s">
        <v>129</v>
      </c>
      <c r="O1" s="593"/>
      <c r="P1" s="593"/>
    </row>
    <row r="2" spans="1:18" ht="45.75" x14ac:dyDescent="0.2">
      <c r="A2" s="14"/>
      <c r="B2" s="14"/>
      <c r="C2" s="14"/>
      <c r="D2" s="14"/>
      <c r="E2" s="15"/>
      <c r="F2" s="16"/>
      <c r="G2" s="17"/>
      <c r="H2" s="17"/>
      <c r="I2" s="17"/>
      <c r="J2" s="15"/>
      <c r="K2" s="17"/>
      <c r="L2" s="17"/>
      <c r="M2" s="17"/>
      <c r="N2" s="593" t="s">
        <v>893</v>
      </c>
      <c r="O2" s="594"/>
      <c r="P2" s="594"/>
    </row>
    <row r="3" spans="1:18" ht="40.5" customHeight="1" x14ac:dyDescent="0.2">
      <c r="A3" s="14"/>
      <c r="B3" s="14"/>
      <c r="C3" s="14"/>
      <c r="D3" s="14"/>
      <c r="E3" s="15"/>
      <c r="F3" s="16"/>
      <c r="G3" s="17"/>
      <c r="H3" s="17"/>
      <c r="I3" s="17"/>
      <c r="J3" s="15"/>
      <c r="K3" s="17"/>
      <c r="L3" s="17"/>
      <c r="M3" s="17"/>
      <c r="N3" s="593"/>
      <c r="O3" s="594"/>
      <c r="P3" s="594"/>
    </row>
    <row r="4" spans="1:18" ht="45.75" hidden="1" x14ac:dyDescent="0.2">
      <c r="A4" s="14"/>
      <c r="B4" s="14"/>
      <c r="C4" s="14"/>
      <c r="D4" s="14"/>
      <c r="E4" s="15"/>
      <c r="F4" s="16"/>
      <c r="G4" s="17"/>
      <c r="H4" s="17"/>
      <c r="I4" s="17"/>
      <c r="J4" s="15"/>
      <c r="K4" s="17"/>
      <c r="L4" s="17"/>
      <c r="M4" s="17"/>
      <c r="N4" s="197"/>
      <c r="O4" s="14"/>
      <c r="P4" s="18"/>
    </row>
    <row r="5" spans="1:18" ht="45" x14ac:dyDescent="0.2">
      <c r="A5" s="596" t="s">
        <v>128</v>
      </c>
      <c r="B5" s="596"/>
      <c r="C5" s="596"/>
      <c r="D5" s="596"/>
      <c r="E5" s="596"/>
      <c r="F5" s="596"/>
      <c r="G5" s="596"/>
      <c r="H5" s="596"/>
      <c r="I5" s="596"/>
      <c r="J5" s="596"/>
      <c r="K5" s="596"/>
      <c r="L5" s="596"/>
      <c r="M5" s="596"/>
      <c r="N5" s="596"/>
      <c r="O5" s="596"/>
      <c r="P5" s="596"/>
    </row>
    <row r="6" spans="1:18" ht="45" x14ac:dyDescent="0.2">
      <c r="A6" s="596" t="s">
        <v>641</v>
      </c>
      <c r="B6" s="596"/>
      <c r="C6" s="596"/>
      <c r="D6" s="596"/>
      <c r="E6" s="596"/>
      <c r="F6" s="596"/>
      <c r="G6" s="596"/>
      <c r="H6" s="596"/>
      <c r="I6" s="596"/>
      <c r="J6" s="596"/>
      <c r="K6" s="596"/>
      <c r="L6" s="596"/>
      <c r="M6" s="596"/>
      <c r="N6" s="596"/>
      <c r="O6" s="596"/>
      <c r="P6" s="596"/>
    </row>
    <row r="7" spans="1:18" ht="53.25" customHeight="1" x14ac:dyDescent="0.2">
      <c r="A7" s="15"/>
      <c r="B7" s="15"/>
      <c r="C7" s="15"/>
      <c r="D7" s="15"/>
      <c r="E7" s="15"/>
      <c r="F7" s="16"/>
      <c r="G7" s="15"/>
      <c r="H7" s="15"/>
      <c r="I7" s="17"/>
      <c r="J7" s="15"/>
      <c r="K7" s="17"/>
      <c r="L7" s="15"/>
      <c r="M7" s="15"/>
      <c r="N7" s="17"/>
      <c r="O7" s="15"/>
      <c r="P7" s="19" t="s">
        <v>134</v>
      </c>
    </row>
    <row r="8" spans="1:18" ht="62.25" customHeight="1" x14ac:dyDescent="0.2">
      <c r="A8" s="597" t="s">
        <v>41</v>
      </c>
      <c r="B8" s="597" t="s">
        <v>42</v>
      </c>
      <c r="C8" s="601" t="s">
        <v>43</v>
      </c>
      <c r="D8" s="597" t="s">
        <v>45</v>
      </c>
      <c r="E8" s="595" t="s">
        <v>36</v>
      </c>
      <c r="F8" s="595"/>
      <c r="G8" s="595"/>
      <c r="H8" s="595"/>
      <c r="I8" s="595"/>
      <c r="J8" s="595" t="s">
        <v>124</v>
      </c>
      <c r="K8" s="595"/>
      <c r="L8" s="595"/>
      <c r="M8" s="595"/>
      <c r="N8" s="595"/>
      <c r="O8" s="20"/>
      <c r="P8" s="595" t="s">
        <v>35</v>
      </c>
    </row>
    <row r="9" spans="1:18" ht="255" customHeight="1" x14ac:dyDescent="0.2">
      <c r="A9" s="598"/>
      <c r="B9" s="600"/>
      <c r="C9" s="600"/>
      <c r="D9" s="598"/>
      <c r="E9" s="578" t="s">
        <v>7</v>
      </c>
      <c r="F9" s="579" t="s">
        <v>125</v>
      </c>
      <c r="G9" s="578" t="s">
        <v>37</v>
      </c>
      <c r="H9" s="578"/>
      <c r="I9" s="579" t="s">
        <v>127</v>
      </c>
      <c r="J9" s="578" t="s">
        <v>7</v>
      </c>
      <c r="K9" s="579" t="s">
        <v>125</v>
      </c>
      <c r="L9" s="578" t="s">
        <v>37</v>
      </c>
      <c r="M9" s="578"/>
      <c r="N9" s="579" t="s">
        <v>127</v>
      </c>
      <c r="O9" s="1" t="s">
        <v>37</v>
      </c>
      <c r="P9" s="595"/>
    </row>
    <row r="10" spans="1:18" ht="137.25" x14ac:dyDescent="0.2">
      <c r="A10" s="599"/>
      <c r="B10" s="599"/>
      <c r="C10" s="599"/>
      <c r="D10" s="599"/>
      <c r="E10" s="578"/>
      <c r="F10" s="579"/>
      <c r="G10" s="1" t="s">
        <v>126</v>
      </c>
      <c r="H10" s="1" t="s">
        <v>40</v>
      </c>
      <c r="I10" s="579"/>
      <c r="J10" s="578"/>
      <c r="K10" s="579"/>
      <c r="L10" s="1" t="s">
        <v>126</v>
      </c>
      <c r="M10" s="1" t="s">
        <v>40</v>
      </c>
      <c r="N10" s="579"/>
      <c r="O10" s="1" t="s">
        <v>32</v>
      </c>
      <c r="P10" s="595"/>
    </row>
    <row r="11" spans="1:18" s="3" customFormat="1" ht="45.75" x14ac:dyDescent="0.2">
      <c r="A11" s="21" t="s">
        <v>9</v>
      </c>
      <c r="B11" s="21" t="s">
        <v>10</v>
      </c>
      <c r="C11" s="21" t="s">
        <v>39</v>
      </c>
      <c r="D11" s="21" t="s">
        <v>12</v>
      </c>
      <c r="E11" s="22">
        <v>5</v>
      </c>
      <c r="F11" s="226">
        <v>6</v>
      </c>
      <c r="G11" s="22">
        <v>7</v>
      </c>
      <c r="H11" s="22">
        <v>8</v>
      </c>
      <c r="I11" s="195">
        <v>9</v>
      </c>
      <c r="J11" s="22">
        <v>10</v>
      </c>
      <c r="K11" s="195">
        <v>11</v>
      </c>
      <c r="L11" s="22">
        <v>12</v>
      </c>
      <c r="M11" s="22">
        <v>13</v>
      </c>
      <c r="N11" s="195">
        <v>14</v>
      </c>
      <c r="O11" s="22">
        <v>15</v>
      </c>
      <c r="P11" s="22">
        <v>16</v>
      </c>
    </row>
    <row r="12" spans="1:18" s="3" customFormat="1" ht="135" x14ac:dyDescent="0.2">
      <c r="A12" s="473" t="s">
        <v>302</v>
      </c>
      <c r="B12" s="473"/>
      <c r="C12" s="473"/>
      <c r="D12" s="470" t="s">
        <v>304</v>
      </c>
      <c r="E12" s="478">
        <f>E13</f>
        <v>77190944</v>
      </c>
      <c r="F12" s="478">
        <f t="shared" ref="F12:P12" si="0">F13</f>
        <v>77190944</v>
      </c>
      <c r="G12" s="478">
        <f t="shared" si="0"/>
        <v>45909430</v>
      </c>
      <c r="H12" s="478">
        <f t="shared" si="0"/>
        <v>2500700</v>
      </c>
      <c r="I12" s="478">
        <f t="shared" si="0"/>
        <v>0</v>
      </c>
      <c r="J12" s="478">
        <f t="shared" si="0"/>
        <v>18427097.870000001</v>
      </c>
      <c r="K12" s="478">
        <f t="shared" si="0"/>
        <v>2541620.62</v>
      </c>
      <c r="L12" s="478">
        <f t="shared" si="0"/>
        <v>0</v>
      </c>
      <c r="M12" s="478">
        <f t="shared" si="0"/>
        <v>0</v>
      </c>
      <c r="N12" s="478">
        <f t="shared" si="0"/>
        <v>15885477.25</v>
      </c>
      <c r="O12" s="479">
        <f t="shared" si="0"/>
        <v>15835477.25</v>
      </c>
      <c r="P12" s="478">
        <f t="shared" si="0"/>
        <v>95618041.870000005</v>
      </c>
    </row>
    <row r="13" spans="1:18" s="3" customFormat="1" ht="135" x14ac:dyDescent="0.2">
      <c r="A13" s="480" t="s">
        <v>303</v>
      </c>
      <c r="B13" s="480"/>
      <c r="C13" s="480"/>
      <c r="D13" s="474" t="s">
        <v>305</v>
      </c>
      <c r="E13" s="475">
        <f>F13</f>
        <v>77190944</v>
      </c>
      <c r="F13" s="476">
        <f>F14+F15+F26+F20+F27+F16+F22+F21+F29+F17+F28</f>
        <v>77190944</v>
      </c>
      <c r="G13" s="476">
        <f t="shared" ref="G13:H13" si="1">G14+G15+G26+G20+G27+G16+G22+G21+G29+G17</f>
        <v>45909430</v>
      </c>
      <c r="H13" s="476">
        <f t="shared" si="1"/>
        <v>2500700</v>
      </c>
      <c r="I13" s="476">
        <v>0</v>
      </c>
      <c r="J13" s="471">
        <f t="shared" ref="J13:J29" si="2">K13+N13</f>
        <v>18427097.870000001</v>
      </c>
      <c r="K13" s="476">
        <f>K14+K15+K26+K20+K27+K16+K23+K21+K29+K17+K18+K28</f>
        <v>2541620.62</v>
      </c>
      <c r="L13" s="476">
        <f>L14+L15+L26+L20+L27+L16</f>
        <v>0</v>
      </c>
      <c r="M13" s="476">
        <f>M14+M15+M26+M20+M27+M16</f>
        <v>0</v>
      </c>
      <c r="N13" s="476">
        <f>N14+N15+N26+N20+N27+N16+N23+N21+N29+N18+N28</f>
        <v>15885477.25</v>
      </c>
      <c r="O13" s="476">
        <f>O14+O15+O26+O20+O27+O16+O23+O21+O29+O18+O28</f>
        <v>15835477.25</v>
      </c>
      <c r="P13" s="475">
        <f>J13+E13</f>
        <v>95618041.870000005</v>
      </c>
      <c r="Q13" s="228" t="b">
        <f>P14+P15+P16+P17+P18+P20+P21+P22+P23+P26+P27+P29+P28=P13</f>
        <v>1</v>
      </c>
      <c r="R13" s="228" t="b">
        <f>O13='dod5'!J7</f>
        <v>1</v>
      </c>
    </row>
    <row r="14" spans="1:18" ht="320.25" x14ac:dyDescent="0.2">
      <c r="A14" s="423" t="s">
        <v>428</v>
      </c>
      <c r="B14" s="423" t="s">
        <v>429</v>
      </c>
      <c r="C14" s="423" t="s">
        <v>430</v>
      </c>
      <c r="D14" s="423" t="s">
        <v>427</v>
      </c>
      <c r="E14" s="421">
        <f t="shared" ref="E14:E27" si="3">F14</f>
        <v>66199730</v>
      </c>
      <c r="F14" s="46">
        <f>(((61847000)+227100+86000)+5239630)-200000-936000-64000</f>
        <v>66199730</v>
      </c>
      <c r="G14" s="177">
        <f>((42799000)+4210430)-164000-936000</f>
        <v>45909430</v>
      </c>
      <c r="H14" s="177">
        <f>((2438200)+12500)+44000+6000</f>
        <v>2500700</v>
      </c>
      <c r="I14" s="46"/>
      <c r="J14" s="231">
        <f t="shared" si="2"/>
        <v>1745600</v>
      </c>
      <c r="K14" s="424"/>
      <c r="L14" s="425"/>
      <c r="M14" s="425"/>
      <c r="N14" s="407">
        <f t="shared" ref="N14:N27" si="4">O14</f>
        <v>1745600</v>
      </c>
      <c r="O14" s="372">
        <f>((525200)+1807600-86000)-501200</f>
        <v>1745600</v>
      </c>
      <c r="P14" s="421">
        <f>+J14+E14</f>
        <v>67945330</v>
      </c>
    </row>
    <row r="15" spans="1:18" ht="228.75" hidden="1" x14ac:dyDescent="0.2">
      <c r="A15" s="418" t="s">
        <v>432</v>
      </c>
      <c r="B15" s="418" t="s">
        <v>433</v>
      </c>
      <c r="C15" s="418" t="s">
        <v>430</v>
      </c>
      <c r="D15" s="418" t="s">
        <v>431</v>
      </c>
      <c r="E15" s="417">
        <f t="shared" ref="E15:E24" si="5">F15</f>
        <v>0</v>
      </c>
      <c r="F15" s="419">
        <f>((49657100+750000+50000)+235184+40000+8000)+8413470-59153754</f>
        <v>0</v>
      </c>
      <c r="G15" s="420">
        <f>(37157000)+6055570-43212570</f>
        <v>0</v>
      </c>
      <c r="H15" s="420">
        <f>(1543500)+213900-1757400</f>
        <v>0</v>
      </c>
      <c r="I15" s="419"/>
      <c r="J15" s="417">
        <f t="shared" si="2"/>
        <v>0</v>
      </c>
      <c r="K15" s="419"/>
      <c r="L15" s="420"/>
      <c r="M15" s="420"/>
      <c r="N15" s="419">
        <f t="shared" si="4"/>
        <v>0</v>
      </c>
      <c r="O15" s="420">
        <f>((826000-750000+50000)+318000)+6000-450000</f>
        <v>0</v>
      </c>
      <c r="P15" s="417">
        <f>E15+J15</f>
        <v>0</v>
      </c>
    </row>
    <row r="16" spans="1:18" ht="91.5" x14ac:dyDescent="0.2">
      <c r="A16" s="423" t="s">
        <v>445</v>
      </c>
      <c r="B16" s="423" t="s">
        <v>103</v>
      </c>
      <c r="C16" s="423" t="s">
        <v>102</v>
      </c>
      <c r="D16" s="423" t="s">
        <v>446</v>
      </c>
      <c r="E16" s="427">
        <f t="shared" si="5"/>
        <v>934250</v>
      </c>
      <c r="F16" s="407">
        <f>((1188000-165000)-183000)+94250</f>
        <v>934250</v>
      </c>
      <c r="G16" s="372">
        <f>(150000)-150000</f>
        <v>0</v>
      </c>
      <c r="H16" s="372"/>
      <c r="I16" s="407"/>
      <c r="J16" s="427">
        <f t="shared" ref="J16:J24" si="6">K16+N16</f>
        <v>0</v>
      </c>
      <c r="K16" s="407"/>
      <c r="L16" s="372"/>
      <c r="M16" s="372"/>
      <c r="N16" s="407">
        <f t="shared" ref="N16:N22" si="7">O16</f>
        <v>0</v>
      </c>
      <c r="O16" s="372"/>
      <c r="P16" s="427">
        <f>E16+J16</f>
        <v>934250</v>
      </c>
    </row>
    <row r="17" spans="1:18" ht="91.5" hidden="1" x14ac:dyDescent="0.2">
      <c r="A17" s="418" t="s">
        <v>927</v>
      </c>
      <c r="B17" s="418" t="s">
        <v>928</v>
      </c>
      <c r="C17" s="418" t="s">
        <v>929</v>
      </c>
      <c r="D17" s="418" t="s">
        <v>926</v>
      </c>
      <c r="E17" s="417">
        <f t="shared" si="5"/>
        <v>0</v>
      </c>
      <c r="F17" s="419">
        <v>0</v>
      </c>
      <c r="G17" s="420">
        <v>0</v>
      </c>
      <c r="H17" s="420"/>
      <c r="I17" s="419"/>
      <c r="J17" s="417">
        <f t="shared" si="6"/>
        <v>0</v>
      </c>
      <c r="K17" s="419"/>
      <c r="L17" s="420"/>
      <c r="M17" s="420"/>
      <c r="N17" s="419">
        <f t="shared" si="7"/>
        <v>0</v>
      </c>
      <c r="O17" s="420"/>
      <c r="P17" s="417">
        <f>E17+J17</f>
        <v>0</v>
      </c>
    </row>
    <row r="18" spans="1:18" ht="91.5" x14ac:dyDescent="0.2">
      <c r="A18" s="423" t="s">
        <v>940</v>
      </c>
      <c r="B18" s="423" t="s">
        <v>706</v>
      </c>
      <c r="C18" s="423"/>
      <c r="D18" s="423" t="s">
        <v>832</v>
      </c>
      <c r="E18" s="427">
        <f>E19</f>
        <v>0</v>
      </c>
      <c r="F18" s="427">
        <f t="shared" ref="F18:I18" si="8">F19</f>
        <v>0</v>
      </c>
      <c r="G18" s="427">
        <f t="shared" si="8"/>
        <v>0</v>
      </c>
      <c r="H18" s="427">
        <f t="shared" si="8"/>
        <v>0</v>
      </c>
      <c r="I18" s="427">
        <f t="shared" si="8"/>
        <v>0</v>
      </c>
      <c r="J18" s="427">
        <f t="shared" si="6"/>
        <v>660842</v>
      </c>
      <c r="K18" s="407">
        <f>K19</f>
        <v>0</v>
      </c>
      <c r="L18" s="372"/>
      <c r="M18" s="372"/>
      <c r="N18" s="407">
        <f t="shared" si="7"/>
        <v>660842</v>
      </c>
      <c r="O18" s="372">
        <f>O19</f>
        <v>660842</v>
      </c>
      <c r="P18" s="427">
        <f>E18+J18</f>
        <v>660842</v>
      </c>
    </row>
    <row r="19" spans="1:18" ht="366" x14ac:dyDescent="0.2">
      <c r="A19" s="428" t="s">
        <v>937</v>
      </c>
      <c r="B19" s="428" t="s">
        <v>938</v>
      </c>
      <c r="C19" s="428" t="s">
        <v>708</v>
      </c>
      <c r="D19" s="428" t="s">
        <v>939</v>
      </c>
      <c r="E19" s="407"/>
      <c r="F19" s="407"/>
      <c r="G19" s="407"/>
      <c r="H19" s="407"/>
      <c r="I19" s="407"/>
      <c r="J19" s="407">
        <f t="shared" si="6"/>
        <v>660842</v>
      </c>
      <c r="K19" s="407"/>
      <c r="L19" s="407"/>
      <c r="M19" s="407"/>
      <c r="N19" s="407">
        <f t="shared" si="7"/>
        <v>660842</v>
      </c>
      <c r="O19" s="407">
        <v>660842</v>
      </c>
      <c r="P19" s="407">
        <f>E19+J19</f>
        <v>660842</v>
      </c>
    </row>
    <row r="20" spans="1:18" ht="91.5" x14ac:dyDescent="0.2">
      <c r="A20" s="423" t="s">
        <v>435</v>
      </c>
      <c r="B20" s="423" t="s">
        <v>436</v>
      </c>
      <c r="C20" s="423" t="s">
        <v>437</v>
      </c>
      <c r="D20" s="423" t="s">
        <v>434</v>
      </c>
      <c r="E20" s="427">
        <f t="shared" si="5"/>
        <v>4100700</v>
      </c>
      <c r="F20" s="407">
        <f>(1750700)+2350000</f>
        <v>4100700</v>
      </c>
      <c r="G20" s="372"/>
      <c r="H20" s="372"/>
      <c r="I20" s="407"/>
      <c r="J20" s="427">
        <f t="shared" si="6"/>
        <v>0</v>
      </c>
      <c r="K20" s="407"/>
      <c r="L20" s="372"/>
      <c r="M20" s="372"/>
      <c r="N20" s="407">
        <f t="shared" si="7"/>
        <v>0</v>
      </c>
      <c r="O20" s="372"/>
      <c r="P20" s="427">
        <f>+J20+E20</f>
        <v>4100700</v>
      </c>
    </row>
    <row r="21" spans="1:18" ht="91.5" hidden="1" x14ac:dyDescent="0.2">
      <c r="A21" s="423" t="s">
        <v>646</v>
      </c>
      <c r="B21" s="429" t="s">
        <v>373</v>
      </c>
      <c r="C21" s="429" t="s">
        <v>324</v>
      </c>
      <c r="D21" s="423" t="s">
        <v>89</v>
      </c>
      <c r="E21" s="427">
        <f t="shared" ref="E21" si="9">F21</f>
        <v>0</v>
      </c>
      <c r="F21" s="407"/>
      <c r="G21" s="372"/>
      <c r="H21" s="372"/>
      <c r="I21" s="407"/>
      <c r="J21" s="427">
        <f t="shared" si="6"/>
        <v>0</v>
      </c>
      <c r="K21" s="407"/>
      <c r="L21" s="372"/>
      <c r="M21" s="372"/>
      <c r="N21" s="407">
        <f t="shared" si="7"/>
        <v>0</v>
      </c>
      <c r="O21" s="372">
        <f>(2500000)-2500000</f>
        <v>0</v>
      </c>
      <c r="P21" s="427">
        <f>+J21+E21</f>
        <v>0</v>
      </c>
    </row>
    <row r="22" spans="1:18" ht="137.25" x14ac:dyDescent="0.2">
      <c r="A22" s="423" t="s">
        <v>565</v>
      </c>
      <c r="B22" s="423" t="s">
        <v>566</v>
      </c>
      <c r="C22" s="423" t="s">
        <v>324</v>
      </c>
      <c r="D22" s="430" t="s">
        <v>564</v>
      </c>
      <c r="E22" s="427">
        <f t="shared" si="5"/>
        <v>165000</v>
      </c>
      <c r="F22" s="407">
        <v>165000</v>
      </c>
      <c r="G22" s="372"/>
      <c r="H22" s="372"/>
      <c r="I22" s="407"/>
      <c r="J22" s="427">
        <f t="shared" si="6"/>
        <v>0</v>
      </c>
      <c r="K22" s="407"/>
      <c r="L22" s="372"/>
      <c r="M22" s="372"/>
      <c r="N22" s="407">
        <f t="shared" si="7"/>
        <v>0</v>
      </c>
      <c r="O22" s="372"/>
      <c r="P22" s="427">
        <f>+J22+E22</f>
        <v>165000</v>
      </c>
    </row>
    <row r="23" spans="1:18" ht="46.5" x14ac:dyDescent="0.2">
      <c r="A23" s="449" t="s">
        <v>448</v>
      </c>
      <c r="B23" s="449" t="s">
        <v>449</v>
      </c>
      <c r="C23" s="449"/>
      <c r="D23" s="481" t="s">
        <v>447</v>
      </c>
      <c r="E23" s="450">
        <f t="shared" si="5"/>
        <v>0</v>
      </c>
      <c r="F23" s="452"/>
      <c r="G23" s="372"/>
      <c r="H23" s="372"/>
      <c r="I23" s="452"/>
      <c r="J23" s="450">
        <f t="shared" si="6"/>
        <v>2591620.62</v>
      </c>
      <c r="K23" s="452">
        <f>K24</f>
        <v>2541620.62</v>
      </c>
      <c r="L23" s="372"/>
      <c r="M23" s="372"/>
      <c r="N23" s="452">
        <f>N24</f>
        <v>50000</v>
      </c>
      <c r="O23" s="372">
        <f>O24</f>
        <v>0</v>
      </c>
      <c r="P23" s="450">
        <f>+J23+E23</f>
        <v>2591620.62</v>
      </c>
    </row>
    <row r="24" spans="1:18" s="196" customFormat="1" ht="409.5" x14ac:dyDescent="0.2">
      <c r="A24" s="587" t="s">
        <v>700</v>
      </c>
      <c r="B24" s="587" t="s">
        <v>699</v>
      </c>
      <c r="C24" s="587" t="s">
        <v>324</v>
      </c>
      <c r="D24" s="482" t="s">
        <v>727</v>
      </c>
      <c r="E24" s="580">
        <f t="shared" si="5"/>
        <v>0</v>
      </c>
      <c r="F24" s="580"/>
      <c r="G24" s="580"/>
      <c r="H24" s="580"/>
      <c r="I24" s="580"/>
      <c r="J24" s="580">
        <f t="shared" si="6"/>
        <v>2591620.62</v>
      </c>
      <c r="K24" s="580">
        <v>2541620.62</v>
      </c>
      <c r="L24" s="580"/>
      <c r="M24" s="580"/>
      <c r="N24" s="580">
        <v>50000</v>
      </c>
      <c r="O24" s="580"/>
      <c r="P24" s="580">
        <f>E24+J24</f>
        <v>2591620.62</v>
      </c>
    </row>
    <row r="25" spans="1:18" s="196" customFormat="1" ht="137.25" x14ac:dyDescent="0.2">
      <c r="A25" s="583"/>
      <c r="B25" s="583"/>
      <c r="C25" s="583"/>
      <c r="D25" s="483" t="s">
        <v>728</v>
      </c>
      <c r="E25" s="581"/>
      <c r="F25" s="581"/>
      <c r="G25" s="581"/>
      <c r="H25" s="581"/>
      <c r="I25" s="581"/>
      <c r="J25" s="581"/>
      <c r="K25" s="581"/>
      <c r="L25" s="581"/>
      <c r="M25" s="581"/>
      <c r="N25" s="581"/>
      <c r="O25" s="581"/>
      <c r="P25" s="581"/>
    </row>
    <row r="26" spans="1:18" ht="91.5" x14ac:dyDescent="0.2">
      <c r="A26" s="423" t="s">
        <v>438</v>
      </c>
      <c r="B26" s="423" t="s">
        <v>439</v>
      </c>
      <c r="C26" s="423" t="s">
        <v>440</v>
      </c>
      <c r="D26" s="430" t="s">
        <v>441</v>
      </c>
      <c r="E26" s="427">
        <f>F26</f>
        <v>3940800</v>
      </c>
      <c r="F26" s="407">
        <f>(((2555000)+700800)+470000)+215000</f>
        <v>3940800</v>
      </c>
      <c r="G26" s="372"/>
      <c r="H26" s="372"/>
      <c r="I26" s="407"/>
      <c r="J26" s="427">
        <f t="shared" si="2"/>
        <v>4000000</v>
      </c>
      <c r="K26" s="407"/>
      <c r="L26" s="372"/>
      <c r="M26" s="372"/>
      <c r="N26" s="407">
        <f t="shared" si="4"/>
        <v>4000000</v>
      </c>
      <c r="O26" s="372">
        <f>(1200000)+2800000</f>
        <v>4000000</v>
      </c>
      <c r="P26" s="427">
        <f t="shared" ref="P26:P28" si="10">E26+J26</f>
        <v>7940800</v>
      </c>
    </row>
    <row r="27" spans="1:18" ht="274.5" x14ac:dyDescent="0.2">
      <c r="A27" s="423" t="s">
        <v>442</v>
      </c>
      <c r="B27" s="423" t="s">
        <v>443</v>
      </c>
      <c r="C27" s="423" t="s">
        <v>103</v>
      </c>
      <c r="D27" s="423" t="s">
        <v>444</v>
      </c>
      <c r="E27" s="427">
        <f t="shared" si="3"/>
        <v>160000</v>
      </c>
      <c r="F27" s="407">
        <v>160000</v>
      </c>
      <c r="G27" s="372"/>
      <c r="H27" s="372"/>
      <c r="I27" s="407"/>
      <c r="J27" s="427"/>
      <c r="K27" s="407"/>
      <c r="L27" s="372"/>
      <c r="M27" s="372"/>
      <c r="N27" s="407">
        <f t="shared" si="4"/>
        <v>0</v>
      </c>
      <c r="O27" s="372"/>
      <c r="P27" s="427">
        <f t="shared" si="10"/>
        <v>160000</v>
      </c>
    </row>
    <row r="28" spans="1:18" ht="91.5" x14ac:dyDescent="0.2">
      <c r="A28" s="423" t="s">
        <v>962</v>
      </c>
      <c r="B28" s="423" t="s">
        <v>799</v>
      </c>
      <c r="C28" s="423" t="s">
        <v>103</v>
      </c>
      <c r="D28" s="423" t="s">
        <v>800</v>
      </c>
      <c r="E28" s="427"/>
      <c r="F28" s="407"/>
      <c r="G28" s="372"/>
      <c r="H28" s="372"/>
      <c r="I28" s="407"/>
      <c r="J28" s="427">
        <f t="shared" si="2"/>
        <v>100000</v>
      </c>
      <c r="K28" s="407"/>
      <c r="L28" s="372"/>
      <c r="M28" s="372"/>
      <c r="N28" s="407">
        <f t="shared" ref="N28:N29" si="11">O28</f>
        <v>100000</v>
      </c>
      <c r="O28" s="372">
        <f>200000-200000+100000</f>
        <v>100000</v>
      </c>
      <c r="P28" s="427">
        <f t="shared" si="10"/>
        <v>100000</v>
      </c>
    </row>
    <row r="29" spans="1:18" ht="228.75" x14ac:dyDescent="0.2">
      <c r="A29" s="423" t="s">
        <v>821</v>
      </c>
      <c r="B29" s="423" t="s">
        <v>822</v>
      </c>
      <c r="C29" s="423" t="s">
        <v>103</v>
      </c>
      <c r="D29" s="423" t="s">
        <v>823</v>
      </c>
      <c r="E29" s="427">
        <f t="shared" ref="E29" si="12">F29</f>
        <v>1690464</v>
      </c>
      <c r="F29" s="407">
        <f>(1317664+100000+50000)+222800</f>
        <v>1690464</v>
      </c>
      <c r="G29" s="372"/>
      <c r="H29" s="372"/>
      <c r="I29" s="407"/>
      <c r="J29" s="427">
        <f t="shared" si="2"/>
        <v>9329035.25</v>
      </c>
      <c r="K29" s="407"/>
      <c r="L29" s="372"/>
      <c r="M29" s="372"/>
      <c r="N29" s="407">
        <f t="shared" si="11"/>
        <v>9329035.25</v>
      </c>
      <c r="O29" s="372">
        <f>((5497336-100000)+38000+743759.25)+3149940</f>
        <v>9329035.25</v>
      </c>
      <c r="P29" s="427">
        <f t="shared" ref="P29" si="13">E29+J29</f>
        <v>11019499.25</v>
      </c>
    </row>
    <row r="30" spans="1:18" ht="135" x14ac:dyDescent="0.2">
      <c r="A30" s="473" t="s">
        <v>306</v>
      </c>
      <c r="B30" s="473"/>
      <c r="C30" s="473"/>
      <c r="D30" s="470" t="s">
        <v>1</v>
      </c>
      <c r="E30" s="476">
        <f>E31</f>
        <v>897321909.99999988</v>
      </c>
      <c r="F30" s="476">
        <f t="shared" ref="F30:P30" si="14">F31</f>
        <v>897321909.99999988</v>
      </c>
      <c r="G30" s="476">
        <f t="shared" si="14"/>
        <v>576912521</v>
      </c>
      <c r="H30" s="476">
        <f t="shared" si="14"/>
        <v>86764808</v>
      </c>
      <c r="I30" s="476">
        <f t="shared" si="14"/>
        <v>0</v>
      </c>
      <c r="J30" s="476">
        <f t="shared" si="14"/>
        <v>138767283</v>
      </c>
      <c r="K30" s="476">
        <f t="shared" si="14"/>
        <v>87461745.420000002</v>
      </c>
      <c r="L30" s="476">
        <f t="shared" si="14"/>
        <v>22250104</v>
      </c>
      <c r="M30" s="476">
        <f t="shared" si="14"/>
        <v>7407734</v>
      </c>
      <c r="N30" s="476">
        <f t="shared" si="14"/>
        <v>51305537.579999998</v>
      </c>
      <c r="O30" s="475">
        <f t="shared" si="14"/>
        <v>49833034</v>
      </c>
      <c r="P30" s="476">
        <f t="shared" si="14"/>
        <v>1036089192.9999999</v>
      </c>
    </row>
    <row r="31" spans="1:18" ht="135" x14ac:dyDescent="0.2">
      <c r="A31" s="480" t="s">
        <v>307</v>
      </c>
      <c r="B31" s="480"/>
      <c r="C31" s="480"/>
      <c r="D31" s="474" t="s">
        <v>2</v>
      </c>
      <c r="E31" s="475">
        <f>E32+E33+E34+E35+E36+E38+E39+E37+E42</f>
        <v>897321909.99999988</v>
      </c>
      <c r="F31" s="476">
        <f>F32+F33+F34+F35+F36+F38+F39+F37+F42+F417</f>
        <v>897321909.99999988</v>
      </c>
      <c r="G31" s="475">
        <f>G32+G33+G34+G35+G36+G38+G39+G37+G42</f>
        <v>576912521</v>
      </c>
      <c r="H31" s="475">
        <f>H32+H33+H34+H35+H36+H38+H39+H37+H42</f>
        <v>86764808</v>
      </c>
      <c r="I31" s="476">
        <f>I32+I33+I34+I35+I36+I38+I39+I37</f>
        <v>0</v>
      </c>
      <c r="J31" s="475">
        <f t="shared" ref="J31:O31" si="15">J32+J33+J34+J35+J36+J38+J39+J37+J42</f>
        <v>138767283</v>
      </c>
      <c r="K31" s="476">
        <f t="shared" si="15"/>
        <v>87461745.420000002</v>
      </c>
      <c r="L31" s="475">
        <f t="shared" si="15"/>
        <v>22250104</v>
      </c>
      <c r="M31" s="475">
        <f t="shared" si="15"/>
        <v>7407734</v>
      </c>
      <c r="N31" s="476">
        <f t="shared" si="15"/>
        <v>51305537.579999998</v>
      </c>
      <c r="O31" s="475">
        <f t="shared" si="15"/>
        <v>49833034</v>
      </c>
      <c r="P31" s="475">
        <f t="shared" ref="P31:P41" si="16">E31+J31</f>
        <v>1036089192.9999999</v>
      </c>
      <c r="Q31" s="228" t="b">
        <f>P31=P32+P33+P34+P35+P36+P37+P38+P39+P42</f>
        <v>1</v>
      </c>
      <c r="R31" s="228" t="b">
        <f>O31='dod5'!J21</f>
        <v>1</v>
      </c>
    </row>
    <row r="32" spans="1:18" ht="67.5" customHeight="1" x14ac:dyDescent="0.55000000000000004">
      <c r="A32" s="423" t="s">
        <v>376</v>
      </c>
      <c r="B32" s="423" t="s">
        <v>377</v>
      </c>
      <c r="C32" s="423" t="s">
        <v>379</v>
      </c>
      <c r="D32" s="423" t="s">
        <v>380</v>
      </c>
      <c r="E32" s="427">
        <f>F32</f>
        <v>237300617</v>
      </c>
      <c r="F32" s="407">
        <f>(((241481300+165502+120830)+707200+3213800+389000+834500+41349+100000-100000)-9167420)-500000-110000+124556</f>
        <v>237300617</v>
      </c>
      <c r="G32" s="372">
        <f>(((151576300)+3213800)-3687600)-500000</f>
        <v>150602500</v>
      </c>
      <c r="H32" s="372">
        <f>27650500-12000</f>
        <v>27638500</v>
      </c>
      <c r="I32" s="407"/>
      <c r="J32" s="427">
        <f t="shared" ref="J32:J40" si="17">K32+N32</f>
        <v>43062993</v>
      </c>
      <c r="K32" s="407">
        <v>34398400</v>
      </c>
      <c r="L32" s="372">
        <v>6344700</v>
      </c>
      <c r="M32" s="372">
        <v>677200</v>
      </c>
      <c r="N32" s="407">
        <f>O32+525900</f>
        <v>8664593</v>
      </c>
      <c r="O32" s="372">
        <f>(((2466200+2000000+60000+353242+55000+50000*2)+777000+1256600-41349+80000-100000+100000+(442000))+710000-(120000))-68678-37824+6800+14945+34157+26620+23980</f>
        <v>8138693</v>
      </c>
      <c r="P32" s="427">
        <f t="shared" si="16"/>
        <v>280363610</v>
      </c>
      <c r="Q32" s="25"/>
      <c r="R32" s="25"/>
    </row>
    <row r="33" spans="1:20" ht="389.25" customHeight="1" x14ac:dyDescent="0.55000000000000004">
      <c r="A33" s="423" t="s">
        <v>382</v>
      </c>
      <c r="B33" s="423" t="s">
        <v>378</v>
      </c>
      <c r="C33" s="423" t="s">
        <v>383</v>
      </c>
      <c r="D33" s="423" t="s">
        <v>912</v>
      </c>
      <c r="E33" s="427">
        <f t="shared" ref="E33:E41" si="18">F33</f>
        <v>502938279.07999998</v>
      </c>
      <c r="F33" s="407">
        <f>((((448765400+1750000+318969+495888+5582500)+15670400+1239421+3447600+272674+4898800+375000+230505+2658152-25000+7000+86612-40000-8000+(5263782))+12707069.06-600000)+1329000)-2120400-248464-1114386-94290+361481+171866.02+1556700</f>
        <v>502938279.07999998</v>
      </c>
      <c r="G33" s="372">
        <f>((((302091800)+15670400+1239421)+11034000)+1089400)-2120400+155200.61+1556700</f>
        <v>330716521.61000001</v>
      </c>
      <c r="H33" s="372">
        <f>(36896200+5582500-(20000))+100721</f>
        <v>42559421</v>
      </c>
      <c r="I33" s="407"/>
      <c r="J33" s="427">
        <f t="shared" si="17"/>
        <v>52201484</v>
      </c>
      <c r="K33" s="407">
        <f>((36530400)-1380110)+2100</f>
        <v>35152390</v>
      </c>
      <c r="L33" s="372">
        <f>(12782600)-1131270</f>
        <v>11651330</v>
      </c>
      <c r="M33" s="372">
        <f>912900+15000</f>
        <v>927900</v>
      </c>
      <c r="N33" s="407">
        <f>O33+802800-2100</f>
        <v>17049094</v>
      </c>
      <c r="O33" s="372">
        <f>(((1348532+200000+500000+297437+100000+749800*2)+4419450+583700+666579+67900+2794000-86612+250000+(1281056))+653752+600000-(180000))-180000+300000+1133000</f>
        <v>16248394</v>
      </c>
      <c r="P33" s="427">
        <f t="shared" si="16"/>
        <v>555139763.07999992</v>
      </c>
      <c r="Q33" s="25"/>
      <c r="R33" s="25"/>
      <c r="T33" s="179"/>
    </row>
    <row r="34" spans="1:20" ht="137.25" x14ac:dyDescent="0.2">
      <c r="A34" s="423" t="s">
        <v>384</v>
      </c>
      <c r="B34" s="423" t="s">
        <v>385</v>
      </c>
      <c r="C34" s="423" t="s">
        <v>383</v>
      </c>
      <c r="D34" s="423" t="s">
        <v>46</v>
      </c>
      <c r="E34" s="427">
        <f t="shared" si="18"/>
        <v>1838089.92</v>
      </c>
      <c r="F34" s="407">
        <f>(((2337100+15700)+146500+32200)-521544.06)-171866.02</f>
        <v>1838089.92</v>
      </c>
      <c r="G34" s="372">
        <f>(((1765400)+146500)-300000)-155200.61</f>
        <v>1456699.3900000001</v>
      </c>
      <c r="H34" s="372">
        <f>(93700+15700)-100721</f>
        <v>8679</v>
      </c>
      <c r="I34" s="407"/>
      <c r="J34" s="427">
        <f t="shared" si="17"/>
        <v>0</v>
      </c>
      <c r="K34" s="407"/>
      <c r="L34" s="372"/>
      <c r="M34" s="372"/>
      <c r="N34" s="407">
        <f t="shared" ref="N34:N38" si="19">O34</f>
        <v>0</v>
      </c>
      <c r="O34" s="372"/>
      <c r="P34" s="427">
        <f t="shared" si="16"/>
        <v>1838089.92</v>
      </c>
    </row>
    <row r="35" spans="1:20" ht="409.6" customHeight="1" x14ac:dyDescent="0.2">
      <c r="A35" s="423" t="s">
        <v>387</v>
      </c>
      <c r="B35" s="423" t="s">
        <v>386</v>
      </c>
      <c r="C35" s="423" t="s">
        <v>388</v>
      </c>
      <c r="D35" s="423" t="s">
        <v>47</v>
      </c>
      <c r="E35" s="427">
        <f t="shared" si="18"/>
        <v>15664300</v>
      </c>
      <c r="F35" s="407">
        <f>(((13802000+388300)+691500+152100+82500+307600)+192400-33000)+80900</f>
        <v>15664300</v>
      </c>
      <c r="G35" s="372">
        <f>(((9727200)+691500)+157000)+66300</f>
        <v>10642000</v>
      </c>
      <c r="H35" s="372">
        <f>941200+388300</f>
        <v>1329500</v>
      </c>
      <c r="I35" s="407"/>
      <c r="J35" s="427">
        <f t="shared" si="17"/>
        <v>513449</v>
      </c>
      <c r="K35" s="407">
        <v>35600</v>
      </c>
      <c r="L35" s="372"/>
      <c r="M35" s="372">
        <v>24400</v>
      </c>
      <c r="N35" s="407">
        <f t="shared" si="19"/>
        <v>477849</v>
      </c>
      <c r="O35" s="372">
        <f>(300000)+138200+6849-200+33000</f>
        <v>477849</v>
      </c>
      <c r="P35" s="427">
        <f t="shared" si="16"/>
        <v>16177749</v>
      </c>
    </row>
    <row r="36" spans="1:20" ht="183" x14ac:dyDescent="0.2">
      <c r="A36" s="423" t="s">
        <v>389</v>
      </c>
      <c r="B36" s="423" t="s">
        <v>363</v>
      </c>
      <c r="C36" s="423" t="s">
        <v>344</v>
      </c>
      <c r="D36" s="423" t="s">
        <v>48</v>
      </c>
      <c r="E36" s="427">
        <f t="shared" si="18"/>
        <v>25834020</v>
      </c>
      <c r="F36" s="407">
        <f>(((27524100)+334800+73700+6000)-2596180)+403000+88600</f>
        <v>25834020</v>
      </c>
      <c r="G36" s="372">
        <f>(((19443400)+334800)-2376200)+403000</f>
        <v>17805000</v>
      </c>
      <c r="H36" s="372">
        <f>(2247200-(260000))+199000</f>
        <v>2186200</v>
      </c>
      <c r="I36" s="407"/>
      <c r="J36" s="427">
        <f t="shared" si="17"/>
        <v>11763200</v>
      </c>
      <c r="K36" s="407">
        <f>4499900+47396.42</f>
        <v>4547296.42</v>
      </c>
      <c r="L36" s="372">
        <v>928200</v>
      </c>
      <c r="M36" s="372">
        <v>324500</v>
      </c>
      <c r="N36" s="407">
        <f>O36+153300-47396.42</f>
        <v>7215903.5800000001</v>
      </c>
      <c r="O36" s="372">
        <f>((4000000)+605000+470000-250000+(185000))+1800000+(300000)</f>
        <v>7110000</v>
      </c>
      <c r="P36" s="427">
        <f t="shared" si="16"/>
        <v>37597220</v>
      </c>
    </row>
    <row r="37" spans="1:20" ht="155.25" customHeight="1" x14ac:dyDescent="0.2">
      <c r="A37" s="423" t="s">
        <v>390</v>
      </c>
      <c r="B37" s="423" t="s">
        <v>391</v>
      </c>
      <c r="C37" s="423" t="s">
        <v>392</v>
      </c>
      <c r="D37" s="423" t="s">
        <v>393</v>
      </c>
      <c r="E37" s="427">
        <f t="shared" si="18"/>
        <v>95366804</v>
      </c>
      <c r="F37" s="407">
        <f>(((96795900-6000000+6264431)+3553400+781700)-4138800)-1889827</f>
        <v>95366804</v>
      </c>
      <c r="G37" s="372">
        <f>((52131100)+3553400)-2818800</f>
        <v>52865700</v>
      </c>
      <c r="H37" s="372">
        <f>(10956900-4000000+6264431)-1113500</f>
        <v>12107831</v>
      </c>
      <c r="I37" s="407"/>
      <c r="J37" s="427">
        <f t="shared" si="17"/>
        <v>13316259</v>
      </c>
      <c r="K37" s="407">
        <f>((8084200)+2479639+(335560))+1851860</f>
        <v>12751259</v>
      </c>
      <c r="L37" s="372">
        <f>((1501800)+823942)+709932</f>
        <v>3035674</v>
      </c>
      <c r="M37" s="372">
        <v>5429734</v>
      </c>
      <c r="N37" s="407">
        <f>(O37+245800)+129760-(335560)</f>
        <v>565000</v>
      </c>
      <c r="O37" s="372">
        <f>525000</f>
        <v>525000</v>
      </c>
      <c r="P37" s="427">
        <f t="shared" si="16"/>
        <v>108683063</v>
      </c>
    </row>
    <row r="38" spans="1:20" ht="130.5" customHeight="1" x14ac:dyDescent="0.2">
      <c r="A38" s="423" t="s">
        <v>395</v>
      </c>
      <c r="B38" s="423" t="s">
        <v>396</v>
      </c>
      <c r="C38" s="423" t="s">
        <v>397</v>
      </c>
      <c r="D38" s="423" t="s">
        <v>394</v>
      </c>
      <c r="E38" s="427">
        <f t="shared" si="18"/>
        <v>4275700</v>
      </c>
      <c r="F38" s="407">
        <f>((3952900)+63500+14000+65000+147000)+33300</f>
        <v>4275700</v>
      </c>
      <c r="G38" s="372">
        <f>((2696100)+63500)+5500</f>
        <v>2765100</v>
      </c>
      <c r="H38" s="372">
        <v>197300</v>
      </c>
      <c r="I38" s="407"/>
      <c r="J38" s="427">
        <f t="shared" si="17"/>
        <v>176450</v>
      </c>
      <c r="K38" s="407">
        <v>76000</v>
      </c>
      <c r="L38" s="372"/>
      <c r="M38" s="372"/>
      <c r="N38" s="407">
        <f t="shared" si="19"/>
        <v>100450</v>
      </c>
      <c r="O38" s="372">
        <f>(0)+100450</f>
        <v>100450</v>
      </c>
      <c r="P38" s="427">
        <f t="shared" si="16"/>
        <v>4452150</v>
      </c>
    </row>
    <row r="39" spans="1:20" ht="112.5" customHeight="1" x14ac:dyDescent="0.2">
      <c r="A39" s="423" t="s">
        <v>399</v>
      </c>
      <c r="B39" s="423" t="s">
        <v>400</v>
      </c>
      <c r="C39" s="423"/>
      <c r="D39" s="430" t="s">
        <v>398</v>
      </c>
      <c r="E39" s="427">
        <f t="shared" si="18"/>
        <v>13998100</v>
      </c>
      <c r="F39" s="407">
        <f>F40+F41</f>
        <v>13998100</v>
      </c>
      <c r="G39" s="372">
        <f>G40+G41</f>
        <v>10059000</v>
      </c>
      <c r="H39" s="372">
        <f t="shared" ref="H39" si="20">H40</f>
        <v>737377</v>
      </c>
      <c r="I39" s="407"/>
      <c r="J39" s="427">
        <f t="shared" si="17"/>
        <v>1299700</v>
      </c>
      <c r="K39" s="407">
        <f>K40</f>
        <v>500800</v>
      </c>
      <c r="L39" s="372">
        <f t="shared" ref="L39" si="21">L40</f>
        <v>290200</v>
      </c>
      <c r="M39" s="372">
        <f t="shared" ref="M39" si="22">M40</f>
        <v>24000</v>
      </c>
      <c r="N39" s="407">
        <f>N40</f>
        <v>798900</v>
      </c>
      <c r="O39" s="372">
        <f>O40</f>
        <v>798900</v>
      </c>
      <c r="P39" s="427">
        <f t="shared" si="16"/>
        <v>15297800</v>
      </c>
    </row>
    <row r="40" spans="1:20" s="196" customFormat="1" ht="139.5" customHeight="1" x14ac:dyDescent="0.2">
      <c r="A40" s="431" t="s">
        <v>656</v>
      </c>
      <c r="B40" s="431" t="s">
        <v>657</v>
      </c>
      <c r="C40" s="431" t="s">
        <v>397</v>
      </c>
      <c r="D40" s="431" t="s">
        <v>655</v>
      </c>
      <c r="E40" s="407">
        <f t="shared" si="18"/>
        <v>13830900</v>
      </c>
      <c r="F40" s="407">
        <f>(((13719600)+342300+75300+20000+125900)-86200)-300000-66000</f>
        <v>13830900</v>
      </c>
      <c r="G40" s="407">
        <f>((10016700)+342300)-300000</f>
        <v>10059000</v>
      </c>
      <c r="H40" s="407">
        <f>764800-(27423)</f>
        <v>737377</v>
      </c>
      <c r="I40" s="426"/>
      <c r="J40" s="407">
        <f t="shared" si="17"/>
        <v>1299700</v>
      </c>
      <c r="K40" s="407">
        <v>500800</v>
      </c>
      <c r="L40" s="407">
        <v>290200</v>
      </c>
      <c r="M40" s="407">
        <v>24000</v>
      </c>
      <c r="N40" s="407">
        <f t="shared" ref="N40" si="23">O40</f>
        <v>798900</v>
      </c>
      <c r="O40" s="426">
        <f>(48000)+750900</f>
        <v>798900</v>
      </c>
      <c r="P40" s="407">
        <f t="shared" si="16"/>
        <v>15130600</v>
      </c>
    </row>
    <row r="41" spans="1:20" s="196" customFormat="1" ht="124.5" customHeight="1" x14ac:dyDescent="0.2">
      <c r="A41" s="431" t="s">
        <v>697</v>
      </c>
      <c r="B41" s="431" t="s">
        <v>698</v>
      </c>
      <c r="C41" s="431" t="s">
        <v>397</v>
      </c>
      <c r="D41" s="428" t="s">
        <v>696</v>
      </c>
      <c r="E41" s="426">
        <f t="shared" si="18"/>
        <v>167200</v>
      </c>
      <c r="F41" s="426">
        <f>(140000+27200-27200)+27200</f>
        <v>167200</v>
      </c>
      <c r="G41" s="426"/>
      <c r="H41" s="426"/>
      <c r="I41" s="426"/>
      <c r="J41" s="407">
        <f t="shared" ref="J41" si="24">K41+N41</f>
        <v>0</v>
      </c>
      <c r="K41" s="426"/>
      <c r="L41" s="426"/>
      <c r="M41" s="426"/>
      <c r="N41" s="426"/>
      <c r="O41" s="426"/>
      <c r="P41" s="407">
        <f t="shared" si="16"/>
        <v>167200</v>
      </c>
    </row>
    <row r="42" spans="1:20" ht="46.5" x14ac:dyDescent="0.2">
      <c r="A42" s="423" t="s">
        <v>402</v>
      </c>
      <c r="B42" s="423" t="s">
        <v>403</v>
      </c>
      <c r="C42" s="423" t="s">
        <v>404</v>
      </c>
      <c r="D42" s="423" t="s">
        <v>99</v>
      </c>
      <c r="E42" s="427">
        <f>F42</f>
        <v>106000</v>
      </c>
      <c r="F42" s="407">
        <v>106000</v>
      </c>
      <c r="G42" s="372"/>
      <c r="H42" s="372"/>
      <c r="I42" s="407"/>
      <c r="J42" s="427">
        <f>K42+N42</f>
        <v>16433748</v>
      </c>
      <c r="K42" s="407"/>
      <c r="L42" s="372"/>
      <c r="M42" s="372"/>
      <c r="N42" s="407">
        <f>O42</f>
        <v>16433748</v>
      </c>
      <c r="O42" s="372">
        <f>(1191000+8287748-106000)+7061000</f>
        <v>16433748</v>
      </c>
      <c r="P42" s="427">
        <f>E42+J42</f>
        <v>16539748</v>
      </c>
    </row>
    <row r="43" spans="1:20" ht="135" x14ac:dyDescent="0.2">
      <c r="A43" s="468" t="s">
        <v>308</v>
      </c>
      <c r="B43" s="469"/>
      <c r="C43" s="469"/>
      <c r="D43" s="470" t="s">
        <v>53</v>
      </c>
      <c r="E43" s="471">
        <f>E44</f>
        <v>351890473</v>
      </c>
      <c r="F43" s="472">
        <f t="shared" ref="F43:P43" si="25">F44</f>
        <v>351890473</v>
      </c>
      <c r="G43" s="471">
        <f t="shared" si="25"/>
        <v>2844600</v>
      </c>
      <c r="H43" s="471">
        <f t="shared" si="25"/>
        <v>201200</v>
      </c>
      <c r="I43" s="472">
        <f t="shared" si="25"/>
        <v>0</v>
      </c>
      <c r="J43" s="471">
        <f t="shared" si="25"/>
        <v>46456973</v>
      </c>
      <c r="K43" s="472">
        <f t="shared" si="25"/>
        <v>16691169</v>
      </c>
      <c r="L43" s="471">
        <f t="shared" si="25"/>
        <v>0</v>
      </c>
      <c r="M43" s="471">
        <f t="shared" si="25"/>
        <v>0</v>
      </c>
      <c r="N43" s="472">
        <f t="shared" si="25"/>
        <v>29765804</v>
      </c>
      <c r="O43" s="471">
        <f t="shared" si="25"/>
        <v>29379255</v>
      </c>
      <c r="P43" s="471">
        <f t="shared" si="25"/>
        <v>398347446</v>
      </c>
    </row>
    <row r="44" spans="1:20" ht="180" x14ac:dyDescent="0.2">
      <c r="A44" s="473" t="s">
        <v>309</v>
      </c>
      <c r="B44" s="473"/>
      <c r="C44" s="473"/>
      <c r="D44" s="474" t="s">
        <v>91</v>
      </c>
      <c r="E44" s="475">
        <f>E46+E47+E48+E49+E55+E50+E52+E58+E45</f>
        <v>351890473</v>
      </c>
      <c r="F44" s="476">
        <f>F46+F47+F48+F49+F55+F50+F52+F58+F45</f>
        <v>351890473</v>
      </c>
      <c r="G44" s="475">
        <f>G46+G47+G48+G49+G55+G50+G52+G45</f>
        <v>2844600</v>
      </c>
      <c r="H44" s="475">
        <f>H46+H47+H48+H49+H55+H50+H52+H45</f>
        <v>201200</v>
      </c>
      <c r="I44" s="476">
        <v>0</v>
      </c>
      <c r="J44" s="475">
        <f t="shared" ref="J44:J55" si="26">K44+N44</f>
        <v>46456973</v>
      </c>
      <c r="K44" s="476">
        <f>K46+K47+K48+K49+K55+K50+K52+K58+K45</f>
        <v>16691169</v>
      </c>
      <c r="L44" s="475">
        <f>L46+L47+L48+L49+L55+L50+L52+L45</f>
        <v>0</v>
      </c>
      <c r="M44" s="475">
        <f>M46+M47+M48+M49+M55+M50+M52+M45</f>
        <v>0</v>
      </c>
      <c r="N44" s="476">
        <f>N46+N47+N48+N49+N55+N50+N52+N58+N45</f>
        <v>29765804</v>
      </c>
      <c r="O44" s="475">
        <f>O46+O47+O48+O49+O55+O50+O58+O45</f>
        <v>29379255</v>
      </c>
      <c r="P44" s="475">
        <f>E44+J44</f>
        <v>398347446</v>
      </c>
      <c r="Q44" s="228" t="b">
        <f>P44=P46+P47+P48+P49+P51+P53+P54+P56+P57+P58+P45</f>
        <v>1</v>
      </c>
      <c r="R44" s="228" t="b">
        <f>O44='dod5'!J38</f>
        <v>1</v>
      </c>
    </row>
    <row r="45" spans="1:20" ht="228.75" x14ac:dyDescent="0.2">
      <c r="A45" s="449" t="s">
        <v>1025</v>
      </c>
      <c r="B45" s="449" t="s">
        <v>433</v>
      </c>
      <c r="C45" s="449" t="s">
        <v>430</v>
      </c>
      <c r="D45" s="449" t="s">
        <v>431</v>
      </c>
      <c r="E45" s="450">
        <f t="shared" ref="E45" si="27">F45</f>
        <v>1875000</v>
      </c>
      <c r="F45" s="452">
        <f>1886700-11700</f>
        <v>1875000</v>
      </c>
      <c r="G45" s="372">
        <f>1392000-15000</f>
        <v>1377000</v>
      </c>
      <c r="H45" s="372">
        <v>101500</v>
      </c>
      <c r="I45" s="452"/>
      <c r="J45" s="450">
        <f t="shared" si="26"/>
        <v>40000</v>
      </c>
      <c r="K45" s="452"/>
      <c r="L45" s="372"/>
      <c r="M45" s="372"/>
      <c r="N45" s="452">
        <f>O45</f>
        <v>40000</v>
      </c>
      <c r="O45" s="372">
        <v>40000</v>
      </c>
      <c r="P45" s="450">
        <f>E45+J45</f>
        <v>1915000</v>
      </c>
      <c r="Q45" s="228"/>
      <c r="R45" s="228"/>
    </row>
    <row r="46" spans="1:20" ht="91.5" x14ac:dyDescent="0.2">
      <c r="A46" s="423" t="s">
        <v>405</v>
      </c>
      <c r="B46" s="423" t="s">
        <v>401</v>
      </c>
      <c r="C46" s="423" t="s">
        <v>406</v>
      </c>
      <c r="D46" s="423" t="s">
        <v>55</v>
      </c>
      <c r="E46" s="427">
        <f>F46</f>
        <v>176872111</v>
      </c>
      <c r="F46" s="407">
        <f>(((169809941+1000000+714000+50000)-714000+2474600-360000+3000000+160000+360000+1000000-(3120000))+2087870+19000)-57300+448000</f>
        <v>176872111</v>
      </c>
      <c r="G46" s="372"/>
      <c r="H46" s="372"/>
      <c r="I46" s="407"/>
      <c r="J46" s="427">
        <f t="shared" si="26"/>
        <v>25953925</v>
      </c>
      <c r="K46" s="407">
        <v>5806250</v>
      </c>
      <c r="L46" s="372"/>
      <c r="M46" s="372"/>
      <c r="N46" s="407">
        <f>O46</f>
        <v>20147675</v>
      </c>
      <c r="O46" s="372">
        <f>(((4250000+1000000)+11650768-113-25620-12940+88000)+2678580)+400000+163000-44000</f>
        <v>20147675</v>
      </c>
      <c r="P46" s="427">
        <f t="shared" ref="P46:P55" si="28">E46+J46</f>
        <v>202826036</v>
      </c>
    </row>
    <row r="47" spans="1:20" ht="137.25" x14ac:dyDescent="0.2">
      <c r="A47" s="423" t="s">
        <v>407</v>
      </c>
      <c r="B47" s="423" t="s">
        <v>408</v>
      </c>
      <c r="C47" s="423" t="s">
        <v>409</v>
      </c>
      <c r="D47" s="423" t="s">
        <v>410</v>
      </c>
      <c r="E47" s="427">
        <f t="shared" ref="E47:E51" si="29">F47</f>
        <v>54159300</v>
      </c>
      <c r="F47" s="407">
        <f>(((53366300+320000)+115000)+150000)+208000</f>
        <v>54159300</v>
      </c>
      <c r="G47" s="372"/>
      <c r="H47" s="372"/>
      <c r="I47" s="407"/>
      <c r="J47" s="427">
        <f t="shared" si="26"/>
        <v>1720650</v>
      </c>
      <c r="K47" s="407">
        <f>((852000)-30000)-11549</f>
        <v>810451</v>
      </c>
      <c r="L47" s="372"/>
      <c r="M47" s="372"/>
      <c r="N47" s="407">
        <f>((O47)+30000)+11549</f>
        <v>910199</v>
      </c>
      <c r="O47" s="372">
        <f>(597150)+181500+90000</f>
        <v>868650</v>
      </c>
      <c r="P47" s="427">
        <f t="shared" si="28"/>
        <v>55879950</v>
      </c>
    </row>
    <row r="48" spans="1:20" ht="137.25" x14ac:dyDescent="0.2">
      <c r="A48" s="423" t="s">
        <v>411</v>
      </c>
      <c r="B48" s="423" t="s">
        <v>412</v>
      </c>
      <c r="C48" s="423" t="s">
        <v>413</v>
      </c>
      <c r="D48" s="423" t="s">
        <v>729</v>
      </c>
      <c r="E48" s="427">
        <f t="shared" si="29"/>
        <v>53973886</v>
      </c>
      <c r="F48" s="407">
        <f>(((53234500+5881200)-5881200+502148-12148)+407386)-208000+50000</f>
        <v>53973886</v>
      </c>
      <c r="G48" s="372"/>
      <c r="H48" s="372"/>
      <c r="I48" s="407"/>
      <c r="J48" s="427">
        <f t="shared" si="26"/>
        <v>8064761</v>
      </c>
      <c r="K48" s="407">
        <f>((5312168)-249000)-26000</f>
        <v>5037168</v>
      </c>
      <c r="L48" s="372"/>
      <c r="M48" s="372"/>
      <c r="N48" s="407">
        <f>((O48)+249000)+26000</f>
        <v>3027593</v>
      </c>
      <c r="O48" s="372">
        <f>(1617460+12148+22000)+1100985</f>
        <v>2752593</v>
      </c>
      <c r="P48" s="427">
        <f t="shared" si="28"/>
        <v>62038647</v>
      </c>
    </row>
    <row r="49" spans="1:22" ht="91.5" x14ac:dyDescent="0.2">
      <c r="A49" s="423" t="s">
        <v>414</v>
      </c>
      <c r="B49" s="423" t="s">
        <v>415</v>
      </c>
      <c r="C49" s="423" t="s">
        <v>416</v>
      </c>
      <c r="D49" s="423" t="s">
        <v>417</v>
      </c>
      <c r="E49" s="427">
        <f t="shared" si="29"/>
        <v>9006600</v>
      </c>
      <c r="F49" s="407">
        <f>(((9008400+22000)-160000)+600000)-463800</f>
        <v>9006600</v>
      </c>
      <c r="G49" s="372"/>
      <c r="H49" s="372"/>
      <c r="I49" s="407"/>
      <c r="J49" s="427">
        <f t="shared" si="26"/>
        <v>6858400</v>
      </c>
      <c r="K49" s="407">
        <f>(5000400)-70000</f>
        <v>4930400</v>
      </c>
      <c r="L49" s="372"/>
      <c r="M49" s="372"/>
      <c r="N49" s="407">
        <f>O49+70000</f>
        <v>1928000</v>
      </c>
      <c r="O49" s="372">
        <f>(89000)+121000+1648000</f>
        <v>1858000</v>
      </c>
      <c r="P49" s="427">
        <f t="shared" si="28"/>
        <v>15865000</v>
      </c>
    </row>
    <row r="50" spans="1:22" ht="91.5" x14ac:dyDescent="0.2">
      <c r="A50" s="423" t="s">
        <v>418</v>
      </c>
      <c r="B50" s="423" t="s">
        <v>419</v>
      </c>
      <c r="C50" s="423"/>
      <c r="D50" s="423" t="s">
        <v>730</v>
      </c>
      <c r="E50" s="427">
        <f t="shared" si="29"/>
        <v>36699976</v>
      </c>
      <c r="F50" s="407">
        <f>F51</f>
        <v>36699976</v>
      </c>
      <c r="G50" s="372"/>
      <c r="H50" s="372"/>
      <c r="I50" s="407"/>
      <c r="J50" s="427">
        <f t="shared" si="26"/>
        <v>2374000</v>
      </c>
      <c r="K50" s="407">
        <f>K51</f>
        <v>86500</v>
      </c>
      <c r="L50" s="372"/>
      <c r="M50" s="372"/>
      <c r="N50" s="407">
        <f t="shared" ref="N50:N51" si="30">O50</f>
        <v>2287500</v>
      </c>
      <c r="O50" s="372">
        <f>O51</f>
        <v>2287500</v>
      </c>
      <c r="P50" s="427">
        <f t="shared" si="28"/>
        <v>39073976</v>
      </c>
    </row>
    <row r="51" spans="1:22" ht="183" x14ac:dyDescent="0.2">
      <c r="A51" s="428" t="s">
        <v>420</v>
      </c>
      <c r="B51" s="431" t="s">
        <v>421</v>
      </c>
      <c r="C51" s="431" t="s">
        <v>731</v>
      </c>
      <c r="D51" s="428" t="s">
        <v>422</v>
      </c>
      <c r="E51" s="407">
        <f t="shared" si="29"/>
        <v>36699976</v>
      </c>
      <c r="F51" s="407">
        <f>(((6889600+25900000+340000+4561100+2835500)-2835500+70200+(1780000))-2806724)+15800-50000</f>
        <v>36699976</v>
      </c>
      <c r="G51" s="407"/>
      <c r="H51" s="407"/>
      <c r="I51" s="407"/>
      <c r="J51" s="407">
        <f t="shared" si="26"/>
        <v>2374000</v>
      </c>
      <c r="K51" s="407">
        <v>86500</v>
      </c>
      <c r="L51" s="407"/>
      <c r="M51" s="407"/>
      <c r="N51" s="407">
        <f t="shared" si="30"/>
        <v>2287500</v>
      </c>
      <c r="O51" s="372">
        <f>((540000+1000000)+715000)+32500</f>
        <v>2287500</v>
      </c>
      <c r="P51" s="407">
        <f t="shared" si="28"/>
        <v>39073976</v>
      </c>
    </row>
    <row r="52" spans="1:22" ht="137.25" x14ac:dyDescent="0.2">
      <c r="A52" s="423" t="s">
        <v>782</v>
      </c>
      <c r="B52" s="430" t="s">
        <v>783</v>
      </c>
      <c r="C52" s="430"/>
      <c r="D52" s="430" t="s">
        <v>784</v>
      </c>
      <c r="E52" s="427">
        <f t="shared" ref="E52:E54" si="31">F52</f>
        <v>16678900</v>
      </c>
      <c r="F52" s="407">
        <f>SUM(F53:F54)</f>
        <v>16678900</v>
      </c>
      <c r="G52" s="372">
        <f t="shared" ref="G52:H52" si="32">SUM(G53:G54)</f>
        <v>0</v>
      </c>
      <c r="H52" s="372">
        <f t="shared" si="32"/>
        <v>0</v>
      </c>
      <c r="I52" s="407"/>
      <c r="J52" s="427">
        <f t="shared" ref="J52:J54" si="33">K52+N52</f>
        <v>0</v>
      </c>
      <c r="K52" s="407">
        <f>SUM(K53:K54)</f>
        <v>0</v>
      </c>
      <c r="L52" s="372">
        <f t="shared" ref="L52:M52" si="34">SUM(L53:L54)</f>
        <v>0</v>
      </c>
      <c r="M52" s="372">
        <f t="shared" si="34"/>
        <v>0</v>
      </c>
      <c r="N52" s="407">
        <f>SUM(N53:N54)</f>
        <v>0</v>
      </c>
      <c r="O52" s="372"/>
      <c r="P52" s="427">
        <f t="shared" ref="P52:P54" si="35">E52+J52</f>
        <v>16678900</v>
      </c>
    </row>
    <row r="53" spans="1:22" ht="183" x14ac:dyDescent="0.2">
      <c r="A53" s="428" t="s">
        <v>785</v>
      </c>
      <c r="B53" s="428" t="s">
        <v>786</v>
      </c>
      <c r="C53" s="430" t="s">
        <v>425</v>
      </c>
      <c r="D53" s="432" t="s">
        <v>787</v>
      </c>
      <c r="E53" s="407">
        <f t="shared" si="31"/>
        <v>10353200</v>
      </c>
      <c r="F53" s="407">
        <f>((6595200+(1340000))+2360700)+57300</f>
        <v>10353200</v>
      </c>
      <c r="G53" s="407"/>
      <c r="H53" s="407"/>
      <c r="I53" s="407"/>
      <c r="J53" s="407">
        <f t="shared" si="33"/>
        <v>0</v>
      </c>
      <c r="K53" s="407"/>
      <c r="L53" s="407"/>
      <c r="M53" s="407"/>
      <c r="N53" s="407">
        <f t="shared" ref="N53:N54" si="36">O53</f>
        <v>0</v>
      </c>
      <c r="O53" s="407"/>
      <c r="P53" s="407">
        <f t="shared" si="35"/>
        <v>10353200</v>
      </c>
    </row>
    <row r="54" spans="1:22" ht="183" x14ac:dyDescent="0.2">
      <c r="A54" s="428" t="s">
        <v>790</v>
      </c>
      <c r="B54" s="428" t="s">
        <v>789</v>
      </c>
      <c r="C54" s="430" t="s">
        <v>425</v>
      </c>
      <c r="D54" s="432" t="s">
        <v>788</v>
      </c>
      <c r="E54" s="407">
        <f t="shared" si="31"/>
        <v>6325700</v>
      </c>
      <c r="F54" s="407">
        <f>2835500+(3490200)</f>
        <v>6325700</v>
      </c>
      <c r="G54" s="407"/>
      <c r="H54" s="407"/>
      <c r="I54" s="407"/>
      <c r="J54" s="407">
        <f t="shared" si="33"/>
        <v>0</v>
      </c>
      <c r="K54" s="407"/>
      <c r="L54" s="407"/>
      <c r="M54" s="407"/>
      <c r="N54" s="407">
        <f t="shared" si="36"/>
        <v>0</v>
      </c>
      <c r="O54" s="407"/>
      <c r="P54" s="407">
        <f t="shared" si="35"/>
        <v>6325700</v>
      </c>
    </row>
    <row r="55" spans="1:22" ht="91.5" customHeight="1" x14ac:dyDescent="0.2">
      <c r="A55" s="423" t="s">
        <v>423</v>
      </c>
      <c r="B55" s="430" t="s">
        <v>424</v>
      </c>
      <c r="C55" s="430"/>
      <c r="D55" s="430" t="s">
        <v>426</v>
      </c>
      <c r="E55" s="427">
        <f>F55</f>
        <v>2440300</v>
      </c>
      <c r="F55" s="407">
        <f>SUM(F56:F57)</f>
        <v>2440300</v>
      </c>
      <c r="G55" s="372">
        <f t="shared" ref="G55:H55" si="37">SUM(G56:G57)</f>
        <v>1467600</v>
      </c>
      <c r="H55" s="372">
        <f t="shared" si="37"/>
        <v>99700</v>
      </c>
      <c r="I55" s="407"/>
      <c r="J55" s="427">
        <f t="shared" si="26"/>
        <v>22800</v>
      </c>
      <c r="K55" s="407">
        <f>SUM(K56:K57)</f>
        <v>20400</v>
      </c>
      <c r="L55" s="372">
        <f t="shared" ref="L55" si="38">SUM(L56:L57)</f>
        <v>0</v>
      </c>
      <c r="M55" s="372">
        <f t="shared" ref="M55" si="39">SUM(M56:M57)</f>
        <v>0</v>
      </c>
      <c r="N55" s="407">
        <f>SUM(N56:N57)</f>
        <v>2400</v>
      </c>
      <c r="O55" s="407">
        <f>SUM(O56:O57)</f>
        <v>2400</v>
      </c>
      <c r="P55" s="427">
        <f t="shared" si="28"/>
        <v>2463100</v>
      </c>
    </row>
    <row r="56" spans="1:22" s="196" customFormat="1" ht="137.25" x14ac:dyDescent="0.2">
      <c r="A56" s="428" t="s">
        <v>660</v>
      </c>
      <c r="B56" s="428" t="s">
        <v>662</v>
      </c>
      <c r="C56" s="431" t="s">
        <v>425</v>
      </c>
      <c r="D56" s="432" t="s">
        <v>658</v>
      </c>
      <c r="E56" s="407">
        <f t="shared" ref="E56:E58" si="40">F56</f>
        <v>2140300</v>
      </c>
      <c r="F56" s="407">
        <f>(((2459300-300000)+11000+10000)+20000)-100000+20000+20000</f>
        <v>2140300</v>
      </c>
      <c r="G56" s="407">
        <f>(1567600)-100000</f>
        <v>1467600</v>
      </c>
      <c r="H56" s="407">
        <v>99700</v>
      </c>
      <c r="I56" s="407"/>
      <c r="J56" s="407">
        <f t="shared" ref="J56:J58" si="41">K56+N56</f>
        <v>22800</v>
      </c>
      <c r="K56" s="407">
        <v>20400</v>
      </c>
      <c r="L56" s="407"/>
      <c r="M56" s="407"/>
      <c r="N56" s="407">
        <f t="shared" ref="N56:N57" si="42">O56</f>
        <v>2400</v>
      </c>
      <c r="O56" s="407">
        <f>(30000-10000)-17600</f>
        <v>2400</v>
      </c>
      <c r="P56" s="407">
        <f t="shared" ref="P56:P58" si="43">E56+J56</f>
        <v>2163100</v>
      </c>
    </row>
    <row r="57" spans="1:22" s="196" customFormat="1" ht="91.5" x14ac:dyDescent="0.2">
      <c r="A57" s="428" t="s">
        <v>661</v>
      </c>
      <c r="B57" s="428" t="s">
        <v>663</v>
      </c>
      <c r="C57" s="431" t="s">
        <v>425</v>
      </c>
      <c r="D57" s="432" t="s">
        <v>659</v>
      </c>
      <c r="E57" s="407">
        <f t="shared" si="40"/>
        <v>300000</v>
      </c>
      <c r="F57" s="407">
        <v>300000</v>
      </c>
      <c r="G57" s="407"/>
      <c r="H57" s="407"/>
      <c r="I57" s="407"/>
      <c r="J57" s="407">
        <f t="shared" si="41"/>
        <v>0</v>
      </c>
      <c r="K57" s="407"/>
      <c r="L57" s="407"/>
      <c r="M57" s="407"/>
      <c r="N57" s="407">
        <f t="shared" si="42"/>
        <v>0</v>
      </c>
      <c r="O57" s="407"/>
      <c r="P57" s="407">
        <f t="shared" si="43"/>
        <v>300000</v>
      </c>
    </row>
    <row r="58" spans="1:22" ht="91.5" x14ac:dyDescent="0.2">
      <c r="A58" s="423" t="s">
        <v>798</v>
      </c>
      <c r="B58" s="430" t="s">
        <v>799</v>
      </c>
      <c r="C58" s="430" t="s">
        <v>103</v>
      </c>
      <c r="D58" s="430" t="s">
        <v>800</v>
      </c>
      <c r="E58" s="427">
        <f t="shared" si="40"/>
        <v>184400</v>
      </c>
      <c r="F58" s="407">
        <f>(0)+184400</f>
        <v>184400</v>
      </c>
      <c r="G58" s="372"/>
      <c r="H58" s="372"/>
      <c r="I58" s="407"/>
      <c r="J58" s="427">
        <f t="shared" si="41"/>
        <v>1422437</v>
      </c>
      <c r="K58" s="407"/>
      <c r="L58" s="372"/>
      <c r="M58" s="372"/>
      <c r="N58" s="407">
        <f>O58</f>
        <v>1422437</v>
      </c>
      <c r="O58" s="372">
        <f>(452800)+921000+48637</f>
        <v>1422437</v>
      </c>
      <c r="P58" s="427">
        <f t="shared" si="43"/>
        <v>1606837</v>
      </c>
    </row>
    <row r="59" spans="1:22" ht="225" x14ac:dyDescent="0.2">
      <c r="A59" s="473" t="s">
        <v>310</v>
      </c>
      <c r="B59" s="473"/>
      <c r="C59" s="473"/>
      <c r="D59" s="470" t="s">
        <v>92</v>
      </c>
      <c r="E59" s="476">
        <f>E60</f>
        <v>1020370595</v>
      </c>
      <c r="F59" s="476">
        <f>F60</f>
        <v>1020370595</v>
      </c>
      <c r="G59" s="476">
        <f>G60</f>
        <v>37961070</v>
      </c>
      <c r="H59" s="476">
        <f t="shared" ref="H59:O59" si="44">H60</f>
        <v>1872300</v>
      </c>
      <c r="I59" s="476">
        <f t="shared" si="44"/>
        <v>0</v>
      </c>
      <c r="J59" s="476">
        <f t="shared" si="44"/>
        <v>11392222.629999999</v>
      </c>
      <c r="K59" s="476">
        <f t="shared" si="44"/>
        <v>460000</v>
      </c>
      <c r="L59" s="476">
        <f t="shared" si="44"/>
        <v>50000</v>
      </c>
      <c r="M59" s="476">
        <f t="shared" si="44"/>
        <v>4000</v>
      </c>
      <c r="N59" s="476">
        <f t="shared" si="44"/>
        <v>10932222.629999999</v>
      </c>
      <c r="O59" s="475">
        <f t="shared" si="44"/>
        <v>10932222.629999999</v>
      </c>
      <c r="P59" s="475">
        <f>P60</f>
        <v>1031762817.63</v>
      </c>
    </row>
    <row r="60" spans="1:22" ht="225" x14ac:dyDescent="0.2">
      <c r="A60" s="480" t="s">
        <v>311</v>
      </c>
      <c r="B60" s="480"/>
      <c r="C60" s="480"/>
      <c r="D60" s="474" t="s">
        <v>93</v>
      </c>
      <c r="E60" s="475">
        <f>E99+E91+E108+E94+E74+E83+E68+E62+E65+E106+E82+E90+E95+E98+E61+E101+E113</f>
        <v>1020370595</v>
      </c>
      <c r="F60" s="476">
        <f>F99+F91+F108+F94+F74+F83+F68+F62+F65+F106+F82+F90+F95+F98+F61+F101</f>
        <v>1020370595</v>
      </c>
      <c r="G60" s="475">
        <f>G99+G91+G108+G94+G74+G83+G68+G62+G65+G106+G82+G90+G61+G101</f>
        <v>37961070</v>
      </c>
      <c r="H60" s="475">
        <f>H99+H91+H108+H94+H74+H83+H68+H62+H65+H106+H82+H90+H61+H101</f>
        <v>1872300</v>
      </c>
      <c r="I60" s="476">
        <v>0</v>
      </c>
      <c r="J60" s="475">
        <f>K60+N60</f>
        <v>11392222.629999999</v>
      </c>
      <c r="K60" s="476">
        <f>K99+K91+K108+K94+K74+K83+K68+K62+K65+K106+K82+K90+K111+K102+K61+K101+K113</f>
        <v>460000</v>
      </c>
      <c r="L60" s="475">
        <f>L99+L91+L108+L94+L74+L83+L68+L62+L65+L106+L82+L90+L61+L101</f>
        <v>50000</v>
      </c>
      <c r="M60" s="475">
        <f>M99+M91+M108+M94+M74+M83+M68+M62+M65+M106+M82+M90+M61+M101</f>
        <v>4000</v>
      </c>
      <c r="N60" s="476">
        <f>N99+N91+N108+N94+N74+N83+N68+N62+N65+N106+N82+N90+N111+N102+N61+N101+N113</f>
        <v>10932222.629999999</v>
      </c>
      <c r="O60" s="475">
        <f>O99+O91+O108+O94+O74+O83+O68+O62+O65+O106+O82+O90+O111+O102+O61+O101+O113</f>
        <v>10932222.629999999</v>
      </c>
      <c r="P60" s="475">
        <f>E60+J60</f>
        <v>1031762817.63</v>
      </c>
      <c r="Q60" s="251" t="b">
        <f>P60=P63+P64+P66+P67+P69+P70+P71+P72+P73+P75+P76+P77+P78+P79+P80+P81+P82+P85+P86+P87+P88+P89+P90+P92+P93+P94+P96+P97+P98+P100+P103+P106+P109+P110+P112+P61+P101+P114</f>
        <v>1</v>
      </c>
      <c r="R60" s="253" t="b">
        <f>O60='dod5'!J57</f>
        <v>1</v>
      </c>
      <c r="S60" s="252"/>
      <c r="T60" s="251"/>
      <c r="U60" s="252"/>
      <c r="V60" s="252"/>
    </row>
    <row r="61" spans="1:22" ht="228.75" x14ac:dyDescent="0.2">
      <c r="A61" s="449" t="s">
        <v>1023</v>
      </c>
      <c r="B61" s="449" t="s">
        <v>433</v>
      </c>
      <c r="C61" s="449" t="s">
        <v>430</v>
      </c>
      <c r="D61" s="449" t="s">
        <v>431</v>
      </c>
      <c r="E61" s="450">
        <f t="shared" ref="E61" si="45">F61</f>
        <v>32655636</v>
      </c>
      <c r="F61" s="452">
        <f>31916736+200000+260000+148900+130000</f>
        <v>32655636</v>
      </c>
      <c r="G61" s="372">
        <f>23225870+164000+260000</f>
        <v>23649870</v>
      </c>
      <c r="H61" s="372">
        <v>991000</v>
      </c>
      <c r="I61" s="452"/>
      <c r="J61" s="450">
        <f t="shared" ref="J61:J68" si="46">K61+N61</f>
        <v>126000</v>
      </c>
      <c r="K61" s="452"/>
      <c r="L61" s="372"/>
      <c r="M61" s="372"/>
      <c r="N61" s="452">
        <f>O61</f>
        <v>126000</v>
      </c>
      <c r="O61" s="372">
        <v>126000</v>
      </c>
      <c r="P61" s="450">
        <f>E61+J61</f>
        <v>32781636</v>
      </c>
      <c r="Q61" s="251"/>
      <c r="R61" s="253"/>
      <c r="S61" s="252"/>
      <c r="T61" s="251"/>
      <c r="U61" s="252"/>
      <c r="V61" s="252"/>
    </row>
    <row r="62" spans="1:22" ht="366" x14ac:dyDescent="0.65">
      <c r="A62" s="430" t="s">
        <v>451</v>
      </c>
      <c r="B62" s="430" t="s">
        <v>452</v>
      </c>
      <c r="C62" s="430"/>
      <c r="D62" s="430" t="s">
        <v>14</v>
      </c>
      <c r="E62" s="427">
        <f t="shared" ref="E62:E68" si="47">F62</f>
        <v>523967300</v>
      </c>
      <c r="F62" s="407">
        <f>F63+F64</f>
        <v>523967300</v>
      </c>
      <c r="G62" s="372">
        <f>G63+G64</f>
        <v>0</v>
      </c>
      <c r="H62" s="372">
        <f>H63+H64</f>
        <v>0</v>
      </c>
      <c r="I62" s="407">
        <f>I63+I64</f>
        <v>0</v>
      </c>
      <c r="J62" s="427">
        <f t="shared" si="46"/>
        <v>0</v>
      </c>
      <c r="K62" s="407">
        <f>K63+K64</f>
        <v>0</v>
      </c>
      <c r="L62" s="372">
        <f>L63+L64</f>
        <v>0</v>
      </c>
      <c r="M62" s="372">
        <f>M63+M64</f>
        <v>0</v>
      </c>
      <c r="N62" s="407">
        <f>N63+N64</f>
        <v>0</v>
      </c>
      <c r="O62" s="372">
        <f>O63+O64</f>
        <v>0</v>
      </c>
      <c r="P62" s="548">
        <f t="shared" ref="P62:P68" si="48">E62+J62</f>
        <v>523967300</v>
      </c>
      <c r="Q62" s="373"/>
    </row>
    <row r="63" spans="1:22" ht="183" x14ac:dyDescent="0.2">
      <c r="A63" s="431" t="s">
        <v>453</v>
      </c>
      <c r="B63" s="431" t="s">
        <v>454</v>
      </c>
      <c r="C63" s="431" t="s">
        <v>385</v>
      </c>
      <c r="D63" s="433" t="s">
        <v>450</v>
      </c>
      <c r="E63" s="426">
        <f t="shared" si="47"/>
        <v>75388844.269999996</v>
      </c>
      <c r="F63" s="426">
        <v>75388844.269999996</v>
      </c>
      <c r="G63" s="426"/>
      <c r="H63" s="426"/>
      <c r="I63" s="426"/>
      <c r="J63" s="426">
        <f t="shared" si="46"/>
        <v>0</v>
      </c>
      <c r="K63" s="426"/>
      <c r="L63" s="426"/>
      <c r="M63" s="426"/>
      <c r="N63" s="426">
        <f>O63</f>
        <v>0</v>
      </c>
      <c r="O63" s="230"/>
      <c r="P63" s="426">
        <f t="shared" si="48"/>
        <v>75388844.269999996</v>
      </c>
    </row>
    <row r="64" spans="1:22" ht="183" x14ac:dyDescent="0.2">
      <c r="A64" s="434" t="s">
        <v>476</v>
      </c>
      <c r="B64" s="431" t="s">
        <v>477</v>
      </c>
      <c r="C64" s="431" t="s">
        <v>117</v>
      </c>
      <c r="D64" s="428" t="s">
        <v>15</v>
      </c>
      <c r="E64" s="185">
        <f t="shared" si="47"/>
        <v>448578455.73000002</v>
      </c>
      <c r="F64" s="407">
        <v>448578455.73000002</v>
      </c>
      <c r="G64" s="407"/>
      <c r="H64" s="407"/>
      <c r="I64" s="407"/>
      <c r="J64" s="426">
        <f t="shared" si="46"/>
        <v>0</v>
      </c>
      <c r="K64" s="407"/>
      <c r="L64" s="407"/>
      <c r="M64" s="407"/>
      <c r="N64" s="407">
        <f>O64</f>
        <v>0</v>
      </c>
      <c r="O64" s="407"/>
      <c r="P64" s="407">
        <f t="shared" si="48"/>
        <v>448578455.73000002</v>
      </c>
    </row>
    <row r="65" spans="1:16" ht="228.75" x14ac:dyDescent="0.2">
      <c r="A65" s="423" t="s">
        <v>478</v>
      </c>
      <c r="B65" s="423" t="s">
        <v>479</v>
      </c>
      <c r="C65" s="428"/>
      <c r="D65" s="423" t="s">
        <v>16</v>
      </c>
      <c r="E65" s="427">
        <f t="shared" si="47"/>
        <v>60000</v>
      </c>
      <c r="F65" s="427">
        <f>F66+F67</f>
        <v>60000</v>
      </c>
      <c r="G65" s="372">
        <f>G66+G67</f>
        <v>0</v>
      </c>
      <c r="H65" s="372">
        <f>H66+H67</f>
        <v>0</v>
      </c>
      <c r="I65" s="372">
        <f>I66+I67</f>
        <v>0</v>
      </c>
      <c r="J65" s="427">
        <f t="shared" si="46"/>
        <v>0</v>
      </c>
      <c r="K65" s="372">
        <f>K66+K67</f>
        <v>0</v>
      </c>
      <c r="L65" s="372">
        <f>L66+L67</f>
        <v>0</v>
      </c>
      <c r="M65" s="372">
        <f>M66+M67</f>
        <v>0</v>
      </c>
      <c r="N65" s="372">
        <f>N66+N67</f>
        <v>0</v>
      </c>
      <c r="O65" s="372">
        <f>O66+O67</f>
        <v>0</v>
      </c>
      <c r="P65" s="427">
        <f t="shared" si="48"/>
        <v>60000</v>
      </c>
    </row>
    <row r="66" spans="1:16" ht="274.5" x14ac:dyDescent="0.2">
      <c r="A66" s="428" t="s">
        <v>481</v>
      </c>
      <c r="B66" s="428" t="s">
        <v>482</v>
      </c>
      <c r="C66" s="428" t="s">
        <v>385</v>
      </c>
      <c r="D66" s="435" t="s">
        <v>480</v>
      </c>
      <c r="E66" s="426">
        <f t="shared" si="47"/>
        <v>1999.94</v>
      </c>
      <c r="F66" s="426">
        <v>1999.94</v>
      </c>
      <c r="G66" s="426"/>
      <c r="H66" s="426"/>
      <c r="I66" s="426"/>
      <c r="J66" s="426">
        <f t="shared" si="46"/>
        <v>0</v>
      </c>
      <c r="K66" s="426"/>
      <c r="L66" s="426"/>
      <c r="M66" s="426"/>
      <c r="N66" s="426">
        <f>O66</f>
        <v>0</v>
      </c>
      <c r="O66" s="230"/>
      <c r="P66" s="426">
        <f t="shared" si="48"/>
        <v>1999.94</v>
      </c>
    </row>
    <row r="67" spans="1:16" ht="228.75" x14ac:dyDescent="0.2">
      <c r="A67" s="428" t="s">
        <v>483</v>
      </c>
      <c r="B67" s="428" t="s">
        <v>484</v>
      </c>
      <c r="C67" s="435">
        <v>1060</v>
      </c>
      <c r="D67" s="436" t="s">
        <v>27</v>
      </c>
      <c r="E67" s="407">
        <f t="shared" si="47"/>
        <v>58000.06</v>
      </c>
      <c r="F67" s="407">
        <v>58000.06</v>
      </c>
      <c r="G67" s="407"/>
      <c r="H67" s="407"/>
      <c r="I67" s="407"/>
      <c r="J67" s="407">
        <f t="shared" si="46"/>
        <v>0</v>
      </c>
      <c r="K67" s="407"/>
      <c r="L67" s="407"/>
      <c r="M67" s="407"/>
      <c r="N67" s="407">
        <f>O67</f>
        <v>0</v>
      </c>
      <c r="O67" s="372"/>
      <c r="P67" s="407">
        <f t="shared" si="48"/>
        <v>58000.06</v>
      </c>
    </row>
    <row r="68" spans="1:16" ht="320.25" x14ac:dyDescent="0.2">
      <c r="A68" s="430" t="s">
        <v>514</v>
      </c>
      <c r="B68" s="430" t="s">
        <v>515</v>
      </c>
      <c r="C68" s="430"/>
      <c r="D68" s="437" t="s">
        <v>513</v>
      </c>
      <c r="E68" s="408">
        <f t="shared" si="47"/>
        <v>73202930</v>
      </c>
      <c r="F68" s="426">
        <f>F69+F70+F71+F72+F73</f>
        <v>73202930</v>
      </c>
      <c r="G68" s="230">
        <f>G69+G70+G71+G72+G73</f>
        <v>0</v>
      </c>
      <c r="H68" s="230">
        <f>H69+H70+H71+H72+H73</f>
        <v>0</v>
      </c>
      <c r="I68" s="426">
        <f>I69+I70+I71+I72+I73</f>
        <v>0</v>
      </c>
      <c r="J68" s="408">
        <f t="shared" si="46"/>
        <v>100000</v>
      </c>
      <c r="K68" s="426">
        <f>K69+K70+K71+K72+K73</f>
        <v>0</v>
      </c>
      <c r="L68" s="230">
        <f>L69+L70+L71+L72+L73</f>
        <v>0</v>
      </c>
      <c r="M68" s="230">
        <f>M69+M70+M71+M72+M73</f>
        <v>0</v>
      </c>
      <c r="N68" s="426">
        <f>N69+N70+N71+N72+N73</f>
        <v>100000</v>
      </c>
      <c r="O68" s="230">
        <f>O69+O70+O71+O72+O73</f>
        <v>100000</v>
      </c>
      <c r="P68" s="408">
        <f t="shared" si="48"/>
        <v>73302930</v>
      </c>
    </row>
    <row r="69" spans="1:16" s="196" customFormat="1" ht="137.25" x14ac:dyDescent="0.2">
      <c r="A69" s="431" t="s">
        <v>516</v>
      </c>
      <c r="B69" s="431" t="s">
        <v>517</v>
      </c>
      <c r="C69" s="431" t="s">
        <v>385</v>
      </c>
      <c r="D69" s="438" t="s">
        <v>518</v>
      </c>
      <c r="E69" s="426">
        <f>F69</f>
        <v>245130</v>
      </c>
      <c r="F69" s="426">
        <f>(315130)-70000</f>
        <v>245130</v>
      </c>
      <c r="G69" s="426"/>
      <c r="H69" s="426"/>
      <c r="I69" s="426"/>
      <c r="J69" s="426">
        <f>K69+N69</f>
        <v>100000</v>
      </c>
      <c r="K69" s="426"/>
      <c r="L69" s="426"/>
      <c r="M69" s="426"/>
      <c r="N69" s="426">
        <f>O69</f>
        <v>100000</v>
      </c>
      <c r="O69" s="426">
        <v>100000</v>
      </c>
      <c r="P69" s="426">
        <f>E69+J69</f>
        <v>345130</v>
      </c>
    </row>
    <row r="70" spans="1:16" s="196" customFormat="1" ht="137.25" x14ac:dyDescent="0.2">
      <c r="A70" s="428" t="s">
        <v>519</v>
      </c>
      <c r="B70" s="428" t="s">
        <v>520</v>
      </c>
      <c r="C70" s="428" t="s">
        <v>386</v>
      </c>
      <c r="D70" s="428" t="s">
        <v>24</v>
      </c>
      <c r="E70" s="407">
        <f t="shared" ref="E70:E99" si="49">F70</f>
        <v>1360000</v>
      </c>
      <c r="F70" s="407">
        <f>((1750000)-200000)-190000</f>
        <v>1360000</v>
      </c>
      <c r="G70" s="407"/>
      <c r="H70" s="407"/>
      <c r="I70" s="407"/>
      <c r="J70" s="407">
        <f t="shared" ref="J70:J99" si="50">K70+N70</f>
        <v>0</v>
      </c>
      <c r="K70" s="407"/>
      <c r="L70" s="407"/>
      <c r="M70" s="407"/>
      <c r="N70" s="407">
        <f>O70</f>
        <v>0</v>
      </c>
      <c r="O70" s="407"/>
      <c r="P70" s="407">
        <f t="shared" ref="P70:P93" si="51">E70+J70</f>
        <v>1360000</v>
      </c>
    </row>
    <row r="71" spans="1:16" s="196" customFormat="1" ht="183" x14ac:dyDescent="0.2">
      <c r="A71" s="428" t="s">
        <v>522</v>
      </c>
      <c r="B71" s="428" t="s">
        <v>523</v>
      </c>
      <c r="C71" s="428" t="s">
        <v>386</v>
      </c>
      <c r="D71" s="431" t="s">
        <v>25</v>
      </c>
      <c r="E71" s="407">
        <f t="shared" si="49"/>
        <v>6010000</v>
      </c>
      <c r="F71" s="407">
        <f>(5000000)+1010000</f>
        <v>6010000</v>
      </c>
      <c r="G71" s="407"/>
      <c r="H71" s="407"/>
      <c r="I71" s="407"/>
      <c r="J71" s="407">
        <f t="shared" si="50"/>
        <v>0</v>
      </c>
      <c r="K71" s="407"/>
      <c r="L71" s="407"/>
      <c r="M71" s="407"/>
      <c r="N71" s="407">
        <f>O71</f>
        <v>0</v>
      </c>
      <c r="O71" s="407"/>
      <c r="P71" s="407">
        <f t="shared" si="51"/>
        <v>6010000</v>
      </c>
    </row>
    <row r="72" spans="1:16" s="196" customFormat="1" ht="183" x14ac:dyDescent="0.2">
      <c r="A72" s="431" t="s">
        <v>524</v>
      </c>
      <c r="B72" s="431" t="s">
        <v>521</v>
      </c>
      <c r="C72" s="431" t="s">
        <v>386</v>
      </c>
      <c r="D72" s="431" t="s">
        <v>26</v>
      </c>
      <c r="E72" s="407">
        <f t="shared" si="49"/>
        <v>400000</v>
      </c>
      <c r="F72" s="407">
        <v>400000</v>
      </c>
      <c r="G72" s="407"/>
      <c r="H72" s="407"/>
      <c r="I72" s="407"/>
      <c r="J72" s="407">
        <f t="shared" si="50"/>
        <v>0</v>
      </c>
      <c r="K72" s="407"/>
      <c r="L72" s="407"/>
      <c r="M72" s="407"/>
      <c r="N72" s="407">
        <f>O72</f>
        <v>0</v>
      </c>
      <c r="O72" s="407"/>
      <c r="P72" s="407">
        <f t="shared" si="51"/>
        <v>400000</v>
      </c>
    </row>
    <row r="73" spans="1:16" s="196" customFormat="1" ht="183" x14ac:dyDescent="0.2">
      <c r="A73" s="431" t="s">
        <v>525</v>
      </c>
      <c r="B73" s="431" t="s">
        <v>526</v>
      </c>
      <c r="C73" s="431" t="s">
        <v>386</v>
      </c>
      <c r="D73" s="431" t="s">
        <v>31</v>
      </c>
      <c r="E73" s="407">
        <f t="shared" si="49"/>
        <v>65187800</v>
      </c>
      <c r="F73" s="407">
        <f>((59197800)+7000000)-1010000</f>
        <v>65187800</v>
      </c>
      <c r="G73" s="407"/>
      <c r="H73" s="407"/>
      <c r="I73" s="407"/>
      <c r="J73" s="407">
        <f t="shared" si="50"/>
        <v>0</v>
      </c>
      <c r="K73" s="407"/>
      <c r="L73" s="407"/>
      <c r="M73" s="407"/>
      <c r="N73" s="407">
        <f>O73</f>
        <v>0</v>
      </c>
      <c r="O73" s="407"/>
      <c r="P73" s="407">
        <f t="shared" si="51"/>
        <v>65187800</v>
      </c>
    </row>
    <row r="74" spans="1:16" ht="183" x14ac:dyDescent="0.2">
      <c r="A74" s="423" t="s">
        <v>455</v>
      </c>
      <c r="B74" s="423" t="s">
        <v>456</v>
      </c>
      <c r="C74" s="423"/>
      <c r="D74" s="423" t="s">
        <v>732</v>
      </c>
      <c r="E74" s="427">
        <f t="shared" si="49"/>
        <v>231787720</v>
      </c>
      <c r="F74" s="407">
        <f>SUM(F75:F81)</f>
        <v>231787720</v>
      </c>
      <c r="G74" s="372">
        <f>SUM(G75:G81)</f>
        <v>0</v>
      </c>
      <c r="H74" s="372">
        <f>SUM(H75:H81)</f>
        <v>0</v>
      </c>
      <c r="I74" s="407">
        <f>SUM(I75:I81)</f>
        <v>0</v>
      </c>
      <c r="J74" s="427">
        <f t="shared" si="50"/>
        <v>0</v>
      </c>
      <c r="K74" s="407">
        <f>SUM(K75:K81)</f>
        <v>0</v>
      </c>
      <c r="L74" s="372">
        <f>SUM(L75:L81)</f>
        <v>0</v>
      </c>
      <c r="M74" s="372">
        <f>SUM(M75:M81)</f>
        <v>0</v>
      </c>
      <c r="N74" s="407">
        <f>SUM(N75:N81)</f>
        <v>0</v>
      </c>
      <c r="O74" s="372">
        <f>SUM(O75:O81)</f>
        <v>0</v>
      </c>
      <c r="P74" s="427">
        <f t="shared" si="51"/>
        <v>231787720</v>
      </c>
    </row>
    <row r="75" spans="1:16" s="196" customFormat="1" ht="91.5" x14ac:dyDescent="0.2">
      <c r="A75" s="428" t="s">
        <v>465</v>
      </c>
      <c r="B75" s="428" t="s">
        <v>457</v>
      </c>
      <c r="C75" s="428" t="s">
        <v>353</v>
      </c>
      <c r="D75" s="428" t="s">
        <v>18</v>
      </c>
      <c r="E75" s="407">
        <f t="shared" si="49"/>
        <v>2853000</v>
      </c>
      <c r="F75" s="407">
        <v>2853000</v>
      </c>
      <c r="G75" s="407"/>
      <c r="H75" s="407"/>
      <c r="I75" s="407"/>
      <c r="J75" s="407">
        <f t="shared" si="50"/>
        <v>0</v>
      </c>
      <c r="K75" s="407"/>
      <c r="L75" s="407"/>
      <c r="M75" s="407"/>
      <c r="N75" s="407">
        <f t="shared" ref="N75:N90" si="52">O75</f>
        <v>0</v>
      </c>
      <c r="O75" s="407"/>
      <c r="P75" s="407">
        <f t="shared" si="51"/>
        <v>2853000</v>
      </c>
    </row>
    <row r="76" spans="1:16" s="196" customFormat="1" ht="91.5" x14ac:dyDescent="0.2">
      <c r="A76" s="428" t="s">
        <v>466</v>
      </c>
      <c r="B76" s="428" t="s">
        <v>458</v>
      </c>
      <c r="C76" s="428" t="s">
        <v>353</v>
      </c>
      <c r="D76" s="428" t="s">
        <v>464</v>
      </c>
      <c r="E76" s="407">
        <f>F76</f>
        <v>305000</v>
      </c>
      <c r="F76" s="407">
        <v>305000</v>
      </c>
      <c r="G76" s="407"/>
      <c r="H76" s="407"/>
      <c r="I76" s="407"/>
      <c r="J76" s="407">
        <f>K76+N76</f>
        <v>0</v>
      </c>
      <c r="K76" s="407"/>
      <c r="L76" s="407"/>
      <c r="M76" s="407"/>
      <c r="N76" s="407">
        <f>O76</f>
        <v>0</v>
      </c>
      <c r="O76" s="407"/>
      <c r="P76" s="407">
        <f>E76+J76</f>
        <v>305000</v>
      </c>
    </row>
    <row r="77" spans="1:16" s="196" customFormat="1" ht="91.5" x14ac:dyDescent="0.2">
      <c r="A77" s="428" t="s">
        <v>467</v>
      </c>
      <c r="B77" s="428" t="s">
        <v>459</v>
      </c>
      <c r="C77" s="428" t="s">
        <v>353</v>
      </c>
      <c r="D77" s="428" t="s">
        <v>19</v>
      </c>
      <c r="E77" s="407">
        <f t="shared" si="49"/>
        <v>155242720</v>
      </c>
      <c r="F77" s="407">
        <f>155000000+6123900+780000-(6661180)</f>
        <v>155242720</v>
      </c>
      <c r="G77" s="407"/>
      <c r="H77" s="407"/>
      <c r="I77" s="407"/>
      <c r="J77" s="407">
        <f t="shared" si="50"/>
        <v>0</v>
      </c>
      <c r="K77" s="407"/>
      <c r="L77" s="407"/>
      <c r="M77" s="407"/>
      <c r="N77" s="407">
        <f t="shared" si="52"/>
        <v>0</v>
      </c>
      <c r="O77" s="407"/>
      <c r="P77" s="407">
        <f t="shared" si="51"/>
        <v>155242720</v>
      </c>
    </row>
    <row r="78" spans="1:16" s="196" customFormat="1" ht="137.25" x14ac:dyDescent="0.2">
      <c r="A78" s="428" t="s">
        <v>468</v>
      </c>
      <c r="B78" s="428" t="s">
        <v>460</v>
      </c>
      <c r="C78" s="428" t="s">
        <v>353</v>
      </c>
      <c r="D78" s="428" t="s">
        <v>20</v>
      </c>
      <c r="E78" s="407">
        <f t="shared" si="49"/>
        <v>4390000</v>
      </c>
      <c r="F78" s="407">
        <v>4390000</v>
      </c>
      <c r="G78" s="407"/>
      <c r="H78" s="407"/>
      <c r="I78" s="407"/>
      <c r="J78" s="407">
        <f t="shared" si="50"/>
        <v>0</v>
      </c>
      <c r="K78" s="407"/>
      <c r="L78" s="407"/>
      <c r="M78" s="407"/>
      <c r="N78" s="407">
        <f t="shared" si="52"/>
        <v>0</v>
      </c>
      <c r="O78" s="407"/>
      <c r="P78" s="407">
        <f t="shared" si="51"/>
        <v>4390000</v>
      </c>
    </row>
    <row r="79" spans="1:16" s="196" customFormat="1" ht="91.5" x14ac:dyDescent="0.2">
      <c r="A79" s="428" t="s">
        <v>469</v>
      </c>
      <c r="B79" s="428" t="s">
        <v>461</v>
      </c>
      <c r="C79" s="428" t="s">
        <v>353</v>
      </c>
      <c r="D79" s="428" t="s">
        <v>21</v>
      </c>
      <c r="E79" s="407">
        <f t="shared" si="49"/>
        <v>24267000</v>
      </c>
      <c r="F79" s="407">
        <v>24267000</v>
      </c>
      <c r="G79" s="407"/>
      <c r="H79" s="407"/>
      <c r="I79" s="407"/>
      <c r="J79" s="407">
        <f t="shared" si="50"/>
        <v>0</v>
      </c>
      <c r="K79" s="407"/>
      <c r="L79" s="407"/>
      <c r="M79" s="407"/>
      <c r="N79" s="407">
        <f t="shared" si="52"/>
        <v>0</v>
      </c>
      <c r="O79" s="407"/>
      <c r="P79" s="407">
        <f t="shared" si="51"/>
        <v>24267000</v>
      </c>
    </row>
    <row r="80" spans="1:16" s="196" customFormat="1" ht="91.5" x14ac:dyDescent="0.2">
      <c r="A80" s="428" t="s">
        <v>470</v>
      </c>
      <c r="B80" s="428" t="s">
        <v>462</v>
      </c>
      <c r="C80" s="428" t="s">
        <v>353</v>
      </c>
      <c r="D80" s="428" t="s">
        <v>22</v>
      </c>
      <c r="E80" s="407">
        <f t="shared" si="49"/>
        <v>3330000</v>
      </c>
      <c r="F80" s="407">
        <v>3330000</v>
      </c>
      <c r="G80" s="407"/>
      <c r="H80" s="407"/>
      <c r="I80" s="407"/>
      <c r="J80" s="407">
        <f t="shared" si="50"/>
        <v>0</v>
      </c>
      <c r="K80" s="407"/>
      <c r="L80" s="407"/>
      <c r="M80" s="407"/>
      <c r="N80" s="407">
        <f t="shared" si="52"/>
        <v>0</v>
      </c>
      <c r="O80" s="407"/>
      <c r="P80" s="407">
        <f t="shared" si="51"/>
        <v>3330000</v>
      </c>
    </row>
    <row r="81" spans="1:16" s="196" customFormat="1" ht="137.25" x14ac:dyDescent="0.2">
      <c r="A81" s="428" t="s">
        <v>471</v>
      </c>
      <c r="B81" s="428" t="s">
        <v>463</v>
      </c>
      <c r="C81" s="428" t="s">
        <v>353</v>
      </c>
      <c r="D81" s="428" t="s">
        <v>23</v>
      </c>
      <c r="E81" s="407">
        <f t="shared" si="49"/>
        <v>41400000</v>
      </c>
      <c r="F81" s="407">
        <v>41400000</v>
      </c>
      <c r="G81" s="407"/>
      <c r="H81" s="407"/>
      <c r="I81" s="407"/>
      <c r="J81" s="407">
        <f t="shared" si="50"/>
        <v>0</v>
      </c>
      <c r="K81" s="407"/>
      <c r="L81" s="407"/>
      <c r="M81" s="407"/>
      <c r="N81" s="407">
        <f t="shared" si="52"/>
        <v>0</v>
      </c>
      <c r="O81" s="407"/>
      <c r="P81" s="407">
        <f t="shared" si="51"/>
        <v>41400000</v>
      </c>
    </row>
    <row r="82" spans="1:16" ht="183" x14ac:dyDescent="0.2">
      <c r="A82" s="423" t="s">
        <v>485</v>
      </c>
      <c r="B82" s="423" t="s">
        <v>472</v>
      </c>
      <c r="C82" s="423" t="s">
        <v>386</v>
      </c>
      <c r="D82" s="423" t="s">
        <v>17</v>
      </c>
      <c r="E82" s="427">
        <f t="shared" si="49"/>
        <v>174859</v>
      </c>
      <c r="F82" s="407">
        <v>174859</v>
      </c>
      <c r="G82" s="372"/>
      <c r="H82" s="372"/>
      <c r="I82" s="407"/>
      <c r="J82" s="427">
        <f t="shared" si="50"/>
        <v>0</v>
      </c>
      <c r="K82" s="407"/>
      <c r="L82" s="372"/>
      <c r="M82" s="372"/>
      <c r="N82" s="407">
        <f t="shared" si="52"/>
        <v>0</v>
      </c>
      <c r="O82" s="372"/>
      <c r="P82" s="427">
        <f t="shared" si="51"/>
        <v>174859</v>
      </c>
    </row>
    <row r="83" spans="1:16" ht="361.5" customHeight="1" x14ac:dyDescent="0.2">
      <c r="A83" s="604" t="s">
        <v>475</v>
      </c>
      <c r="B83" s="605" t="s">
        <v>473</v>
      </c>
      <c r="C83" s="605"/>
      <c r="D83" s="439" t="s">
        <v>736</v>
      </c>
      <c r="E83" s="591">
        <f t="shared" si="49"/>
        <v>105286800</v>
      </c>
      <c r="F83" s="582">
        <f>SUM(F85:F89)</f>
        <v>105286800</v>
      </c>
      <c r="G83" s="582"/>
      <c r="H83" s="582"/>
      <c r="I83" s="582"/>
      <c r="J83" s="586">
        <f t="shared" si="50"/>
        <v>0</v>
      </c>
      <c r="K83" s="582"/>
      <c r="L83" s="582"/>
      <c r="M83" s="582"/>
      <c r="N83" s="582">
        <f t="shared" si="52"/>
        <v>0</v>
      </c>
      <c r="O83" s="582"/>
      <c r="P83" s="586">
        <f t="shared" si="51"/>
        <v>105286800</v>
      </c>
    </row>
    <row r="84" spans="1:16" ht="336" customHeight="1" x14ac:dyDescent="0.2">
      <c r="A84" s="585"/>
      <c r="B84" s="592"/>
      <c r="C84" s="592"/>
      <c r="D84" s="440" t="s">
        <v>737</v>
      </c>
      <c r="E84" s="592"/>
      <c r="F84" s="583"/>
      <c r="G84" s="585"/>
      <c r="H84" s="585"/>
      <c r="I84" s="583"/>
      <c r="J84" s="585"/>
      <c r="K84" s="583"/>
      <c r="L84" s="585"/>
      <c r="M84" s="585"/>
      <c r="N84" s="583"/>
      <c r="O84" s="585"/>
      <c r="P84" s="585"/>
    </row>
    <row r="85" spans="1:16" s="196" customFormat="1" ht="183" x14ac:dyDescent="0.2">
      <c r="A85" s="428" t="s">
        <v>738</v>
      </c>
      <c r="B85" s="428" t="s">
        <v>739</v>
      </c>
      <c r="C85" s="428" t="s">
        <v>377</v>
      </c>
      <c r="D85" s="428" t="s">
        <v>735</v>
      </c>
      <c r="E85" s="407">
        <f t="shared" ref="E85:E89" si="53">F85</f>
        <v>62560700</v>
      </c>
      <c r="F85" s="407">
        <f>62560700+270822.5-(270822.5)</f>
        <v>62560700</v>
      </c>
      <c r="G85" s="407"/>
      <c r="H85" s="407"/>
      <c r="I85" s="407"/>
      <c r="J85" s="407">
        <f t="shared" ref="J85" si="54">K85+N85</f>
        <v>0</v>
      </c>
      <c r="K85" s="407"/>
      <c r="L85" s="407"/>
      <c r="M85" s="407"/>
      <c r="N85" s="407">
        <f t="shared" ref="N85" si="55">O85</f>
        <v>0</v>
      </c>
      <c r="O85" s="407"/>
      <c r="P85" s="407">
        <f t="shared" ref="P85:P89" si="56">E85+J85</f>
        <v>62560700</v>
      </c>
    </row>
    <row r="86" spans="1:16" s="196" customFormat="1" ht="274.5" x14ac:dyDescent="0.2">
      <c r="A86" s="428" t="s">
        <v>845</v>
      </c>
      <c r="B86" s="428" t="s">
        <v>846</v>
      </c>
      <c r="C86" s="428" t="s">
        <v>377</v>
      </c>
      <c r="D86" s="428" t="s">
        <v>847</v>
      </c>
      <c r="E86" s="407">
        <f t="shared" ref="E86" si="57">F86</f>
        <v>17597177.48</v>
      </c>
      <c r="F86" s="407">
        <v>17597177.48</v>
      </c>
      <c r="G86" s="407"/>
      <c r="H86" s="407"/>
      <c r="I86" s="407"/>
      <c r="J86" s="407">
        <f t="shared" ref="J86" si="58">K86+N86</f>
        <v>0</v>
      </c>
      <c r="K86" s="407"/>
      <c r="L86" s="407"/>
      <c r="M86" s="407"/>
      <c r="N86" s="407">
        <f t="shared" ref="N86" si="59">O86</f>
        <v>0</v>
      </c>
      <c r="O86" s="407"/>
      <c r="P86" s="407">
        <f t="shared" ref="P86" si="60">E86+J86</f>
        <v>17597177.48</v>
      </c>
    </row>
    <row r="87" spans="1:16" s="196" customFormat="1" ht="183" x14ac:dyDescent="0.2">
      <c r="A87" s="428" t="s">
        <v>733</v>
      </c>
      <c r="B87" s="428" t="s">
        <v>734</v>
      </c>
      <c r="C87" s="428" t="s">
        <v>377</v>
      </c>
      <c r="D87" s="428" t="s">
        <v>664</v>
      </c>
      <c r="E87" s="407">
        <f t="shared" ref="E87:E88" si="61">F87</f>
        <v>23367018.920000002</v>
      </c>
      <c r="F87" s="407">
        <v>23367018.920000002</v>
      </c>
      <c r="G87" s="407"/>
      <c r="H87" s="407"/>
      <c r="I87" s="407"/>
      <c r="J87" s="407">
        <f>K87+N87</f>
        <v>0</v>
      </c>
      <c r="K87" s="407"/>
      <c r="L87" s="407"/>
      <c r="M87" s="407"/>
      <c r="N87" s="407"/>
      <c r="O87" s="407"/>
      <c r="P87" s="407">
        <f t="shared" ref="P87:P88" si="62">E87+J87</f>
        <v>23367018.920000002</v>
      </c>
    </row>
    <row r="88" spans="1:16" s="196" customFormat="1" ht="274.5" x14ac:dyDescent="0.2">
      <c r="A88" s="428" t="s">
        <v>742</v>
      </c>
      <c r="B88" s="428" t="s">
        <v>743</v>
      </c>
      <c r="C88" s="428" t="s">
        <v>377</v>
      </c>
      <c r="D88" s="428" t="s">
        <v>744</v>
      </c>
      <c r="E88" s="407">
        <f t="shared" si="61"/>
        <v>1521903.5999999996</v>
      </c>
      <c r="F88" s="407">
        <f>(12285300)-10757096.4-6300</f>
        <v>1521903.5999999996</v>
      </c>
      <c r="G88" s="407"/>
      <c r="H88" s="407"/>
      <c r="I88" s="407"/>
      <c r="J88" s="407">
        <f>K88+N88</f>
        <v>0</v>
      </c>
      <c r="K88" s="407"/>
      <c r="L88" s="407"/>
      <c r="M88" s="407"/>
      <c r="N88" s="407"/>
      <c r="O88" s="407"/>
      <c r="P88" s="407">
        <f t="shared" si="62"/>
        <v>1521903.5999999996</v>
      </c>
    </row>
    <row r="89" spans="1:16" s="196" customFormat="1" ht="320.25" x14ac:dyDescent="0.2">
      <c r="A89" s="428" t="s">
        <v>740</v>
      </c>
      <c r="B89" s="428" t="s">
        <v>741</v>
      </c>
      <c r="C89" s="428" t="s">
        <v>377</v>
      </c>
      <c r="D89" s="428" t="s">
        <v>745</v>
      </c>
      <c r="E89" s="407">
        <f t="shared" si="53"/>
        <v>240000</v>
      </c>
      <c r="F89" s="407">
        <v>240000</v>
      </c>
      <c r="G89" s="407"/>
      <c r="H89" s="407"/>
      <c r="I89" s="407"/>
      <c r="J89" s="407">
        <f>K89+N89</f>
        <v>0</v>
      </c>
      <c r="K89" s="407"/>
      <c r="L89" s="407"/>
      <c r="M89" s="407"/>
      <c r="N89" s="407"/>
      <c r="O89" s="407"/>
      <c r="P89" s="407">
        <f t="shared" si="56"/>
        <v>240000</v>
      </c>
    </row>
    <row r="90" spans="1:16" ht="163.5" customHeight="1" x14ac:dyDescent="0.2">
      <c r="A90" s="423" t="s">
        <v>486</v>
      </c>
      <c r="B90" s="423" t="s">
        <v>474</v>
      </c>
      <c r="C90" s="423" t="s">
        <v>385</v>
      </c>
      <c r="D90" s="423" t="s">
        <v>665</v>
      </c>
      <c r="E90" s="427">
        <f t="shared" si="49"/>
        <v>188940</v>
      </c>
      <c r="F90" s="407">
        <v>188940</v>
      </c>
      <c r="G90" s="372"/>
      <c r="H90" s="372"/>
      <c r="I90" s="407"/>
      <c r="J90" s="427">
        <f t="shared" si="50"/>
        <v>0</v>
      </c>
      <c r="K90" s="407"/>
      <c r="L90" s="372"/>
      <c r="M90" s="372"/>
      <c r="N90" s="407">
        <f t="shared" si="52"/>
        <v>0</v>
      </c>
      <c r="O90" s="372"/>
      <c r="P90" s="427">
        <f t="shared" si="51"/>
        <v>188940</v>
      </c>
    </row>
    <row r="91" spans="1:16" ht="274.5" x14ac:dyDescent="0.2">
      <c r="A91" s="423" t="s">
        <v>507</v>
      </c>
      <c r="B91" s="423" t="s">
        <v>508</v>
      </c>
      <c r="C91" s="423"/>
      <c r="D91" s="423" t="s">
        <v>666</v>
      </c>
      <c r="E91" s="427">
        <f>F91</f>
        <v>18569643</v>
      </c>
      <c r="F91" s="229">
        <f>F92+F93</f>
        <v>18569643</v>
      </c>
      <c r="G91" s="372">
        <f>G92+G93</f>
        <v>12084800</v>
      </c>
      <c r="H91" s="372">
        <f>H92+H93</f>
        <v>551100</v>
      </c>
      <c r="I91" s="407">
        <f>I92+I93</f>
        <v>0</v>
      </c>
      <c r="J91" s="427">
        <f t="shared" si="50"/>
        <v>703200</v>
      </c>
      <c r="K91" s="407">
        <f>K92+K93</f>
        <v>94000</v>
      </c>
      <c r="L91" s="372">
        <f>L92+L93</f>
        <v>50000</v>
      </c>
      <c r="M91" s="372">
        <f>M92+M93</f>
        <v>4000</v>
      </c>
      <c r="N91" s="407">
        <f>N92+N93</f>
        <v>609200</v>
      </c>
      <c r="O91" s="372">
        <f>O92+O93</f>
        <v>609200</v>
      </c>
      <c r="P91" s="427">
        <f t="shared" si="51"/>
        <v>19272843</v>
      </c>
    </row>
    <row r="92" spans="1:16" ht="301.5" customHeight="1" x14ac:dyDescent="0.2">
      <c r="A92" s="428" t="s">
        <v>511</v>
      </c>
      <c r="B92" s="428" t="s">
        <v>509</v>
      </c>
      <c r="C92" s="428" t="s">
        <v>378</v>
      </c>
      <c r="D92" s="428" t="s">
        <v>52</v>
      </c>
      <c r="E92" s="407">
        <f t="shared" si="49"/>
        <v>14058400</v>
      </c>
      <c r="F92" s="407">
        <f>((13614700)+180500)+200000+36900+6100+20200</f>
        <v>14058400</v>
      </c>
      <c r="G92" s="407">
        <f>(9134300)+36900</f>
        <v>9171200</v>
      </c>
      <c r="H92" s="407">
        <f>(238000)+20200</f>
        <v>258200</v>
      </c>
      <c r="I92" s="407"/>
      <c r="J92" s="407">
        <f t="shared" si="50"/>
        <v>284500</v>
      </c>
      <c r="K92" s="407">
        <v>94000</v>
      </c>
      <c r="L92" s="407">
        <v>50000</v>
      </c>
      <c r="M92" s="407">
        <v>4000</v>
      </c>
      <c r="N92" s="407">
        <f>O92</f>
        <v>190500</v>
      </c>
      <c r="O92" s="407">
        <f>(112000)+43500+35000</f>
        <v>190500</v>
      </c>
      <c r="P92" s="407">
        <f t="shared" si="51"/>
        <v>14342900</v>
      </c>
    </row>
    <row r="93" spans="1:16" ht="137.25" x14ac:dyDescent="0.2">
      <c r="A93" s="428" t="s">
        <v>512</v>
      </c>
      <c r="B93" s="428" t="s">
        <v>510</v>
      </c>
      <c r="C93" s="428" t="s">
        <v>377</v>
      </c>
      <c r="D93" s="428" t="s">
        <v>667</v>
      </c>
      <c r="E93" s="407">
        <f t="shared" si="49"/>
        <v>4511243</v>
      </c>
      <c r="F93" s="407">
        <f>(2311800+2069300)+75100+16500+500+38043</f>
        <v>4511243</v>
      </c>
      <c r="G93" s="407">
        <f>(1573500+1265000)+75100</f>
        <v>2913600</v>
      </c>
      <c r="H93" s="407">
        <f>(177900+114500)+500</f>
        <v>292900</v>
      </c>
      <c r="I93" s="407"/>
      <c r="J93" s="407">
        <f t="shared" si="50"/>
        <v>418700</v>
      </c>
      <c r="K93" s="407"/>
      <c r="L93" s="407"/>
      <c r="M93" s="407"/>
      <c r="N93" s="407">
        <f>O93</f>
        <v>418700</v>
      </c>
      <c r="O93" s="407">
        <f>(170000)+236700+12000</f>
        <v>418700</v>
      </c>
      <c r="P93" s="407">
        <f t="shared" si="51"/>
        <v>4929943</v>
      </c>
    </row>
    <row r="94" spans="1:16" ht="409.5" x14ac:dyDescent="0.2">
      <c r="A94" s="423" t="s">
        <v>504</v>
      </c>
      <c r="B94" s="423" t="s">
        <v>505</v>
      </c>
      <c r="C94" s="423" t="s">
        <v>377</v>
      </c>
      <c r="D94" s="423" t="s">
        <v>668</v>
      </c>
      <c r="E94" s="427">
        <f t="shared" si="49"/>
        <v>1375600</v>
      </c>
      <c r="F94" s="407">
        <f>1375600+240000-240000</f>
        <v>1375600</v>
      </c>
      <c r="G94" s="372"/>
      <c r="H94" s="372"/>
      <c r="I94" s="407"/>
      <c r="J94" s="427">
        <f t="shared" si="50"/>
        <v>0</v>
      </c>
      <c r="K94" s="407">
        <v>0</v>
      </c>
      <c r="L94" s="372"/>
      <c r="M94" s="372"/>
      <c r="N94" s="407">
        <f>O94</f>
        <v>0</v>
      </c>
      <c r="O94" s="372">
        <v>0</v>
      </c>
      <c r="P94" s="427">
        <f>+J94+E94</f>
        <v>1375600</v>
      </c>
    </row>
    <row r="95" spans="1:16" ht="137.25" x14ac:dyDescent="0.2">
      <c r="A95" s="423" t="s">
        <v>669</v>
      </c>
      <c r="B95" s="423" t="s">
        <v>670</v>
      </c>
      <c r="C95" s="423"/>
      <c r="D95" s="423" t="s">
        <v>671</v>
      </c>
      <c r="E95" s="427">
        <f t="shared" ref="E95" si="63">F95</f>
        <v>123527</v>
      </c>
      <c r="F95" s="407">
        <f>SUM(F96:F97)</f>
        <v>123527</v>
      </c>
      <c r="G95" s="372"/>
      <c r="H95" s="372"/>
      <c r="I95" s="407"/>
      <c r="J95" s="427">
        <f t="shared" ref="J95" si="64">K95+N95</f>
        <v>0</v>
      </c>
      <c r="K95" s="407">
        <v>0</v>
      </c>
      <c r="L95" s="372"/>
      <c r="M95" s="372"/>
      <c r="N95" s="407">
        <f>O95</f>
        <v>0</v>
      </c>
      <c r="O95" s="372">
        <v>0</v>
      </c>
      <c r="P95" s="427">
        <f>+J95+E95</f>
        <v>123527</v>
      </c>
    </row>
    <row r="96" spans="1:16" ht="274.5" x14ac:dyDescent="0.2">
      <c r="A96" s="428" t="s">
        <v>672</v>
      </c>
      <c r="B96" s="428" t="s">
        <v>673</v>
      </c>
      <c r="C96" s="428" t="s">
        <v>377</v>
      </c>
      <c r="D96" s="428" t="s">
        <v>746</v>
      </c>
      <c r="E96" s="407">
        <f t="shared" si="49"/>
        <v>123359</v>
      </c>
      <c r="F96" s="407">
        <v>123359</v>
      </c>
      <c r="G96" s="407"/>
      <c r="H96" s="407"/>
      <c r="I96" s="407"/>
      <c r="J96" s="407">
        <f t="shared" si="50"/>
        <v>0</v>
      </c>
      <c r="K96" s="407"/>
      <c r="L96" s="407"/>
      <c r="M96" s="407"/>
      <c r="N96" s="407">
        <f t="shared" ref="N96:N101" si="65">O96</f>
        <v>0</v>
      </c>
      <c r="O96" s="372"/>
      <c r="P96" s="407">
        <f>+J96+E96</f>
        <v>123359</v>
      </c>
    </row>
    <row r="97" spans="1:16" ht="112.5" customHeight="1" x14ac:dyDescent="0.2">
      <c r="A97" s="428" t="s">
        <v>674</v>
      </c>
      <c r="B97" s="428" t="s">
        <v>675</v>
      </c>
      <c r="C97" s="428" t="s">
        <v>377</v>
      </c>
      <c r="D97" s="428" t="s">
        <v>747</v>
      </c>
      <c r="E97" s="407">
        <f t="shared" si="49"/>
        <v>168</v>
      </c>
      <c r="F97" s="407">
        <v>168</v>
      </c>
      <c r="G97" s="407"/>
      <c r="H97" s="407"/>
      <c r="I97" s="407"/>
      <c r="J97" s="407">
        <f t="shared" si="50"/>
        <v>0</v>
      </c>
      <c r="K97" s="407"/>
      <c r="L97" s="407"/>
      <c r="M97" s="407"/>
      <c r="N97" s="407">
        <f t="shared" si="65"/>
        <v>0</v>
      </c>
      <c r="O97" s="372"/>
      <c r="P97" s="407">
        <f>+J97+E97</f>
        <v>168</v>
      </c>
    </row>
    <row r="98" spans="1:16" ht="366" x14ac:dyDescent="0.2">
      <c r="A98" s="423" t="s">
        <v>750</v>
      </c>
      <c r="B98" s="423" t="s">
        <v>749</v>
      </c>
      <c r="C98" s="423" t="s">
        <v>117</v>
      </c>
      <c r="D98" s="423" t="s">
        <v>748</v>
      </c>
      <c r="E98" s="427">
        <f t="shared" ref="E98" si="66">F98</f>
        <v>2026990</v>
      </c>
      <c r="F98" s="407">
        <v>2026990</v>
      </c>
      <c r="G98" s="372">
        <f t="shared" ref="G98:H99" si="67">G99</f>
        <v>0</v>
      </c>
      <c r="H98" s="372">
        <f t="shared" si="67"/>
        <v>0</v>
      </c>
      <c r="I98" s="407"/>
      <c r="J98" s="427">
        <f t="shared" ref="J98" si="68">K98+N98</f>
        <v>0</v>
      </c>
      <c r="K98" s="407">
        <f t="shared" ref="K98:M102" si="69">K99</f>
        <v>0</v>
      </c>
      <c r="L98" s="372">
        <f t="shared" si="69"/>
        <v>0</v>
      </c>
      <c r="M98" s="372">
        <f t="shared" si="69"/>
        <v>0</v>
      </c>
      <c r="N98" s="407">
        <f t="shared" ref="N98" si="70">O98</f>
        <v>0</v>
      </c>
      <c r="O98" s="372">
        <f>O99</f>
        <v>0</v>
      </c>
      <c r="P98" s="427">
        <f t="shared" ref="P98:P103" si="71">E98+J98</f>
        <v>2026990</v>
      </c>
    </row>
    <row r="99" spans="1:16" ht="91.5" x14ac:dyDescent="0.2">
      <c r="A99" s="423" t="s">
        <v>676</v>
      </c>
      <c r="B99" s="423" t="s">
        <v>677</v>
      </c>
      <c r="C99" s="423"/>
      <c r="D99" s="441" t="s">
        <v>50</v>
      </c>
      <c r="E99" s="427">
        <f t="shared" si="49"/>
        <v>500000</v>
      </c>
      <c r="F99" s="407">
        <f>F100</f>
        <v>500000</v>
      </c>
      <c r="G99" s="372">
        <f t="shared" si="67"/>
        <v>0</v>
      </c>
      <c r="H99" s="372">
        <f t="shared" si="67"/>
        <v>0</v>
      </c>
      <c r="I99" s="407"/>
      <c r="J99" s="427">
        <f t="shared" si="50"/>
        <v>0</v>
      </c>
      <c r="K99" s="407">
        <f t="shared" si="69"/>
        <v>0</v>
      </c>
      <c r="L99" s="372">
        <f t="shared" si="69"/>
        <v>0</v>
      </c>
      <c r="M99" s="372">
        <f t="shared" si="69"/>
        <v>0</v>
      </c>
      <c r="N99" s="407">
        <f t="shared" si="65"/>
        <v>0</v>
      </c>
      <c r="O99" s="372">
        <f>O100</f>
        <v>0</v>
      </c>
      <c r="P99" s="427">
        <f t="shared" si="71"/>
        <v>500000</v>
      </c>
    </row>
    <row r="100" spans="1:16" ht="228.75" x14ac:dyDescent="0.2">
      <c r="A100" s="428" t="s">
        <v>678</v>
      </c>
      <c r="B100" s="428" t="s">
        <v>679</v>
      </c>
      <c r="C100" s="428" t="s">
        <v>385</v>
      </c>
      <c r="D100" s="428" t="s">
        <v>751</v>
      </c>
      <c r="E100" s="407">
        <f t="shared" ref="E100:E111" si="72">F100</f>
        <v>500000</v>
      </c>
      <c r="F100" s="407">
        <f>(400000)+100000</f>
        <v>500000</v>
      </c>
      <c r="G100" s="407"/>
      <c r="H100" s="407"/>
      <c r="I100" s="407"/>
      <c r="J100" s="407">
        <f t="shared" ref="J100:J111" si="73">K100+N100</f>
        <v>0</v>
      </c>
      <c r="K100" s="407"/>
      <c r="L100" s="407"/>
      <c r="M100" s="407"/>
      <c r="N100" s="407">
        <f t="shared" si="65"/>
        <v>0</v>
      </c>
      <c r="O100" s="372"/>
      <c r="P100" s="407">
        <f t="shared" si="71"/>
        <v>500000</v>
      </c>
    </row>
    <row r="101" spans="1:16" ht="91.5" x14ac:dyDescent="0.2">
      <c r="A101" s="449" t="s">
        <v>1024</v>
      </c>
      <c r="B101" s="449" t="s">
        <v>928</v>
      </c>
      <c r="C101" s="449" t="s">
        <v>929</v>
      </c>
      <c r="D101" s="449" t="s">
        <v>926</v>
      </c>
      <c r="E101" s="450">
        <f t="shared" si="72"/>
        <v>233000</v>
      </c>
      <c r="F101" s="452">
        <v>233000</v>
      </c>
      <c r="G101" s="372">
        <f>191000</f>
        <v>191000</v>
      </c>
      <c r="H101" s="372"/>
      <c r="I101" s="452"/>
      <c r="J101" s="450">
        <f t="shared" si="73"/>
        <v>0</v>
      </c>
      <c r="K101" s="452"/>
      <c r="L101" s="372"/>
      <c r="M101" s="372"/>
      <c r="N101" s="452">
        <f t="shared" si="65"/>
        <v>0</v>
      </c>
      <c r="O101" s="372"/>
      <c r="P101" s="450">
        <f t="shared" si="71"/>
        <v>233000</v>
      </c>
    </row>
    <row r="102" spans="1:16" ht="228.75" x14ac:dyDescent="0.2">
      <c r="A102" s="449" t="s">
        <v>945</v>
      </c>
      <c r="B102" s="449" t="s">
        <v>946</v>
      </c>
      <c r="C102" s="449"/>
      <c r="D102" s="441" t="s">
        <v>944</v>
      </c>
      <c r="E102" s="450"/>
      <c r="F102" s="452"/>
      <c r="G102" s="372"/>
      <c r="H102" s="372"/>
      <c r="I102" s="452"/>
      <c r="J102" s="450">
        <f t="shared" si="73"/>
        <v>6864875.6299999999</v>
      </c>
      <c r="K102" s="452">
        <f t="shared" si="69"/>
        <v>0</v>
      </c>
      <c r="L102" s="372"/>
      <c r="M102" s="372"/>
      <c r="N102" s="452">
        <f t="shared" ref="N102:N103" si="74">O102</f>
        <v>6864875.6299999999</v>
      </c>
      <c r="O102" s="372">
        <f>O103</f>
        <v>6864875.6299999999</v>
      </c>
      <c r="P102" s="450">
        <f t="shared" si="71"/>
        <v>6864875.6299999999</v>
      </c>
    </row>
    <row r="103" spans="1:16" s="196" customFormat="1" ht="409.5" x14ac:dyDescent="0.2">
      <c r="A103" s="587" t="s">
        <v>947</v>
      </c>
      <c r="B103" s="587" t="s">
        <v>948</v>
      </c>
      <c r="C103" s="588" t="s">
        <v>117</v>
      </c>
      <c r="D103" s="442" t="s">
        <v>949</v>
      </c>
      <c r="E103" s="590"/>
      <c r="F103" s="590"/>
      <c r="G103" s="590"/>
      <c r="H103" s="590"/>
      <c r="I103" s="590"/>
      <c r="J103" s="582">
        <f t="shared" ref="J103" si="75">K103+N103</f>
        <v>6864875.6299999999</v>
      </c>
      <c r="K103" s="582"/>
      <c r="L103" s="582"/>
      <c r="M103" s="582"/>
      <c r="N103" s="582">
        <f t="shared" si="74"/>
        <v>6864875.6299999999</v>
      </c>
      <c r="O103" s="582">
        <v>6864875.6299999999</v>
      </c>
      <c r="P103" s="582">
        <f t="shared" si="71"/>
        <v>6864875.6299999999</v>
      </c>
    </row>
    <row r="104" spans="1:16" s="196" customFormat="1" ht="409.5" x14ac:dyDescent="0.2">
      <c r="A104" s="584"/>
      <c r="B104" s="584"/>
      <c r="C104" s="589"/>
      <c r="D104" s="442" t="s">
        <v>950</v>
      </c>
      <c r="E104" s="589"/>
      <c r="F104" s="589"/>
      <c r="G104" s="589"/>
      <c r="H104" s="589"/>
      <c r="I104" s="589"/>
      <c r="J104" s="584"/>
      <c r="K104" s="584"/>
      <c r="L104" s="584"/>
      <c r="M104" s="584"/>
      <c r="N104" s="584"/>
      <c r="O104" s="584"/>
      <c r="P104" s="584"/>
    </row>
    <row r="105" spans="1:16" s="196" customFormat="1" ht="94.5" customHeight="1" x14ac:dyDescent="0.2">
      <c r="A105" s="583"/>
      <c r="B105" s="583"/>
      <c r="C105" s="589"/>
      <c r="D105" s="443" t="s">
        <v>951</v>
      </c>
      <c r="E105" s="589"/>
      <c r="F105" s="589"/>
      <c r="G105" s="589"/>
      <c r="H105" s="589"/>
      <c r="I105" s="589"/>
      <c r="J105" s="583"/>
      <c r="K105" s="583"/>
      <c r="L105" s="583"/>
      <c r="M105" s="583"/>
      <c r="N105" s="583"/>
      <c r="O105" s="583"/>
      <c r="P105" s="583"/>
    </row>
    <row r="106" spans="1:16" ht="409.5" x14ac:dyDescent="0.2">
      <c r="A106" s="604" t="s">
        <v>503</v>
      </c>
      <c r="B106" s="604" t="s">
        <v>362</v>
      </c>
      <c r="C106" s="605" t="s">
        <v>353</v>
      </c>
      <c r="D106" s="439" t="s">
        <v>680</v>
      </c>
      <c r="E106" s="591">
        <f>F106</f>
        <v>851000</v>
      </c>
      <c r="F106" s="582">
        <v>851000</v>
      </c>
      <c r="G106" s="582"/>
      <c r="H106" s="582"/>
      <c r="I106" s="582"/>
      <c r="J106" s="586">
        <f>K106+N106</f>
        <v>0</v>
      </c>
      <c r="K106" s="582"/>
      <c r="L106" s="582"/>
      <c r="M106" s="582"/>
      <c r="N106" s="582">
        <f>O106</f>
        <v>0</v>
      </c>
      <c r="O106" s="582"/>
      <c r="P106" s="586">
        <f>E106+J106</f>
        <v>851000</v>
      </c>
    </row>
    <row r="107" spans="1:16" ht="327.75" customHeight="1" x14ac:dyDescent="0.2">
      <c r="A107" s="585"/>
      <c r="B107" s="585"/>
      <c r="C107" s="592"/>
      <c r="D107" s="444" t="s">
        <v>681</v>
      </c>
      <c r="E107" s="592"/>
      <c r="F107" s="583"/>
      <c r="G107" s="585"/>
      <c r="H107" s="585"/>
      <c r="I107" s="583"/>
      <c r="J107" s="585"/>
      <c r="K107" s="583"/>
      <c r="L107" s="585"/>
      <c r="M107" s="585"/>
      <c r="N107" s="583"/>
      <c r="O107" s="585"/>
      <c r="P107" s="585"/>
    </row>
    <row r="108" spans="1:16" ht="46.5" x14ac:dyDescent="0.2">
      <c r="A108" s="423" t="s">
        <v>684</v>
      </c>
      <c r="B108" s="423" t="s">
        <v>685</v>
      </c>
      <c r="C108" s="423"/>
      <c r="D108" s="423" t="s">
        <v>364</v>
      </c>
      <c r="E108" s="427">
        <f t="shared" si="72"/>
        <v>29366650</v>
      </c>
      <c r="F108" s="407">
        <f>F109+F110</f>
        <v>29366650</v>
      </c>
      <c r="G108" s="177">
        <f>G109+G110</f>
        <v>2035400</v>
      </c>
      <c r="H108" s="177">
        <f>H109+H110</f>
        <v>330200</v>
      </c>
      <c r="I108" s="46"/>
      <c r="J108" s="427">
        <f t="shared" si="73"/>
        <v>697800</v>
      </c>
      <c r="K108" s="407">
        <f>K109+K110</f>
        <v>0</v>
      </c>
      <c r="L108" s="177">
        <f>L109+L110</f>
        <v>0</v>
      </c>
      <c r="M108" s="177">
        <f>M109+M110</f>
        <v>0</v>
      </c>
      <c r="N108" s="46">
        <f>N109+N110</f>
        <v>697800</v>
      </c>
      <c r="O108" s="177">
        <f>O109+O110</f>
        <v>697800</v>
      </c>
      <c r="P108" s="427">
        <f>E108+J108</f>
        <v>30064450</v>
      </c>
    </row>
    <row r="109" spans="1:16" ht="183" x14ac:dyDescent="0.2">
      <c r="A109" s="428" t="s">
        <v>682</v>
      </c>
      <c r="B109" s="428" t="s">
        <v>686</v>
      </c>
      <c r="C109" s="428" t="s">
        <v>363</v>
      </c>
      <c r="D109" s="432" t="s">
        <v>688</v>
      </c>
      <c r="E109" s="407">
        <f t="shared" si="72"/>
        <v>3454700</v>
      </c>
      <c r="F109" s="407">
        <f>((5404100-2069300)+23600)+55000+41300</f>
        <v>3454700</v>
      </c>
      <c r="G109" s="46">
        <f>3300400-1265000</f>
        <v>2035400</v>
      </c>
      <c r="H109" s="46">
        <f>444700-114500</f>
        <v>330200</v>
      </c>
      <c r="I109" s="407"/>
      <c r="J109" s="407">
        <f t="shared" si="73"/>
        <v>117800</v>
      </c>
      <c r="K109" s="407"/>
      <c r="L109" s="407"/>
      <c r="M109" s="407"/>
      <c r="N109" s="407">
        <f t="shared" ref="N109:N112" si="76">O109</f>
        <v>117800</v>
      </c>
      <c r="O109" s="407">
        <f>(24000+81800)+12000</f>
        <v>117800</v>
      </c>
      <c r="P109" s="407">
        <f t="shared" ref="P109:P110" si="77">E109+J109</f>
        <v>3572500</v>
      </c>
    </row>
    <row r="110" spans="1:16" ht="137.25" x14ac:dyDescent="0.2">
      <c r="A110" s="428" t="s">
        <v>683</v>
      </c>
      <c r="B110" s="428" t="s">
        <v>687</v>
      </c>
      <c r="C110" s="428" t="s">
        <v>363</v>
      </c>
      <c r="D110" s="432" t="s">
        <v>689</v>
      </c>
      <c r="E110" s="407">
        <f t="shared" si="72"/>
        <v>25911950</v>
      </c>
      <c r="F110" s="407">
        <f>(((19868590+12285300-12285300-2026990)+3159700)+200000+20000+199000+4000000+150000+50000+31650)+260000</f>
        <v>25911950</v>
      </c>
      <c r="G110" s="407"/>
      <c r="H110" s="407"/>
      <c r="I110" s="407"/>
      <c r="J110" s="407">
        <f t="shared" si="73"/>
        <v>580000</v>
      </c>
      <c r="K110" s="407"/>
      <c r="L110" s="407"/>
      <c r="M110" s="407"/>
      <c r="N110" s="407">
        <f t="shared" si="76"/>
        <v>580000</v>
      </c>
      <c r="O110" s="407">
        <f>(400000)+80000+100000</f>
        <v>580000</v>
      </c>
      <c r="P110" s="407">
        <f t="shared" si="77"/>
        <v>26491950</v>
      </c>
    </row>
    <row r="111" spans="1:16" ht="91.5" x14ac:dyDescent="0.2">
      <c r="A111" s="423" t="s">
        <v>831</v>
      </c>
      <c r="B111" s="423" t="s">
        <v>706</v>
      </c>
      <c r="C111" s="423"/>
      <c r="D111" s="423" t="s">
        <v>832</v>
      </c>
      <c r="E111" s="427">
        <f t="shared" si="72"/>
        <v>0</v>
      </c>
      <c r="F111" s="407">
        <f>F112</f>
        <v>0</v>
      </c>
      <c r="G111" s="372">
        <f t="shared" ref="G111:H111" si="78">G112</f>
        <v>0</v>
      </c>
      <c r="H111" s="372">
        <f t="shared" si="78"/>
        <v>0</v>
      </c>
      <c r="I111" s="407"/>
      <c r="J111" s="427">
        <f t="shared" si="73"/>
        <v>2534347</v>
      </c>
      <c r="K111" s="407">
        <f t="shared" ref="K111:M111" si="79">K112</f>
        <v>0</v>
      </c>
      <c r="L111" s="372">
        <f t="shared" si="79"/>
        <v>0</v>
      </c>
      <c r="M111" s="372">
        <f t="shared" si="79"/>
        <v>0</v>
      </c>
      <c r="N111" s="407">
        <f t="shared" si="76"/>
        <v>2534347</v>
      </c>
      <c r="O111" s="372">
        <f>O112</f>
        <v>2534347</v>
      </c>
      <c r="P111" s="427">
        <f>E111+J111</f>
        <v>2534347</v>
      </c>
    </row>
    <row r="112" spans="1:16" ht="137.25" x14ac:dyDescent="0.2">
      <c r="A112" s="451" t="s">
        <v>835</v>
      </c>
      <c r="B112" s="451" t="s">
        <v>833</v>
      </c>
      <c r="C112" s="451" t="s">
        <v>708</v>
      </c>
      <c r="D112" s="432" t="s">
        <v>834</v>
      </c>
      <c r="E112" s="452">
        <f t="shared" ref="E112:E114" si="80">F112</f>
        <v>0</v>
      </c>
      <c r="F112" s="452"/>
      <c r="G112" s="452"/>
      <c r="H112" s="452"/>
      <c r="I112" s="452"/>
      <c r="J112" s="452">
        <f t="shared" ref="J112:J114" si="81">K112+N112</f>
        <v>2534347</v>
      </c>
      <c r="K112" s="452"/>
      <c r="L112" s="452"/>
      <c r="M112" s="452"/>
      <c r="N112" s="452">
        <f t="shared" si="76"/>
        <v>2534347</v>
      </c>
      <c r="O112" s="372">
        <f>(2500000)+34347</f>
        <v>2534347</v>
      </c>
      <c r="P112" s="452">
        <f>E112+J112</f>
        <v>2534347</v>
      </c>
    </row>
    <row r="113" spans="1:18" ht="46.5" x14ac:dyDescent="0.2">
      <c r="A113" s="449" t="s">
        <v>1035</v>
      </c>
      <c r="B113" s="449" t="s">
        <v>449</v>
      </c>
      <c r="C113" s="449"/>
      <c r="D113" s="481" t="s">
        <v>447</v>
      </c>
      <c r="E113" s="450">
        <f t="shared" si="80"/>
        <v>0</v>
      </c>
      <c r="F113" s="452"/>
      <c r="G113" s="372"/>
      <c r="H113" s="372"/>
      <c r="I113" s="452"/>
      <c r="J113" s="450">
        <f t="shared" si="81"/>
        <v>366000</v>
      </c>
      <c r="K113" s="452">
        <f>K114</f>
        <v>366000</v>
      </c>
      <c r="L113" s="372"/>
      <c r="M113" s="372"/>
      <c r="N113" s="452">
        <f>N114</f>
        <v>0</v>
      </c>
      <c r="O113" s="372">
        <f>O114</f>
        <v>0</v>
      </c>
      <c r="P113" s="450">
        <f>+J113+E113</f>
        <v>366000</v>
      </c>
    </row>
    <row r="114" spans="1:18" ht="409.5" x14ac:dyDescent="0.2">
      <c r="A114" s="587" t="s">
        <v>1036</v>
      </c>
      <c r="B114" s="587" t="s">
        <v>699</v>
      </c>
      <c r="C114" s="587" t="s">
        <v>324</v>
      </c>
      <c r="D114" s="482" t="s">
        <v>727</v>
      </c>
      <c r="E114" s="580">
        <f t="shared" si="80"/>
        <v>0</v>
      </c>
      <c r="F114" s="580"/>
      <c r="G114" s="580"/>
      <c r="H114" s="580"/>
      <c r="I114" s="580"/>
      <c r="J114" s="580">
        <f t="shared" si="81"/>
        <v>366000</v>
      </c>
      <c r="K114" s="580">
        <v>366000</v>
      </c>
      <c r="L114" s="580"/>
      <c r="M114" s="580"/>
      <c r="N114" s="580">
        <v>0</v>
      </c>
      <c r="O114" s="580"/>
      <c r="P114" s="580">
        <f>E114+J114</f>
        <v>366000</v>
      </c>
    </row>
    <row r="115" spans="1:18" ht="137.25" x14ac:dyDescent="0.2">
      <c r="A115" s="583"/>
      <c r="B115" s="583"/>
      <c r="C115" s="583"/>
      <c r="D115" s="483" t="s">
        <v>728</v>
      </c>
      <c r="E115" s="581"/>
      <c r="F115" s="581"/>
      <c r="G115" s="581"/>
      <c r="H115" s="581"/>
      <c r="I115" s="581"/>
      <c r="J115" s="581"/>
      <c r="K115" s="581"/>
      <c r="L115" s="581"/>
      <c r="M115" s="581"/>
      <c r="N115" s="581"/>
      <c r="O115" s="581"/>
      <c r="P115" s="581"/>
    </row>
    <row r="116" spans="1:18" ht="180" x14ac:dyDescent="0.2">
      <c r="A116" s="541">
        <v>1000000</v>
      </c>
      <c r="B116" s="541"/>
      <c r="C116" s="541"/>
      <c r="D116" s="473" t="s">
        <v>68</v>
      </c>
      <c r="E116" s="476">
        <f>E117</f>
        <v>72933500</v>
      </c>
      <c r="F116" s="476">
        <f t="shared" ref="F116:P116" si="82">F117</f>
        <v>72933500</v>
      </c>
      <c r="G116" s="476">
        <f t="shared" si="82"/>
        <v>50790400</v>
      </c>
      <c r="H116" s="476">
        <f t="shared" si="82"/>
        <v>3320500</v>
      </c>
      <c r="I116" s="476">
        <f t="shared" si="82"/>
        <v>0</v>
      </c>
      <c r="J116" s="476">
        <f t="shared" si="82"/>
        <v>14623555</v>
      </c>
      <c r="K116" s="476">
        <f t="shared" si="82"/>
        <v>6593800</v>
      </c>
      <c r="L116" s="476">
        <f t="shared" si="82"/>
        <v>4801700</v>
      </c>
      <c r="M116" s="476">
        <f t="shared" si="82"/>
        <v>184500</v>
      </c>
      <c r="N116" s="476">
        <f t="shared" si="82"/>
        <v>8029755</v>
      </c>
      <c r="O116" s="475">
        <f t="shared" si="82"/>
        <v>7961855</v>
      </c>
      <c r="P116" s="476">
        <f t="shared" si="82"/>
        <v>87557055</v>
      </c>
    </row>
    <row r="117" spans="1:18" ht="180" x14ac:dyDescent="0.2">
      <c r="A117" s="542">
        <v>1010000</v>
      </c>
      <c r="B117" s="542"/>
      <c r="C117" s="542"/>
      <c r="D117" s="480" t="s">
        <v>94</v>
      </c>
      <c r="E117" s="475">
        <f>E119+E120+E121+E122+E118+E124+E123+E127</f>
        <v>72933500</v>
      </c>
      <c r="F117" s="476">
        <f>F119+F120+F121+F122+F118+F124+F123+F127</f>
        <v>72933500</v>
      </c>
      <c r="G117" s="475">
        <f>G119+G120+G121+G122+G118+G124+G123+G127</f>
        <v>50790400</v>
      </c>
      <c r="H117" s="475">
        <f>H119+H120+H121+H122+H118+H124+H123+H127</f>
        <v>3320500</v>
      </c>
      <c r="I117" s="476">
        <v>0</v>
      </c>
      <c r="J117" s="475">
        <f t="shared" ref="J117:J123" si="83">K117+N117</f>
        <v>14623555</v>
      </c>
      <c r="K117" s="476">
        <f>K119+K120+K121+K122+K118+K124+K123+K127</f>
        <v>6593800</v>
      </c>
      <c r="L117" s="475">
        <f>L119+L120+L121+L122+L118+L124+L123+L127</f>
        <v>4801700</v>
      </c>
      <c r="M117" s="475">
        <f>M119+M120+M121+M122+M118+M124+M123+M127</f>
        <v>184500</v>
      </c>
      <c r="N117" s="476">
        <f>N119+N120+N121+N122+N118+N124+N123+N127</f>
        <v>8029755</v>
      </c>
      <c r="O117" s="475">
        <f>O119+O120+O121+O122+O118+O124+O123+O127</f>
        <v>7961855</v>
      </c>
      <c r="P117" s="475">
        <f t="shared" ref="P117:P122" si="84">E117+J117</f>
        <v>87557055</v>
      </c>
      <c r="Q117" s="251" t="b">
        <f>P117=P118+P119+P120+P121+P122+P123+P125+P126+P127</f>
        <v>1</v>
      </c>
      <c r="R117" s="253" t="b">
        <f>O117='dod5'!J78</f>
        <v>1</v>
      </c>
    </row>
    <row r="118" spans="1:18" ht="274.5" x14ac:dyDescent="0.2">
      <c r="A118" s="423" t="s">
        <v>49</v>
      </c>
      <c r="B118" s="423" t="s">
        <v>343</v>
      </c>
      <c r="C118" s="423" t="s">
        <v>344</v>
      </c>
      <c r="D118" s="423" t="s">
        <v>342</v>
      </c>
      <c r="E118" s="427">
        <f>F118</f>
        <v>41628400</v>
      </c>
      <c r="F118" s="407">
        <f>((41587600)+40800)+0</f>
        <v>41628400</v>
      </c>
      <c r="G118" s="372">
        <v>32071000</v>
      </c>
      <c r="H118" s="372">
        <v>1995800</v>
      </c>
      <c r="I118" s="407"/>
      <c r="J118" s="427">
        <f>K118+N118</f>
        <v>8066835</v>
      </c>
      <c r="K118" s="407">
        <v>6080900</v>
      </c>
      <c r="L118" s="372">
        <v>4609600</v>
      </c>
      <c r="M118" s="372">
        <v>126600</v>
      </c>
      <c r="N118" s="407">
        <f>O118+36200</f>
        <v>1985935</v>
      </c>
      <c r="O118" s="372">
        <f>(1607000)+342735</f>
        <v>1949735</v>
      </c>
      <c r="P118" s="427">
        <f>E118+J118</f>
        <v>49695235</v>
      </c>
    </row>
    <row r="119" spans="1:18" ht="46.5" x14ac:dyDescent="0.2">
      <c r="A119" s="423" t="s">
        <v>325</v>
      </c>
      <c r="B119" s="423" t="s">
        <v>326</v>
      </c>
      <c r="C119" s="423" t="s">
        <v>330</v>
      </c>
      <c r="D119" s="423" t="s">
        <v>331</v>
      </c>
      <c r="E119" s="427">
        <f t="shared" ref="E119:E123" si="85">F119</f>
        <v>623000</v>
      </c>
      <c r="F119" s="407">
        <v>623000</v>
      </c>
      <c r="G119" s="372"/>
      <c r="H119" s="372"/>
      <c r="I119" s="407"/>
      <c r="J119" s="427">
        <f t="shared" si="83"/>
        <v>0</v>
      </c>
      <c r="K119" s="407"/>
      <c r="L119" s="372"/>
      <c r="M119" s="372"/>
      <c r="N119" s="407">
        <f t="shared" ref="N119:N121" si="86">O119</f>
        <v>0</v>
      </c>
      <c r="O119" s="372"/>
      <c r="P119" s="427">
        <f t="shared" si="84"/>
        <v>623000</v>
      </c>
    </row>
    <row r="120" spans="1:18" ht="91.5" x14ac:dyDescent="0.2">
      <c r="A120" s="423" t="s">
        <v>332</v>
      </c>
      <c r="B120" s="423" t="s">
        <v>333</v>
      </c>
      <c r="C120" s="423" t="s">
        <v>334</v>
      </c>
      <c r="D120" s="423" t="s">
        <v>335</v>
      </c>
      <c r="E120" s="427">
        <f t="shared" si="85"/>
        <v>7110500</v>
      </c>
      <c r="F120" s="407">
        <v>7110500</v>
      </c>
      <c r="G120" s="372">
        <v>5288800</v>
      </c>
      <c r="H120" s="372">
        <v>477900</v>
      </c>
      <c r="I120" s="407"/>
      <c r="J120" s="427">
        <f t="shared" si="83"/>
        <v>627000</v>
      </c>
      <c r="K120" s="407">
        <v>80000</v>
      </c>
      <c r="L120" s="372">
        <v>9800</v>
      </c>
      <c r="M120" s="372">
        <v>18500</v>
      </c>
      <c r="N120" s="407">
        <f t="shared" si="86"/>
        <v>547000</v>
      </c>
      <c r="O120" s="372">
        <f>((0)+530000)+17000</f>
        <v>547000</v>
      </c>
      <c r="P120" s="427">
        <f t="shared" si="84"/>
        <v>7737500</v>
      </c>
    </row>
    <row r="121" spans="1:18" ht="91.5" x14ac:dyDescent="0.2">
      <c r="A121" s="423" t="s">
        <v>336</v>
      </c>
      <c r="B121" s="423" t="s">
        <v>337</v>
      </c>
      <c r="C121" s="423" t="s">
        <v>334</v>
      </c>
      <c r="D121" s="423" t="s">
        <v>338</v>
      </c>
      <c r="E121" s="427">
        <f t="shared" si="85"/>
        <v>1097900</v>
      </c>
      <c r="F121" s="407">
        <v>1097900</v>
      </c>
      <c r="G121" s="372">
        <v>672100</v>
      </c>
      <c r="H121" s="372">
        <v>208000</v>
      </c>
      <c r="I121" s="407"/>
      <c r="J121" s="427">
        <f t="shared" si="83"/>
        <v>3332820</v>
      </c>
      <c r="K121" s="407">
        <v>70100</v>
      </c>
      <c r="L121" s="372">
        <v>6100</v>
      </c>
      <c r="M121" s="372">
        <v>3200</v>
      </c>
      <c r="N121" s="407">
        <f t="shared" si="86"/>
        <v>3262720</v>
      </c>
      <c r="O121" s="372">
        <f>((3000000)+422720)-160000</f>
        <v>3262720</v>
      </c>
      <c r="P121" s="427">
        <f t="shared" si="84"/>
        <v>4430720</v>
      </c>
    </row>
    <row r="122" spans="1:18" ht="183" x14ac:dyDescent="0.2">
      <c r="A122" s="423" t="s">
        <v>339</v>
      </c>
      <c r="B122" s="423" t="s">
        <v>327</v>
      </c>
      <c r="C122" s="423" t="s">
        <v>340</v>
      </c>
      <c r="D122" s="423" t="s">
        <v>341</v>
      </c>
      <c r="E122" s="427">
        <f t="shared" si="85"/>
        <v>5298100</v>
      </c>
      <c r="F122" s="407">
        <f>(5268100)+30000</f>
        <v>5298100</v>
      </c>
      <c r="G122" s="372">
        <v>3736300</v>
      </c>
      <c r="H122" s="372">
        <v>604100</v>
      </c>
      <c r="I122" s="407"/>
      <c r="J122" s="427">
        <f t="shared" si="83"/>
        <v>2348500</v>
      </c>
      <c r="K122" s="407">
        <v>303000</v>
      </c>
      <c r="L122" s="372">
        <v>172700</v>
      </c>
      <c r="M122" s="372">
        <v>36200</v>
      </c>
      <c r="N122" s="407">
        <f>O122+31700</f>
        <v>2045500</v>
      </c>
      <c r="O122" s="372">
        <f>((1229800)+1955500)-1171500</f>
        <v>2013800</v>
      </c>
      <c r="P122" s="427">
        <f t="shared" si="84"/>
        <v>7646600</v>
      </c>
    </row>
    <row r="123" spans="1:18" ht="91.5" x14ac:dyDescent="0.2">
      <c r="A123" s="423" t="s">
        <v>814</v>
      </c>
      <c r="B123" s="423" t="s">
        <v>815</v>
      </c>
      <c r="C123" s="423" t="s">
        <v>816</v>
      </c>
      <c r="D123" s="423" t="s">
        <v>813</v>
      </c>
      <c r="E123" s="427">
        <f t="shared" si="85"/>
        <v>110000</v>
      </c>
      <c r="F123" s="407">
        <f>(60000)+50000</f>
        <v>110000</v>
      </c>
      <c r="G123" s="372"/>
      <c r="H123" s="372"/>
      <c r="I123" s="407"/>
      <c r="J123" s="427">
        <f t="shared" si="83"/>
        <v>0</v>
      </c>
      <c r="K123" s="407"/>
      <c r="L123" s="372"/>
      <c r="M123" s="372"/>
      <c r="N123" s="407">
        <f>O123</f>
        <v>0</v>
      </c>
      <c r="O123" s="372"/>
      <c r="P123" s="427">
        <f>E123+J123</f>
        <v>110000</v>
      </c>
    </row>
    <row r="124" spans="1:18" ht="91.5" x14ac:dyDescent="0.2">
      <c r="A124" s="423" t="s">
        <v>346</v>
      </c>
      <c r="B124" s="423" t="s">
        <v>347</v>
      </c>
      <c r="C124" s="423"/>
      <c r="D124" s="423" t="s">
        <v>345</v>
      </c>
      <c r="E124" s="427">
        <f>F124</f>
        <v>17065600</v>
      </c>
      <c r="F124" s="407">
        <f>F125+F126</f>
        <v>17065600</v>
      </c>
      <c r="G124" s="372">
        <f>G125+G126</f>
        <v>9022200</v>
      </c>
      <c r="H124" s="372">
        <f>H125+H126</f>
        <v>34700</v>
      </c>
      <c r="I124" s="407"/>
      <c r="J124" s="427">
        <f>K124+N124</f>
        <v>166600</v>
      </c>
      <c r="K124" s="407">
        <f>K125+K126</f>
        <v>59800</v>
      </c>
      <c r="L124" s="372">
        <f>L125+L126</f>
        <v>3500</v>
      </c>
      <c r="M124" s="372">
        <f>M125+M126</f>
        <v>0</v>
      </c>
      <c r="N124" s="407">
        <f>N125+N126</f>
        <v>106800</v>
      </c>
      <c r="O124" s="372">
        <f>O125+O126</f>
        <v>106800</v>
      </c>
      <c r="P124" s="427">
        <f>E124+J124</f>
        <v>17232200</v>
      </c>
    </row>
    <row r="125" spans="1:18" ht="137.25" x14ac:dyDescent="0.2">
      <c r="A125" s="428" t="s">
        <v>691</v>
      </c>
      <c r="B125" s="428" t="s">
        <v>692</v>
      </c>
      <c r="C125" s="428" t="s">
        <v>348</v>
      </c>
      <c r="D125" s="428" t="s">
        <v>690</v>
      </c>
      <c r="E125" s="407">
        <f>F125</f>
        <v>11780600</v>
      </c>
      <c r="F125" s="407">
        <f>((10587000)+1002000)+191600</f>
        <v>11780600</v>
      </c>
      <c r="G125" s="407">
        <f>(8201200)+821000</f>
        <v>9022200</v>
      </c>
      <c r="H125" s="407">
        <v>34700</v>
      </c>
      <c r="I125" s="407"/>
      <c r="J125" s="407">
        <f>K125+N125</f>
        <v>166600</v>
      </c>
      <c r="K125" s="407">
        <v>59800</v>
      </c>
      <c r="L125" s="407">
        <v>3500</v>
      </c>
      <c r="M125" s="407"/>
      <c r="N125" s="407">
        <f>O125</f>
        <v>106800</v>
      </c>
      <c r="O125" s="407">
        <f>((0)+87500)+19300</f>
        <v>106800</v>
      </c>
      <c r="P125" s="407">
        <f>E125+J125</f>
        <v>11947200</v>
      </c>
    </row>
    <row r="126" spans="1:18" ht="91.5" x14ac:dyDescent="0.2">
      <c r="A126" s="428" t="s">
        <v>693</v>
      </c>
      <c r="B126" s="428" t="s">
        <v>694</v>
      </c>
      <c r="C126" s="428" t="s">
        <v>348</v>
      </c>
      <c r="D126" s="428" t="s">
        <v>695</v>
      </c>
      <c r="E126" s="407">
        <f>F126</f>
        <v>5285000</v>
      </c>
      <c r="F126" s="407">
        <f>((3600000)+1135000)+550000</f>
        <v>5285000</v>
      </c>
      <c r="G126" s="407"/>
      <c r="H126" s="407"/>
      <c r="I126" s="407"/>
      <c r="J126" s="407">
        <f>K126+N126</f>
        <v>0</v>
      </c>
      <c r="K126" s="407"/>
      <c r="L126" s="407"/>
      <c r="M126" s="407"/>
      <c r="N126" s="407">
        <f>O126</f>
        <v>0</v>
      </c>
      <c r="O126" s="407"/>
      <c r="P126" s="407">
        <f>E126+J126</f>
        <v>5285000</v>
      </c>
    </row>
    <row r="127" spans="1:18" ht="91.5" x14ac:dyDescent="0.2">
      <c r="A127" s="423" t="s">
        <v>818</v>
      </c>
      <c r="B127" s="423" t="s">
        <v>373</v>
      </c>
      <c r="C127" s="423" t="s">
        <v>324</v>
      </c>
      <c r="D127" s="423" t="s">
        <v>817</v>
      </c>
      <c r="E127" s="427">
        <f t="shared" ref="E127" si="87">F127</f>
        <v>0</v>
      </c>
      <c r="F127" s="407"/>
      <c r="G127" s="372"/>
      <c r="H127" s="372"/>
      <c r="I127" s="407"/>
      <c r="J127" s="427">
        <f t="shared" ref="J127" si="88">K127+N127</f>
        <v>81800</v>
      </c>
      <c r="K127" s="407"/>
      <c r="L127" s="372"/>
      <c r="M127" s="372"/>
      <c r="N127" s="407">
        <f>O127</f>
        <v>81800</v>
      </c>
      <c r="O127" s="372">
        <f>(27000)+54800</f>
        <v>81800</v>
      </c>
      <c r="P127" s="427">
        <f>E127+J127</f>
        <v>81800</v>
      </c>
    </row>
    <row r="128" spans="1:18" ht="135" x14ac:dyDescent="0.2">
      <c r="A128" s="473" t="s">
        <v>65</v>
      </c>
      <c r="B128" s="473"/>
      <c r="C128" s="473"/>
      <c r="D128" s="473" t="s">
        <v>66</v>
      </c>
      <c r="E128" s="476">
        <f>E129</f>
        <v>41048363</v>
      </c>
      <c r="F128" s="476">
        <f t="shared" ref="F128:P128" si="89">F129</f>
        <v>41048363</v>
      </c>
      <c r="G128" s="476">
        <f t="shared" si="89"/>
        <v>14921454</v>
      </c>
      <c r="H128" s="476">
        <f t="shared" si="89"/>
        <v>1603857</v>
      </c>
      <c r="I128" s="476">
        <f t="shared" si="89"/>
        <v>0</v>
      </c>
      <c r="J128" s="476">
        <f t="shared" si="89"/>
        <v>8348293.3200000003</v>
      </c>
      <c r="K128" s="476">
        <f t="shared" si="89"/>
        <v>1892800</v>
      </c>
      <c r="L128" s="476">
        <f t="shared" si="89"/>
        <v>869800</v>
      </c>
      <c r="M128" s="476">
        <f t="shared" si="89"/>
        <v>285592</v>
      </c>
      <c r="N128" s="476">
        <f t="shared" si="89"/>
        <v>6455493.3200000003</v>
      </c>
      <c r="O128" s="475">
        <f t="shared" si="89"/>
        <v>6409993.3200000003</v>
      </c>
      <c r="P128" s="476">
        <f t="shared" si="89"/>
        <v>49396656.32</v>
      </c>
    </row>
    <row r="129" spans="1:18" ht="135" x14ac:dyDescent="0.2">
      <c r="A129" s="480" t="s">
        <v>64</v>
      </c>
      <c r="B129" s="480"/>
      <c r="C129" s="480"/>
      <c r="D129" s="480" t="s">
        <v>90</v>
      </c>
      <c r="E129" s="475">
        <f>E130+E132+E136+E139+E141+E146+E151+E149+E152+E144</f>
        <v>41048363</v>
      </c>
      <c r="F129" s="476">
        <f>F130+F132+F136+F139+F141+F146+F151+F149+F152+F144</f>
        <v>41048363</v>
      </c>
      <c r="G129" s="475">
        <f>G130+G132+G136+G139+G141+G146+G151+G149+G152+G144</f>
        <v>14921454</v>
      </c>
      <c r="H129" s="475">
        <f>H130+H132+H136+H139+H141+H146+H151+H149+H152+H144</f>
        <v>1603857</v>
      </c>
      <c r="I129" s="476">
        <f>I130+I132+I136+I139+I141+I146+I151</f>
        <v>0</v>
      </c>
      <c r="J129" s="471">
        <f>K129+N129</f>
        <v>8348293.3200000003</v>
      </c>
      <c r="K129" s="476">
        <f>K130+K132+K136+K139+K141+K146+K151+K149+K152+K144</f>
        <v>1892800</v>
      </c>
      <c r="L129" s="475">
        <f>L130+L132+L136+L139+L141+L146+L151+L149+L152+L144</f>
        <v>869800</v>
      </c>
      <c r="M129" s="475">
        <f>M130+M132+M136+M139+M141+M146+M151+M149+M152+M144</f>
        <v>285592</v>
      </c>
      <c r="N129" s="476">
        <f>N130+N132+N136+N139+N141+N146+N151+N152+N144</f>
        <v>6455493.3200000003</v>
      </c>
      <c r="O129" s="475">
        <f>O130+O132+O136+O139+O141+O146+O151+O152+O144</f>
        <v>6409993.3200000003</v>
      </c>
      <c r="P129" s="475">
        <f>E129+J129</f>
        <v>49396656.32</v>
      </c>
      <c r="Q129" s="251" t="b">
        <f>P129=P131+P133+P134+P135+P137+P138+P140+P142+P143+P147+P148+P150+P151+P152+P144</f>
        <v>1</v>
      </c>
      <c r="R129" s="253" t="b">
        <f>O129='dod5'!J93</f>
        <v>1</v>
      </c>
    </row>
    <row r="130" spans="1:18" ht="137.25" x14ac:dyDescent="0.2">
      <c r="A130" s="423" t="s">
        <v>349</v>
      </c>
      <c r="B130" s="423" t="s">
        <v>350</v>
      </c>
      <c r="C130" s="423"/>
      <c r="D130" s="423" t="s">
        <v>106</v>
      </c>
      <c r="E130" s="231">
        <f t="shared" ref="E130:E135" si="90">F130</f>
        <v>2670218</v>
      </c>
      <c r="F130" s="407">
        <f>F131</f>
        <v>2670218</v>
      </c>
      <c r="G130" s="372">
        <f>G131</f>
        <v>2040830</v>
      </c>
      <c r="H130" s="372">
        <f>H131</f>
        <v>69750</v>
      </c>
      <c r="I130" s="407">
        <f>I131</f>
        <v>0</v>
      </c>
      <c r="J130" s="231">
        <f t="shared" ref="J130:J143" si="91">K130+N130</f>
        <v>153092</v>
      </c>
      <c r="K130" s="407">
        <f>K131</f>
        <v>0</v>
      </c>
      <c r="L130" s="372">
        <f>L131</f>
        <v>0</v>
      </c>
      <c r="M130" s="372">
        <f>M131</f>
        <v>0</v>
      </c>
      <c r="N130" s="424">
        <f>O130</f>
        <v>153092</v>
      </c>
      <c r="O130" s="372">
        <f>O131</f>
        <v>153092</v>
      </c>
      <c r="P130" s="427">
        <f>+J130+E130</f>
        <v>2823310</v>
      </c>
    </row>
    <row r="131" spans="1:18" ht="183" x14ac:dyDescent="0.2">
      <c r="A131" s="428" t="s">
        <v>351</v>
      </c>
      <c r="B131" s="428" t="s">
        <v>352</v>
      </c>
      <c r="C131" s="428" t="s">
        <v>353</v>
      </c>
      <c r="D131" s="428" t="s">
        <v>354</v>
      </c>
      <c r="E131" s="46">
        <f t="shared" si="90"/>
        <v>2670218</v>
      </c>
      <c r="F131" s="46">
        <f>(2411785)+258433</f>
        <v>2670218</v>
      </c>
      <c r="G131" s="46">
        <f>(1829000)+211830</f>
        <v>2040830</v>
      </c>
      <c r="H131" s="46">
        <v>69750</v>
      </c>
      <c r="I131" s="46"/>
      <c r="J131" s="46">
        <f t="shared" si="91"/>
        <v>153092</v>
      </c>
      <c r="K131" s="424"/>
      <c r="L131" s="424"/>
      <c r="M131" s="424"/>
      <c r="N131" s="424">
        <f>O131</f>
        <v>153092</v>
      </c>
      <c r="O131" s="445">
        <f>(0)+153092</f>
        <v>153092</v>
      </c>
      <c r="P131" s="407">
        <f>+J131+E131</f>
        <v>2823310</v>
      </c>
    </row>
    <row r="132" spans="1:18" ht="91.5" x14ac:dyDescent="0.2">
      <c r="A132" s="423" t="s">
        <v>105</v>
      </c>
      <c r="B132" s="423" t="s">
        <v>328</v>
      </c>
      <c r="C132" s="423"/>
      <c r="D132" s="423" t="s">
        <v>76</v>
      </c>
      <c r="E132" s="231">
        <f t="shared" si="90"/>
        <v>5483699</v>
      </c>
      <c r="F132" s="46">
        <f>F133+F134+F135</f>
        <v>5483699</v>
      </c>
      <c r="G132" s="177">
        <f>G133+G134+G135</f>
        <v>1475877</v>
      </c>
      <c r="H132" s="177">
        <f>H133+H134+H135</f>
        <v>458877</v>
      </c>
      <c r="I132" s="46">
        <f>I133+I134</f>
        <v>0</v>
      </c>
      <c r="J132" s="231">
        <f t="shared" si="91"/>
        <v>1413272</v>
      </c>
      <c r="K132" s="46">
        <f>K133+K134+K135</f>
        <v>320000</v>
      </c>
      <c r="L132" s="177">
        <f t="shared" ref="L132:M132" si="92">L133+L134+L135</f>
        <v>148900</v>
      </c>
      <c r="M132" s="177">
        <f t="shared" si="92"/>
        <v>95400</v>
      </c>
      <c r="N132" s="424">
        <f>O132</f>
        <v>1093272</v>
      </c>
      <c r="O132" s="177">
        <f>O133+O134+O135</f>
        <v>1093272</v>
      </c>
      <c r="P132" s="427">
        <f>+J132+E132</f>
        <v>6896971</v>
      </c>
    </row>
    <row r="133" spans="1:18" ht="228.75" x14ac:dyDescent="0.2">
      <c r="A133" s="428" t="s">
        <v>104</v>
      </c>
      <c r="B133" s="428" t="s">
        <v>329</v>
      </c>
      <c r="C133" s="428" t="s">
        <v>353</v>
      </c>
      <c r="D133" s="428" t="s">
        <v>33</v>
      </c>
      <c r="E133" s="46">
        <f t="shared" si="90"/>
        <v>789000</v>
      </c>
      <c r="F133" s="46">
        <f>(769000)+20000</f>
        <v>789000</v>
      </c>
      <c r="G133" s="46"/>
      <c r="H133" s="46"/>
      <c r="I133" s="46"/>
      <c r="J133" s="46">
        <f t="shared" si="91"/>
        <v>0</v>
      </c>
      <c r="K133" s="424"/>
      <c r="L133" s="424"/>
      <c r="M133" s="424"/>
      <c r="N133" s="424">
        <f t="shared" ref="N133:N143" si="93">O133</f>
        <v>0</v>
      </c>
      <c r="O133" s="424"/>
      <c r="P133" s="407">
        <f>+J133+E133</f>
        <v>789000</v>
      </c>
    </row>
    <row r="134" spans="1:18" ht="137.25" x14ac:dyDescent="0.2">
      <c r="A134" s="428" t="s">
        <v>360</v>
      </c>
      <c r="B134" s="428" t="s">
        <v>361</v>
      </c>
      <c r="C134" s="428" t="s">
        <v>353</v>
      </c>
      <c r="D134" s="428" t="s">
        <v>34</v>
      </c>
      <c r="E134" s="46">
        <f t="shared" si="90"/>
        <v>3030302</v>
      </c>
      <c r="F134" s="46">
        <f>(((2617077)+233020)+135028+76000)-109100+78277</f>
        <v>3030302</v>
      </c>
      <c r="G134" s="46">
        <f>(1397600-47800)+78277</f>
        <v>1428077</v>
      </c>
      <c r="H134" s="46">
        <f>(497977)-109100</f>
        <v>388877</v>
      </c>
      <c r="I134" s="46"/>
      <c r="J134" s="46">
        <f t="shared" si="91"/>
        <v>1013272</v>
      </c>
      <c r="K134" s="424">
        <v>320000</v>
      </c>
      <c r="L134" s="424">
        <v>148900</v>
      </c>
      <c r="M134" s="424">
        <v>95400</v>
      </c>
      <c r="N134" s="424">
        <f t="shared" si="93"/>
        <v>693272</v>
      </c>
      <c r="O134" s="424">
        <f>((0)+636872)+56400</f>
        <v>693272</v>
      </c>
      <c r="P134" s="407">
        <f t="shared" ref="P134:P151" si="94">E134+J134</f>
        <v>4043574</v>
      </c>
    </row>
    <row r="135" spans="1:18" ht="91.5" x14ac:dyDescent="0.2">
      <c r="A135" s="428" t="s">
        <v>760</v>
      </c>
      <c r="B135" s="428" t="s">
        <v>761</v>
      </c>
      <c r="C135" s="428" t="s">
        <v>353</v>
      </c>
      <c r="D135" s="428" t="s">
        <v>762</v>
      </c>
      <c r="E135" s="46">
        <f t="shared" si="90"/>
        <v>1664397</v>
      </c>
      <c r="F135" s="46">
        <f>(761000)+153000+70000+58350+450270+171777</f>
        <v>1664397</v>
      </c>
      <c r="G135" s="46">
        <f>(0)+47800</f>
        <v>47800</v>
      </c>
      <c r="H135" s="46">
        <f>(0)+70000</f>
        <v>70000</v>
      </c>
      <c r="I135" s="46"/>
      <c r="J135" s="46">
        <f t="shared" si="91"/>
        <v>400000</v>
      </c>
      <c r="K135" s="424"/>
      <c r="L135" s="424"/>
      <c r="M135" s="424"/>
      <c r="N135" s="424">
        <f t="shared" si="93"/>
        <v>400000</v>
      </c>
      <c r="O135" s="424">
        <v>400000</v>
      </c>
      <c r="P135" s="407">
        <f t="shared" si="94"/>
        <v>2064397</v>
      </c>
    </row>
    <row r="136" spans="1:18" ht="91.5" x14ac:dyDescent="0.2">
      <c r="A136" s="423" t="s">
        <v>107</v>
      </c>
      <c r="B136" s="423" t="s">
        <v>355</v>
      </c>
      <c r="C136" s="423"/>
      <c r="D136" s="423" t="s">
        <v>108</v>
      </c>
      <c r="E136" s="231">
        <f t="shared" ref="E136:E147" si="95">F136</f>
        <v>10797100</v>
      </c>
      <c r="F136" s="46">
        <f>F137+F138</f>
        <v>10797100</v>
      </c>
      <c r="G136" s="46">
        <f>G137+G138</f>
        <v>0</v>
      </c>
      <c r="H136" s="46">
        <f>H137+H138</f>
        <v>0</v>
      </c>
      <c r="I136" s="422"/>
      <c r="J136" s="231">
        <f t="shared" si="91"/>
        <v>0</v>
      </c>
      <c r="K136" s="46">
        <f>K137+K138</f>
        <v>0</v>
      </c>
      <c r="L136" s="425"/>
      <c r="M136" s="425"/>
      <c r="N136" s="424">
        <f t="shared" si="93"/>
        <v>0</v>
      </c>
      <c r="O136" s="177">
        <f>O137+O138</f>
        <v>0</v>
      </c>
      <c r="P136" s="427">
        <f t="shared" si="94"/>
        <v>10797100</v>
      </c>
    </row>
    <row r="137" spans="1:18" ht="137.25" x14ac:dyDescent="0.2">
      <c r="A137" s="428" t="s">
        <v>109</v>
      </c>
      <c r="B137" s="428" t="s">
        <v>356</v>
      </c>
      <c r="C137" s="428" t="s">
        <v>370</v>
      </c>
      <c r="D137" s="428" t="s">
        <v>110</v>
      </c>
      <c r="E137" s="46">
        <f t="shared" si="95"/>
        <v>9084900</v>
      </c>
      <c r="F137" s="46">
        <f>((7229900)+30000+500000)+1300000+25000</f>
        <v>9084900</v>
      </c>
      <c r="G137" s="407"/>
      <c r="H137" s="407"/>
      <c r="I137" s="407"/>
      <c r="J137" s="407">
        <f t="shared" si="91"/>
        <v>0</v>
      </c>
      <c r="K137" s="407"/>
      <c r="L137" s="407"/>
      <c r="M137" s="407"/>
      <c r="N137" s="424">
        <f t="shared" si="93"/>
        <v>0</v>
      </c>
      <c r="O137" s="372"/>
      <c r="P137" s="407">
        <f t="shared" si="94"/>
        <v>9084900</v>
      </c>
    </row>
    <row r="138" spans="1:18" ht="137.25" x14ac:dyDescent="0.2">
      <c r="A138" s="428" t="s">
        <v>111</v>
      </c>
      <c r="B138" s="428" t="s">
        <v>357</v>
      </c>
      <c r="C138" s="428" t="s">
        <v>370</v>
      </c>
      <c r="D138" s="428" t="s">
        <v>11</v>
      </c>
      <c r="E138" s="46">
        <f t="shared" si="95"/>
        <v>1712200</v>
      </c>
      <c r="F138" s="46">
        <f>((1472200)+565000-500000)+175000</f>
        <v>1712200</v>
      </c>
      <c r="G138" s="407"/>
      <c r="H138" s="407"/>
      <c r="I138" s="407"/>
      <c r="J138" s="407">
        <f t="shared" si="91"/>
        <v>0</v>
      </c>
      <c r="K138" s="407"/>
      <c r="L138" s="407"/>
      <c r="M138" s="407"/>
      <c r="N138" s="424">
        <f t="shared" si="93"/>
        <v>0</v>
      </c>
      <c r="O138" s="372"/>
      <c r="P138" s="407">
        <f t="shared" si="94"/>
        <v>1712200</v>
      </c>
    </row>
    <row r="139" spans="1:18" ht="183" x14ac:dyDescent="0.2">
      <c r="A139" s="423" t="s">
        <v>112</v>
      </c>
      <c r="B139" s="423" t="s">
        <v>358</v>
      </c>
      <c r="C139" s="423"/>
      <c r="D139" s="423" t="s">
        <v>752</v>
      </c>
      <c r="E139" s="231">
        <f t="shared" si="95"/>
        <v>11500</v>
      </c>
      <c r="F139" s="46">
        <f>F140</f>
        <v>11500</v>
      </c>
      <c r="G139" s="177">
        <f>G140</f>
        <v>0</v>
      </c>
      <c r="H139" s="177">
        <f>H140</f>
        <v>0</v>
      </c>
      <c r="I139" s="407"/>
      <c r="J139" s="427">
        <f t="shared" si="91"/>
        <v>0</v>
      </c>
      <c r="K139" s="46">
        <f>K140</f>
        <v>0</v>
      </c>
      <c r="L139" s="177">
        <f>L140</f>
        <v>0</v>
      </c>
      <c r="M139" s="177">
        <f>M140</f>
        <v>0</v>
      </c>
      <c r="N139" s="424">
        <f>N140</f>
        <v>0</v>
      </c>
      <c r="O139" s="177">
        <f>O140</f>
        <v>0</v>
      </c>
      <c r="P139" s="427">
        <f t="shared" si="94"/>
        <v>11500</v>
      </c>
    </row>
    <row r="140" spans="1:18" ht="183" x14ac:dyDescent="0.2">
      <c r="A140" s="428" t="s">
        <v>113</v>
      </c>
      <c r="B140" s="428" t="s">
        <v>359</v>
      </c>
      <c r="C140" s="428" t="s">
        <v>370</v>
      </c>
      <c r="D140" s="428" t="s">
        <v>753</v>
      </c>
      <c r="E140" s="46">
        <f>F140</f>
        <v>11500</v>
      </c>
      <c r="F140" s="46">
        <v>11500</v>
      </c>
      <c r="G140" s="46"/>
      <c r="H140" s="46"/>
      <c r="I140" s="407"/>
      <c r="J140" s="407">
        <f t="shared" si="91"/>
        <v>0</v>
      </c>
      <c r="K140" s="46"/>
      <c r="L140" s="46"/>
      <c r="M140" s="46"/>
      <c r="N140" s="424">
        <f>O140</f>
        <v>0</v>
      </c>
      <c r="O140" s="46"/>
      <c r="P140" s="407">
        <f t="shared" si="94"/>
        <v>11500</v>
      </c>
    </row>
    <row r="141" spans="1:18" ht="91.5" x14ac:dyDescent="0.2">
      <c r="A141" s="423" t="s">
        <v>78</v>
      </c>
      <c r="B141" s="423" t="s">
        <v>365</v>
      </c>
      <c r="C141" s="423"/>
      <c r="D141" s="423" t="s">
        <v>79</v>
      </c>
      <c r="E141" s="231">
        <f t="shared" si="95"/>
        <v>20312598</v>
      </c>
      <c r="F141" s="46">
        <f>F142+F143</f>
        <v>20312598</v>
      </c>
      <c r="G141" s="177">
        <f>G142+G143</f>
        <v>10749300</v>
      </c>
      <c r="H141" s="177">
        <f>H142+H143</f>
        <v>1075230</v>
      </c>
      <c r="I141" s="46">
        <f>I142+I143</f>
        <v>0</v>
      </c>
      <c r="J141" s="427">
        <f t="shared" si="91"/>
        <v>4287229.32</v>
      </c>
      <c r="K141" s="46">
        <f>K142+K143</f>
        <v>1547800</v>
      </c>
      <c r="L141" s="177">
        <f>L142+L143</f>
        <v>720900</v>
      </c>
      <c r="M141" s="177">
        <f>M142+M143</f>
        <v>190192</v>
      </c>
      <c r="N141" s="424">
        <f>N142+N143</f>
        <v>2739429.3200000003</v>
      </c>
      <c r="O141" s="46">
        <f>O142+O143</f>
        <v>2693929.3200000003</v>
      </c>
      <c r="P141" s="427">
        <f t="shared" si="94"/>
        <v>24599827.32</v>
      </c>
    </row>
    <row r="142" spans="1:18" ht="183" x14ac:dyDescent="0.2">
      <c r="A142" s="428" t="s">
        <v>77</v>
      </c>
      <c r="B142" s="428" t="s">
        <v>366</v>
      </c>
      <c r="C142" s="428" t="s">
        <v>370</v>
      </c>
      <c r="D142" s="428" t="s">
        <v>114</v>
      </c>
      <c r="E142" s="46">
        <f t="shared" si="95"/>
        <v>16489908</v>
      </c>
      <c r="F142" s="46">
        <f>(((15491860)+526918)+446130)+30000-11500+6500</f>
        <v>16489908</v>
      </c>
      <c r="G142" s="46">
        <f>(10666900)+82400</f>
        <v>10749300</v>
      </c>
      <c r="H142" s="46">
        <f>((1023730)+45000)+6500</f>
        <v>1075230</v>
      </c>
      <c r="I142" s="46"/>
      <c r="J142" s="46">
        <f t="shared" si="91"/>
        <v>4287229.32</v>
      </c>
      <c r="K142" s="46">
        <v>1547800</v>
      </c>
      <c r="L142" s="46">
        <v>720900</v>
      </c>
      <c r="M142" s="46">
        <v>190192</v>
      </c>
      <c r="N142" s="424">
        <f>O142+45500</f>
        <v>2739429.3200000003</v>
      </c>
      <c r="O142" s="177">
        <f>((1436800)+1120764.32+135500)+865</f>
        <v>2693929.3200000003</v>
      </c>
      <c r="P142" s="407">
        <f t="shared" si="94"/>
        <v>20777137.32</v>
      </c>
    </row>
    <row r="143" spans="1:18" ht="183" x14ac:dyDescent="0.2">
      <c r="A143" s="428" t="s">
        <v>80</v>
      </c>
      <c r="B143" s="428" t="s">
        <v>367</v>
      </c>
      <c r="C143" s="428" t="s">
        <v>370</v>
      </c>
      <c r="D143" s="428" t="s">
        <v>115</v>
      </c>
      <c r="E143" s="46">
        <f t="shared" si="95"/>
        <v>3822690</v>
      </c>
      <c r="F143" s="46">
        <f>((3262600)+459986)+100104</f>
        <v>3822690</v>
      </c>
      <c r="G143" s="46"/>
      <c r="H143" s="46"/>
      <c r="I143" s="46"/>
      <c r="J143" s="46">
        <f t="shared" si="91"/>
        <v>0</v>
      </c>
      <c r="K143" s="46"/>
      <c r="L143" s="46"/>
      <c r="M143" s="46"/>
      <c r="N143" s="424">
        <f t="shared" si="93"/>
        <v>0</v>
      </c>
      <c r="O143" s="177"/>
      <c r="P143" s="407">
        <f t="shared" si="94"/>
        <v>3822690</v>
      </c>
    </row>
    <row r="144" spans="1:18" ht="91.5" x14ac:dyDescent="0.2">
      <c r="A144" s="423" t="s">
        <v>1004</v>
      </c>
      <c r="B144" s="423" t="s">
        <v>1005</v>
      </c>
      <c r="C144" s="423"/>
      <c r="D144" s="423" t="s">
        <v>1003</v>
      </c>
      <c r="E144" s="231">
        <f t="shared" ref="E144" si="96">F144</f>
        <v>40000</v>
      </c>
      <c r="F144" s="46">
        <f>F145</f>
        <v>40000</v>
      </c>
      <c r="G144" s="177">
        <f>G145</f>
        <v>0</v>
      </c>
      <c r="H144" s="177">
        <f>H145</f>
        <v>0</v>
      </c>
      <c r="I144" s="407"/>
      <c r="J144" s="427">
        <f t="shared" ref="J144:J145" si="97">K144+N144</f>
        <v>0</v>
      </c>
      <c r="K144" s="46">
        <f>K145</f>
        <v>0</v>
      </c>
      <c r="L144" s="177">
        <f>L145</f>
        <v>0</v>
      </c>
      <c r="M144" s="177">
        <f>M145</f>
        <v>0</v>
      </c>
      <c r="N144" s="424">
        <f>N145</f>
        <v>0</v>
      </c>
      <c r="O144" s="177">
        <f>O145</f>
        <v>0</v>
      </c>
      <c r="P144" s="427">
        <f t="shared" si="94"/>
        <v>40000</v>
      </c>
    </row>
    <row r="145" spans="1:18" ht="320.25" x14ac:dyDescent="0.2">
      <c r="A145" s="428" t="s">
        <v>1007</v>
      </c>
      <c r="B145" s="428" t="s">
        <v>1008</v>
      </c>
      <c r="C145" s="428" t="s">
        <v>370</v>
      </c>
      <c r="D145" s="428" t="s">
        <v>1006</v>
      </c>
      <c r="E145" s="46">
        <f>F145</f>
        <v>40000</v>
      </c>
      <c r="F145" s="46">
        <f>25000+15000</f>
        <v>40000</v>
      </c>
      <c r="G145" s="46"/>
      <c r="H145" s="46"/>
      <c r="I145" s="407"/>
      <c r="J145" s="407">
        <f t="shared" si="97"/>
        <v>0</v>
      </c>
      <c r="K145" s="46"/>
      <c r="L145" s="46"/>
      <c r="M145" s="46"/>
      <c r="N145" s="424">
        <f>O145</f>
        <v>0</v>
      </c>
      <c r="O145" s="46">
        <v>0</v>
      </c>
      <c r="P145" s="407">
        <f t="shared" si="94"/>
        <v>40000</v>
      </c>
    </row>
    <row r="146" spans="1:18" ht="91.5" x14ac:dyDescent="0.2">
      <c r="A146" s="423" t="s">
        <v>116</v>
      </c>
      <c r="B146" s="423" t="s">
        <v>368</v>
      </c>
      <c r="C146" s="423"/>
      <c r="D146" s="423" t="s">
        <v>81</v>
      </c>
      <c r="E146" s="231">
        <f t="shared" si="95"/>
        <v>1722328</v>
      </c>
      <c r="F146" s="46">
        <f>F147+F148</f>
        <v>1722328</v>
      </c>
      <c r="G146" s="177">
        <f>G147+G148</f>
        <v>655447</v>
      </c>
      <c r="H146" s="177">
        <f>H147+H148</f>
        <v>0</v>
      </c>
      <c r="I146" s="46">
        <f>I147+I148</f>
        <v>0</v>
      </c>
      <c r="J146" s="427">
        <f t="shared" ref="J146:J151" si="98">K146+N146</f>
        <v>89400</v>
      </c>
      <c r="K146" s="46">
        <f>K147+K148</f>
        <v>25000</v>
      </c>
      <c r="L146" s="177">
        <f>L147+L148</f>
        <v>0</v>
      </c>
      <c r="M146" s="177">
        <f>M147+M148</f>
        <v>0</v>
      </c>
      <c r="N146" s="424">
        <f>N147+N148</f>
        <v>64400</v>
      </c>
      <c r="O146" s="372">
        <f>O147+O148</f>
        <v>64400</v>
      </c>
      <c r="P146" s="427">
        <f t="shared" si="94"/>
        <v>1811728</v>
      </c>
    </row>
    <row r="147" spans="1:18" ht="274.5" x14ac:dyDescent="0.2">
      <c r="A147" s="446" t="s">
        <v>82</v>
      </c>
      <c r="B147" s="446" t="s">
        <v>369</v>
      </c>
      <c r="C147" s="446" t="s">
        <v>370</v>
      </c>
      <c r="D147" s="428" t="s">
        <v>83</v>
      </c>
      <c r="E147" s="46">
        <f t="shared" si="95"/>
        <v>722400</v>
      </c>
      <c r="F147" s="46">
        <f>(557400)+60000+105000</f>
        <v>722400</v>
      </c>
      <c r="G147" s="407"/>
      <c r="H147" s="407"/>
      <c r="I147" s="407"/>
      <c r="J147" s="407">
        <f>K147+N147</f>
        <v>0</v>
      </c>
      <c r="K147" s="407"/>
      <c r="L147" s="407"/>
      <c r="M147" s="407"/>
      <c r="N147" s="424">
        <f t="shared" ref="N147:N152" si="99">O147</f>
        <v>0</v>
      </c>
      <c r="O147" s="407"/>
      <c r="P147" s="407">
        <f t="shared" si="94"/>
        <v>722400</v>
      </c>
    </row>
    <row r="148" spans="1:18" ht="91.5" x14ac:dyDescent="0.2">
      <c r="A148" s="446" t="s">
        <v>84</v>
      </c>
      <c r="B148" s="446" t="s">
        <v>371</v>
      </c>
      <c r="C148" s="446" t="s">
        <v>370</v>
      </c>
      <c r="D148" s="428" t="s">
        <v>85</v>
      </c>
      <c r="E148" s="46">
        <f>F148</f>
        <v>999928</v>
      </c>
      <c r="F148" s="46">
        <f>(914158)+155770-70000</f>
        <v>999928</v>
      </c>
      <c r="G148" s="407">
        <f>(590447)+65000</f>
        <v>655447</v>
      </c>
      <c r="H148" s="407"/>
      <c r="I148" s="407"/>
      <c r="J148" s="407">
        <f t="shared" si="98"/>
        <v>89400</v>
      </c>
      <c r="K148" s="407">
        <f>20900+4100</f>
        <v>25000</v>
      </c>
      <c r="L148" s="407"/>
      <c r="M148" s="407"/>
      <c r="N148" s="424">
        <f t="shared" si="99"/>
        <v>64400</v>
      </c>
      <c r="O148" s="407">
        <f>(32400+45000)+387000-400000</f>
        <v>64400</v>
      </c>
      <c r="P148" s="407">
        <f t="shared" si="94"/>
        <v>1089328</v>
      </c>
    </row>
    <row r="149" spans="1:18" ht="91.5" x14ac:dyDescent="0.2">
      <c r="A149" s="429" t="s">
        <v>704</v>
      </c>
      <c r="B149" s="429" t="s">
        <v>706</v>
      </c>
      <c r="C149" s="429"/>
      <c r="D149" s="423" t="s">
        <v>705</v>
      </c>
      <c r="E149" s="231">
        <f>F149</f>
        <v>10920</v>
      </c>
      <c r="F149" s="46">
        <f>F150</f>
        <v>10920</v>
      </c>
      <c r="G149" s="177"/>
      <c r="H149" s="177"/>
      <c r="I149" s="46"/>
      <c r="J149" s="427">
        <f t="shared" ref="J149:J150" si="100">K149+N149</f>
        <v>0</v>
      </c>
      <c r="K149" s="46"/>
      <c r="L149" s="177"/>
      <c r="M149" s="177"/>
      <c r="N149" s="424">
        <f t="shared" si="99"/>
        <v>0</v>
      </c>
      <c r="O149" s="372"/>
      <c r="P149" s="427">
        <f t="shared" ref="P149:P150" si="101">E149+J149</f>
        <v>10920</v>
      </c>
    </row>
    <row r="150" spans="1:18" ht="320.25" x14ac:dyDescent="0.2">
      <c r="A150" s="446" t="s">
        <v>710</v>
      </c>
      <c r="B150" s="446" t="s">
        <v>709</v>
      </c>
      <c r="C150" s="446" t="s">
        <v>708</v>
      </c>
      <c r="D150" s="428" t="s">
        <v>707</v>
      </c>
      <c r="E150" s="46">
        <f>F150</f>
        <v>10920</v>
      </c>
      <c r="F150" s="46">
        <v>10920</v>
      </c>
      <c r="G150" s="407"/>
      <c r="H150" s="407"/>
      <c r="I150" s="407"/>
      <c r="J150" s="407">
        <f t="shared" si="100"/>
        <v>0</v>
      </c>
      <c r="K150" s="407"/>
      <c r="L150" s="407"/>
      <c r="M150" s="407"/>
      <c r="N150" s="424">
        <f t="shared" si="99"/>
        <v>0</v>
      </c>
      <c r="O150" s="407"/>
      <c r="P150" s="407">
        <f t="shared" si="101"/>
        <v>10920</v>
      </c>
    </row>
    <row r="151" spans="1:18" ht="91.5" x14ac:dyDescent="0.2">
      <c r="A151" s="429" t="s">
        <v>372</v>
      </c>
      <c r="B151" s="429" t="s">
        <v>373</v>
      </c>
      <c r="C151" s="429" t="s">
        <v>324</v>
      </c>
      <c r="D151" s="423" t="s">
        <v>89</v>
      </c>
      <c r="E151" s="231">
        <f>F151</f>
        <v>0</v>
      </c>
      <c r="F151" s="46"/>
      <c r="G151" s="177"/>
      <c r="H151" s="177"/>
      <c r="I151" s="46"/>
      <c r="J151" s="427">
        <f t="shared" si="98"/>
        <v>2405300</v>
      </c>
      <c r="K151" s="46"/>
      <c r="L151" s="177"/>
      <c r="M151" s="177"/>
      <c r="N151" s="424">
        <f t="shared" si="99"/>
        <v>2405300</v>
      </c>
      <c r="O151" s="372">
        <f>(2500000)-123000+509606-499606+18300</f>
        <v>2405300</v>
      </c>
      <c r="P151" s="427">
        <f t="shared" si="94"/>
        <v>2405300</v>
      </c>
    </row>
    <row r="152" spans="1:18" ht="91.5" hidden="1" x14ac:dyDescent="0.2">
      <c r="A152" s="409" t="s">
        <v>964</v>
      </c>
      <c r="B152" s="416" t="s">
        <v>799</v>
      </c>
      <c r="C152" s="416" t="s">
        <v>103</v>
      </c>
      <c r="D152" s="416" t="s">
        <v>800</v>
      </c>
      <c r="E152" s="413">
        <f>F152</f>
        <v>0</v>
      </c>
      <c r="F152" s="411">
        <f>30000-30000</f>
        <v>0</v>
      </c>
      <c r="G152" s="412"/>
      <c r="H152" s="412"/>
      <c r="I152" s="411"/>
      <c r="J152" s="410">
        <f t="shared" ref="J152" si="102">K152+N152</f>
        <v>0</v>
      </c>
      <c r="K152" s="411"/>
      <c r="L152" s="412"/>
      <c r="M152" s="412"/>
      <c r="N152" s="414">
        <f t="shared" si="99"/>
        <v>0</v>
      </c>
      <c r="O152" s="415"/>
      <c r="P152" s="410">
        <f t="shared" ref="P152" si="103">E152+J152</f>
        <v>0</v>
      </c>
    </row>
    <row r="153" spans="1:18" ht="180" x14ac:dyDescent="0.2">
      <c r="A153" s="473" t="s">
        <v>312</v>
      </c>
      <c r="B153" s="473"/>
      <c r="C153" s="473"/>
      <c r="D153" s="473" t="s">
        <v>67</v>
      </c>
      <c r="E153" s="476">
        <f>E154</f>
        <v>213312753.26999998</v>
      </c>
      <c r="F153" s="476">
        <f t="shared" ref="F153:P153" si="104">F154</f>
        <v>213312753.26999998</v>
      </c>
      <c r="G153" s="476">
        <f t="shared" si="104"/>
        <v>6991650</v>
      </c>
      <c r="H153" s="476">
        <f t="shared" si="104"/>
        <v>151365</v>
      </c>
      <c r="I153" s="476">
        <f t="shared" si="104"/>
        <v>0</v>
      </c>
      <c r="J153" s="476">
        <f t="shared" si="104"/>
        <v>229069607.97</v>
      </c>
      <c r="K153" s="476">
        <f t="shared" si="104"/>
        <v>805400</v>
      </c>
      <c r="L153" s="476">
        <f t="shared" si="104"/>
        <v>0</v>
      </c>
      <c r="M153" s="476">
        <f t="shared" si="104"/>
        <v>0</v>
      </c>
      <c r="N153" s="476">
        <f t="shared" si="104"/>
        <v>228264207.97</v>
      </c>
      <c r="O153" s="475">
        <f t="shared" si="104"/>
        <v>227459984.88</v>
      </c>
      <c r="P153" s="476">
        <f t="shared" si="104"/>
        <v>442382361.24000001</v>
      </c>
    </row>
    <row r="154" spans="1:18" ht="180" x14ac:dyDescent="0.2">
      <c r="A154" s="480" t="s">
        <v>313</v>
      </c>
      <c r="B154" s="480"/>
      <c r="C154" s="480"/>
      <c r="D154" s="480" t="s">
        <v>95</v>
      </c>
      <c r="E154" s="475">
        <f>E156+E162+E163+E164+E168+E170+E172+E173+E177+E178+E166+E155+E174</f>
        <v>213312753.26999998</v>
      </c>
      <c r="F154" s="476">
        <f>F156+F162+F163+F164+F168+F170+F172+F173+F177+F178+F166+F155</f>
        <v>213312753.26999998</v>
      </c>
      <c r="G154" s="475">
        <f>G156+G162+G163+G164+G168+G170+G172+G173+G177+G178+G155</f>
        <v>6991650</v>
      </c>
      <c r="H154" s="475">
        <f>H156+H162+H163+H164+H168+H170+H172+H173+H177+H178+H155</f>
        <v>151365</v>
      </c>
      <c r="I154" s="476">
        <f>I156+I162+I163+I164+I168+I170+I172+I173+I177+I178</f>
        <v>0</v>
      </c>
      <c r="J154" s="475">
        <f>K154+N154</f>
        <v>229069607.97</v>
      </c>
      <c r="K154" s="476">
        <f>K156+K162+K163+K164+K168+K170+K172+K173+K177+K178+K166+K155+K174</f>
        <v>805400</v>
      </c>
      <c r="L154" s="475">
        <f>L156+L162+L163+L164+L168+L170+L172+L173+L177+L178+L155</f>
        <v>0</v>
      </c>
      <c r="M154" s="475">
        <f>M156+M162+M163+M164+M168+M170+M172+M173+M177+M178+M155</f>
        <v>0</v>
      </c>
      <c r="N154" s="476">
        <f>N156+N162+N163+N164+N165+N168+N170+N172+N173+N177+N178+N166+N155+N174</f>
        <v>228264207.97</v>
      </c>
      <c r="O154" s="475">
        <f>O156+O162+O163+O164+O165+O168+O170+O172+O173+O177+O178+O166+O155+O174</f>
        <v>227459984.88</v>
      </c>
      <c r="P154" s="475">
        <f>E154+J154</f>
        <v>442382361.24000001</v>
      </c>
      <c r="Q154" s="251" t="b">
        <f>P154=P157+P159+P160+P161+P162+P163+P164+P165+P169+P171+P172+P173+P177+P178+P158+P166+P155+P175</f>
        <v>1</v>
      </c>
      <c r="R154" s="253" t="b">
        <f>O154='dod5'!J111</f>
        <v>1</v>
      </c>
    </row>
    <row r="155" spans="1:18" ht="228.75" x14ac:dyDescent="0.2">
      <c r="A155" s="449" t="s">
        <v>1026</v>
      </c>
      <c r="B155" s="449" t="s">
        <v>433</v>
      </c>
      <c r="C155" s="449" t="s">
        <v>430</v>
      </c>
      <c r="D155" s="449" t="s">
        <v>431</v>
      </c>
      <c r="E155" s="450">
        <f t="shared" ref="E155" si="105">F155</f>
        <v>8447304</v>
      </c>
      <c r="F155" s="452">
        <f>8475304+12000-40000+5000-5000</f>
        <v>8447304</v>
      </c>
      <c r="G155" s="372">
        <f>6135900+12000</f>
        <v>6147900</v>
      </c>
      <c r="H155" s="372">
        <f>130000+5000</f>
        <v>135000</v>
      </c>
      <c r="I155" s="452"/>
      <c r="J155" s="450">
        <f t="shared" ref="J155" si="106">K155+N155</f>
        <v>66000</v>
      </c>
      <c r="K155" s="452"/>
      <c r="L155" s="372"/>
      <c r="M155" s="372"/>
      <c r="N155" s="452">
        <f t="shared" ref="N155" si="107">O155</f>
        <v>66000</v>
      </c>
      <c r="O155" s="372">
        <v>66000</v>
      </c>
      <c r="P155" s="450">
        <f>E155+J155</f>
        <v>8513304</v>
      </c>
      <c r="Q155" s="251"/>
      <c r="R155" s="253"/>
    </row>
    <row r="156" spans="1:18" ht="137.25" x14ac:dyDescent="0.2">
      <c r="A156" s="423" t="s">
        <v>527</v>
      </c>
      <c r="B156" s="423" t="s">
        <v>528</v>
      </c>
      <c r="C156" s="423"/>
      <c r="D156" s="423" t="s">
        <v>531</v>
      </c>
      <c r="E156" s="427">
        <f t="shared" ref="E156:E178" si="108">F156</f>
        <v>25309669</v>
      </c>
      <c r="F156" s="407">
        <f>SUM(F157:F161)</f>
        <v>25309669</v>
      </c>
      <c r="G156" s="177"/>
      <c r="H156" s="372"/>
      <c r="I156" s="407"/>
      <c r="J156" s="427">
        <f t="shared" ref="J156:J157" si="109">K156+N156</f>
        <v>41166754</v>
      </c>
      <c r="K156" s="407">
        <f>SUM(K157:K161)</f>
        <v>0</v>
      </c>
      <c r="L156" s="372"/>
      <c r="M156" s="372"/>
      <c r="N156" s="407">
        <f t="shared" ref="N156:N157" si="110">O156</f>
        <v>41166754</v>
      </c>
      <c r="O156" s="407">
        <f>SUM(O157:O161)</f>
        <v>41166754</v>
      </c>
      <c r="P156" s="427">
        <f t="shared" ref="P156" si="111">E156+J156</f>
        <v>66476423</v>
      </c>
      <c r="R156" s="253">
        <f>O154-'dod5'!J111</f>
        <v>0</v>
      </c>
    </row>
    <row r="157" spans="1:18" ht="137.25" x14ac:dyDescent="0.2">
      <c r="A157" s="428" t="s">
        <v>529</v>
      </c>
      <c r="B157" s="428" t="s">
        <v>530</v>
      </c>
      <c r="C157" s="428" t="s">
        <v>533</v>
      </c>
      <c r="D157" s="428" t="s">
        <v>532</v>
      </c>
      <c r="E157" s="46">
        <f t="shared" si="108"/>
        <v>3264869</v>
      </c>
      <c r="F157" s="46">
        <f>((3189750)+748000)-672881</f>
        <v>3264869</v>
      </c>
      <c r="G157" s="46"/>
      <c r="H157" s="46"/>
      <c r="I157" s="46"/>
      <c r="J157" s="46">
        <f t="shared" si="109"/>
        <v>5346754</v>
      </c>
      <c r="K157" s="424"/>
      <c r="L157" s="424"/>
      <c r="M157" s="424"/>
      <c r="N157" s="424">
        <f t="shared" si="110"/>
        <v>5346754</v>
      </c>
      <c r="O157" s="424">
        <f>(((1400000)+2866500)+805000)-124746+400000</f>
        <v>5346754</v>
      </c>
      <c r="P157" s="407">
        <f>+J157+E157</f>
        <v>8611623</v>
      </c>
    </row>
    <row r="158" spans="1:18" ht="183" x14ac:dyDescent="0.2">
      <c r="A158" s="428" t="s">
        <v>971</v>
      </c>
      <c r="B158" s="428" t="s">
        <v>972</v>
      </c>
      <c r="C158" s="428" t="s">
        <v>533</v>
      </c>
      <c r="D158" s="428" t="s">
        <v>973</v>
      </c>
      <c r="E158" s="46">
        <f>F158</f>
        <v>17000000</v>
      </c>
      <c r="F158" s="46">
        <f>(13000000)+4000000</f>
        <v>17000000</v>
      </c>
      <c r="G158" s="46"/>
      <c r="H158" s="46"/>
      <c r="I158" s="46"/>
      <c r="J158" s="46">
        <f t="shared" ref="J158" si="112">K158+N158</f>
        <v>0</v>
      </c>
      <c r="K158" s="424"/>
      <c r="L158" s="424"/>
      <c r="M158" s="424"/>
      <c r="N158" s="424">
        <f t="shared" ref="N158" si="113">O158</f>
        <v>0</v>
      </c>
      <c r="O158" s="424"/>
      <c r="P158" s="407">
        <f>+J158+E158</f>
        <v>17000000</v>
      </c>
    </row>
    <row r="159" spans="1:18" ht="137.25" x14ac:dyDescent="0.2">
      <c r="A159" s="428" t="s">
        <v>537</v>
      </c>
      <c r="B159" s="428" t="s">
        <v>538</v>
      </c>
      <c r="C159" s="428" t="s">
        <v>533</v>
      </c>
      <c r="D159" s="428" t="s">
        <v>539</v>
      </c>
      <c r="E159" s="46">
        <f t="shared" si="108"/>
        <v>4984800</v>
      </c>
      <c r="F159" s="46">
        <f>((484800)+2500000)+2000000</f>
        <v>4984800</v>
      </c>
      <c r="G159" s="46"/>
      <c r="H159" s="46"/>
      <c r="I159" s="46"/>
      <c r="J159" s="46">
        <f t="shared" ref="J159" si="114">K159+N159</f>
        <v>0</v>
      </c>
      <c r="K159" s="424"/>
      <c r="L159" s="424"/>
      <c r="M159" s="424"/>
      <c r="N159" s="424">
        <f t="shared" ref="N159" si="115">O159</f>
        <v>0</v>
      </c>
      <c r="O159" s="424"/>
      <c r="P159" s="407">
        <f>+J159+E159</f>
        <v>4984800</v>
      </c>
    </row>
    <row r="160" spans="1:18" ht="137.25" x14ac:dyDescent="0.2">
      <c r="A160" s="428" t="s">
        <v>567</v>
      </c>
      <c r="B160" s="428" t="s">
        <v>568</v>
      </c>
      <c r="C160" s="428" t="s">
        <v>533</v>
      </c>
      <c r="D160" s="428" t="s">
        <v>569</v>
      </c>
      <c r="E160" s="46">
        <f t="shared" si="108"/>
        <v>0</v>
      </c>
      <c r="F160" s="46"/>
      <c r="G160" s="46"/>
      <c r="H160" s="46"/>
      <c r="I160" s="46"/>
      <c r="J160" s="46">
        <f t="shared" ref="J160" si="116">K160+N160</f>
        <v>5020000</v>
      </c>
      <c r="K160" s="424"/>
      <c r="L160" s="424"/>
      <c r="M160" s="424"/>
      <c r="N160" s="424">
        <f t="shared" ref="N160" si="117">O160</f>
        <v>5020000</v>
      </c>
      <c r="O160" s="424">
        <f>((5000000)+600000)-580000</f>
        <v>5020000</v>
      </c>
      <c r="P160" s="407">
        <f>+J160+E160</f>
        <v>5020000</v>
      </c>
    </row>
    <row r="161" spans="1:17" ht="183" x14ac:dyDescent="0.2">
      <c r="A161" s="428" t="s">
        <v>534</v>
      </c>
      <c r="B161" s="428" t="s">
        <v>535</v>
      </c>
      <c r="C161" s="428" t="s">
        <v>533</v>
      </c>
      <c r="D161" s="428" t="s">
        <v>536</v>
      </c>
      <c r="E161" s="46">
        <f t="shared" si="108"/>
        <v>60000</v>
      </c>
      <c r="F161" s="46">
        <v>60000</v>
      </c>
      <c r="G161" s="46"/>
      <c r="H161" s="46"/>
      <c r="I161" s="46"/>
      <c r="J161" s="46">
        <f t="shared" ref="J161:J169" si="118">K161+N161</f>
        <v>30800000</v>
      </c>
      <c r="K161" s="424"/>
      <c r="L161" s="424"/>
      <c r="M161" s="424"/>
      <c r="N161" s="424">
        <f t="shared" ref="N161" si="119">O161</f>
        <v>30800000</v>
      </c>
      <c r="O161" s="424">
        <f>((34000000)+2000000)-2188000-3012000</f>
        <v>30800000</v>
      </c>
      <c r="P161" s="407">
        <f>+J161+E161</f>
        <v>30860000</v>
      </c>
    </row>
    <row r="162" spans="1:17" ht="228.75" x14ac:dyDescent="0.2">
      <c r="A162" s="423" t="s">
        <v>561</v>
      </c>
      <c r="B162" s="423" t="s">
        <v>562</v>
      </c>
      <c r="C162" s="423" t="s">
        <v>533</v>
      </c>
      <c r="D162" s="423" t="s">
        <v>563</v>
      </c>
      <c r="E162" s="231">
        <f t="shared" si="108"/>
        <v>10369292</v>
      </c>
      <c r="F162" s="46">
        <f>(((138000+1109401)+81800+6500000-550000)+865181+2500000+512000)-787090</f>
        <v>10369292</v>
      </c>
      <c r="G162" s="177"/>
      <c r="H162" s="177"/>
      <c r="I162" s="46"/>
      <c r="J162" s="427">
        <f t="shared" ref="J162" si="120">K162+N162</f>
        <v>0</v>
      </c>
      <c r="K162" s="46"/>
      <c r="L162" s="177"/>
      <c r="M162" s="177"/>
      <c r="N162" s="424">
        <f>O162</f>
        <v>0</v>
      </c>
      <c r="O162" s="372"/>
      <c r="P162" s="427">
        <f t="shared" ref="P162" si="121">E162+J162</f>
        <v>10369292</v>
      </c>
    </row>
    <row r="163" spans="1:17" ht="91.5" x14ac:dyDescent="0.2">
      <c r="A163" s="423" t="s">
        <v>540</v>
      </c>
      <c r="B163" s="423" t="s">
        <v>541</v>
      </c>
      <c r="C163" s="423" t="s">
        <v>533</v>
      </c>
      <c r="D163" s="423" t="s">
        <v>542</v>
      </c>
      <c r="E163" s="231">
        <f t="shared" si="108"/>
        <v>101399658.27</v>
      </c>
      <c r="F163" s="46">
        <f>(((88681880)+3989126)+7719149.27-200000+454100-150000+66378-107705-450270)+1397000</f>
        <v>101399658.27</v>
      </c>
      <c r="G163" s="177"/>
      <c r="H163" s="177">
        <v>4865</v>
      </c>
      <c r="I163" s="46"/>
      <c r="J163" s="427">
        <f t="shared" si="118"/>
        <v>20018699</v>
      </c>
      <c r="K163" s="46"/>
      <c r="L163" s="177"/>
      <c r="M163" s="177"/>
      <c r="N163" s="424">
        <f>O163</f>
        <v>20018699</v>
      </c>
      <c r="O163" s="372">
        <f>(((10282110)+8145732+450000)+737600+100257)+303000</f>
        <v>20018699</v>
      </c>
      <c r="P163" s="427">
        <f t="shared" ref="P163:P168" si="122">E163+J163</f>
        <v>121418357.27</v>
      </c>
    </row>
    <row r="164" spans="1:17" ht="92.25" x14ac:dyDescent="0.2">
      <c r="A164" s="423" t="s">
        <v>571</v>
      </c>
      <c r="B164" s="423" t="s">
        <v>572</v>
      </c>
      <c r="C164" s="423" t="s">
        <v>570</v>
      </c>
      <c r="D164" s="423" t="s">
        <v>573</v>
      </c>
      <c r="E164" s="231">
        <f t="shared" si="108"/>
        <v>0</v>
      </c>
      <c r="F164" s="46"/>
      <c r="G164" s="177"/>
      <c r="H164" s="177"/>
      <c r="I164" s="46"/>
      <c r="J164" s="427">
        <f t="shared" ref="J164:J167" si="123">K164+N164</f>
        <v>13212969.880000001</v>
      </c>
      <c r="K164" s="46"/>
      <c r="L164" s="177"/>
      <c r="M164" s="177"/>
      <c r="N164" s="424">
        <f>O164</f>
        <v>13212969.880000001</v>
      </c>
      <c r="O164" s="372">
        <f>(((20000000)+5000000)-11261584.12)-525446</f>
        <v>13212969.880000001</v>
      </c>
      <c r="P164" s="427">
        <f t="shared" ref="P164:P166" si="124">E164+J164</f>
        <v>13212969.880000001</v>
      </c>
    </row>
    <row r="165" spans="1:17" ht="183" x14ac:dyDescent="0.2">
      <c r="A165" s="423" t="s">
        <v>721</v>
      </c>
      <c r="B165" s="423" t="s">
        <v>609</v>
      </c>
      <c r="C165" s="423" t="s">
        <v>570</v>
      </c>
      <c r="D165" s="423" t="s">
        <v>607</v>
      </c>
      <c r="E165" s="231">
        <v>0</v>
      </c>
      <c r="F165" s="46"/>
      <c r="G165" s="177"/>
      <c r="H165" s="177"/>
      <c r="I165" s="46"/>
      <c r="J165" s="427">
        <f t="shared" si="123"/>
        <v>700000</v>
      </c>
      <c r="K165" s="46"/>
      <c r="L165" s="177"/>
      <c r="M165" s="177"/>
      <c r="N165" s="424">
        <f>O165</f>
        <v>700000</v>
      </c>
      <c r="O165" s="372">
        <v>700000</v>
      </c>
      <c r="P165" s="427">
        <f t="shared" si="124"/>
        <v>700000</v>
      </c>
    </row>
    <row r="166" spans="1:17" ht="91.5" hidden="1" x14ac:dyDescent="0.2">
      <c r="A166" s="423" t="s">
        <v>975</v>
      </c>
      <c r="B166" s="423" t="s">
        <v>976</v>
      </c>
      <c r="C166" s="423"/>
      <c r="D166" s="423" t="s">
        <v>974</v>
      </c>
      <c r="E166" s="427">
        <f t="shared" ref="E166:E167" si="125">F166</f>
        <v>0</v>
      </c>
      <c r="F166" s="407">
        <f>SUM(F167)</f>
        <v>0</v>
      </c>
      <c r="G166" s="177"/>
      <c r="H166" s="372"/>
      <c r="I166" s="407"/>
      <c r="J166" s="427">
        <f t="shared" si="123"/>
        <v>0</v>
      </c>
      <c r="K166" s="407">
        <f>SUM(K167)</f>
        <v>0</v>
      </c>
      <c r="L166" s="372"/>
      <c r="M166" s="372"/>
      <c r="N166" s="407">
        <f t="shared" ref="N166:N167" si="126">O166</f>
        <v>0</v>
      </c>
      <c r="O166" s="407">
        <f>SUM(O167)</f>
        <v>0</v>
      </c>
      <c r="P166" s="427">
        <f t="shared" si="124"/>
        <v>0</v>
      </c>
    </row>
    <row r="167" spans="1:17" ht="228.75" hidden="1" x14ac:dyDescent="0.2">
      <c r="A167" s="423" t="s">
        <v>977</v>
      </c>
      <c r="B167" s="423" t="s">
        <v>979</v>
      </c>
      <c r="C167" s="423" t="s">
        <v>324</v>
      </c>
      <c r="D167" s="423" t="s">
        <v>978</v>
      </c>
      <c r="E167" s="46">
        <f t="shared" si="125"/>
        <v>0</v>
      </c>
      <c r="F167" s="46"/>
      <c r="G167" s="46"/>
      <c r="H167" s="46"/>
      <c r="I167" s="46"/>
      <c r="J167" s="46">
        <f t="shared" si="123"/>
        <v>0</v>
      </c>
      <c r="K167" s="424"/>
      <c r="L167" s="424"/>
      <c r="M167" s="424"/>
      <c r="N167" s="424">
        <f t="shared" si="126"/>
        <v>0</v>
      </c>
      <c r="O167" s="424">
        <f>942931.88-942931.88</f>
        <v>0</v>
      </c>
      <c r="P167" s="407">
        <f>+J167+E167</f>
        <v>0</v>
      </c>
    </row>
    <row r="168" spans="1:17" ht="137.25" x14ac:dyDescent="0.2">
      <c r="A168" s="423" t="s">
        <v>544</v>
      </c>
      <c r="B168" s="423" t="s">
        <v>545</v>
      </c>
      <c r="C168" s="423"/>
      <c r="D168" s="423" t="s">
        <v>547</v>
      </c>
      <c r="E168" s="427">
        <f t="shared" si="108"/>
        <v>15350597</v>
      </c>
      <c r="F168" s="407">
        <f>SUM(F169)</f>
        <v>15350597</v>
      </c>
      <c r="G168" s="177"/>
      <c r="H168" s="372"/>
      <c r="I168" s="407"/>
      <c r="J168" s="427">
        <f t="shared" si="118"/>
        <v>0</v>
      </c>
      <c r="K168" s="407">
        <f>SUM(K169)</f>
        <v>0</v>
      </c>
      <c r="L168" s="372"/>
      <c r="M168" s="372"/>
      <c r="N168" s="407">
        <f t="shared" ref="N168:N169" si="127">O168</f>
        <v>0</v>
      </c>
      <c r="O168" s="407">
        <f>SUM(O169)</f>
        <v>0</v>
      </c>
      <c r="P168" s="427">
        <f t="shared" si="122"/>
        <v>15350597</v>
      </c>
    </row>
    <row r="169" spans="1:17" ht="91.5" x14ac:dyDescent="0.2">
      <c r="A169" s="428" t="s">
        <v>543</v>
      </c>
      <c r="B169" s="428" t="s">
        <v>546</v>
      </c>
      <c r="C169" s="428" t="s">
        <v>549</v>
      </c>
      <c r="D169" s="428" t="s">
        <v>548</v>
      </c>
      <c r="E169" s="46">
        <f t="shared" si="108"/>
        <v>15350597</v>
      </c>
      <c r="F169" s="46">
        <f>(15000000)+107705+242892</f>
        <v>15350597</v>
      </c>
      <c r="G169" s="46"/>
      <c r="H169" s="46"/>
      <c r="I169" s="46"/>
      <c r="J169" s="46">
        <f t="shared" si="118"/>
        <v>0</v>
      </c>
      <c r="K169" s="424"/>
      <c r="L169" s="424"/>
      <c r="M169" s="424"/>
      <c r="N169" s="424">
        <f t="shared" si="127"/>
        <v>0</v>
      </c>
      <c r="O169" s="424"/>
      <c r="P169" s="407">
        <f>+J169+E169</f>
        <v>15350597</v>
      </c>
    </row>
    <row r="170" spans="1:17" ht="137.25" x14ac:dyDescent="0.2">
      <c r="A170" s="423" t="s">
        <v>550</v>
      </c>
      <c r="B170" s="423" t="s">
        <v>551</v>
      </c>
      <c r="C170" s="423"/>
      <c r="D170" s="423" t="s">
        <v>552</v>
      </c>
      <c r="E170" s="427">
        <f t="shared" si="108"/>
        <v>49844755</v>
      </c>
      <c r="F170" s="407">
        <f>SUM(F171)</f>
        <v>49844755</v>
      </c>
      <c r="G170" s="177"/>
      <c r="H170" s="372"/>
      <c r="I170" s="407"/>
      <c r="J170" s="427">
        <f t="shared" ref="J170:J172" si="128">K170+N170</f>
        <v>91284073.090000004</v>
      </c>
      <c r="K170" s="407">
        <f>SUM(K171)</f>
        <v>0</v>
      </c>
      <c r="L170" s="372"/>
      <c r="M170" s="372"/>
      <c r="N170" s="407">
        <f>N171</f>
        <v>91284073.090000004</v>
      </c>
      <c r="O170" s="407">
        <f>SUM(O171)</f>
        <v>90769850</v>
      </c>
      <c r="P170" s="427">
        <f t="shared" ref="P170" si="129">E170+J170</f>
        <v>141128828.09</v>
      </c>
    </row>
    <row r="171" spans="1:17" ht="228.75" x14ac:dyDescent="0.2">
      <c r="A171" s="428" t="s">
        <v>553</v>
      </c>
      <c r="B171" s="428" t="s">
        <v>554</v>
      </c>
      <c r="C171" s="428" t="s">
        <v>556</v>
      </c>
      <c r="D171" s="428" t="s">
        <v>555</v>
      </c>
      <c r="E171" s="46">
        <f t="shared" si="108"/>
        <v>49844755</v>
      </c>
      <c r="F171" s="46">
        <f>((30000000)+18578600)+1266155</f>
        <v>49844755</v>
      </c>
      <c r="G171" s="46"/>
      <c r="H171" s="46"/>
      <c r="I171" s="46"/>
      <c r="J171" s="46">
        <f t="shared" si="128"/>
        <v>91284073.090000004</v>
      </c>
      <c r="K171" s="424"/>
      <c r="L171" s="424"/>
      <c r="M171" s="424"/>
      <c r="N171" s="424">
        <f>O171+514223.09</f>
        <v>91284073.090000004</v>
      </c>
      <c r="O171" s="424">
        <f>(((58865000)+25301210-1200000)+2430650+100000)+5272990</f>
        <v>90769850</v>
      </c>
      <c r="P171" s="407">
        <f>+J171+E171</f>
        <v>141128828.09</v>
      </c>
    </row>
    <row r="172" spans="1:17" ht="46.5" x14ac:dyDescent="0.2">
      <c r="A172" s="423" t="s">
        <v>557</v>
      </c>
      <c r="B172" s="423" t="s">
        <v>403</v>
      </c>
      <c r="C172" s="423" t="s">
        <v>404</v>
      </c>
      <c r="D172" s="423" t="s">
        <v>99</v>
      </c>
      <c r="E172" s="231">
        <f t="shared" si="108"/>
        <v>1173300</v>
      </c>
      <c r="F172" s="46">
        <f>((1018300)+100000)+55000</f>
        <v>1173300</v>
      </c>
      <c r="G172" s="177"/>
      <c r="H172" s="177"/>
      <c r="I172" s="46"/>
      <c r="J172" s="427">
        <f t="shared" si="128"/>
        <v>1650000</v>
      </c>
      <c r="K172" s="46"/>
      <c r="L172" s="177"/>
      <c r="M172" s="177"/>
      <c r="N172" s="424">
        <f>O172</f>
        <v>1650000</v>
      </c>
      <c r="O172" s="372">
        <f>(((2000000)+1500000)-1700000)-150000</f>
        <v>1650000</v>
      </c>
      <c r="P172" s="427">
        <f t="shared" ref="P172" si="130">E172+J172</f>
        <v>2823300</v>
      </c>
    </row>
    <row r="173" spans="1:17" ht="91.5" x14ac:dyDescent="0.65">
      <c r="A173" s="423" t="s">
        <v>575</v>
      </c>
      <c r="B173" s="423" t="s">
        <v>373</v>
      </c>
      <c r="C173" s="423" t="s">
        <v>324</v>
      </c>
      <c r="D173" s="423" t="s">
        <v>89</v>
      </c>
      <c r="E173" s="231">
        <f t="shared" si="108"/>
        <v>0</v>
      </c>
      <c r="F173" s="46"/>
      <c r="G173" s="177"/>
      <c r="H173" s="177"/>
      <c r="I173" s="46"/>
      <c r="J173" s="427">
        <f t="shared" ref="J173:J175" si="131">K173+N173</f>
        <v>59875712</v>
      </c>
      <c r="K173" s="46"/>
      <c r="L173" s="177"/>
      <c r="M173" s="177"/>
      <c r="N173" s="424">
        <f>O173</f>
        <v>59875712</v>
      </c>
      <c r="O173" s="372">
        <f>(((7653700)+47016269-450000-2800000+(1750000))+2991971+200000-66378)+380150+3200000</f>
        <v>59875712</v>
      </c>
      <c r="P173" s="427">
        <f t="shared" ref="P173" si="132">E173+J173</f>
        <v>59875712</v>
      </c>
      <c r="Q173" s="373"/>
    </row>
    <row r="174" spans="1:17" ht="46.5" x14ac:dyDescent="0.65">
      <c r="A174" s="516" t="s">
        <v>1033</v>
      </c>
      <c r="B174" s="516" t="s">
        <v>449</v>
      </c>
      <c r="C174" s="516"/>
      <c r="D174" s="481" t="s">
        <v>447</v>
      </c>
      <c r="E174" s="511">
        <f t="shared" si="108"/>
        <v>0</v>
      </c>
      <c r="F174" s="510"/>
      <c r="G174" s="372"/>
      <c r="H174" s="372"/>
      <c r="I174" s="510"/>
      <c r="J174" s="511">
        <f t="shared" si="131"/>
        <v>1088000</v>
      </c>
      <c r="K174" s="510">
        <f>K175</f>
        <v>798000</v>
      </c>
      <c r="L174" s="372"/>
      <c r="M174" s="372"/>
      <c r="N174" s="510">
        <f>N175</f>
        <v>290000</v>
      </c>
      <c r="O174" s="372">
        <f>O175</f>
        <v>0</v>
      </c>
      <c r="P174" s="511">
        <f>+J174+E174</f>
        <v>1088000</v>
      </c>
      <c r="Q174" s="373"/>
    </row>
    <row r="175" spans="1:17" ht="409.5" x14ac:dyDescent="0.65">
      <c r="A175" s="587" t="s">
        <v>1034</v>
      </c>
      <c r="B175" s="587" t="s">
        <v>699</v>
      </c>
      <c r="C175" s="587" t="s">
        <v>324</v>
      </c>
      <c r="D175" s="482" t="s">
        <v>727</v>
      </c>
      <c r="E175" s="580">
        <f t="shared" si="108"/>
        <v>0</v>
      </c>
      <c r="F175" s="580"/>
      <c r="G175" s="580"/>
      <c r="H175" s="580"/>
      <c r="I175" s="580"/>
      <c r="J175" s="580">
        <f t="shared" si="131"/>
        <v>1088000</v>
      </c>
      <c r="K175" s="580">
        <v>798000</v>
      </c>
      <c r="L175" s="580"/>
      <c r="M175" s="580"/>
      <c r="N175" s="580">
        <v>290000</v>
      </c>
      <c r="O175" s="580"/>
      <c r="P175" s="580">
        <f>E175+J175</f>
        <v>1088000</v>
      </c>
      <c r="Q175" s="373"/>
    </row>
    <row r="176" spans="1:17" ht="137.25" x14ac:dyDescent="0.65">
      <c r="A176" s="583"/>
      <c r="B176" s="583"/>
      <c r="C176" s="583"/>
      <c r="D176" s="483" t="s">
        <v>728</v>
      </c>
      <c r="E176" s="581"/>
      <c r="F176" s="581"/>
      <c r="G176" s="581"/>
      <c r="H176" s="581"/>
      <c r="I176" s="581"/>
      <c r="J176" s="581"/>
      <c r="K176" s="581"/>
      <c r="L176" s="581"/>
      <c r="M176" s="581"/>
      <c r="N176" s="581"/>
      <c r="O176" s="581"/>
      <c r="P176" s="581"/>
      <c r="Q176" s="373"/>
    </row>
    <row r="177" spans="1:18" ht="183" x14ac:dyDescent="0.2">
      <c r="A177" s="423" t="s">
        <v>558</v>
      </c>
      <c r="B177" s="423" t="s">
        <v>559</v>
      </c>
      <c r="C177" s="423" t="s">
        <v>490</v>
      </c>
      <c r="D177" s="423" t="s">
        <v>703</v>
      </c>
      <c r="E177" s="231">
        <f t="shared" si="108"/>
        <v>252990</v>
      </c>
      <c r="F177" s="46">
        <v>252990</v>
      </c>
      <c r="G177" s="177"/>
      <c r="H177" s="177"/>
      <c r="I177" s="46"/>
      <c r="J177" s="427">
        <f t="shared" ref="J177" si="133">K177+N177</f>
        <v>0</v>
      </c>
      <c r="K177" s="46"/>
      <c r="L177" s="177"/>
      <c r="M177" s="177"/>
      <c r="N177" s="424">
        <f>O177</f>
        <v>0</v>
      </c>
      <c r="O177" s="372"/>
      <c r="P177" s="427">
        <f t="shared" ref="P177" si="134">E177+J177</f>
        <v>252990</v>
      </c>
    </row>
    <row r="178" spans="1:18" ht="91.5" x14ac:dyDescent="0.2">
      <c r="A178" s="423" t="s">
        <v>488</v>
      </c>
      <c r="B178" s="423" t="s">
        <v>489</v>
      </c>
      <c r="C178" s="423" t="s">
        <v>490</v>
      </c>
      <c r="D178" s="423" t="s">
        <v>487</v>
      </c>
      <c r="E178" s="231">
        <f t="shared" si="108"/>
        <v>1165188</v>
      </c>
      <c r="F178" s="46">
        <f>1050500+95000+19688</f>
        <v>1165188</v>
      </c>
      <c r="G178" s="177">
        <f>(839900)+3850</f>
        <v>843750</v>
      </c>
      <c r="H178" s="177">
        <v>11500</v>
      </c>
      <c r="I178" s="46"/>
      <c r="J178" s="427">
        <f t="shared" ref="J178" si="135">K178+N178</f>
        <v>7400</v>
      </c>
      <c r="K178" s="46">
        <v>7400</v>
      </c>
      <c r="L178" s="177"/>
      <c r="M178" s="177"/>
      <c r="N178" s="424">
        <f>O178</f>
        <v>0</v>
      </c>
      <c r="O178" s="372"/>
      <c r="P178" s="427">
        <f t="shared" ref="P178" si="136">E178+J178</f>
        <v>1172588</v>
      </c>
    </row>
    <row r="179" spans="1:18" ht="315" x14ac:dyDescent="0.2">
      <c r="A179" s="473" t="s">
        <v>69</v>
      </c>
      <c r="B179" s="473"/>
      <c r="C179" s="473"/>
      <c r="D179" s="473" t="s">
        <v>931</v>
      </c>
      <c r="E179" s="476">
        <f>E180</f>
        <v>2312734</v>
      </c>
      <c r="F179" s="476">
        <f t="shared" ref="F179:P179" si="137">F180</f>
        <v>2312734</v>
      </c>
      <c r="G179" s="476">
        <f t="shared" si="137"/>
        <v>1489400</v>
      </c>
      <c r="H179" s="476">
        <f t="shared" si="137"/>
        <v>100000</v>
      </c>
      <c r="I179" s="476">
        <f t="shared" si="137"/>
        <v>0</v>
      </c>
      <c r="J179" s="476">
        <f t="shared" si="137"/>
        <v>124047594</v>
      </c>
      <c r="K179" s="476">
        <f t="shared" si="137"/>
        <v>0</v>
      </c>
      <c r="L179" s="476">
        <f t="shared" si="137"/>
        <v>0</v>
      </c>
      <c r="M179" s="476">
        <f t="shared" si="137"/>
        <v>0</v>
      </c>
      <c r="N179" s="476">
        <f t="shared" si="137"/>
        <v>124047594</v>
      </c>
      <c r="O179" s="475">
        <f>O180</f>
        <v>124047594</v>
      </c>
      <c r="P179" s="476">
        <f t="shared" si="137"/>
        <v>126360328</v>
      </c>
    </row>
    <row r="180" spans="1:18" ht="270" x14ac:dyDescent="0.2">
      <c r="A180" s="480" t="s">
        <v>70</v>
      </c>
      <c r="B180" s="480"/>
      <c r="C180" s="480"/>
      <c r="D180" s="480" t="s">
        <v>930</v>
      </c>
      <c r="E180" s="475">
        <f>E182+E185+E186+E181</f>
        <v>2312734</v>
      </c>
      <c r="F180" s="476">
        <f>F182+F185+F186+F181</f>
        <v>2312734</v>
      </c>
      <c r="G180" s="475">
        <f>G182+G185+G186+G181</f>
        <v>1489400</v>
      </c>
      <c r="H180" s="475">
        <f>H182+H185+H186+H181</f>
        <v>100000</v>
      </c>
      <c r="I180" s="476">
        <f t="shared" ref="I180" si="138">I182+I185+I186</f>
        <v>0</v>
      </c>
      <c r="J180" s="475">
        <f>K180+N180</f>
        <v>124047594</v>
      </c>
      <c r="K180" s="476">
        <f>K182+K185+K186+K181</f>
        <v>0</v>
      </c>
      <c r="L180" s="475">
        <f>L182+L185+L186+L181</f>
        <v>0</v>
      </c>
      <c r="M180" s="475">
        <f>M182+M185+M186+M181</f>
        <v>0</v>
      </c>
      <c r="N180" s="476">
        <f>N182+N185+N186+N181</f>
        <v>124047594</v>
      </c>
      <c r="O180" s="475">
        <f>O182+O185+O186+O181</f>
        <v>124047594</v>
      </c>
      <c r="P180" s="475">
        <f t="shared" ref="P180" si="139">+J180+E180</f>
        <v>126360328</v>
      </c>
      <c r="Q180" s="251" t="b">
        <f>P180=P183+P184+P185+P186+P181</f>
        <v>1</v>
      </c>
      <c r="R180" s="253" t="b">
        <f>O180='dod5'!J212</f>
        <v>1</v>
      </c>
    </row>
    <row r="181" spans="1:18" ht="228.75" x14ac:dyDescent="0.2">
      <c r="A181" s="449" t="s">
        <v>1027</v>
      </c>
      <c r="B181" s="449" t="s">
        <v>433</v>
      </c>
      <c r="C181" s="449" t="s">
        <v>430</v>
      </c>
      <c r="D181" s="449" t="s">
        <v>431</v>
      </c>
      <c r="E181" s="450">
        <f t="shared" ref="E181" si="140">F181</f>
        <v>2312734</v>
      </c>
      <c r="F181" s="452">
        <f>2370334-57600</f>
        <v>2312734</v>
      </c>
      <c r="G181" s="372">
        <f>1524400-35000</f>
        <v>1489400</v>
      </c>
      <c r="H181" s="372">
        <v>100000</v>
      </c>
      <c r="I181" s="452"/>
      <c r="J181" s="450">
        <f t="shared" ref="J181" si="141">K181+N181</f>
        <v>0</v>
      </c>
      <c r="K181" s="452"/>
      <c r="L181" s="372"/>
      <c r="M181" s="372"/>
      <c r="N181" s="452">
        <f t="shared" ref="N181" si="142">O181</f>
        <v>0</v>
      </c>
      <c r="O181" s="372"/>
      <c r="P181" s="450">
        <f>E181+J181</f>
        <v>2312734</v>
      </c>
      <c r="Q181" s="251"/>
      <c r="R181" s="253"/>
    </row>
    <row r="182" spans="1:18" ht="137.25" x14ac:dyDescent="0.2">
      <c r="A182" s="423" t="s">
        <v>599</v>
      </c>
      <c r="B182" s="423" t="s">
        <v>600</v>
      </c>
      <c r="C182" s="423"/>
      <c r="D182" s="423" t="s">
        <v>598</v>
      </c>
      <c r="E182" s="231">
        <f t="shared" ref="E182:E184" si="143">F182</f>
        <v>0</v>
      </c>
      <c r="F182" s="46">
        <f>F183+F184</f>
        <v>0</v>
      </c>
      <c r="G182" s="177">
        <f>G183+G184</f>
        <v>0</v>
      </c>
      <c r="H182" s="177">
        <f>H183+H184</f>
        <v>0</v>
      </c>
      <c r="I182" s="46">
        <f>I183+I184</f>
        <v>0</v>
      </c>
      <c r="J182" s="427">
        <f t="shared" ref="J182:J186" si="144">K182+N182</f>
        <v>100442200</v>
      </c>
      <c r="K182" s="46">
        <f>K183+K184</f>
        <v>0</v>
      </c>
      <c r="L182" s="177">
        <f>L183+L184</f>
        <v>0</v>
      </c>
      <c r="M182" s="177">
        <f>M183+M184</f>
        <v>0</v>
      </c>
      <c r="N182" s="424">
        <f>N183+N184</f>
        <v>100442200</v>
      </c>
      <c r="O182" s="46">
        <f>O183+O184</f>
        <v>100442200</v>
      </c>
      <c r="P182" s="427">
        <f t="shared" ref="P182:P184" si="145">E182+J182</f>
        <v>100442200</v>
      </c>
    </row>
    <row r="183" spans="1:18" ht="91.5" x14ac:dyDescent="0.2">
      <c r="A183" s="428" t="s">
        <v>602</v>
      </c>
      <c r="B183" s="428" t="s">
        <v>603</v>
      </c>
      <c r="C183" s="428" t="s">
        <v>570</v>
      </c>
      <c r="D183" s="428" t="s">
        <v>601</v>
      </c>
      <c r="E183" s="407">
        <f t="shared" si="143"/>
        <v>0</v>
      </c>
      <c r="F183" s="407"/>
      <c r="G183" s="407"/>
      <c r="H183" s="407"/>
      <c r="I183" s="407"/>
      <c r="J183" s="407">
        <f t="shared" si="144"/>
        <v>68017200</v>
      </c>
      <c r="K183" s="407"/>
      <c r="L183" s="407"/>
      <c r="M183" s="407"/>
      <c r="N183" s="407">
        <f>O183</f>
        <v>68017200</v>
      </c>
      <c r="O183" s="372">
        <f>(((35888000)+18550000+(5000000))+5762000)+2817200</f>
        <v>68017200</v>
      </c>
      <c r="P183" s="407">
        <f t="shared" si="145"/>
        <v>68017200</v>
      </c>
    </row>
    <row r="184" spans="1:18" ht="137.25" x14ac:dyDescent="0.2">
      <c r="A184" s="428" t="s">
        <v>604</v>
      </c>
      <c r="B184" s="428" t="s">
        <v>605</v>
      </c>
      <c r="C184" s="428" t="s">
        <v>570</v>
      </c>
      <c r="D184" s="428" t="s">
        <v>606</v>
      </c>
      <c r="E184" s="407">
        <f t="shared" si="143"/>
        <v>0</v>
      </c>
      <c r="F184" s="407"/>
      <c r="G184" s="407"/>
      <c r="H184" s="407"/>
      <c r="I184" s="407"/>
      <c r="J184" s="407">
        <f t="shared" si="144"/>
        <v>32425000</v>
      </c>
      <c r="K184" s="407"/>
      <c r="L184" s="407"/>
      <c r="M184" s="407"/>
      <c r="N184" s="407">
        <f>O184</f>
        <v>32425000</v>
      </c>
      <c r="O184" s="407">
        <f>(((5000000+510000)+480000-1000000+250000+5000000-2200000+(27000000))-2015000)-600000</f>
        <v>32425000</v>
      </c>
      <c r="P184" s="407">
        <f t="shared" si="145"/>
        <v>32425000</v>
      </c>
    </row>
    <row r="185" spans="1:18" ht="183" x14ac:dyDescent="0.2">
      <c r="A185" s="423" t="s">
        <v>608</v>
      </c>
      <c r="B185" s="423" t="s">
        <v>609</v>
      </c>
      <c r="C185" s="423" t="s">
        <v>570</v>
      </c>
      <c r="D185" s="423" t="s">
        <v>607</v>
      </c>
      <c r="E185" s="427">
        <f>F185</f>
        <v>0</v>
      </c>
      <c r="F185" s="407"/>
      <c r="G185" s="372"/>
      <c r="H185" s="372"/>
      <c r="I185" s="407"/>
      <c r="J185" s="427">
        <f t="shared" si="144"/>
        <v>23605394</v>
      </c>
      <c r="K185" s="407"/>
      <c r="L185" s="372"/>
      <c r="M185" s="372"/>
      <c r="N185" s="407">
        <f t="shared" ref="N185" si="146">O185</f>
        <v>23605394</v>
      </c>
      <c r="O185" s="447">
        <f>(((14952000+360000)+15280000+1000000-250000)+5573000-509606)-12800000</f>
        <v>23605394</v>
      </c>
      <c r="P185" s="427">
        <f>E185+J185</f>
        <v>23605394</v>
      </c>
    </row>
    <row r="186" spans="1:18" ht="91.5" x14ac:dyDescent="0.2">
      <c r="A186" s="423" t="s">
        <v>610</v>
      </c>
      <c r="B186" s="423" t="s">
        <v>373</v>
      </c>
      <c r="C186" s="423" t="s">
        <v>324</v>
      </c>
      <c r="D186" s="423" t="s">
        <v>89</v>
      </c>
      <c r="E186" s="231">
        <f t="shared" ref="E186" si="147">F186</f>
        <v>0</v>
      </c>
      <c r="F186" s="46"/>
      <c r="G186" s="177"/>
      <c r="H186" s="177"/>
      <c r="I186" s="46"/>
      <c r="J186" s="427">
        <f t="shared" si="144"/>
        <v>0</v>
      </c>
      <c r="K186" s="46"/>
      <c r="L186" s="177"/>
      <c r="M186" s="177"/>
      <c r="N186" s="424">
        <f>O186</f>
        <v>0</v>
      </c>
      <c r="O186" s="372">
        <f>(180000)-180000</f>
        <v>0</v>
      </c>
      <c r="P186" s="427">
        <f t="shared" ref="P186" si="148">E186+J186</f>
        <v>0</v>
      </c>
    </row>
    <row r="187" spans="1:18" ht="270" x14ac:dyDescent="0.2">
      <c r="A187" s="473" t="s">
        <v>314</v>
      </c>
      <c r="B187" s="473"/>
      <c r="C187" s="473"/>
      <c r="D187" s="473" t="s">
        <v>71</v>
      </c>
      <c r="E187" s="476">
        <f>E188</f>
        <v>2737100</v>
      </c>
      <c r="F187" s="476">
        <f t="shared" ref="F187:P187" si="149">F188</f>
        <v>2737100</v>
      </c>
      <c r="G187" s="476">
        <f t="shared" si="149"/>
        <v>2022400</v>
      </c>
      <c r="H187" s="476">
        <f t="shared" si="149"/>
        <v>95000</v>
      </c>
      <c r="I187" s="476">
        <f t="shared" si="149"/>
        <v>0</v>
      </c>
      <c r="J187" s="476">
        <f t="shared" si="149"/>
        <v>215900</v>
      </c>
      <c r="K187" s="476">
        <f t="shared" si="149"/>
        <v>0</v>
      </c>
      <c r="L187" s="476">
        <f t="shared" si="149"/>
        <v>0</v>
      </c>
      <c r="M187" s="476">
        <f t="shared" si="149"/>
        <v>0</v>
      </c>
      <c r="N187" s="476">
        <f t="shared" si="149"/>
        <v>215900</v>
      </c>
      <c r="O187" s="475">
        <f t="shared" si="149"/>
        <v>215900</v>
      </c>
      <c r="P187" s="476">
        <f t="shared" si="149"/>
        <v>2953000</v>
      </c>
    </row>
    <row r="188" spans="1:18" ht="270" x14ac:dyDescent="0.2">
      <c r="A188" s="480" t="s">
        <v>315</v>
      </c>
      <c r="B188" s="480"/>
      <c r="C188" s="480"/>
      <c r="D188" s="480" t="s">
        <v>96</v>
      </c>
      <c r="E188" s="475">
        <f>E190+E189</f>
        <v>2737100</v>
      </c>
      <c r="F188" s="476">
        <f>E188</f>
        <v>2737100</v>
      </c>
      <c r="G188" s="475">
        <f>G190+G189</f>
        <v>2022400</v>
      </c>
      <c r="H188" s="475">
        <f>H190+H189</f>
        <v>95000</v>
      </c>
      <c r="I188" s="476">
        <f>I190</f>
        <v>0</v>
      </c>
      <c r="J188" s="475">
        <f>K188+N188</f>
        <v>215900</v>
      </c>
      <c r="K188" s="476">
        <f>K190+K189</f>
        <v>0</v>
      </c>
      <c r="L188" s="475">
        <f>L190+L189</f>
        <v>0</v>
      </c>
      <c r="M188" s="475">
        <f>M190+M189</f>
        <v>0</v>
      </c>
      <c r="N188" s="476">
        <f>N190+N189</f>
        <v>215900</v>
      </c>
      <c r="O188" s="475">
        <f>O190+O189</f>
        <v>215900</v>
      </c>
      <c r="P188" s="475">
        <f>+J188+E188</f>
        <v>2953000</v>
      </c>
      <c r="Q188" s="251" t="b">
        <f>P188=P190+P189</f>
        <v>1</v>
      </c>
      <c r="R188" s="253" t="b">
        <f>O188='dod5'!J246</f>
        <v>1</v>
      </c>
    </row>
    <row r="189" spans="1:18" ht="228.75" x14ac:dyDescent="0.2">
      <c r="A189" s="449" t="s">
        <v>1028</v>
      </c>
      <c r="B189" s="449" t="s">
        <v>433</v>
      </c>
      <c r="C189" s="449" t="s">
        <v>430</v>
      </c>
      <c r="D189" s="449" t="s">
        <v>431</v>
      </c>
      <c r="E189" s="450">
        <f t="shared" ref="E189" si="150">F189</f>
        <v>2737100</v>
      </c>
      <c r="F189" s="452">
        <f>2966300-229200</f>
        <v>2737100</v>
      </c>
      <c r="G189" s="372">
        <f>2210400-188000</f>
        <v>2022400</v>
      </c>
      <c r="H189" s="372">
        <v>95000</v>
      </c>
      <c r="I189" s="452"/>
      <c r="J189" s="450">
        <f t="shared" ref="J189" si="151">K189+N189</f>
        <v>33000</v>
      </c>
      <c r="K189" s="452"/>
      <c r="L189" s="372"/>
      <c r="M189" s="372"/>
      <c r="N189" s="452">
        <f>O189</f>
        <v>33000</v>
      </c>
      <c r="O189" s="372">
        <v>33000</v>
      </c>
      <c r="P189" s="450">
        <f>E189+J189</f>
        <v>2770100</v>
      </c>
      <c r="Q189" s="251"/>
      <c r="R189" s="253"/>
    </row>
    <row r="190" spans="1:18" ht="137.25" x14ac:dyDescent="0.2">
      <c r="A190" s="423" t="s">
        <v>580</v>
      </c>
      <c r="B190" s="423" t="s">
        <v>581</v>
      </c>
      <c r="C190" s="423" t="s">
        <v>570</v>
      </c>
      <c r="D190" s="423" t="s">
        <v>582</v>
      </c>
      <c r="E190" s="427">
        <f>F190</f>
        <v>0</v>
      </c>
      <c r="F190" s="407">
        <v>0</v>
      </c>
      <c r="G190" s="372"/>
      <c r="H190" s="372"/>
      <c r="I190" s="407"/>
      <c r="J190" s="427">
        <f>K190+N190</f>
        <v>182900</v>
      </c>
      <c r="K190" s="407"/>
      <c r="L190" s="372"/>
      <c r="M190" s="372"/>
      <c r="N190" s="407">
        <f>O190</f>
        <v>182900</v>
      </c>
      <c r="O190" s="372">
        <f>((780000)+2376000+150300)-2376000-780000+16300+16300</f>
        <v>182900</v>
      </c>
      <c r="P190" s="427">
        <f>E190+J190</f>
        <v>182900</v>
      </c>
    </row>
    <row r="191" spans="1:18" ht="135" x14ac:dyDescent="0.2">
      <c r="A191" s="473" t="s">
        <v>320</v>
      </c>
      <c r="B191" s="473"/>
      <c r="C191" s="473"/>
      <c r="D191" s="473" t="s">
        <v>763</v>
      </c>
      <c r="E191" s="476">
        <f>E192</f>
        <v>4738544.5999999996</v>
      </c>
      <c r="F191" s="476">
        <f t="shared" ref="F191:P191" si="152">F192</f>
        <v>4738544.5999999996</v>
      </c>
      <c r="G191" s="476">
        <f t="shared" si="152"/>
        <v>0</v>
      </c>
      <c r="H191" s="476">
        <f t="shared" si="152"/>
        <v>0</v>
      </c>
      <c r="I191" s="476">
        <f t="shared" si="152"/>
        <v>0</v>
      </c>
      <c r="J191" s="476">
        <f t="shared" si="152"/>
        <v>979350</v>
      </c>
      <c r="K191" s="476">
        <f t="shared" si="152"/>
        <v>70000</v>
      </c>
      <c r="L191" s="476">
        <f t="shared" si="152"/>
        <v>0</v>
      </c>
      <c r="M191" s="476">
        <f t="shared" si="152"/>
        <v>0</v>
      </c>
      <c r="N191" s="476">
        <f t="shared" si="152"/>
        <v>909350</v>
      </c>
      <c r="O191" s="475">
        <f t="shared" si="152"/>
        <v>909350</v>
      </c>
      <c r="P191" s="476">
        <f t="shared" si="152"/>
        <v>5717894.5999999996</v>
      </c>
    </row>
    <row r="192" spans="1:18" ht="135" x14ac:dyDescent="0.2">
      <c r="A192" s="480" t="s">
        <v>321</v>
      </c>
      <c r="B192" s="480"/>
      <c r="C192" s="480"/>
      <c r="D192" s="480" t="s">
        <v>764</v>
      </c>
      <c r="E192" s="475">
        <f>SUM(E193:E196)</f>
        <v>4738544.5999999996</v>
      </c>
      <c r="F192" s="476">
        <f t="shared" ref="F192:I192" si="153">SUM(F193:F196)</f>
        <v>4738544.5999999996</v>
      </c>
      <c r="G192" s="476">
        <f t="shared" si="153"/>
        <v>0</v>
      </c>
      <c r="H192" s="476">
        <f t="shared" si="153"/>
        <v>0</v>
      </c>
      <c r="I192" s="476">
        <f t="shared" si="153"/>
        <v>0</v>
      </c>
      <c r="J192" s="475">
        <f>K192+N192</f>
        <v>979350</v>
      </c>
      <c r="K192" s="476">
        <f>SUM(K193:K196)</f>
        <v>70000</v>
      </c>
      <c r="L192" s="475">
        <f t="shared" ref="L192:M192" si="154">SUM(L193:L196)</f>
        <v>0</v>
      </c>
      <c r="M192" s="475">
        <f t="shared" si="154"/>
        <v>0</v>
      </c>
      <c r="N192" s="476">
        <f>SUM(N193:N196)</f>
        <v>909350</v>
      </c>
      <c r="O192" s="475">
        <f>SUM(O193:O196)</f>
        <v>909350</v>
      </c>
      <c r="P192" s="475">
        <f>E192+J192</f>
        <v>5717894.5999999996</v>
      </c>
      <c r="Q192" s="251" t="b">
        <f>P192=P193+P194+P195+P199+P197</f>
        <v>1</v>
      </c>
      <c r="R192" s="253" t="b">
        <f>O192='dod5'!J254</f>
        <v>1</v>
      </c>
    </row>
    <row r="193" spans="1:19" ht="137.25" x14ac:dyDescent="0.2">
      <c r="A193" s="423" t="s">
        <v>754</v>
      </c>
      <c r="B193" s="423" t="s">
        <v>755</v>
      </c>
      <c r="C193" s="423" t="s">
        <v>324</v>
      </c>
      <c r="D193" s="423" t="s">
        <v>502</v>
      </c>
      <c r="E193" s="427">
        <f>F193</f>
        <v>0</v>
      </c>
      <c r="F193" s="407"/>
      <c r="G193" s="372"/>
      <c r="H193" s="372"/>
      <c r="I193" s="407"/>
      <c r="J193" s="427">
        <f>K193+N193</f>
        <v>294000</v>
      </c>
      <c r="K193" s="407"/>
      <c r="L193" s="372"/>
      <c r="M193" s="372"/>
      <c r="N193" s="407">
        <f>O193</f>
        <v>294000</v>
      </c>
      <c r="O193" s="372">
        <f>((1000000+200000)-700000)-206000</f>
        <v>294000</v>
      </c>
      <c r="P193" s="427">
        <f>E193+J193</f>
        <v>294000</v>
      </c>
    </row>
    <row r="194" spans="1:19" ht="91.5" x14ac:dyDescent="0.2">
      <c r="A194" s="423" t="s">
        <v>500</v>
      </c>
      <c r="B194" s="423" t="s">
        <v>501</v>
      </c>
      <c r="C194" s="423" t="s">
        <v>499</v>
      </c>
      <c r="D194" s="423" t="s">
        <v>498</v>
      </c>
      <c r="E194" s="427">
        <f t="shared" ref="E194:E199" si="155">F194</f>
        <v>2099743</v>
      </c>
      <c r="F194" s="407">
        <f>(1500000)+700000-100257</f>
        <v>2099743</v>
      </c>
      <c r="G194" s="372"/>
      <c r="H194" s="372"/>
      <c r="I194" s="407"/>
      <c r="J194" s="427">
        <f t="shared" ref="J194:J199" si="156">K194+N194</f>
        <v>0</v>
      </c>
      <c r="K194" s="407"/>
      <c r="L194" s="372"/>
      <c r="M194" s="372"/>
      <c r="N194" s="407">
        <f t="shared" ref="N194:N199" si="157">O194</f>
        <v>0</v>
      </c>
      <c r="O194" s="372"/>
      <c r="P194" s="427">
        <f t="shared" ref="P194:P199" si="158">E194+J194</f>
        <v>2099743</v>
      </c>
    </row>
    <row r="195" spans="1:19" ht="137.25" x14ac:dyDescent="0.2">
      <c r="A195" s="423" t="s">
        <v>491</v>
      </c>
      <c r="B195" s="423" t="s">
        <v>493</v>
      </c>
      <c r="C195" s="423" t="s">
        <v>404</v>
      </c>
      <c r="D195" s="423" t="s">
        <v>492</v>
      </c>
      <c r="E195" s="427">
        <f t="shared" si="155"/>
        <v>455000</v>
      </c>
      <c r="F195" s="407">
        <f>(475000)-20000</f>
        <v>455000</v>
      </c>
      <c r="G195" s="372"/>
      <c r="H195" s="372"/>
      <c r="I195" s="407"/>
      <c r="J195" s="427">
        <f t="shared" si="156"/>
        <v>20000</v>
      </c>
      <c r="K195" s="407"/>
      <c r="L195" s="372"/>
      <c r="M195" s="372"/>
      <c r="N195" s="407">
        <f t="shared" si="157"/>
        <v>20000</v>
      </c>
      <c r="O195" s="372">
        <v>20000</v>
      </c>
      <c r="P195" s="427">
        <f t="shared" si="158"/>
        <v>475000</v>
      </c>
    </row>
    <row r="196" spans="1:19" ht="46.5" x14ac:dyDescent="0.2">
      <c r="A196" s="423" t="s">
        <v>495</v>
      </c>
      <c r="B196" s="423" t="s">
        <v>449</v>
      </c>
      <c r="C196" s="423" t="s">
        <v>324</v>
      </c>
      <c r="D196" s="423" t="s">
        <v>447</v>
      </c>
      <c r="E196" s="427">
        <f t="shared" si="155"/>
        <v>2183801.6</v>
      </c>
      <c r="F196" s="407">
        <f>SUM(F199:F199)+F197</f>
        <v>2183801.6</v>
      </c>
      <c r="G196" s="372"/>
      <c r="H196" s="372"/>
      <c r="I196" s="407"/>
      <c r="J196" s="427">
        <f t="shared" si="156"/>
        <v>665350</v>
      </c>
      <c r="K196" s="407">
        <f>K197+K199</f>
        <v>70000</v>
      </c>
      <c r="L196" s="372"/>
      <c r="M196" s="372"/>
      <c r="N196" s="407">
        <f>N197+N199</f>
        <v>595350</v>
      </c>
      <c r="O196" s="372">
        <f>O197+O199</f>
        <v>595350</v>
      </c>
      <c r="P196" s="427">
        <f t="shared" si="158"/>
        <v>2849151.6</v>
      </c>
    </row>
    <row r="197" spans="1:19" ht="409.5" x14ac:dyDescent="0.2">
      <c r="A197" s="587" t="s">
        <v>1037</v>
      </c>
      <c r="B197" s="587" t="s">
        <v>699</v>
      </c>
      <c r="C197" s="587" t="s">
        <v>324</v>
      </c>
      <c r="D197" s="482" t="s">
        <v>727</v>
      </c>
      <c r="E197" s="580">
        <f t="shared" si="155"/>
        <v>0</v>
      </c>
      <c r="F197" s="580"/>
      <c r="G197" s="580"/>
      <c r="H197" s="580"/>
      <c r="I197" s="580"/>
      <c r="J197" s="580">
        <f t="shared" si="156"/>
        <v>70000</v>
      </c>
      <c r="K197" s="580">
        <v>70000</v>
      </c>
      <c r="L197" s="580"/>
      <c r="M197" s="580"/>
      <c r="N197" s="580">
        <v>0</v>
      </c>
      <c r="O197" s="580"/>
      <c r="P197" s="580">
        <f>E197+J197</f>
        <v>70000</v>
      </c>
    </row>
    <row r="198" spans="1:19" ht="137.25" x14ac:dyDescent="0.2">
      <c r="A198" s="583"/>
      <c r="B198" s="583"/>
      <c r="C198" s="583"/>
      <c r="D198" s="483" t="s">
        <v>728</v>
      </c>
      <c r="E198" s="581"/>
      <c r="F198" s="581"/>
      <c r="G198" s="581"/>
      <c r="H198" s="581"/>
      <c r="I198" s="581"/>
      <c r="J198" s="581"/>
      <c r="K198" s="581"/>
      <c r="L198" s="581"/>
      <c r="M198" s="581"/>
      <c r="N198" s="581"/>
      <c r="O198" s="581"/>
      <c r="P198" s="581"/>
    </row>
    <row r="199" spans="1:19" ht="91.5" x14ac:dyDescent="0.2">
      <c r="A199" s="428" t="s">
        <v>496</v>
      </c>
      <c r="B199" s="428" t="s">
        <v>497</v>
      </c>
      <c r="C199" s="428" t="s">
        <v>324</v>
      </c>
      <c r="D199" s="428" t="s">
        <v>494</v>
      </c>
      <c r="E199" s="407">
        <f t="shared" si="155"/>
        <v>2183801.6</v>
      </c>
      <c r="F199" s="407">
        <f>((4195800-1965302-34698)+100000)-111998.4</f>
        <v>2183801.6</v>
      </c>
      <c r="G199" s="407"/>
      <c r="H199" s="407"/>
      <c r="I199" s="407"/>
      <c r="J199" s="407">
        <f t="shared" si="156"/>
        <v>595350</v>
      </c>
      <c r="K199" s="407"/>
      <c r="L199" s="407"/>
      <c r="M199" s="407"/>
      <c r="N199" s="407">
        <f t="shared" si="157"/>
        <v>595350</v>
      </c>
      <c r="O199" s="407">
        <f>((0)+400000)+195350</f>
        <v>595350</v>
      </c>
      <c r="P199" s="407">
        <f t="shared" si="158"/>
        <v>2779151.6</v>
      </c>
    </row>
    <row r="200" spans="1:19" ht="180" x14ac:dyDescent="0.2">
      <c r="A200" s="473" t="s">
        <v>318</v>
      </c>
      <c r="B200" s="473"/>
      <c r="C200" s="473"/>
      <c r="D200" s="473" t="s">
        <v>72</v>
      </c>
      <c r="E200" s="476">
        <f>E201</f>
        <v>3621500</v>
      </c>
      <c r="F200" s="476">
        <f t="shared" ref="F200:P200" si="159">F201</f>
        <v>3621500</v>
      </c>
      <c r="G200" s="476">
        <f t="shared" si="159"/>
        <v>2740000</v>
      </c>
      <c r="H200" s="476">
        <f t="shared" si="159"/>
        <v>117900</v>
      </c>
      <c r="I200" s="476">
        <f t="shared" si="159"/>
        <v>0</v>
      </c>
      <c r="J200" s="476">
        <f t="shared" si="159"/>
        <v>1337148.6600000001</v>
      </c>
      <c r="K200" s="476">
        <f t="shared" si="159"/>
        <v>0</v>
      </c>
      <c r="L200" s="476">
        <f t="shared" si="159"/>
        <v>0</v>
      </c>
      <c r="M200" s="476">
        <f t="shared" si="159"/>
        <v>0</v>
      </c>
      <c r="N200" s="476">
        <f t="shared" si="159"/>
        <v>1337148.6600000001</v>
      </c>
      <c r="O200" s="475">
        <f t="shared" si="159"/>
        <v>66000</v>
      </c>
      <c r="P200" s="476">
        <f t="shared" si="159"/>
        <v>4958648.66</v>
      </c>
    </row>
    <row r="201" spans="1:19" ht="180" x14ac:dyDescent="0.2">
      <c r="A201" s="480" t="s">
        <v>319</v>
      </c>
      <c r="B201" s="480"/>
      <c r="C201" s="480"/>
      <c r="D201" s="480" t="s">
        <v>97</v>
      </c>
      <c r="E201" s="475">
        <f>E202+E203+E206+E207</f>
        <v>3621500</v>
      </c>
      <c r="F201" s="475">
        <f t="shared" ref="F201:H201" si="160">F202+F203+F206+F207</f>
        <v>3621500</v>
      </c>
      <c r="G201" s="475">
        <f t="shared" si="160"/>
        <v>2740000</v>
      </c>
      <c r="H201" s="475">
        <f t="shared" si="160"/>
        <v>117900</v>
      </c>
      <c r="I201" s="476">
        <f>I206+I207+I203</f>
        <v>0</v>
      </c>
      <c r="J201" s="475">
        <f>K201+N201</f>
        <v>1337148.6600000001</v>
      </c>
      <c r="K201" s="476">
        <f>K206+K207+K203+K202</f>
        <v>0</v>
      </c>
      <c r="L201" s="475">
        <f>L206+L207+L203+L202</f>
        <v>0</v>
      </c>
      <c r="M201" s="475">
        <f>M206+M207+M203+M202</f>
        <v>0</v>
      </c>
      <c r="N201" s="476">
        <f>N206+N207+N203+N202</f>
        <v>1337148.6600000001</v>
      </c>
      <c r="O201" s="475">
        <f>O206+O207+O203+O202</f>
        <v>66000</v>
      </c>
      <c r="P201" s="475">
        <f>E201+J201</f>
        <v>4958648.66</v>
      </c>
      <c r="Q201" s="251" t="b">
        <f>P201=P204+P205+P206+P207+P202</f>
        <v>1</v>
      </c>
      <c r="R201" s="253" t="b">
        <f>P201='dod7'!F18+P202</f>
        <v>1</v>
      </c>
      <c r="S201" s="253" t="b">
        <f>O201='dod5'!J260</f>
        <v>1</v>
      </c>
    </row>
    <row r="202" spans="1:19" ht="228.75" x14ac:dyDescent="0.2">
      <c r="A202" s="449" t="s">
        <v>1029</v>
      </c>
      <c r="B202" s="449" t="s">
        <v>433</v>
      </c>
      <c r="C202" s="449" t="s">
        <v>430</v>
      </c>
      <c r="D202" s="449" t="s">
        <v>431</v>
      </c>
      <c r="E202" s="450">
        <f t="shared" ref="E202" si="161">F202</f>
        <v>3621500</v>
      </c>
      <c r="F202" s="452">
        <f>3614900+6600</f>
        <v>3621500</v>
      </c>
      <c r="G202" s="372">
        <f>2710000+30000</f>
        <v>2740000</v>
      </c>
      <c r="H202" s="372">
        <v>117900</v>
      </c>
      <c r="I202" s="452"/>
      <c r="J202" s="450">
        <f t="shared" ref="J202" si="162">K202+N202</f>
        <v>66000</v>
      </c>
      <c r="K202" s="452"/>
      <c r="L202" s="372"/>
      <c r="M202" s="372"/>
      <c r="N202" s="452">
        <f>O202</f>
        <v>66000</v>
      </c>
      <c r="O202" s="372">
        <v>66000</v>
      </c>
      <c r="P202" s="450">
        <f>E202+J202</f>
        <v>3687500</v>
      </c>
      <c r="Q202" s="251"/>
      <c r="R202" s="253"/>
    </row>
    <row r="203" spans="1:19" ht="137.25" x14ac:dyDescent="0.2">
      <c r="A203" s="423" t="s">
        <v>583</v>
      </c>
      <c r="B203" s="423" t="s">
        <v>584</v>
      </c>
      <c r="C203" s="423"/>
      <c r="D203" s="423" t="s">
        <v>585</v>
      </c>
      <c r="E203" s="231">
        <f t="shared" ref="E203:E204" si="163">F203</f>
        <v>0</v>
      </c>
      <c r="F203" s="46">
        <f>F204+F205</f>
        <v>0</v>
      </c>
      <c r="G203" s="177">
        <f>G204+G205</f>
        <v>0</v>
      </c>
      <c r="H203" s="177">
        <f>H204+H205</f>
        <v>0</v>
      </c>
      <c r="I203" s="46">
        <f>I204+I205</f>
        <v>0</v>
      </c>
      <c r="J203" s="427">
        <f t="shared" ref="J203:J204" si="164">K203+N203</f>
        <v>937148.66</v>
      </c>
      <c r="K203" s="46">
        <f>K204+K205</f>
        <v>0</v>
      </c>
      <c r="L203" s="177">
        <f>L204+L205</f>
        <v>0</v>
      </c>
      <c r="M203" s="177">
        <f>M204+M205</f>
        <v>0</v>
      </c>
      <c r="N203" s="424">
        <f>N204+N205</f>
        <v>937148.66</v>
      </c>
      <c r="O203" s="46">
        <f>O204+O205</f>
        <v>0</v>
      </c>
      <c r="P203" s="427">
        <f t="shared" ref="P203" si="165">E203+J203</f>
        <v>937148.66</v>
      </c>
    </row>
    <row r="204" spans="1:19" ht="137.25" x14ac:dyDescent="0.2">
      <c r="A204" s="428" t="s">
        <v>586</v>
      </c>
      <c r="B204" s="428" t="s">
        <v>587</v>
      </c>
      <c r="C204" s="428" t="s">
        <v>119</v>
      </c>
      <c r="D204" s="428" t="s">
        <v>120</v>
      </c>
      <c r="E204" s="407">
        <f t="shared" si="163"/>
        <v>0</v>
      </c>
      <c r="F204" s="407"/>
      <c r="G204" s="407"/>
      <c r="H204" s="407"/>
      <c r="I204" s="407"/>
      <c r="J204" s="407">
        <f t="shared" si="164"/>
        <v>629148.66</v>
      </c>
      <c r="K204" s="407"/>
      <c r="L204" s="407"/>
      <c r="M204" s="407"/>
      <c r="N204" s="407">
        <f>(O204+276000)+68148.66+285000</f>
        <v>629148.66</v>
      </c>
      <c r="O204" s="372"/>
      <c r="P204" s="407">
        <f t="shared" ref="P204:P205" si="166">E204+J204</f>
        <v>629148.66</v>
      </c>
    </row>
    <row r="205" spans="1:19" ht="46.5" x14ac:dyDescent="0.2">
      <c r="A205" s="428" t="s">
        <v>588</v>
      </c>
      <c r="B205" s="428" t="s">
        <v>589</v>
      </c>
      <c r="C205" s="428" t="s">
        <v>121</v>
      </c>
      <c r="D205" s="428" t="s">
        <v>590</v>
      </c>
      <c r="E205" s="407">
        <f t="shared" ref="E205" si="167">F205</f>
        <v>0</v>
      </c>
      <c r="F205" s="407"/>
      <c r="G205" s="407"/>
      <c r="H205" s="407"/>
      <c r="I205" s="407"/>
      <c r="J205" s="407">
        <f t="shared" ref="J205" si="168">K205+N205</f>
        <v>308000</v>
      </c>
      <c r="K205" s="407"/>
      <c r="L205" s="407"/>
      <c r="M205" s="407"/>
      <c r="N205" s="407">
        <f>(O205+70000)+238000</f>
        <v>308000</v>
      </c>
      <c r="O205" s="407"/>
      <c r="P205" s="407">
        <f t="shared" si="166"/>
        <v>308000</v>
      </c>
    </row>
    <row r="206" spans="1:19" ht="91.5" x14ac:dyDescent="0.2">
      <c r="A206" s="423" t="s">
        <v>591</v>
      </c>
      <c r="B206" s="423" t="s">
        <v>592</v>
      </c>
      <c r="C206" s="423" t="s">
        <v>123</v>
      </c>
      <c r="D206" s="423" t="s">
        <v>130</v>
      </c>
      <c r="E206" s="427">
        <v>0</v>
      </c>
      <c r="F206" s="407"/>
      <c r="G206" s="372"/>
      <c r="H206" s="372"/>
      <c r="I206" s="407"/>
      <c r="J206" s="427">
        <f>K206+N206</f>
        <v>125000</v>
      </c>
      <c r="K206" s="407"/>
      <c r="L206" s="372"/>
      <c r="M206" s="372"/>
      <c r="N206" s="424">
        <f>(O206+40000)+85000</f>
        <v>125000</v>
      </c>
      <c r="O206" s="372"/>
      <c r="P206" s="427">
        <f>E206+J206</f>
        <v>125000</v>
      </c>
    </row>
    <row r="207" spans="1:19" ht="137.25" x14ac:dyDescent="0.2">
      <c r="A207" s="423" t="s">
        <v>593</v>
      </c>
      <c r="B207" s="423" t="s">
        <v>594</v>
      </c>
      <c r="C207" s="423" t="s">
        <v>122</v>
      </c>
      <c r="D207" s="423" t="s">
        <v>595</v>
      </c>
      <c r="E207" s="427">
        <v>0</v>
      </c>
      <c r="F207" s="407"/>
      <c r="G207" s="372"/>
      <c r="H207" s="372"/>
      <c r="I207" s="407"/>
      <c r="J207" s="427">
        <f>K207+N207</f>
        <v>209000</v>
      </c>
      <c r="K207" s="407"/>
      <c r="L207" s="372"/>
      <c r="M207" s="372"/>
      <c r="N207" s="424">
        <f>(O207+179000)+30000</f>
        <v>209000</v>
      </c>
      <c r="O207" s="372"/>
      <c r="P207" s="427">
        <f>E207+J207</f>
        <v>209000</v>
      </c>
    </row>
    <row r="208" spans="1:19" ht="315" x14ac:dyDescent="0.2">
      <c r="A208" s="473" t="s">
        <v>316</v>
      </c>
      <c r="B208" s="473"/>
      <c r="C208" s="473"/>
      <c r="D208" s="473" t="s">
        <v>765</v>
      </c>
      <c r="E208" s="476">
        <f>E209</f>
        <v>2725580</v>
      </c>
      <c r="F208" s="476">
        <f t="shared" ref="F208:P208" si="169">F209</f>
        <v>2725580</v>
      </c>
      <c r="G208" s="476">
        <f t="shared" si="169"/>
        <v>2049100</v>
      </c>
      <c r="H208" s="476">
        <f t="shared" si="169"/>
        <v>60000</v>
      </c>
      <c r="I208" s="476">
        <f t="shared" si="169"/>
        <v>0</v>
      </c>
      <c r="J208" s="476">
        <f t="shared" si="169"/>
        <v>338000</v>
      </c>
      <c r="K208" s="476">
        <f t="shared" si="169"/>
        <v>0</v>
      </c>
      <c r="L208" s="476">
        <f t="shared" si="169"/>
        <v>0</v>
      </c>
      <c r="M208" s="476">
        <f t="shared" si="169"/>
        <v>0</v>
      </c>
      <c r="N208" s="476">
        <f t="shared" si="169"/>
        <v>338000</v>
      </c>
      <c r="O208" s="475">
        <f t="shared" si="169"/>
        <v>338000</v>
      </c>
      <c r="P208" s="476">
        <f t="shared" si="169"/>
        <v>3063580</v>
      </c>
    </row>
    <row r="209" spans="1:20" ht="315" x14ac:dyDescent="0.2">
      <c r="A209" s="480" t="s">
        <v>317</v>
      </c>
      <c r="B209" s="480"/>
      <c r="C209" s="480"/>
      <c r="D209" s="480" t="s">
        <v>766</v>
      </c>
      <c r="E209" s="475">
        <f>E211+E212+E210</f>
        <v>2725580</v>
      </c>
      <c r="F209" s="476">
        <f>F211+F212+F210</f>
        <v>2725580</v>
      </c>
      <c r="G209" s="475">
        <f>G211+G212+G210</f>
        <v>2049100</v>
      </c>
      <c r="H209" s="475">
        <f>H211+H212+H210</f>
        <v>60000</v>
      </c>
      <c r="I209" s="476">
        <f>I211+I212</f>
        <v>0</v>
      </c>
      <c r="J209" s="475">
        <f>K209+N209</f>
        <v>338000</v>
      </c>
      <c r="K209" s="476">
        <f>K211+K212+K210</f>
        <v>0</v>
      </c>
      <c r="L209" s="475">
        <f>L211+L212+L210</f>
        <v>0</v>
      </c>
      <c r="M209" s="475">
        <f>M211+M212+M210</f>
        <v>0</v>
      </c>
      <c r="N209" s="476">
        <f>N210+N211+N212</f>
        <v>338000</v>
      </c>
      <c r="O209" s="475">
        <f>O211+O212+O210</f>
        <v>338000</v>
      </c>
      <c r="P209" s="475">
        <f>+J209+E209</f>
        <v>3063580</v>
      </c>
      <c r="Q209" s="251" t="b">
        <f>P209=P211+P212+P210</f>
        <v>1</v>
      </c>
      <c r="R209" s="253" t="b">
        <f>P209='dod5'!J263+E210</f>
        <v>1</v>
      </c>
    </row>
    <row r="210" spans="1:20" ht="228.75" x14ac:dyDescent="0.2">
      <c r="A210" s="449" t="s">
        <v>1031</v>
      </c>
      <c r="B210" s="449" t="s">
        <v>433</v>
      </c>
      <c r="C210" s="449" t="s">
        <v>430</v>
      </c>
      <c r="D210" s="449" t="s">
        <v>431</v>
      </c>
      <c r="E210" s="450">
        <f t="shared" ref="E210" si="170">F210</f>
        <v>2725580</v>
      </c>
      <c r="F210" s="452">
        <f>2786580-61000</f>
        <v>2725580</v>
      </c>
      <c r="G210" s="372">
        <f>2091100-42000</f>
        <v>2049100</v>
      </c>
      <c r="H210" s="372">
        <v>60000</v>
      </c>
      <c r="I210" s="452"/>
      <c r="J210" s="450">
        <f t="shared" ref="J210" si="171">K210+N210</f>
        <v>38000</v>
      </c>
      <c r="K210" s="452"/>
      <c r="L210" s="372"/>
      <c r="M210" s="372"/>
      <c r="N210" s="452">
        <f>O210</f>
        <v>38000</v>
      </c>
      <c r="O210" s="372">
        <f>40000-2000</f>
        <v>38000</v>
      </c>
      <c r="P210" s="450">
        <f>E210+J210</f>
        <v>2763580</v>
      </c>
      <c r="Q210" s="251"/>
      <c r="R210" s="253"/>
    </row>
    <row r="211" spans="1:20" ht="91.5" x14ac:dyDescent="0.2">
      <c r="A211" s="423" t="s">
        <v>577</v>
      </c>
      <c r="B211" s="423" t="s">
        <v>578</v>
      </c>
      <c r="C211" s="423" t="s">
        <v>579</v>
      </c>
      <c r="D211" s="423" t="s">
        <v>576</v>
      </c>
      <c r="E211" s="427">
        <f>F211</f>
        <v>0</v>
      </c>
      <c r="F211" s="407">
        <v>0</v>
      </c>
      <c r="G211" s="372"/>
      <c r="H211" s="372"/>
      <c r="I211" s="407"/>
      <c r="J211" s="427">
        <f>K211+N211</f>
        <v>248000</v>
      </c>
      <c r="K211" s="407"/>
      <c r="L211" s="372"/>
      <c r="M211" s="372"/>
      <c r="N211" s="407">
        <f>O211</f>
        <v>248000</v>
      </c>
      <c r="O211" s="372">
        <f>((300000)-52000+1405000)-1405000</f>
        <v>248000</v>
      </c>
      <c r="P211" s="427">
        <f>E211+J211</f>
        <v>248000</v>
      </c>
    </row>
    <row r="212" spans="1:20" ht="137.25" x14ac:dyDescent="0.2">
      <c r="A212" s="423" t="s">
        <v>838</v>
      </c>
      <c r="B212" s="423" t="s">
        <v>839</v>
      </c>
      <c r="C212" s="423" t="s">
        <v>324</v>
      </c>
      <c r="D212" s="423" t="s">
        <v>840</v>
      </c>
      <c r="E212" s="427">
        <f>F212</f>
        <v>0</v>
      </c>
      <c r="F212" s="407">
        <v>0</v>
      </c>
      <c r="G212" s="372"/>
      <c r="H212" s="372"/>
      <c r="I212" s="407"/>
      <c r="J212" s="427">
        <f>K212+N212</f>
        <v>52000</v>
      </c>
      <c r="K212" s="407"/>
      <c r="L212" s="372"/>
      <c r="M212" s="372"/>
      <c r="N212" s="407">
        <f>O212</f>
        <v>52000</v>
      </c>
      <c r="O212" s="372">
        <v>52000</v>
      </c>
      <c r="P212" s="427">
        <f>E212+J212</f>
        <v>52000</v>
      </c>
    </row>
    <row r="213" spans="1:20" ht="135" x14ac:dyDescent="0.2">
      <c r="A213" s="473" t="s">
        <v>322</v>
      </c>
      <c r="B213" s="473"/>
      <c r="C213" s="473"/>
      <c r="D213" s="473" t="s">
        <v>74</v>
      </c>
      <c r="E213" s="476">
        <f>E214</f>
        <v>35148314.260000005</v>
      </c>
      <c r="F213" s="476">
        <f t="shared" ref="F213:P213" si="172">F214</f>
        <v>35148314.260000005</v>
      </c>
      <c r="G213" s="476">
        <f t="shared" si="172"/>
        <v>3944900</v>
      </c>
      <c r="H213" s="476">
        <f t="shared" si="172"/>
        <v>105400</v>
      </c>
      <c r="I213" s="476">
        <f t="shared" si="172"/>
        <v>0</v>
      </c>
      <c r="J213" s="476">
        <f t="shared" si="172"/>
        <v>81000</v>
      </c>
      <c r="K213" s="476">
        <f t="shared" si="172"/>
        <v>0</v>
      </c>
      <c r="L213" s="476">
        <f t="shared" si="172"/>
        <v>0</v>
      </c>
      <c r="M213" s="476">
        <f t="shared" si="172"/>
        <v>0</v>
      </c>
      <c r="N213" s="476">
        <f t="shared" si="172"/>
        <v>81000</v>
      </c>
      <c r="O213" s="475">
        <f t="shared" si="172"/>
        <v>81000</v>
      </c>
      <c r="P213" s="476">
        <f t="shared" si="172"/>
        <v>35229314.260000005</v>
      </c>
    </row>
    <row r="214" spans="1:20" ht="135" x14ac:dyDescent="0.2">
      <c r="A214" s="480" t="s">
        <v>323</v>
      </c>
      <c r="B214" s="480"/>
      <c r="C214" s="480"/>
      <c r="D214" s="480" t="s">
        <v>98</v>
      </c>
      <c r="E214" s="475">
        <f>E217+E216+E218+E215</f>
        <v>35148314.260000005</v>
      </c>
      <c r="F214" s="476">
        <f>F217+F216+F218+F215</f>
        <v>35148314.260000005</v>
      </c>
      <c r="G214" s="475">
        <f>SUM(G215:G218)</f>
        <v>3944900</v>
      </c>
      <c r="H214" s="475">
        <f>SUM(H215:H218)</f>
        <v>105400</v>
      </c>
      <c r="I214" s="476">
        <v>0</v>
      </c>
      <c r="J214" s="475">
        <f>K214+N214</f>
        <v>81000</v>
      </c>
      <c r="K214" s="476">
        <f>K215+K216+K217+K218</f>
        <v>0</v>
      </c>
      <c r="L214" s="475">
        <f t="shared" ref="L214:O214" si="173">L215+L216+L217+L218</f>
        <v>0</v>
      </c>
      <c r="M214" s="475">
        <f t="shared" si="173"/>
        <v>0</v>
      </c>
      <c r="N214" s="476">
        <f t="shared" si="173"/>
        <v>81000</v>
      </c>
      <c r="O214" s="475">
        <f t="shared" si="173"/>
        <v>81000</v>
      </c>
      <c r="P214" s="475">
        <f>E214+J214</f>
        <v>35229314.260000005</v>
      </c>
      <c r="Q214" s="251" t="b">
        <f>P214=P216+P217+P218+P215</f>
        <v>1</v>
      </c>
      <c r="R214" s="253" t="b">
        <f>O214='dod5'!J272</f>
        <v>1</v>
      </c>
    </row>
    <row r="215" spans="1:20" ht="228.75" x14ac:dyDescent="0.2">
      <c r="A215" s="449" t="s">
        <v>1032</v>
      </c>
      <c r="B215" s="449" t="s">
        <v>433</v>
      </c>
      <c r="C215" s="449" t="s">
        <v>430</v>
      </c>
      <c r="D215" s="449" t="s">
        <v>431</v>
      </c>
      <c r="E215" s="450">
        <f t="shared" ref="E215" si="174">F215</f>
        <v>5108900</v>
      </c>
      <c r="F215" s="452">
        <f>5136900-28000</f>
        <v>5108900</v>
      </c>
      <c r="G215" s="372">
        <f>3922900+22000</f>
        <v>3944900</v>
      </c>
      <c r="H215" s="372">
        <f>150000-26000-18600</f>
        <v>105400</v>
      </c>
      <c r="I215" s="452"/>
      <c r="J215" s="450">
        <f t="shared" ref="J215" si="175">K215+N215</f>
        <v>81000</v>
      </c>
      <c r="K215" s="452"/>
      <c r="L215" s="372"/>
      <c r="M215" s="372"/>
      <c r="N215" s="452">
        <f>O215</f>
        <v>81000</v>
      </c>
      <c r="O215" s="372">
        <f>79000+2000</f>
        <v>81000</v>
      </c>
      <c r="P215" s="450">
        <f>E215+J215</f>
        <v>5189900</v>
      </c>
      <c r="Q215" s="251"/>
      <c r="R215" s="253"/>
    </row>
    <row r="216" spans="1:20" ht="91.5" x14ac:dyDescent="0.65">
      <c r="A216" s="448">
        <v>3718600</v>
      </c>
      <c r="B216" s="448">
        <v>8600</v>
      </c>
      <c r="C216" s="423" t="s">
        <v>780</v>
      </c>
      <c r="D216" s="448" t="s">
        <v>781</v>
      </c>
      <c r="E216" s="427">
        <f>F216</f>
        <v>281515.26</v>
      </c>
      <c r="F216" s="407">
        <v>281515.26</v>
      </c>
      <c r="G216" s="372"/>
      <c r="H216" s="372"/>
      <c r="I216" s="407"/>
      <c r="J216" s="427">
        <f t="shared" ref="J216" si="176">K216+N216</f>
        <v>0</v>
      </c>
      <c r="K216" s="407"/>
      <c r="L216" s="372"/>
      <c r="M216" s="372"/>
      <c r="N216" s="407"/>
      <c r="O216" s="372"/>
      <c r="P216" s="427">
        <f>E216+J216</f>
        <v>281515.26</v>
      </c>
      <c r="Q216" s="373"/>
      <c r="R216" s="373"/>
    </row>
    <row r="217" spans="1:20" ht="69" customHeight="1" x14ac:dyDescent="0.65">
      <c r="A217" s="448">
        <v>3718700</v>
      </c>
      <c r="B217" s="448">
        <v>8700</v>
      </c>
      <c r="C217" s="423" t="s">
        <v>102</v>
      </c>
      <c r="D217" s="441" t="s">
        <v>100</v>
      </c>
      <c r="E217" s="427">
        <f>F217</f>
        <v>1650999</v>
      </c>
      <c r="F217" s="407">
        <f>(3000000+1200000+1500000-700000-1969600-1109401)-50000-120000-100000</f>
        <v>1650999</v>
      </c>
      <c r="G217" s="372"/>
      <c r="H217" s="372"/>
      <c r="I217" s="407"/>
      <c r="J217" s="427">
        <f>K217+N217</f>
        <v>0</v>
      </c>
      <c r="K217" s="407"/>
      <c r="L217" s="372"/>
      <c r="M217" s="372"/>
      <c r="N217" s="407"/>
      <c r="O217" s="372"/>
      <c r="P217" s="427">
        <f>E217+J217</f>
        <v>1650999</v>
      </c>
      <c r="Q217" s="373"/>
      <c r="R217" s="373"/>
    </row>
    <row r="218" spans="1:20" ht="65.25" customHeight="1" x14ac:dyDescent="0.65">
      <c r="A218" s="448">
        <v>3719110</v>
      </c>
      <c r="B218" s="448">
        <v>9110</v>
      </c>
      <c r="C218" s="423" t="s">
        <v>103</v>
      </c>
      <c r="D218" s="441" t="s">
        <v>101</v>
      </c>
      <c r="E218" s="427">
        <f>F218</f>
        <v>28106900</v>
      </c>
      <c r="F218" s="407">
        <v>28106900</v>
      </c>
      <c r="G218" s="372"/>
      <c r="H218" s="372"/>
      <c r="I218" s="407"/>
      <c r="J218" s="427">
        <f>K218+N218</f>
        <v>0</v>
      </c>
      <c r="K218" s="407"/>
      <c r="L218" s="372"/>
      <c r="M218" s="372"/>
      <c r="N218" s="407"/>
      <c r="O218" s="372"/>
      <c r="P218" s="427">
        <f>E218+J218</f>
        <v>28106900</v>
      </c>
      <c r="Q218" s="373"/>
      <c r="R218" s="373"/>
    </row>
    <row r="219" spans="1:20" s="5" customFormat="1" ht="81.75" customHeight="1" x14ac:dyDescent="0.65">
      <c r="A219" s="603" t="s">
        <v>8</v>
      </c>
      <c r="B219" s="603"/>
      <c r="C219" s="603"/>
      <c r="D219" s="603"/>
      <c r="E219" s="232">
        <f>E13+E31+E129+E44+E60+E117+E154+E180+E188+E214+E192+E201+E209</f>
        <v>2725352311.1300001</v>
      </c>
      <c r="F219" s="233">
        <f>F13+F31+F129+F44+F59+F117+F154+F180+F188+F214+F192+F201+F209</f>
        <v>2725352311.1300001</v>
      </c>
      <c r="G219" s="232">
        <f t="shared" ref="G219:O219" si="177">G13+G31+G129+G44+G60+G117+G154+G180+G188+G214+G192+G201+G209</f>
        <v>748576925</v>
      </c>
      <c r="H219" s="232">
        <f t="shared" si="177"/>
        <v>96893030</v>
      </c>
      <c r="I219" s="233">
        <f t="shared" si="177"/>
        <v>0</v>
      </c>
      <c r="J219" s="232">
        <f t="shared" si="177"/>
        <v>594084025.44999993</v>
      </c>
      <c r="K219" s="233">
        <f t="shared" si="177"/>
        <v>116516535.04000001</v>
      </c>
      <c r="L219" s="232">
        <f t="shared" si="177"/>
        <v>27971604</v>
      </c>
      <c r="M219" s="232">
        <f t="shared" si="177"/>
        <v>7881826</v>
      </c>
      <c r="N219" s="233">
        <f t="shared" si="177"/>
        <v>477567490.41000003</v>
      </c>
      <c r="O219" s="232">
        <f t="shared" si="177"/>
        <v>473469666.07999998</v>
      </c>
      <c r="P219" s="232">
        <f>P13+P31+P129+P44+P59+P117+P154+P180+P188+P214+P192+P201+P209</f>
        <v>3319436336.5799994</v>
      </c>
      <c r="Q219" s="465" t="b">
        <f>O219='dod5'!J274</f>
        <v>1</v>
      </c>
      <c r="R219" s="466"/>
      <c r="T219" s="402"/>
    </row>
    <row r="220" spans="1:20" ht="46.5" x14ac:dyDescent="0.65">
      <c r="A220" s="606" t="s">
        <v>574</v>
      </c>
      <c r="B220" s="607"/>
      <c r="C220" s="607"/>
      <c r="D220" s="607"/>
      <c r="E220" s="607"/>
      <c r="F220" s="607"/>
      <c r="G220" s="607"/>
      <c r="H220" s="607"/>
      <c r="I220" s="607"/>
      <c r="J220" s="607"/>
      <c r="K220" s="607"/>
      <c r="L220" s="607"/>
      <c r="M220" s="607"/>
      <c r="N220" s="607"/>
      <c r="O220" s="607"/>
      <c r="P220" s="607"/>
      <c r="Q220" s="467"/>
      <c r="R220" s="373"/>
    </row>
    <row r="221" spans="1:20" ht="45.75" hidden="1" x14ac:dyDescent="0.2">
      <c r="A221" s="192"/>
      <c r="B221" s="193"/>
      <c r="C221" s="193"/>
      <c r="D221" s="193"/>
      <c r="E221" s="475">
        <f>(2720711199.13+1409900+3535512)-1866000+5000+1556700</f>
        <v>2725352311.1300001</v>
      </c>
      <c r="F221" s="475">
        <f>(2720711199.13+1409900+3535512)-1866000+5000+1556700</f>
        <v>2725352311.1300001</v>
      </c>
      <c r="G221" s="475">
        <f>(749295648+1155700-1521400+78277-100000)-1888000+1556700</f>
        <v>748576925</v>
      </c>
      <c r="H221" s="475">
        <f>(98160730-12000-1113500-102600)-39600</f>
        <v>96893030</v>
      </c>
      <c r="I221" s="194"/>
      <c r="J221" s="475">
        <f>(589858537.45-3535512)+7761000</f>
        <v>594084025.45000005</v>
      </c>
      <c r="K221" s="475">
        <v>116516535.04000001</v>
      </c>
      <c r="L221" s="475">
        <v>27971604</v>
      </c>
      <c r="M221" s="475">
        <f>7866826+15000</f>
        <v>7881826</v>
      </c>
      <c r="N221" s="475">
        <f>(473342002.41-3535512)+7761000</f>
        <v>477567490.41000003</v>
      </c>
      <c r="O221" s="475">
        <f>(469244178.08-3535512)+7761000</f>
        <v>473469666.07999998</v>
      </c>
      <c r="P221" s="475">
        <f>3310569736.58+1409900+5900000+1556700</f>
        <v>3319436336.5799999</v>
      </c>
      <c r="Q221" s="23">
        <f>E221+J221</f>
        <v>3319436336.5799999</v>
      </c>
    </row>
    <row r="222" spans="1:20" ht="45.75" x14ac:dyDescent="0.65">
      <c r="A222" s="14"/>
      <c r="B222" s="14"/>
      <c r="C222" s="14"/>
      <c r="D222" s="602" t="s">
        <v>1044</v>
      </c>
      <c r="E222" s="602"/>
      <c r="F222" s="602"/>
      <c r="G222" s="602"/>
      <c r="H222" s="602"/>
      <c r="I222" s="602"/>
      <c r="J222" s="602"/>
      <c r="K222" s="602"/>
      <c r="L222" s="602"/>
      <c r="M222" s="602"/>
      <c r="N222" s="602"/>
      <c r="O222" s="602"/>
      <c r="P222" s="602"/>
      <c r="Q222" s="24"/>
    </row>
    <row r="223" spans="1:20" ht="45.75" x14ac:dyDescent="0.2">
      <c r="E223" s="55"/>
      <c r="F223" s="11"/>
      <c r="J223" s="9"/>
      <c r="N223" s="50"/>
      <c r="O223" s="54"/>
      <c r="P223" s="47"/>
    </row>
    <row r="224" spans="1:20" ht="45.75" x14ac:dyDescent="0.65">
      <c r="D224" s="602" t="s">
        <v>290</v>
      </c>
      <c r="E224" s="602"/>
      <c r="F224" s="602"/>
      <c r="G224" s="602"/>
      <c r="H224" s="602"/>
      <c r="I224" s="602"/>
      <c r="J224" s="602"/>
      <c r="K224" s="602"/>
      <c r="L224" s="602"/>
      <c r="M224" s="602"/>
      <c r="N224" s="602"/>
      <c r="O224" s="602"/>
      <c r="P224" s="602"/>
      <c r="Q224" s="25"/>
    </row>
    <row r="225" spans="1:18" x14ac:dyDescent="0.2">
      <c r="E225" s="7"/>
      <c r="F225" s="11"/>
      <c r="J225" s="7"/>
      <c r="O225" s="6"/>
    </row>
    <row r="226" spans="1:18" x14ac:dyDescent="0.2">
      <c r="E226" s="7"/>
      <c r="F226" s="11"/>
      <c r="J226" s="7"/>
    </row>
    <row r="227" spans="1:18" ht="44.25" x14ac:dyDescent="0.55000000000000004">
      <c r="E227" s="47" t="b">
        <f>E221=E219</f>
        <v>1</v>
      </c>
      <c r="F227" s="47" t="b">
        <f t="shared" ref="F227:O227" si="178">F221=F219</f>
        <v>1</v>
      </c>
      <c r="G227" s="47" t="b">
        <f t="shared" si="178"/>
        <v>1</v>
      </c>
      <c r="H227" s="47" t="b">
        <f t="shared" si="178"/>
        <v>1</v>
      </c>
      <c r="I227" s="47" t="b">
        <f t="shared" si="178"/>
        <v>1</v>
      </c>
      <c r="J227" s="47" t="b">
        <f t="shared" si="178"/>
        <v>1</v>
      </c>
      <c r="K227" s="47" t="b">
        <f t="shared" si="178"/>
        <v>1</v>
      </c>
      <c r="L227" s="47" t="b">
        <f t="shared" si="178"/>
        <v>1</v>
      </c>
      <c r="M227" s="47" t="b">
        <f t="shared" si="178"/>
        <v>1</v>
      </c>
      <c r="N227" s="47" t="b">
        <f t="shared" si="178"/>
        <v>1</v>
      </c>
      <c r="O227" s="47" t="b">
        <f t="shared" si="178"/>
        <v>1</v>
      </c>
      <c r="P227" s="180" t="b">
        <f>E219+J219=P219</f>
        <v>1</v>
      </c>
    </row>
    <row r="228" spans="1:18" ht="13.5" x14ac:dyDescent="0.2">
      <c r="E228" s="10"/>
      <c r="F228" s="13"/>
      <c r="G228" s="4"/>
      <c r="H228" s="4"/>
      <c r="I228" s="4"/>
      <c r="J228" s="7"/>
    </row>
    <row r="229" spans="1:18" ht="59.25" x14ac:dyDescent="0.75">
      <c r="A229"/>
      <c r="B229"/>
      <c r="C229"/>
      <c r="D229" s="249" t="s">
        <v>941</v>
      </c>
      <c r="E229" s="250" t="b">
        <f>E219=F219</f>
        <v>1</v>
      </c>
      <c r="F229" s="50">
        <f>F217/P219*100</f>
        <v>4.9737329853447858E-2</v>
      </c>
      <c r="G229" s="209" t="s">
        <v>650</v>
      </c>
      <c r="I229" s="249"/>
      <c r="J229" s="250"/>
      <c r="K229" s="196"/>
      <c r="L229" s="271"/>
      <c r="M229"/>
      <c r="N229" s="196"/>
      <c r="O229"/>
      <c r="P229"/>
    </row>
    <row r="230" spans="1:18" ht="60.75" x14ac:dyDescent="0.2">
      <c r="D230" s="249" t="s">
        <v>942</v>
      </c>
      <c r="E230" s="250" t="b">
        <f>G219=839900+735946698</f>
        <v>0</v>
      </c>
      <c r="G230" s="53"/>
      <c r="I230" s="249" t="s">
        <v>942</v>
      </c>
      <c r="J230" s="250" t="b">
        <f>L219=0+27261672</f>
        <v>0</v>
      </c>
      <c r="O230" s="209"/>
      <c r="P230" s="190"/>
      <c r="Q230" s="191"/>
      <c r="R230" s="190"/>
    </row>
    <row r="231" spans="1:18" ht="60.75" x14ac:dyDescent="0.2">
      <c r="A231"/>
      <c r="B231"/>
      <c r="C231"/>
      <c r="D231" s="249" t="s">
        <v>943</v>
      </c>
      <c r="E231" s="250" t="b">
        <f>H219=97533765+11500</f>
        <v>0</v>
      </c>
      <c r="F231" s="50"/>
      <c r="G231" s="6"/>
      <c r="I231" s="249" t="s">
        <v>943</v>
      </c>
      <c r="J231" s="250" t="b">
        <f>M219=0+7617512</f>
        <v>0</v>
      </c>
      <c r="K231" s="196"/>
      <c r="L231"/>
      <c r="M231"/>
      <c r="N231" s="196"/>
      <c r="O231" s="190"/>
      <c r="P231" s="190"/>
      <c r="Q231" s="191"/>
      <c r="R231" s="190"/>
    </row>
    <row r="232" spans="1:18" ht="60.75" x14ac:dyDescent="0.2">
      <c r="D232" s="249"/>
      <c r="E232" s="250"/>
      <c r="F232" s="52"/>
      <c r="O232" s="209"/>
      <c r="P232" s="190"/>
    </row>
    <row r="233" spans="1:18" ht="60.75" x14ac:dyDescent="0.75">
      <c r="A233"/>
      <c r="B233"/>
      <c r="C233"/>
      <c r="D233" s="249"/>
      <c r="E233" s="250"/>
      <c r="F233" s="50"/>
      <c r="G233" s="6"/>
      <c r="J233" s="7"/>
      <c r="K233" s="196"/>
      <c r="L233"/>
      <c r="M233"/>
      <c r="N233" s="196"/>
      <c r="O233" s="271"/>
      <c r="P233" s="190"/>
    </row>
    <row r="234" spans="1:18" ht="62.25" x14ac:dyDescent="0.8">
      <c r="A234"/>
      <c r="B234"/>
      <c r="C234"/>
      <c r="D234"/>
      <c r="E234" s="49"/>
      <c r="F234" s="50"/>
      <c r="J234" s="7"/>
      <c r="K234" s="196"/>
      <c r="L234"/>
      <c r="M234"/>
      <c r="N234" s="196"/>
      <c r="O234"/>
      <c r="P234" s="270"/>
    </row>
    <row r="235" spans="1:18" ht="45.75" x14ac:dyDescent="0.2">
      <c r="E235" s="51"/>
      <c r="F235" s="52"/>
    </row>
    <row r="236" spans="1:18" ht="45.75" x14ac:dyDescent="0.2">
      <c r="A236"/>
      <c r="B236"/>
      <c r="C236"/>
      <c r="D236"/>
      <c r="E236" s="49"/>
      <c r="F236" s="50"/>
      <c r="K236" s="196"/>
      <c r="L236"/>
      <c r="M236"/>
      <c r="N236" s="196"/>
      <c r="O236"/>
      <c r="P236"/>
    </row>
    <row r="237" spans="1:18" ht="45.75" x14ac:dyDescent="0.2">
      <c r="E237" s="51"/>
      <c r="F237" s="52"/>
    </row>
    <row r="238" spans="1:18" ht="45.75" x14ac:dyDescent="0.2">
      <c r="E238" s="51"/>
      <c r="F238" s="52"/>
    </row>
    <row r="239" spans="1:18" ht="45.75" x14ac:dyDescent="0.2">
      <c r="E239" s="51"/>
      <c r="F239" s="52"/>
    </row>
    <row r="240" spans="1:18" ht="45.75" x14ac:dyDescent="0.2">
      <c r="A240"/>
      <c r="B240"/>
      <c r="C240"/>
      <c r="D240"/>
      <c r="E240" s="51"/>
      <c r="F240" s="52"/>
      <c r="G240"/>
      <c r="H240"/>
      <c r="I240" s="196"/>
      <c r="J240"/>
      <c r="K240" s="196"/>
      <c r="L240"/>
      <c r="M240"/>
      <c r="N240" s="196"/>
      <c r="O240"/>
      <c r="P240"/>
    </row>
    <row r="241" spans="1:16" ht="45.75" x14ac:dyDescent="0.2">
      <c r="A241"/>
      <c r="B241"/>
      <c r="C241"/>
      <c r="D241"/>
      <c r="E241" s="51"/>
      <c r="F241" s="52"/>
      <c r="G241"/>
      <c r="H241"/>
      <c r="I241" s="196"/>
      <c r="J241"/>
      <c r="K241" s="196"/>
      <c r="L241"/>
      <c r="M241"/>
      <c r="N241" s="196"/>
      <c r="O241"/>
      <c r="P241"/>
    </row>
    <row r="242" spans="1:16" ht="45.75" x14ac:dyDescent="0.2">
      <c r="A242"/>
      <c r="B242"/>
      <c r="C242"/>
      <c r="D242"/>
      <c r="E242" s="51"/>
      <c r="F242" s="52"/>
      <c r="G242"/>
      <c r="H242"/>
      <c r="I242" s="196"/>
      <c r="J242"/>
      <c r="K242" s="196"/>
      <c r="L242"/>
      <c r="M242"/>
      <c r="N242" s="196"/>
      <c r="O242"/>
      <c r="P242"/>
    </row>
    <row r="243" spans="1:16" ht="45.75" x14ac:dyDescent="0.2">
      <c r="A243"/>
      <c r="B243"/>
      <c r="C243"/>
      <c r="D243"/>
      <c r="E243" s="51"/>
      <c r="F243" s="52"/>
      <c r="G243"/>
      <c r="H243"/>
      <c r="I243" s="196"/>
      <c r="J243"/>
      <c r="K243" s="196"/>
      <c r="L243"/>
      <c r="M243"/>
      <c r="N243" s="196"/>
      <c r="O243"/>
      <c r="P243"/>
    </row>
  </sheetData>
  <mergeCells count="129">
    <mergeCell ref="A197:A198"/>
    <mergeCell ref="B197:B198"/>
    <mergeCell ref="C197:C198"/>
    <mergeCell ref="E197:E198"/>
    <mergeCell ref="F197:F198"/>
    <mergeCell ref="L197:L198"/>
    <mergeCell ref="M197:M198"/>
    <mergeCell ref="N197:N198"/>
    <mergeCell ref="O197:O198"/>
    <mergeCell ref="P197:P198"/>
    <mergeCell ref="G197:G198"/>
    <mergeCell ref="H197:H198"/>
    <mergeCell ref="I197:I198"/>
    <mergeCell ref="J197:J198"/>
    <mergeCell ref="K197:K198"/>
    <mergeCell ref="P114:P115"/>
    <mergeCell ref="G114:G115"/>
    <mergeCell ref="H114:H115"/>
    <mergeCell ref="I114:I115"/>
    <mergeCell ref="J114:J115"/>
    <mergeCell ref="K114:K115"/>
    <mergeCell ref="P175:P176"/>
    <mergeCell ref="G175:G176"/>
    <mergeCell ref="H175:H176"/>
    <mergeCell ref="I175:I176"/>
    <mergeCell ref="J175:J176"/>
    <mergeCell ref="K175:K176"/>
    <mergeCell ref="A114:A115"/>
    <mergeCell ref="B114:B115"/>
    <mergeCell ref="C114:C115"/>
    <mergeCell ref="E114:E115"/>
    <mergeCell ref="F114:F115"/>
    <mergeCell ref="L114:L115"/>
    <mergeCell ref="M114:M115"/>
    <mergeCell ref="N114:N115"/>
    <mergeCell ref="O114:O115"/>
    <mergeCell ref="A175:A176"/>
    <mergeCell ref="B175:B176"/>
    <mergeCell ref="C175:C176"/>
    <mergeCell ref="E175:E176"/>
    <mergeCell ref="F175:F176"/>
    <mergeCell ref="L175:L176"/>
    <mergeCell ref="M175:M176"/>
    <mergeCell ref="N175:N176"/>
    <mergeCell ref="O175:O176"/>
    <mergeCell ref="D224:P224"/>
    <mergeCell ref="P83:P84"/>
    <mergeCell ref="F83:F84"/>
    <mergeCell ref="G83:G84"/>
    <mergeCell ref="H83:H84"/>
    <mergeCell ref="I83:I84"/>
    <mergeCell ref="K83:K84"/>
    <mergeCell ref="L83:L84"/>
    <mergeCell ref="M83:M84"/>
    <mergeCell ref="O83:O84"/>
    <mergeCell ref="D222:P222"/>
    <mergeCell ref="A219:D219"/>
    <mergeCell ref="O103:O105"/>
    <mergeCell ref="A106:A107"/>
    <mergeCell ref="B106:B107"/>
    <mergeCell ref="C106:C107"/>
    <mergeCell ref="A83:A84"/>
    <mergeCell ref="B83:B84"/>
    <mergeCell ref="C83:C84"/>
    <mergeCell ref="E83:E84"/>
    <mergeCell ref="J83:J84"/>
    <mergeCell ref="A220:P220"/>
    <mergeCell ref="H103:H105"/>
    <mergeCell ref="I103:I105"/>
    <mergeCell ref="H24:H25"/>
    <mergeCell ref="I24:I25"/>
    <mergeCell ref="K24:K25"/>
    <mergeCell ref="L24:L25"/>
    <mergeCell ref="M24:M25"/>
    <mergeCell ref="J24:J25"/>
    <mergeCell ref="N1:P1"/>
    <mergeCell ref="N2:P2"/>
    <mergeCell ref="N3:P3"/>
    <mergeCell ref="P8:P10"/>
    <mergeCell ref="A5:P5"/>
    <mergeCell ref="E9:E10"/>
    <mergeCell ref="I9:I10"/>
    <mergeCell ref="A8:A10"/>
    <mergeCell ref="J8:N8"/>
    <mergeCell ref="A6:P6"/>
    <mergeCell ref="N9:N10"/>
    <mergeCell ref="L9:M9"/>
    <mergeCell ref="B8:B10"/>
    <mergeCell ref="C8:C10"/>
    <mergeCell ref="F9:F10"/>
    <mergeCell ref="D8:D10"/>
    <mergeCell ref="E8:I8"/>
    <mergeCell ref="G9:H9"/>
    <mergeCell ref="O24:O25"/>
    <mergeCell ref="P24:P25"/>
    <mergeCell ref="A24:A25"/>
    <mergeCell ref="B24:B25"/>
    <mergeCell ref="C24:C25"/>
    <mergeCell ref="E24:E25"/>
    <mergeCell ref="F24:F25"/>
    <mergeCell ref="G24:G25"/>
    <mergeCell ref="P106:P107"/>
    <mergeCell ref="M106:M107"/>
    <mergeCell ref="O106:O107"/>
    <mergeCell ref="N106:N107"/>
    <mergeCell ref="A103:A105"/>
    <mergeCell ref="B103:B105"/>
    <mergeCell ref="C103:C105"/>
    <mergeCell ref="E103:E105"/>
    <mergeCell ref="F103:F105"/>
    <mergeCell ref="E106:E107"/>
    <mergeCell ref="F106:F107"/>
    <mergeCell ref="G106:G107"/>
    <mergeCell ref="H106:H107"/>
    <mergeCell ref="I106:I107"/>
    <mergeCell ref="P103:P105"/>
    <mergeCell ref="G103:G105"/>
    <mergeCell ref="J9:J10"/>
    <mergeCell ref="K9:K10"/>
    <mergeCell ref="N24:N25"/>
    <mergeCell ref="N83:N84"/>
    <mergeCell ref="L103:L105"/>
    <mergeCell ref="M103:M105"/>
    <mergeCell ref="N103:N105"/>
    <mergeCell ref="K106:K107"/>
    <mergeCell ref="L106:L107"/>
    <mergeCell ref="J106:J107"/>
    <mergeCell ref="J103:J105"/>
    <mergeCell ref="K103:K105"/>
  </mergeCells>
  <phoneticPr fontId="0" type="noConversion"/>
  <conditionalFormatting sqref="Q188:R189">
    <cfRule type="iconSet" priority="8">
      <iconSet iconSet="3Arrows">
        <cfvo type="percent" val="0"/>
        <cfvo type="percent" val="33"/>
        <cfvo type="percent" val="67"/>
      </iconSet>
    </cfRule>
  </conditionalFormatting>
  <conditionalFormatting sqref="Q192:R192">
    <cfRule type="iconSet" priority="7">
      <iconSet iconSet="3Arrows">
        <cfvo type="percent" val="0"/>
        <cfvo type="percent" val="33"/>
        <cfvo type="percent" val="67"/>
      </iconSet>
    </cfRule>
  </conditionalFormatting>
  <conditionalFormatting sqref="Q201:R202">
    <cfRule type="iconSet" priority="6">
      <iconSet iconSet="3Arrows">
        <cfvo type="percent" val="0"/>
        <cfvo type="percent" val="33"/>
        <cfvo type="percent" val="67"/>
      </iconSet>
    </cfRule>
  </conditionalFormatting>
  <conditionalFormatting sqref="Q215:R215 Q214">
    <cfRule type="iconSet" priority="4">
      <iconSet iconSet="3Arrows">
        <cfvo type="percent" val="0"/>
        <cfvo type="percent" val="33"/>
        <cfvo type="percent" val="67"/>
      </iconSet>
    </cfRule>
  </conditionalFormatting>
  <conditionalFormatting sqref="Q209:R210">
    <cfRule type="iconSet" priority="3">
      <iconSet iconSet="3Arrows">
        <cfvo type="percent" val="0"/>
        <cfvo type="percent" val="33"/>
        <cfvo type="percent" val="67"/>
      </iconSet>
    </cfRule>
  </conditionalFormatting>
  <conditionalFormatting sqref="S201">
    <cfRule type="iconSet" priority="2">
      <iconSet iconSet="3Arrows">
        <cfvo type="percent" val="0"/>
        <cfvo type="percent" val="33"/>
        <cfvo type="percent" val="67"/>
      </iconSet>
    </cfRule>
  </conditionalFormatting>
  <conditionalFormatting sqref="R214">
    <cfRule type="iconSet" priority="1">
      <iconSet iconSet="3Arrows">
        <cfvo type="percent" val="0"/>
        <cfvo type="percent" val="33"/>
        <cfvo type="percent" val="67"/>
      </iconSet>
    </cfRule>
  </conditionalFormatting>
  <pageMargins left="0.23622047244094491" right="0.27559055118110237" top="0.27559055118110237" bottom="0.15748031496062992" header="0.23622047244094491" footer="0.27559055118110237"/>
  <pageSetup paperSize="9" scale="16" fitToHeight="2" orientation="landscape" r:id="rId1"/>
  <headerFooter alignWithMargins="0">
    <oddFooter>&amp;C&amp;"Times New Roman Cyr,курсив"Сторінка &amp;P з &amp;N</oddFooter>
  </headerFooter>
  <rowBreaks count="7" manualBreakCount="7">
    <brk id="28" max="15" man="1"/>
    <brk id="51" max="15" man="1"/>
    <brk id="69" max="15" man="1"/>
    <brk id="88" max="15" man="1"/>
    <brk id="103" max="15" man="1"/>
    <brk id="123" max="15" man="1"/>
    <brk id="147"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U20"/>
  <sheetViews>
    <sheetView showGridLines="0" showZeros="0" view="pageBreakPreview" topLeftCell="B1" zoomScale="85" zoomScaleNormal="85" zoomScaleSheetLayoutView="85" workbookViewId="0">
      <selection activeCell="D15" sqref="D15:P15"/>
    </sheetView>
  </sheetViews>
  <sheetFormatPr defaultColWidth="7.85546875" defaultRowHeight="12.75" x14ac:dyDescent="0.2"/>
  <cols>
    <col min="1" max="1" width="0" style="28" hidden="1" customWidth="1"/>
    <col min="2" max="3" width="10.28515625" style="137" customWidth="1"/>
    <col min="4" max="4" width="10.140625" style="137" customWidth="1"/>
    <col min="5" max="5" width="35.140625" style="137" customWidth="1"/>
    <col min="6" max="6" width="10.5703125" style="137" customWidth="1"/>
    <col min="7" max="7" width="15.140625" style="137" customWidth="1"/>
    <col min="8" max="8" width="10.85546875" style="137" customWidth="1"/>
    <col min="9" max="9" width="12.5703125" style="137" customWidth="1"/>
    <col min="10" max="10" width="12.140625" style="137" customWidth="1"/>
    <col min="11" max="11" width="12.85546875" style="137" customWidth="1"/>
    <col min="12" max="12" width="11.140625" style="137" customWidth="1"/>
    <col min="13" max="13" width="13" style="137" customWidth="1"/>
    <col min="14" max="14" width="11.42578125" style="137" customWidth="1"/>
    <col min="15" max="15" width="12.7109375" style="137" customWidth="1"/>
    <col min="16" max="16" width="11.28515625" style="137" customWidth="1"/>
    <col min="17" max="17" width="12.7109375" style="137" customWidth="1"/>
    <col min="18" max="16384" width="7.85546875" style="137"/>
  </cols>
  <sheetData>
    <row r="2" spans="1:21" ht="64.5" customHeight="1" x14ac:dyDescent="0.2">
      <c r="B2" s="28"/>
      <c r="C2" s="28"/>
      <c r="D2" s="28"/>
      <c r="E2" s="136"/>
      <c r="F2" s="136"/>
      <c r="G2" s="136"/>
      <c r="H2" s="136"/>
      <c r="I2" s="136"/>
      <c r="J2" s="136"/>
      <c r="K2" s="136"/>
      <c r="L2" s="136"/>
      <c r="M2" s="617" t="s">
        <v>913</v>
      </c>
      <c r="N2" s="617"/>
      <c r="O2" s="617"/>
      <c r="P2" s="617"/>
      <c r="Q2" s="617"/>
    </row>
    <row r="3" spans="1:21" ht="32.450000000000003" customHeight="1" x14ac:dyDescent="0.2">
      <c r="B3" s="28"/>
      <c r="C3" s="28"/>
      <c r="D3" s="28"/>
      <c r="E3" s="618" t="s">
        <v>640</v>
      </c>
      <c r="F3" s="618"/>
      <c r="G3" s="618"/>
      <c r="H3" s="618"/>
      <c r="I3" s="618"/>
      <c r="J3" s="618"/>
      <c r="K3" s="618"/>
      <c r="L3" s="618"/>
      <c r="M3" s="618"/>
      <c r="N3" s="139"/>
      <c r="O3" s="139"/>
      <c r="P3" s="139"/>
      <c r="Q3" s="139"/>
    </row>
    <row r="4" spans="1:21" ht="12" customHeight="1" x14ac:dyDescent="0.3">
      <c r="B4" s="140"/>
      <c r="C4" s="140"/>
      <c r="D4" s="141"/>
      <c r="E4" s="618"/>
      <c r="F4" s="618"/>
      <c r="G4" s="618"/>
      <c r="H4" s="618"/>
      <c r="I4" s="618"/>
      <c r="J4" s="618"/>
      <c r="K4" s="618"/>
      <c r="L4" s="618"/>
      <c r="M4" s="618"/>
      <c r="N4" s="28"/>
      <c r="O4" s="28"/>
      <c r="P4" s="28"/>
      <c r="Q4" s="142"/>
      <c r="R4" s="136"/>
      <c r="S4" s="136"/>
      <c r="T4" s="136"/>
      <c r="U4" s="136"/>
    </row>
    <row r="5" spans="1:21" ht="7.5" customHeight="1" x14ac:dyDescent="0.3">
      <c r="B5" s="140"/>
      <c r="C5" s="140"/>
      <c r="D5" s="141"/>
      <c r="E5" s="138"/>
      <c r="F5" s="138"/>
      <c r="G5" s="138"/>
      <c r="H5" s="138"/>
      <c r="I5" s="138"/>
      <c r="J5" s="138"/>
      <c r="K5" s="138"/>
      <c r="L5" s="138"/>
      <c r="M5" s="138"/>
      <c r="N5" s="28"/>
      <c r="O5" s="28"/>
      <c r="P5" s="28"/>
      <c r="Q5" s="34" t="s">
        <v>134</v>
      </c>
      <c r="R5" s="136"/>
      <c r="S5" s="136"/>
      <c r="T5" s="136"/>
      <c r="U5" s="136"/>
    </row>
    <row r="6" spans="1:21" ht="30.75" customHeight="1" x14ac:dyDescent="0.2">
      <c r="A6" s="143"/>
      <c r="B6" s="608" t="s">
        <v>241</v>
      </c>
      <c r="C6" s="608" t="s">
        <v>61</v>
      </c>
      <c r="D6" s="608" t="s">
        <v>43</v>
      </c>
      <c r="E6" s="611" t="s">
        <v>56</v>
      </c>
      <c r="F6" s="614" t="s">
        <v>242</v>
      </c>
      <c r="G6" s="614"/>
      <c r="H6" s="614"/>
      <c r="I6" s="615"/>
      <c r="J6" s="619" t="s">
        <v>243</v>
      </c>
      <c r="K6" s="614"/>
      <c r="L6" s="614"/>
      <c r="M6" s="614"/>
      <c r="N6" s="620" t="s">
        <v>244</v>
      </c>
      <c r="O6" s="620"/>
      <c r="P6" s="620"/>
      <c r="Q6" s="620"/>
      <c r="R6" s="136"/>
      <c r="S6" s="136"/>
      <c r="T6" s="136"/>
      <c r="U6" s="136"/>
    </row>
    <row r="7" spans="1:21" ht="28.5" customHeight="1" x14ac:dyDescent="0.2">
      <c r="A7" s="144"/>
      <c r="B7" s="609"/>
      <c r="C7" s="609"/>
      <c r="D7" s="609"/>
      <c r="E7" s="612"/>
      <c r="F7" s="611" t="s">
        <v>36</v>
      </c>
      <c r="G7" s="611" t="s">
        <v>124</v>
      </c>
      <c r="H7" s="145" t="s">
        <v>245</v>
      </c>
      <c r="I7" s="611" t="s">
        <v>35</v>
      </c>
      <c r="J7" s="611" t="s">
        <v>36</v>
      </c>
      <c r="K7" s="611" t="s">
        <v>124</v>
      </c>
      <c r="L7" s="145" t="s">
        <v>245</v>
      </c>
      <c r="M7" s="611" t="s">
        <v>35</v>
      </c>
      <c r="N7" s="611" t="s">
        <v>36</v>
      </c>
      <c r="O7" s="611" t="s">
        <v>124</v>
      </c>
      <c r="P7" s="145" t="s">
        <v>245</v>
      </c>
      <c r="Q7" s="611" t="s">
        <v>35</v>
      </c>
      <c r="R7" s="136"/>
      <c r="S7" s="136"/>
      <c r="T7" s="136"/>
      <c r="U7" s="136"/>
    </row>
    <row r="8" spans="1:21" ht="60" customHeight="1" x14ac:dyDescent="0.2">
      <c r="A8" s="146"/>
      <c r="B8" s="610"/>
      <c r="C8" s="610"/>
      <c r="D8" s="610"/>
      <c r="E8" s="613"/>
      <c r="F8" s="613"/>
      <c r="G8" s="613"/>
      <c r="H8" s="145" t="s">
        <v>32</v>
      </c>
      <c r="I8" s="613"/>
      <c r="J8" s="613"/>
      <c r="K8" s="613"/>
      <c r="L8" s="145" t="s">
        <v>32</v>
      </c>
      <c r="M8" s="613"/>
      <c r="N8" s="613"/>
      <c r="O8" s="613"/>
      <c r="P8" s="145" t="s">
        <v>32</v>
      </c>
      <c r="Q8" s="613"/>
      <c r="R8" s="136"/>
      <c r="S8" s="136"/>
      <c r="T8" s="136"/>
      <c r="U8" s="136"/>
    </row>
    <row r="9" spans="1:21" s="151" customFormat="1" ht="42.75" x14ac:dyDescent="0.2">
      <c r="A9" s="147"/>
      <c r="B9" s="148" t="s">
        <v>65</v>
      </c>
      <c r="C9" s="148"/>
      <c r="D9" s="148"/>
      <c r="E9" s="149" t="s">
        <v>66</v>
      </c>
      <c r="F9" s="150">
        <f>F10</f>
        <v>0</v>
      </c>
      <c r="G9" s="150">
        <f>G10</f>
        <v>182000</v>
      </c>
      <c r="H9" s="150" t="s">
        <v>246</v>
      </c>
      <c r="I9" s="150">
        <f>I10</f>
        <v>182000</v>
      </c>
      <c r="J9" s="150" t="s">
        <v>246</v>
      </c>
      <c r="K9" s="150">
        <f>K10</f>
        <v>-182000</v>
      </c>
      <c r="L9" s="150" t="s">
        <v>246</v>
      </c>
      <c r="M9" s="150">
        <f>M10</f>
        <v>-182000</v>
      </c>
      <c r="N9" s="150">
        <f>F9+J9</f>
        <v>0</v>
      </c>
      <c r="O9" s="150" t="s">
        <v>246</v>
      </c>
      <c r="P9" s="150" t="s">
        <v>246</v>
      </c>
      <c r="Q9" s="150" t="s">
        <v>246</v>
      </c>
    </row>
    <row r="10" spans="1:21" ht="45" x14ac:dyDescent="0.2">
      <c r="B10" s="152" t="s">
        <v>64</v>
      </c>
      <c r="C10" s="152"/>
      <c r="D10" s="152"/>
      <c r="E10" s="153" t="s">
        <v>90</v>
      </c>
      <c r="F10" s="154">
        <f>F11</f>
        <v>0</v>
      </c>
      <c r="G10" s="154">
        <f>G11</f>
        <v>182000</v>
      </c>
      <c r="H10" s="154" t="s">
        <v>246</v>
      </c>
      <c r="I10" s="154">
        <f>I11</f>
        <v>182000</v>
      </c>
      <c r="J10" s="154" t="s">
        <v>246</v>
      </c>
      <c r="K10" s="154">
        <f>K11</f>
        <v>-182000</v>
      </c>
      <c r="L10" s="154" t="s">
        <v>246</v>
      </c>
      <c r="M10" s="154">
        <f>M11</f>
        <v>-182000</v>
      </c>
      <c r="N10" s="154">
        <f t="shared" ref="N10:N13" si="0">F10+J10</f>
        <v>0</v>
      </c>
      <c r="O10" s="154" t="s">
        <v>246</v>
      </c>
      <c r="P10" s="154" t="s">
        <v>246</v>
      </c>
      <c r="Q10" s="154" t="s">
        <v>246</v>
      </c>
    </row>
    <row r="11" spans="1:21" ht="45" x14ac:dyDescent="0.2">
      <c r="B11" s="148" t="s">
        <v>792</v>
      </c>
      <c r="C11" s="155" t="s">
        <v>793</v>
      </c>
      <c r="D11" s="155"/>
      <c r="E11" s="41" t="s">
        <v>791</v>
      </c>
      <c r="F11" s="154">
        <f>F12+F13</f>
        <v>0</v>
      </c>
      <c r="G11" s="150">
        <f>G12+G13</f>
        <v>182000</v>
      </c>
      <c r="H11" s="150" t="s">
        <v>246</v>
      </c>
      <c r="I11" s="150">
        <f>I12+I13</f>
        <v>182000</v>
      </c>
      <c r="J11" s="150" t="s">
        <v>246</v>
      </c>
      <c r="K11" s="150">
        <f>K12+K13</f>
        <v>-182000</v>
      </c>
      <c r="L11" s="150" t="s">
        <v>246</v>
      </c>
      <c r="M11" s="150">
        <f>M12+M13</f>
        <v>-182000</v>
      </c>
      <c r="N11" s="150">
        <f t="shared" si="0"/>
        <v>0</v>
      </c>
      <c r="O11" s="150" t="s">
        <v>246</v>
      </c>
      <c r="P11" s="150" t="s">
        <v>246</v>
      </c>
      <c r="Q11" s="150" t="s">
        <v>246</v>
      </c>
    </row>
    <row r="12" spans="1:21" ht="15" x14ac:dyDescent="0.2">
      <c r="B12" s="152" t="s">
        <v>794</v>
      </c>
      <c r="C12" s="156" t="s">
        <v>796</v>
      </c>
      <c r="D12" s="156" t="s">
        <v>117</v>
      </c>
      <c r="E12" s="45" t="s">
        <v>374</v>
      </c>
      <c r="F12" s="157">
        <v>0</v>
      </c>
      <c r="G12" s="157">
        <v>182000</v>
      </c>
      <c r="H12" s="157" t="s">
        <v>246</v>
      </c>
      <c r="I12" s="157">
        <f>F12+G12</f>
        <v>182000</v>
      </c>
      <c r="J12" s="157" t="s">
        <v>246</v>
      </c>
      <c r="K12" s="157" t="s">
        <v>246</v>
      </c>
      <c r="L12" s="157" t="s">
        <v>246</v>
      </c>
      <c r="M12" s="157" t="s">
        <v>246</v>
      </c>
      <c r="N12" s="157">
        <f t="shared" si="0"/>
        <v>0</v>
      </c>
      <c r="O12" s="178">
        <f>G12+K12</f>
        <v>182000</v>
      </c>
      <c r="P12" s="157" t="s">
        <v>246</v>
      </c>
      <c r="Q12" s="178">
        <f>I12+M12</f>
        <v>182000</v>
      </c>
    </row>
    <row r="13" spans="1:21" ht="15" x14ac:dyDescent="0.2">
      <c r="B13" s="152" t="s">
        <v>795</v>
      </c>
      <c r="C13" s="156" t="s">
        <v>797</v>
      </c>
      <c r="D13" s="156" t="s">
        <v>117</v>
      </c>
      <c r="E13" s="45" t="s">
        <v>375</v>
      </c>
      <c r="F13" s="157"/>
      <c r="G13" s="157"/>
      <c r="H13" s="157" t="s">
        <v>246</v>
      </c>
      <c r="I13" s="157" t="s">
        <v>246</v>
      </c>
      <c r="J13" s="157" t="s">
        <v>246</v>
      </c>
      <c r="K13" s="157">
        <v>-182000</v>
      </c>
      <c r="L13" s="157" t="s">
        <v>246</v>
      </c>
      <c r="M13" s="178">
        <f>J13+K13</f>
        <v>-182000</v>
      </c>
      <c r="N13" s="157">
        <f t="shared" si="0"/>
        <v>0</v>
      </c>
      <c r="O13" s="178">
        <f>G13+K13</f>
        <v>-182000</v>
      </c>
      <c r="P13" s="157" t="s">
        <v>246</v>
      </c>
      <c r="Q13" s="178">
        <f>I13+M13</f>
        <v>-182000</v>
      </c>
    </row>
    <row r="14" spans="1:21" ht="27.75" customHeight="1" x14ac:dyDescent="0.2">
      <c r="B14" s="234"/>
      <c r="C14" s="234"/>
      <c r="D14" s="235"/>
      <c r="E14" s="236" t="s">
        <v>60</v>
      </c>
      <c r="F14" s="237" t="str">
        <f>J14</f>
        <v>0,0</v>
      </c>
      <c r="G14" s="237">
        <f>G9</f>
        <v>182000</v>
      </c>
      <c r="H14" s="237" t="str">
        <f t="shared" ref="H14:O14" si="1">H9</f>
        <v>0,0</v>
      </c>
      <c r="I14" s="237">
        <f t="shared" si="1"/>
        <v>182000</v>
      </c>
      <c r="J14" s="237" t="str">
        <f>J9</f>
        <v>0,0</v>
      </c>
      <c r="K14" s="237">
        <f>K9</f>
        <v>-182000</v>
      </c>
      <c r="L14" s="237" t="str">
        <f>L9</f>
        <v>0,0</v>
      </c>
      <c r="M14" s="237">
        <f t="shared" si="1"/>
        <v>-182000</v>
      </c>
      <c r="N14" s="237" t="str">
        <f>L14</f>
        <v>0,0</v>
      </c>
      <c r="O14" s="237" t="str">
        <f t="shared" si="1"/>
        <v>0,0</v>
      </c>
      <c r="P14" s="237" t="str">
        <f>P9</f>
        <v>0,0</v>
      </c>
      <c r="Q14" s="237" t="str">
        <f>P14</f>
        <v>0,0</v>
      </c>
    </row>
    <row r="15" spans="1:21" ht="27.75" customHeight="1" x14ac:dyDescent="0.25">
      <c r="B15" s="384"/>
      <c r="C15" s="384"/>
      <c r="D15" s="616" t="s">
        <v>1045</v>
      </c>
      <c r="E15" s="616"/>
      <c r="F15" s="616"/>
      <c r="G15" s="616"/>
      <c r="H15" s="616"/>
      <c r="I15" s="616"/>
      <c r="J15" s="616"/>
      <c r="K15" s="616"/>
      <c r="L15" s="616"/>
      <c r="M15" s="616"/>
      <c r="N15" s="616"/>
      <c r="O15" s="616"/>
      <c r="P15" s="616"/>
      <c r="Q15" s="385"/>
    </row>
    <row r="16" spans="1:21" ht="15.75" customHeight="1" x14ac:dyDescent="0.25">
      <c r="B16" s="384"/>
      <c r="C16" s="384"/>
      <c r="D16" s="616"/>
      <c r="E16" s="616"/>
      <c r="F16" s="616"/>
      <c r="G16" s="616"/>
      <c r="H16" s="616"/>
      <c r="I16" s="616"/>
      <c r="J16" s="616"/>
      <c r="K16" s="616"/>
      <c r="L16" s="616"/>
      <c r="M16" s="616"/>
      <c r="N16" s="616"/>
      <c r="O16" s="616"/>
      <c r="P16" s="616"/>
      <c r="Q16" s="385"/>
    </row>
    <row r="17" spans="4:16" ht="15" x14ac:dyDescent="0.25">
      <c r="D17" s="616" t="s">
        <v>290</v>
      </c>
      <c r="E17" s="616"/>
      <c r="F17" s="616"/>
      <c r="G17" s="616"/>
      <c r="H17" s="616"/>
      <c r="I17" s="616"/>
      <c r="J17" s="616"/>
      <c r="K17" s="616"/>
      <c r="L17" s="616"/>
      <c r="M17" s="616"/>
      <c r="N17" s="616"/>
      <c r="O17" s="616"/>
      <c r="P17" s="616"/>
    </row>
    <row r="18" spans="4:16" ht="15" x14ac:dyDescent="0.25">
      <c r="D18" s="616"/>
      <c r="E18" s="616"/>
      <c r="F18" s="616"/>
      <c r="G18" s="616"/>
      <c r="H18" s="616"/>
      <c r="I18" s="616"/>
      <c r="J18" s="616"/>
      <c r="K18" s="616"/>
      <c r="L18" s="616"/>
      <c r="M18" s="616"/>
      <c r="N18" s="616"/>
      <c r="O18" s="616"/>
      <c r="P18" s="616"/>
    </row>
    <row r="19" spans="4:16" ht="15" x14ac:dyDescent="0.2">
      <c r="D19" s="386"/>
      <c r="E19" s="387"/>
      <c r="F19" s="388"/>
      <c r="G19" s="386"/>
      <c r="H19" s="386"/>
      <c r="I19" s="389"/>
      <c r="J19" s="387"/>
      <c r="K19" s="389"/>
      <c r="L19" s="386"/>
      <c r="M19" s="386"/>
      <c r="N19" s="389"/>
      <c r="O19" s="391"/>
      <c r="P19" s="392"/>
    </row>
    <row r="20" spans="4:16" ht="15" x14ac:dyDescent="0.25">
      <c r="D20" s="393"/>
      <c r="E20" s="393"/>
      <c r="F20" s="393"/>
      <c r="G20" s="393"/>
      <c r="H20" s="393"/>
      <c r="I20" s="393"/>
      <c r="J20" s="393"/>
      <c r="K20" s="393"/>
      <c r="L20" s="393"/>
      <c r="M20" s="393"/>
      <c r="N20" s="393"/>
      <c r="O20" s="393"/>
      <c r="P20" s="393"/>
    </row>
  </sheetData>
  <mergeCells count="22">
    <mergeCell ref="D18:P18"/>
    <mergeCell ref="D15:P15"/>
    <mergeCell ref="D17:P17"/>
    <mergeCell ref="M2:Q2"/>
    <mergeCell ref="E3:M4"/>
    <mergeCell ref="J6:M6"/>
    <mergeCell ref="N6:Q6"/>
    <mergeCell ref="O7:O8"/>
    <mergeCell ref="Q7:Q8"/>
    <mergeCell ref="M7:M8"/>
    <mergeCell ref="N7:N8"/>
    <mergeCell ref="J7:J8"/>
    <mergeCell ref="K7:K8"/>
    <mergeCell ref="D16:P16"/>
    <mergeCell ref="B6:B8"/>
    <mergeCell ref="C6:C8"/>
    <mergeCell ref="D6:D8"/>
    <mergeCell ref="E6:E8"/>
    <mergeCell ref="F6:I6"/>
    <mergeCell ref="F7:F8"/>
    <mergeCell ref="G7:G8"/>
    <mergeCell ref="I7:I8"/>
  </mergeCells>
  <printOptions horizontalCentered="1"/>
  <pageMargins left="0.19685039370078741" right="0" top="0.59055118110236227" bottom="0.39370078740157483" header="0.31496062992125984" footer="0.31496062992125984"/>
  <pageSetup paperSize="9" scale="65" fitToHeight="0" orientation="landscape"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79"/>
  <sheetViews>
    <sheetView view="pageBreakPreview" topLeftCell="B1" zoomScale="90" zoomScaleNormal="40" zoomScaleSheetLayoutView="90" workbookViewId="0">
      <pane ySplit="5" topLeftCell="A274" activePane="bottomLeft" state="frozen"/>
      <selection activeCell="B1" sqref="B1"/>
      <selection pane="bottomLeft" activeCell="F176" sqref="F176"/>
    </sheetView>
  </sheetViews>
  <sheetFormatPr defaultColWidth="7.85546875" defaultRowHeight="12.75" x14ac:dyDescent="0.2"/>
  <cols>
    <col min="1" max="1" width="3.28515625" style="28" hidden="1" customWidth="1"/>
    <col min="2" max="2" width="13" style="224" customWidth="1"/>
    <col min="3" max="3" width="12" style="224" customWidth="1"/>
    <col min="4" max="4" width="13.7109375" style="224" customWidth="1"/>
    <col min="5" max="5" width="41.5703125" style="224" customWidth="1"/>
    <col min="6" max="6" width="38.5703125" style="224" customWidth="1"/>
    <col min="7" max="10" width="18.140625" style="224" customWidth="1"/>
    <col min="11" max="11" width="10.5703125" style="29" bestFit="1" customWidth="1"/>
    <col min="12" max="12" width="16.5703125" style="29" customWidth="1"/>
    <col min="13" max="13" width="13.7109375" style="29" customWidth="1"/>
    <col min="14" max="14" width="12.7109375" style="29" customWidth="1"/>
    <col min="15" max="16384" width="7.85546875" style="29"/>
  </cols>
  <sheetData>
    <row r="1" spans="1:16" s="27" customFormat="1" ht="22.5" customHeight="1" x14ac:dyDescent="0.25">
      <c r="A1" s="26"/>
      <c r="B1" s="621"/>
      <c r="C1" s="621"/>
      <c r="D1" s="621"/>
      <c r="E1" s="621"/>
      <c r="F1" s="621"/>
      <c r="G1" s="621"/>
      <c r="H1" s="621"/>
      <c r="I1" s="621"/>
      <c r="J1" s="621"/>
    </row>
    <row r="2" spans="1:16" ht="69.75" customHeight="1" x14ac:dyDescent="0.2">
      <c r="G2" s="617" t="s">
        <v>914</v>
      </c>
      <c r="H2" s="617"/>
      <c r="I2" s="617"/>
      <c r="J2" s="617"/>
    </row>
    <row r="3" spans="1:16" ht="45.6" customHeight="1" x14ac:dyDescent="0.2">
      <c r="B3" s="622" t="s">
        <v>642</v>
      </c>
      <c r="C3" s="623"/>
      <c r="D3" s="623"/>
      <c r="E3" s="623"/>
      <c r="F3" s="623"/>
      <c r="G3" s="623"/>
      <c r="H3" s="623"/>
      <c r="I3" s="623"/>
      <c r="J3" s="623"/>
    </row>
    <row r="4" spans="1:16" ht="18.75" x14ac:dyDescent="0.2">
      <c r="B4" s="220"/>
      <c r="C4" s="221"/>
      <c r="D4" s="221"/>
      <c r="E4" s="221"/>
      <c r="F4" s="222"/>
      <c r="G4" s="222"/>
      <c r="H4" s="223"/>
      <c r="I4" s="222"/>
      <c r="J4" s="225" t="s">
        <v>134</v>
      </c>
    </row>
    <row r="5" spans="1:16" ht="107.25" customHeight="1" x14ac:dyDescent="0.2">
      <c r="A5" s="35"/>
      <c r="B5" s="36" t="s">
        <v>41</v>
      </c>
      <c r="C5" s="36" t="s">
        <v>61</v>
      </c>
      <c r="D5" s="36" t="s">
        <v>43</v>
      </c>
      <c r="E5" s="37" t="s">
        <v>56</v>
      </c>
      <c r="F5" s="38" t="s">
        <v>131</v>
      </c>
      <c r="G5" s="38" t="s">
        <v>132</v>
      </c>
      <c r="H5" s="38" t="s">
        <v>57</v>
      </c>
      <c r="I5" s="38" t="s">
        <v>58</v>
      </c>
      <c r="J5" s="38" t="s">
        <v>59</v>
      </c>
    </row>
    <row r="6" spans="1:16" ht="30" x14ac:dyDescent="0.2">
      <c r="A6" s="35"/>
      <c r="B6" s="484" t="s">
        <v>302</v>
      </c>
      <c r="C6" s="484"/>
      <c r="D6" s="484"/>
      <c r="E6" s="485" t="s">
        <v>304</v>
      </c>
      <c r="F6" s="486"/>
      <c r="G6" s="486"/>
      <c r="H6" s="486"/>
      <c r="I6" s="486"/>
      <c r="J6" s="487">
        <f>J7</f>
        <v>15835477.25</v>
      </c>
    </row>
    <row r="7" spans="1:16" ht="42.75" x14ac:dyDescent="0.2">
      <c r="A7" s="35"/>
      <c r="B7" s="488" t="s">
        <v>303</v>
      </c>
      <c r="C7" s="488"/>
      <c r="D7" s="488"/>
      <c r="E7" s="489" t="s">
        <v>305</v>
      </c>
      <c r="F7" s="486"/>
      <c r="G7" s="486"/>
      <c r="H7" s="486"/>
      <c r="I7" s="486"/>
      <c r="J7" s="490">
        <f>SUM(J8:J19)-J11</f>
        <v>15835477.25</v>
      </c>
    </row>
    <row r="8" spans="1:16" ht="93.75" customHeight="1" x14ac:dyDescent="0.2">
      <c r="A8" s="35"/>
      <c r="B8" s="272" t="s">
        <v>428</v>
      </c>
      <c r="C8" s="272" t="s">
        <v>429</v>
      </c>
      <c r="D8" s="272" t="s">
        <v>430</v>
      </c>
      <c r="E8" s="272" t="s">
        <v>427</v>
      </c>
      <c r="F8" s="273" t="s">
        <v>133</v>
      </c>
      <c r="G8" s="274"/>
      <c r="H8" s="274"/>
      <c r="I8" s="274"/>
      <c r="J8" s="275">
        <f>((525200)+1807600-86000)-501200</f>
        <v>1745600</v>
      </c>
    </row>
    <row r="9" spans="1:16" ht="45" hidden="1" x14ac:dyDescent="0.2">
      <c r="A9" s="35"/>
      <c r="B9" s="272" t="s">
        <v>432</v>
      </c>
      <c r="C9" s="272" t="s">
        <v>433</v>
      </c>
      <c r="D9" s="272" t="s">
        <v>430</v>
      </c>
      <c r="E9" s="272" t="s">
        <v>431</v>
      </c>
      <c r="F9" s="273" t="s">
        <v>133</v>
      </c>
      <c r="G9" s="274"/>
      <c r="H9" s="274"/>
      <c r="I9" s="274"/>
      <c r="J9" s="275">
        <f>((76000+50000)+318000)+6000-450000</f>
        <v>0</v>
      </c>
    </row>
    <row r="10" spans="1:16" ht="30" x14ac:dyDescent="0.2">
      <c r="A10" s="35"/>
      <c r="B10" s="272" t="s">
        <v>940</v>
      </c>
      <c r="C10" s="272" t="s">
        <v>706</v>
      </c>
      <c r="D10" s="272"/>
      <c r="E10" s="272" t="s">
        <v>832</v>
      </c>
      <c r="F10" s="273" t="s">
        <v>133</v>
      </c>
      <c r="G10" s="274"/>
      <c r="H10" s="274"/>
      <c r="I10" s="274"/>
      <c r="J10" s="275">
        <f>J11</f>
        <v>660842</v>
      </c>
    </row>
    <row r="11" spans="1:16" ht="90" x14ac:dyDescent="0.2">
      <c r="A11" s="35"/>
      <c r="B11" s="282" t="s">
        <v>937</v>
      </c>
      <c r="C11" s="282" t="s">
        <v>938</v>
      </c>
      <c r="D11" s="282" t="s">
        <v>708</v>
      </c>
      <c r="E11" s="282" t="s">
        <v>939</v>
      </c>
      <c r="F11" s="283" t="s">
        <v>133</v>
      </c>
      <c r="G11" s="284"/>
      <c r="H11" s="284"/>
      <c r="I11" s="284"/>
      <c r="J11" s="280">
        <v>660842</v>
      </c>
    </row>
    <row r="12" spans="1:16" ht="45" hidden="1" x14ac:dyDescent="0.2">
      <c r="A12" s="35"/>
      <c r="B12" s="255" t="s">
        <v>646</v>
      </c>
      <c r="C12" s="259" t="s">
        <v>373</v>
      </c>
      <c r="D12" s="259" t="s">
        <v>324</v>
      </c>
      <c r="E12" s="255" t="s">
        <v>89</v>
      </c>
      <c r="F12" s="260" t="s">
        <v>717</v>
      </c>
      <c r="G12" s="257"/>
      <c r="H12" s="257"/>
      <c r="I12" s="257"/>
      <c r="J12" s="258">
        <f>(1300000)-1300000</f>
        <v>0</v>
      </c>
      <c r="L12" s="189"/>
      <c r="M12" s="189"/>
      <c r="N12" s="189"/>
      <c r="O12" s="189"/>
      <c r="P12" s="189"/>
    </row>
    <row r="13" spans="1:16" ht="60" hidden="1" x14ac:dyDescent="0.2">
      <c r="A13" s="35"/>
      <c r="B13" s="255" t="s">
        <v>646</v>
      </c>
      <c r="C13" s="259" t="s">
        <v>373</v>
      </c>
      <c r="D13" s="259" t="s">
        <v>324</v>
      </c>
      <c r="E13" s="255" t="s">
        <v>89</v>
      </c>
      <c r="F13" s="260" t="s">
        <v>718</v>
      </c>
      <c r="G13" s="258">
        <v>1200000</v>
      </c>
      <c r="H13" s="261">
        <f>I13/G13*100</f>
        <v>0</v>
      </c>
      <c r="I13" s="258">
        <v>0</v>
      </c>
      <c r="J13" s="258">
        <f>(1200000)-1200000</f>
        <v>0</v>
      </c>
      <c r="L13" s="189"/>
      <c r="M13" s="189"/>
      <c r="N13" s="189"/>
      <c r="O13" s="189"/>
      <c r="P13" s="189"/>
    </row>
    <row r="14" spans="1:16" ht="30" x14ac:dyDescent="0.2">
      <c r="A14" s="35"/>
      <c r="B14" s="272" t="s">
        <v>438</v>
      </c>
      <c r="C14" s="272" t="s">
        <v>439</v>
      </c>
      <c r="D14" s="272" t="s">
        <v>440</v>
      </c>
      <c r="E14" s="278" t="s">
        <v>441</v>
      </c>
      <c r="F14" s="273" t="s">
        <v>133</v>
      </c>
      <c r="G14" s="275"/>
      <c r="H14" s="279"/>
      <c r="I14" s="275"/>
      <c r="J14" s="275">
        <f>(1200000)+2800000</f>
        <v>4000000</v>
      </c>
      <c r="L14" s="189"/>
      <c r="M14" s="189"/>
      <c r="N14" s="189"/>
      <c r="O14" s="189"/>
      <c r="P14" s="189"/>
    </row>
    <row r="15" spans="1:16" ht="60" x14ac:dyDescent="0.2">
      <c r="A15" s="35"/>
      <c r="B15" s="272" t="s">
        <v>962</v>
      </c>
      <c r="C15" s="272" t="s">
        <v>799</v>
      </c>
      <c r="D15" s="272" t="s">
        <v>103</v>
      </c>
      <c r="E15" s="272" t="s">
        <v>1002</v>
      </c>
      <c r="F15" s="273" t="s">
        <v>133</v>
      </c>
      <c r="G15" s="275"/>
      <c r="H15" s="279"/>
      <c r="I15" s="275"/>
      <c r="J15" s="275">
        <v>100000</v>
      </c>
      <c r="L15" s="189"/>
      <c r="M15" s="189"/>
      <c r="N15" s="189"/>
      <c r="O15" s="189"/>
      <c r="P15" s="189"/>
    </row>
    <row r="16" spans="1:16" ht="75" hidden="1" x14ac:dyDescent="0.2">
      <c r="A16" s="35"/>
      <c r="B16" s="272" t="s">
        <v>962</v>
      </c>
      <c r="C16" s="272" t="s">
        <v>799</v>
      </c>
      <c r="D16" s="272" t="s">
        <v>103</v>
      </c>
      <c r="E16" s="272" t="s">
        <v>963</v>
      </c>
      <c r="F16" s="273" t="s">
        <v>133</v>
      </c>
      <c r="G16" s="275"/>
      <c r="H16" s="279"/>
      <c r="I16" s="275"/>
      <c r="J16" s="275">
        <f>100000-100000</f>
        <v>0</v>
      </c>
      <c r="L16" s="189"/>
      <c r="M16" s="189"/>
      <c r="N16" s="189"/>
      <c r="O16" s="189"/>
      <c r="P16" s="189"/>
    </row>
    <row r="17" spans="1:16" ht="60" x14ac:dyDescent="0.2">
      <c r="A17" s="35"/>
      <c r="B17" s="272" t="s">
        <v>821</v>
      </c>
      <c r="C17" s="272" t="s">
        <v>822</v>
      </c>
      <c r="D17" s="272" t="s">
        <v>103</v>
      </c>
      <c r="E17" s="272" t="s">
        <v>823</v>
      </c>
      <c r="F17" s="273" t="s">
        <v>133</v>
      </c>
      <c r="G17" s="275"/>
      <c r="H17" s="279"/>
      <c r="I17" s="275"/>
      <c r="J17" s="275">
        <f>(((5497336-100000)-1200000)+38000+302206.25)+3149940</f>
        <v>7687482.25</v>
      </c>
      <c r="L17" s="189"/>
      <c r="M17" s="189"/>
      <c r="N17" s="189"/>
      <c r="O17" s="189"/>
      <c r="P17" s="189"/>
    </row>
    <row r="18" spans="1:16" ht="75" x14ac:dyDescent="0.2">
      <c r="A18" s="35"/>
      <c r="B18" s="356" t="s">
        <v>821</v>
      </c>
      <c r="C18" s="356" t="s">
        <v>822</v>
      </c>
      <c r="D18" s="356" t="s">
        <v>103</v>
      </c>
      <c r="E18" s="356" t="s">
        <v>823</v>
      </c>
      <c r="F18" s="276" t="s">
        <v>998</v>
      </c>
      <c r="G18" s="357"/>
      <c r="H18" s="279"/>
      <c r="I18" s="357"/>
      <c r="J18" s="357">
        <v>441553</v>
      </c>
      <c r="L18" s="189"/>
      <c r="M18" s="189"/>
      <c r="N18" s="189"/>
      <c r="O18" s="189"/>
      <c r="P18" s="189"/>
    </row>
    <row r="19" spans="1:16" ht="60" x14ac:dyDescent="0.2">
      <c r="A19" s="35"/>
      <c r="B19" s="272" t="s">
        <v>821</v>
      </c>
      <c r="C19" s="272" t="s">
        <v>822</v>
      </c>
      <c r="D19" s="272" t="s">
        <v>103</v>
      </c>
      <c r="E19" s="272" t="s">
        <v>823</v>
      </c>
      <c r="F19" s="276" t="s">
        <v>933</v>
      </c>
      <c r="G19" s="275"/>
      <c r="H19" s="279"/>
      <c r="I19" s="275"/>
      <c r="J19" s="275">
        <v>1200000</v>
      </c>
      <c r="L19" s="189"/>
      <c r="M19" s="189"/>
      <c r="N19" s="189"/>
      <c r="O19" s="189"/>
      <c r="P19" s="189"/>
    </row>
    <row r="20" spans="1:16" ht="45" x14ac:dyDescent="0.2">
      <c r="A20" s="491"/>
      <c r="B20" s="484" t="s">
        <v>306</v>
      </c>
      <c r="C20" s="492"/>
      <c r="D20" s="492"/>
      <c r="E20" s="485" t="s">
        <v>1</v>
      </c>
      <c r="F20" s="493"/>
      <c r="G20" s="493"/>
      <c r="H20" s="493"/>
      <c r="I20" s="493"/>
      <c r="J20" s="494">
        <f>J21</f>
        <v>49833034</v>
      </c>
    </row>
    <row r="21" spans="1:16" ht="42.75" x14ac:dyDescent="0.2">
      <c r="A21" s="491"/>
      <c r="B21" s="488" t="s">
        <v>307</v>
      </c>
      <c r="C21" s="486"/>
      <c r="D21" s="495"/>
      <c r="E21" s="489" t="s">
        <v>2</v>
      </c>
      <c r="F21" s="496"/>
      <c r="G21" s="496"/>
      <c r="H21" s="496"/>
      <c r="I21" s="496"/>
      <c r="J21" s="497">
        <f>SUM(J22:J36)-J35</f>
        <v>49833034</v>
      </c>
    </row>
    <row r="22" spans="1:16" ht="15" x14ac:dyDescent="0.2">
      <c r="B22" s="272" t="s">
        <v>376</v>
      </c>
      <c r="C22" s="272" t="s">
        <v>377</v>
      </c>
      <c r="D22" s="272" t="s">
        <v>379</v>
      </c>
      <c r="E22" s="272" t="s">
        <v>380</v>
      </c>
      <c r="F22" s="273" t="s">
        <v>133</v>
      </c>
      <c r="G22" s="285"/>
      <c r="H22" s="285"/>
      <c r="I22" s="285"/>
      <c r="J22" s="275">
        <f>((2466200+2000000+60000+353242+55000+2*50000)+777000+1256600-41349+80000-100000+100000+(442000))+710000-120000</f>
        <v>8138693</v>
      </c>
    </row>
    <row r="23" spans="1:16" ht="89.25" customHeight="1" x14ac:dyDescent="0.2">
      <c r="B23" s="272" t="s">
        <v>382</v>
      </c>
      <c r="C23" s="272" t="s">
        <v>378</v>
      </c>
      <c r="D23" s="272" t="s">
        <v>383</v>
      </c>
      <c r="E23" s="272" t="s">
        <v>912</v>
      </c>
      <c r="F23" s="273" t="s">
        <v>133</v>
      </c>
      <c r="G23" s="285"/>
      <c r="H23" s="285"/>
      <c r="I23" s="285"/>
      <c r="J23" s="275">
        <f>(((1348532-150000+200000+500000+297437+100000)+4419450+583700+666579+2794000-86612+250000+1281056)+608092+600000-180000)-180000+300000+100000+3000</f>
        <v>13455234</v>
      </c>
    </row>
    <row r="24" spans="1:16" ht="89.25" customHeight="1" x14ac:dyDescent="0.2">
      <c r="B24" s="544" t="s">
        <v>382</v>
      </c>
      <c r="C24" s="544" t="s">
        <v>378</v>
      </c>
      <c r="D24" s="544" t="s">
        <v>383</v>
      </c>
      <c r="E24" s="544" t="s">
        <v>912</v>
      </c>
      <c r="F24" s="276" t="s">
        <v>1040</v>
      </c>
      <c r="G24" s="285"/>
      <c r="H24" s="285"/>
      <c r="I24" s="285"/>
      <c r="J24" s="545">
        <f>1000000+30000</f>
        <v>1030000</v>
      </c>
    </row>
    <row r="25" spans="1:16" ht="89.25" customHeight="1" x14ac:dyDescent="0.2">
      <c r="B25" s="272" t="s">
        <v>382</v>
      </c>
      <c r="C25" s="272" t="s">
        <v>378</v>
      </c>
      <c r="D25" s="272" t="s">
        <v>383</v>
      </c>
      <c r="E25" s="272" t="s">
        <v>912</v>
      </c>
      <c r="F25" s="276" t="s">
        <v>712</v>
      </c>
      <c r="G25" s="285"/>
      <c r="H25" s="285"/>
      <c r="I25" s="285"/>
      <c r="J25" s="275">
        <v>150000</v>
      </c>
    </row>
    <row r="26" spans="1:16" ht="89.25" customHeight="1" x14ac:dyDescent="0.2">
      <c r="B26" s="272" t="s">
        <v>382</v>
      </c>
      <c r="C26" s="272" t="s">
        <v>378</v>
      </c>
      <c r="D26" s="272" t="s">
        <v>383</v>
      </c>
      <c r="E26" s="272" t="s">
        <v>912</v>
      </c>
      <c r="F26" s="276" t="s">
        <v>920</v>
      </c>
      <c r="G26" s="285"/>
      <c r="H26" s="285"/>
      <c r="I26" s="285"/>
      <c r="J26" s="275">
        <v>67900</v>
      </c>
    </row>
    <row r="27" spans="1:16" ht="89.25" customHeight="1" x14ac:dyDescent="0.2">
      <c r="B27" s="272" t="s">
        <v>382</v>
      </c>
      <c r="C27" s="272" t="s">
        <v>378</v>
      </c>
      <c r="D27" s="272" t="s">
        <v>383</v>
      </c>
      <c r="E27" s="272" t="s">
        <v>912</v>
      </c>
      <c r="F27" s="276" t="s">
        <v>756</v>
      </c>
      <c r="G27" s="285">
        <v>1498800</v>
      </c>
      <c r="H27" s="279">
        <f>I27/G27*100</f>
        <v>0</v>
      </c>
      <c r="I27" s="285">
        <v>0</v>
      </c>
      <c r="J27" s="545">
        <f>(749800)+22830</f>
        <v>772630</v>
      </c>
    </row>
    <row r="28" spans="1:16" ht="89.25" customHeight="1" x14ac:dyDescent="0.2">
      <c r="B28" s="272" t="s">
        <v>382</v>
      </c>
      <c r="C28" s="272" t="s">
        <v>378</v>
      </c>
      <c r="D28" s="272" t="s">
        <v>383</v>
      </c>
      <c r="E28" s="272" t="s">
        <v>912</v>
      </c>
      <c r="F28" s="276" t="s">
        <v>921</v>
      </c>
      <c r="G28" s="285">
        <v>1498800</v>
      </c>
      <c r="H28" s="279">
        <f>I28/G28*100</f>
        <v>0</v>
      </c>
      <c r="I28" s="285">
        <v>0</v>
      </c>
      <c r="J28" s="545">
        <f>(749800)+22830</f>
        <v>772630</v>
      </c>
    </row>
    <row r="29" spans="1:16" ht="90" x14ac:dyDescent="0.2">
      <c r="B29" s="272" t="s">
        <v>387</v>
      </c>
      <c r="C29" s="272" t="s">
        <v>386</v>
      </c>
      <c r="D29" s="272" t="s">
        <v>388</v>
      </c>
      <c r="E29" s="272" t="s">
        <v>47</v>
      </c>
      <c r="F29" s="273" t="s">
        <v>133</v>
      </c>
      <c r="G29" s="285"/>
      <c r="H29" s="285"/>
      <c r="I29" s="285"/>
      <c r="J29" s="275">
        <f>(300000)+138200+6849-200+33000</f>
        <v>477849</v>
      </c>
    </row>
    <row r="30" spans="1:16" ht="45" x14ac:dyDescent="0.2">
      <c r="B30" s="272" t="s">
        <v>389</v>
      </c>
      <c r="C30" s="272" t="s">
        <v>363</v>
      </c>
      <c r="D30" s="272" t="s">
        <v>344</v>
      </c>
      <c r="E30" s="272" t="s">
        <v>48</v>
      </c>
      <c r="F30" s="273" t="s">
        <v>133</v>
      </c>
      <c r="G30" s="285"/>
      <c r="H30" s="285"/>
      <c r="I30" s="285"/>
      <c r="J30" s="275">
        <f>((4000000)+605000-250000+(185000))+1800000+300000</f>
        <v>6640000</v>
      </c>
    </row>
    <row r="31" spans="1:16" ht="45" x14ac:dyDescent="0.2">
      <c r="B31" s="272" t="s">
        <v>389</v>
      </c>
      <c r="C31" s="272" t="s">
        <v>363</v>
      </c>
      <c r="D31" s="272" t="s">
        <v>344</v>
      </c>
      <c r="E31" s="272" t="s">
        <v>48</v>
      </c>
      <c r="F31" s="276" t="s">
        <v>891</v>
      </c>
      <c r="G31" s="285"/>
      <c r="H31" s="285"/>
      <c r="I31" s="285"/>
      <c r="J31" s="275">
        <v>470000</v>
      </c>
    </row>
    <row r="32" spans="1:16" ht="30" x14ac:dyDescent="0.2">
      <c r="B32" s="453" t="s">
        <v>390</v>
      </c>
      <c r="C32" s="453" t="s">
        <v>391</v>
      </c>
      <c r="D32" s="453" t="s">
        <v>392</v>
      </c>
      <c r="E32" s="453" t="s">
        <v>393</v>
      </c>
      <c r="F32" s="273" t="s">
        <v>133</v>
      </c>
      <c r="G32" s="285"/>
      <c r="H32" s="285"/>
      <c r="I32" s="285"/>
      <c r="J32" s="454">
        <v>525000</v>
      </c>
    </row>
    <row r="33" spans="1:10" ht="30" x14ac:dyDescent="0.2">
      <c r="B33" s="272" t="s">
        <v>395</v>
      </c>
      <c r="C33" s="272" t="s">
        <v>396</v>
      </c>
      <c r="D33" s="272" t="s">
        <v>397</v>
      </c>
      <c r="E33" s="272" t="s">
        <v>394</v>
      </c>
      <c r="F33" s="273" t="s">
        <v>133</v>
      </c>
      <c r="G33" s="285"/>
      <c r="H33" s="285"/>
      <c r="I33" s="285"/>
      <c r="J33" s="275">
        <v>100450</v>
      </c>
    </row>
    <row r="34" spans="1:10" ht="30" x14ac:dyDescent="0.2">
      <c r="B34" s="272" t="s">
        <v>399</v>
      </c>
      <c r="C34" s="272" t="s">
        <v>400</v>
      </c>
      <c r="D34" s="272"/>
      <c r="E34" s="278" t="s">
        <v>398</v>
      </c>
      <c r="F34" s="273" t="s">
        <v>133</v>
      </c>
      <c r="G34" s="285"/>
      <c r="H34" s="285"/>
      <c r="I34" s="285"/>
      <c r="J34" s="275">
        <f>J35</f>
        <v>798900</v>
      </c>
    </row>
    <row r="35" spans="1:10" ht="30" x14ac:dyDescent="0.2">
      <c r="B35" s="282" t="s">
        <v>656</v>
      </c>
      <c r="C35" s="282" t="s">
        <v>657</v>
      </c>
      <c r="D35" s="282" t="s">
        <v>397</v>
      </c>
      <c r="E35" s="282" t="s">
        <v>655</v>
      </c>
      <c r="F35" s="283" t="s">
        <v>133</v>
      </c>
      <c r="G35" s="285"/>
      <c r="H35" s="285"/>
      <c r="I35" s="285"/>
      <c r="J35" s="280">
        <f>(48000)+750900</f>
        <v>798900</v>
      </c>
    </row>
    <row r="36" spans="1:10" ht="19.5" customHeight="1" x14ac:dyDescent="0.2">
      <c r="B36" s="272" t="s">
        <v>402</v>
      </c>
      <c r="C36" s="272" t="s">
        <v>403</v>
      </c>
      <c r="D36" s="272" t="s">
        <v>404</v>
      </c>
      <c r="E36" s="272" t="s">
        <v>99</v>
      </c>
      <c r="F36" s="273" t="s">
        <v>133</v>
      </c>
      <c r="G36" s="285"/>
      <c r="H36" s="285"/>
      <c r="I36" s="285"/>
      <c r="J36" s="275">
        <f>(9478748-106000)+7061000</f>
        <v>16433748</v>
      </c>
    </row>
    <row r="37" spans="1:10" ht="45" x14ac:dyDescent="0.2">
      <c r="B37" s="498" t="s">
        <v>308</v>
      </c>
      <c r="C37" s="499"/>
      <c r="D37" s="499"/>
      <c r="E37" s="485" t="s">
        <v>53</v>
      </c>
      <c r="F37" s="496"/>
      <c r="G37" s="496"/>
      <c r="H37" s="496"/>
      <c r="I37" s="496"/>
      <c r="J37" s="494">
        <f>J38</f>
        <v>29379255</v>
      </c>
    </row>
    <row r="38" spans="1:10" ht="42.75" x14ac:dyDescent="0.2">
      <c r="B38" s="484" t="s">
        <v>309</v>
      </c>
      <c r="C38" s="484"/>
      <c r="D38" s="484"/>
      <c r="E38" s="489" t="s">
        <v>91</v>
      </c>
      <c r="F38" s="496"/>
      <c r="G38" s="496"/>
      <c r="H38" s="496"/>
      <c r="I38" s="496"/>
      <c r="J38" s="497">
        <f>J40+J43+J44+J49+J50+J53+J55+J41+J42+J45+J47+J46+J48+J39</f>
        <v>29379255</v>
      </c>
    </row>
    <row r="39" spans="1:10" ht="45" x14ac:dyDescent="0.2">
      <c r="B39" s="453" t="s">
        <v>1025</v>
      </c>
      <c r="C39" s="453" t="s">
        <v>433</v>
      </c>
      <c r="D39" s="453" t="s">
        <v>430</v>
      </c>
      <c r="E39" s="453" t="s">
        <v>431</v>
      </c>
      <c r="F39" s="273" t="s">
        <v>133</v>
      </c>
      <c r="G39" s="285"/>
      <c r="H39" s="285"/>
      <c r="I39" s="285"/>
      <c r="J39" s="277">
        <v>40000</v>
      </c>
    </row>
    <row r="40" spans="1:10" ht="30" x14ac:dyDescent="0.2">
      <c r="A40" s="29"/>
      <c r="B40" s="272" t="s">
        <v>405</v>
      </c>
      <c r="C40" s="272" t="s">
        <v>401</v>
      </c>
      <c r="D40" s="272" t="s">
        <v>406</v>
      </c>
      <c r="E40" s="272" t="s">
        <v>55</v>
      </c>
      <c r="F40" s="273" t="s">
        <v>133</v>
      </c>
      <c r="G40" s="285"/>
      <c r="H40" s="285"/>
      <c r="I40" s="285"/>
      <c r="J40" s="275">
        <f>((4250000+1000000)+10417168-25620-12940+88000)+2678580+400000+163000-44000</f>
        <v>18914188</v>
      </c>
    </row>
    <row r="41" spans="1:10" ht="75" x14ac:dyDescent="0.2">
      <c r="A41" s="219"/>
      <c r="B41" s="272" t="s">
        <v>405</v>
      </c>
      <c r="C41" s="272" t="s">
        <v>401</v>
      </c>
      <c r="D41" s="272" t="s">
        <v>406</v>
      </c>
      <c r="E41" s="272" t="s">
        <v>55</v>
      </c>
      <c r="F41" s="276" t="s">
        <v>805</v>
      </c>
      <c r="G41" s="275">
        <v>1139887</v>
      </c>
      <c r="H41" s="279">
        <f>I41/G41*100</f>
        <v>0</v>
      </c>
      <c r="I41" s="275">
        <v>0</v>
      </c>
      <c r="J41" s="275">
        <v>1139887</v>
      </c>
    </row>
    <row r="42" spans="1:10" ht="120" x14ac:dyDescent="0.2">
      <c r="A42" s="219"/>
      <c r="B42" s="272" t="s">
        <v>405</v>
      </c>
      <c r="C42" s="272" t="s">
        <v>401</v>
      </c>
      <c r="D42" s="272" t="s">
        <v>406</v>
      </c>
      <c r="E42" s="272" t="s">
        <v>55</v>
      </c>
      <c r="F42" s="276" t="s">
        <v>804</v>
      </c>
      <c r="G42" s="285"/>
      <c r="H42" s="285"/>
      <c r="I42" s="285"/>
      <c r="J42" s="275">
        <v>93600</v>
      </c>
    </row>
    <row r="43" spans="1:10" ht="52.5" customHeight="1" x14ac:dyDescent="0.2">
      <c r="A43" s="29"/>
      <c r="B43" s="272" t="s">
        <v>407</v>
      </c>
      <c r="C43" s="272" t="s">
        <v>408</v>
      </c>
      <c r="D43" s="272" t="s">
        <v>409</v>
      </c>
      <c r="E43" s="272" t="s">
        <v>410</v>
      </c>
      <c r="F43" s="273" t="s">
        <v>133</v>
      </c>
      <c r="G43" s="286"/>
      <c r="H43" s="286"/>
      <c r="I43" s="286"/>
      <c r="J43" s="275">
        <f>(597150)+181500+90000</f>
        <v>868650</v>
      </c>
    </row>
    <row r="44" spans="1:10" ht="52.5" customHeight="1" x14ac:dyDescent="0.2">
      <c r="A44" s="29"/>
      <c r="B44" s="272" t="s">
        <v>411</v>
      </c>
      <c r="C44" s="272" t="s">
        <v>412</v>
      </c>
      <c r="D44" s="272" t="s">
        <v>413</v>
      </c>
      <c r="E44" s="272" t="s">
        <v>729</v>
      </c>
      <c r="F44" s="273" t="s">
        <v>133</v>
      </c>
      <c r="G44" s="286"/>
      <c r="H44" s="286"/>
      <c r="I44" s="286"/>
      <c r="J44" s="275">
        <f>(((0)+1040960+22000+12148)+1101224+199000-239)+7670</f>
        <v>2382763</v>
      </c>
    </row>
    <row r="45" spans="1:10" ht="78" customHeight="1" x14ac:dyDescent="0.2">
      <c r="A45" s="29"/>
      <c r="B45" s="272" t="s">
        <v>411</v>
      </c>
      <c r="C45" s="272" t="s">
        <v>412</v>
      </c>
      <c r="D45" s="272" t="s">
        <v>413</v>
      </c>
      <c r="E45" s="272" t="s">
        <v>729</v>
      </c>
      <c r="F45" s="276" t="s">
        <v>806</v>
      </c>
      <c r="G45" s="285"/>
      <c r="H45" s="285"/>
      <c r="I45" s="285"/>
      <c r="J45" s="275">
        <v>26500</v>
      </c>
    </row>
    <row r="46" spans="1:10" ht="75.75" customHeight="1" x14ac:dyDescent="0.2">
      <c r="A46" s="29"/>
      <c r="B46" s="272" t="s">
        <v>411</v>
      </c>
      <c r="C46" s="272" t="s">
        <v>412</v>
      </c>
      <c r="D46" s="272" t="s">
        <v>413</v>
      </c>
      <c r="E46" s="272" t="s">
        <v>729</v>
      </c>
      <c r="F46" s="276" t="s">
        <v>807</v>
      </c>
      <c r="G46" s="275">
        <v>351000</v>
      </c>
      <c r="H46" s="279">
        <f>I46/G46*100</f>
        <v>0</v>
      </c>
      <c r="I46" s="275">
        <v>0</v>
      </c>
      <c r="J46" s="275">
        <f>351000-7670</f>
        <v>343330</v>
      </c>
    </row>
    <row r="47" spans="1:10" ht="95.25" hidden="1" customHeight="1" x14ac:dyDescent="0.2">
      <c r="A47" s="29"/>
      <c r="B47" s="255" t="s">
        <v>411</v>
      </c>
      <c r="C47" s="255" t="s">
        <v>412</v>
      </c>
      <c r="D47" s="255" t="s">
        <v>413</v>
      </c>
      <c r="E47" s="255" t="s">
        <v>729</v>
      </c>
      <c r="F47" s="260" t="s">
        <v>808</v>
      </c>
      <c r="G47" s="262"/>
      <c r="H47" s="262"/>
      <c r="I47" s="262"/>
      <c r="J47" s="258">
        <f>(19000)-19000</f>
        <v>0</v>
      </c>
    </row>
    <row r="48" spans="1:10" ht="69.75" hidden="1" customHeight="1" x14ac:dyDescent="0.2">
      <c r="A48" s="29"/>
      <c r="B48" s="255" t="s">
        <v>411</v>
      </c>
      <c r="C48" s="255" t="s">
        <v>412</v>
      </c>
      <c r="D48" s="255" t="s">
        <v>413</v>
      </c>
      <c r="E48" s="255" t="s">
        <v>729</v>
      </c>
      <c r="F48" s="260" t="s">
        <v>809</v>
      </c>
      <c r="G48" s="258">
        <v>180000</v>
      </c>
      <c r="H48" s="261">
        <f>I48/G48*100</f>
        <v>0</v>
      </c>
      <c r="I48" s="258">
        <v>0</v>
      </c>
      <c r="J48" s="258">
        <f>(180000)-180000</f>
        <v>0</v>
      </c>
    </row>
    <row r="49" spans="1:10" ht="52.5" customHeight="1" x14ac:dyDescent="0.2">
      <c r="A49" s="29"/>
      <c r="B49" s="272" t="s">
        <v>414</v>
      </c>
      <c r="C49" s="272" t="s">
        <v>415</v>
      </c>
      <c r="D49" s="272" t="s">
        <v>416</v>
      </c>
      <c r="E49" s="272" t="s">
        <v>417</v>
      </c>
      <c r="F49" s="273" t="s">
        <v>133</v>
      </c>
      <c r="G49" s="286"/>
      <c r="H49" s="286"/>
      <c r="I49" s="286"/>
      <c r="J49" s="275">
        <f>(89000)+121000+1600000+48000</f>
        <v>1858000</v>
      </c>
    </row>
    <row r="50" spans="1:10" ht="52.5" customHeight="1" x14ac:dyDescent="0.2">
      <c r="A50" s="29"/>
      <c r="B50" s="272" t="s">
        <v>418</v>
      </c>
      <c r="C50" s="272" t="s">
        <v>419</v>
      </c>
      <c r="D50" s="272"/>
      <c r="E50" s="272" t="s">
        <v>730</v>
      </c>
      <c r="F50" s="273" t="s">
        <v>133</v>
      </c>
      <c r="G50" s="286"/>
      <c r="H50" s="286"/>
      <c r="I50" s="286"/>
      <c r="J50" s="275">
        <f>SUM(J51:J52)</f>
        <v>2287500</v>
      </c>
    </row>
    <row r="51" spans="1:10" ht="52.5" customHeight="1" x14ac:dyDescent="0.2">
      <c r="A51" s="29"/>
      <c r="B51" s="282" t="s">
        <v>420</v>
      </c>
      <c r="C51" s="298" t="s">
        <v>421</v>
      </c>
      <c r="D51" s="298" t="s">
        <v>731</v>
      </c>
      <c r="E51" s="282" t="s">
        <v>422</v>
      </c>
      <c r="F51" s="283" t="s">
        <v>133</v>
      </c>
      <c r="G51" s="286"/>
      <c r="H51" s="286"/>
      <c r="I51" s="286"/>
      <c r="J51" s="280">
        <f>((540000+1000000)+715000)+16000</f>
        <v>2271000</v>
      </c>
    </row>
    <row r="52" spans="1:10" ht="82.5" customHeight="1" x14ac:dyDescent="0.2">
      <c r="A52" s="29"/>
      <c r="B52" s="282" t="s">
        <v>420</v>
      </c>
      <c r="C52" s="298" t="s">
        <v>421</v>
      </c>
      <c r="D52" s="298" t="s">
        <v>731</v>
      </c>
      <c r="E52" s="282" t="s">
        <v>422</v>
      </c>
      <c r="F52" s="289" t="s">
        <v>969</v>
      </c>
      <c r="G52" s="311">
        <v>16503.599999999999</v>
      </c>
      <c r="H52" s="286"/>
      <c r="I52" s="286"/>
      <c r="J52" s="280">
        <v>16500</v>
      </c>
    </row>
    <row r="53" spans="1:10" ht="52.5" customHeight="1" x14ac:dyDescent="0.2">
      <c r="A53" s="29"/>
      <c r="B53" s="272" t="s">
        <v>423</v>
      </c>
      <c r="C53" s="278" t="s">
        <v>424</v>
      </c>
      <c r="D53" s="278"/>
      <c r="E53" s="278" t="s">
        <v>426</v>
      </c>
      <c r="F53" s="273" t="s">
        <v>133</v>
      </c>
      <c r="G53" s="286"/>
      <c r="H53" s="286"/>
      <c r="I53" s="286"/>
      <c r="J53" s="275">
        <f>J54</f>
        <v>2400</v>
      </c>
    </row>
    <row r="54" spans="1:10" ht="52.5" customHeight="1" x14ac:dyDescent="0.2">
      <c r="A54" s="29"/>
      <c r="B54" s="282" t="s">
        <v>660</v>
      </c>
      <c r="C54" s="282" t="s">
        <v>662</v>
      </c>
      <c r="D54" s="278" t="s">
        <v>425</v>
      </c>
      <c r="E54" s="312" t="s">
        <v>658</v>
      </c>
      <c r="F54" s="283" t="s">
        <v>133</v>
      </c>
      <c r="G54" s="286"/>
      <c r="H54" s="286"/>
      <c r="I54" s="286"/>
      <c r="J54" s="280">
        <f>(30000-10000)-17600</f>
        <v>2400</v>
      </c>
    </row>
    <row r="55" spans="1:10" ht="52.5" customHeight="1" x14ac:dyDescent="0.2">
      <c r="A55" s="29"/>
      <c r="B55" s="272" t="s">
        <v>798</v>
      </c>
      <c r="C55" s="278" t="s">
        <v>799</v>
      </c>
      <c r="D55" s="278" t="s">
        <v>103</v>
      </c>
      <c r="E55" s="278" t="s">
        <v>800</v>
      </c>
      <c r="F55" s="273" t="s">
        <v>133</v>
      </c>
      <c r="G55" s="286"/>
      <c r="H55" s="286"/>
      <c r="I55" s="286"/>
      <c r="J55" s="275">
        <f>(452800)+921000+48637</f>
        <v>1422437</v>
      </c>
    </row>
    <row r="56" spans="1:10" ht="45" x14ac:dyDescent="0.2">
      <c r="A56" s="29"/>
      <c r="B56" s="484" t="s">
        <v>310</v>
      </c>
      <c r="C56" s="484"/>
      <c r="D56" s="484"/>
      <c r="E56" s="485" t="s">
        <v>92</v>
      </c>
      <c r="F56" s="496"/>
      <c r="G56" s="496"/>
      <c r="H56" s="496"/>
      <c r="I56" s="496"/>
      <c r="J56" s="494">
        <f>J57</f>
        <v>10932222.629999999</v>
      </c>
    </row>
    <row r="57" spans="1:10" ht="57" x14ac:dyDescent="0.2">
      <c r="A57" s="29"/>
      <c r="B57" s="488" t="s">
        <v>311</v>
      </c>
      <c r="C57" s="488"/>
      <c r="D57" s="488"/>
      <c r="E57" s="489" t="s">
        <v>93</v>
      </c>
      <c r="F57" s="496"/>
      <c r="G57" s="496"/>
      <c r="H57" s="496"/>
      <c r="I57" s="496"/>
      <c r="J57" s="497">
        <f>J61+J59+J69+J75+J65+J58</f>
        <v>10932222.629999999</v>
      </c>
    </row>
    <row r="58" spans="1:10" ht="45" x14ac:dyDescent="0.2">
      <c r="A58" s="29"/>
      <c r="B58" s="453" t="s">
        <v>1023</v>
      </c>
      <c r="C58" s="453" t="s">
        <v>433</v>
      </c>
      <c r="D58" s="453" t="s">
        <v>430</v>
      </c>
      <c r="E58" s="453" t="s">
        <v>431</v>
      </c>
      <c r="F58" s="273" t="s">
        <v>133</v>
      </c>
      <c r="G58" s="285"/>
      <c r="H58" s="285"/>
      <c r="I58" s="285"/>
      <c r="J58" s="277">
        <v>126000</v>
      </c>
    </row>
    <row r="59" spans="1:10" ht="75" x14ac:dyDescent="0.2">
      <c r="A59" s="29"/>
      <c r="B59" s="278" t="s">
        <v>514</v>
      </c>
      <c r="C59" s="278" t="s">
        <v>515</v>
      </c>
      <c r="D59" s="278"/>
      <c r="E59" s="327" t="s">
        <v>513</v>
      </c>
      <c r="F59" s="273" t="s">
        <v>133</v>
      </c>
      <c r="G59" s="326"/>
      <c r="H59" s="326"/>
      <c r="I59" s="326"/>
      <c r="J59" s="275">
        <f>J60</f>
        <v>100000</v>
      </c>
    </row>
    <row r="60" spans="1:10" ht="45" x14ac:dyDescent="0.2">
      <c r="A60" s="29"/>
      <c r="B60" s="298" t="s">
        <v>516</v>
      </c>
      <c r="C60" s="298" t="s">
        <v>517</v>
      </c>
      <c r="D60" s="298" t="s">
        <v>385</v>
      </c>
      <c r="E60" s="328" t="s">
        <v>518</v>
      </c>
      <c r="F60" s="283" t="s">
        <v>133</v>
      </c>
      <c r="G60" s="329"/>
      <c r="H60" s="329"/>
      <c r="I60" s="329"/>
      <c r="J60" s="280">
        <v>100000</v>
      </c>
    </row>
    <row r="61" spans="1:10" ht="60" x14ac:dyDescent="0.2">
      <c r="A61" s="29"/>
      <c r="B61" s="272" t="s">
        <v>507</v>
      </c>
      <c r="C61" s="272" t="s">
        <v>508</v>
      </c>
      <c r="D61" s="272"/>
      <c r="E61" s="272" t="s">
        <v>51</v>
      </c>
      <c r="F61" s="273" t="s">
        <v>133</v>
      </c>
      <c r="G61" s="273"/>
      <c r="H61" s="273"/>
      <c r="I61" s="273"/>
      <c r="J61" s="277">
        <f>J62+J64+J63</f>
        <v>609200</v>
      </c>
    </row>
    <row r="62" spans="1:10" ht="60" x14ac:dyDescent="0.2">
      <c r="A62" s="29"/>
      <c r="B62" s="282" t="s">
        <v>511</v>
      </c>
      <c r="C62" s="282" t="s">
        <v>509</v>
      </c>
      <c r="D62" s="282" t="s">
        <v>378</v>
      </c>
      <c r="E62" s="282" t="s">
        <v>52</v>
      </c>
      <c r="F62" s="283" t="s">
        <v>133</v>
      </c>
      <c r="G62" s="283"/>
      <c r="H62" s="283"/>
      <c r="I62" s="283"/>
      <c r="J62" s="281">
        <f>(112000)+43500</f>
        <v>155500</v>
      </c>
    </row>
    <row r="63" spans="1:10" ht="135" x14ac:dyDescent="0.2">
      <c r="A63" s="29"/>
      <c r="B63" s="354" t="s">
        <v>511</v>
      </c>
      <c r="C63" s="354" t="s">
        <v>509</v>
      </c>
      <c r="D63" s="354" t="s">
        <v>378</v>
      </c>
      <c r="E63" s="354" t="s">
        <v>52</v>
      </c>
      <c r="F63" s="289" t="s">
        <v>991</v>
      </c>
      <c r="G63" s="283"/>
      <c r="H63" s="283"/>
      <c r="I63" s="283"/>
      <c r="J63" s="281">
        <v>35000</v>
      </c>
    </row>
    <row r="64" spans="1:10" ht="30" x14ac:dyDescent="0.2">
      <c r="A64" s="29"/>
      <c r="B64" s="282" t="s">
        <v>512</v>
      </c>
      <c r="C64" s="282" t="s">
        <v>510</v>
      </c>
      <c r="D64" s="282" t="s">
        <v>377</v>
      </c>
      <c r="E64" s="282" t="s">
        <v>506</v>
      </c>
      <c r="F64" s="283" t="s">
        <v>133</v>
      </c>
      <c r="G64" s="283"/>
      <c r="H64" s="283"/>
      <c r="I64" s="283"/>
      <c r="J64" s="281">
        <f>12000+406700</f>
        <v>418700</v>
      </c>
    </row>
    <row r="65" spans="1:10" ht="60" x14ac:dyDescent="0.2">
      <c r="A65" s="29"/>
      <c r="B65" s="272" t="s">
        <v>945</v>
      </c>
      <c r="C65" s="272" t="s">
        <v>946</v>
      </c>
      <c r="D65" s="272"/>
      <c r="E65" s="325" t="s">
        <v>944</v>
      </c>
      <c r="F65" s="273" t="s">
        <v>133</v>
      </c>
      <c r="G65" s="281"/>
      <c r="H65" s="281"/>
      <c r="I65" s="281"/>
      <c r="J65" s="281">
        <f>J66</f>
        <v>6864875.6299999999</v>
      </c>
    </row>
    <row r="66" spans="1:10" ht="120" x14ac:dyDescent="0.2">
      <c r="A66" s="29"/>
      <c r="B66" s="624" t="s">
        <v>947</v>
      </c>
      <c r="C66" s="624" t="s">
        <v>948</v>
      </c>
      <c r="D66" s="627" t="s">
        <v>117</v>
      </c>
      <c r="E66" s="330" t="s">
        <v>949</v>
      </c>
      <c r="F66" s="627" t="s">
        <v>133</v>
      </c>
      <c r="G66" s="629"/>
      <c r="H66" s="629"/>
      <c r="I66" s="629"/>
      <c r="J66" s="629">
        <v>6864875.6299999999</v>
      </c>
    </row>
    <row r="67" spans="1:10" ht="103.5" customHeight="1" x14ac:dyDescent="0.2">
      <c r="A67" s="29"/>
      <c r="B67" s="625"/>
      <c r="C67" s="625"/>
      <c r="D67" s="628"/>
      <c r="E67" s="330" t="s">
        <v>952</v>
      </c>
      <c r="F67" s="628"/>
      <c r="G67" s="630"/>
      <c r="H67" s="630"/>
      <c r="I67" s="630"/>
      <c r="J67" s="630"/>
    </row>
    <row r="68" spans="1:10" ht="23.25" customHeight="1" x14ac:dyDescent="0.2">
      <c r="A68" s="29"/>
      <c r="B68" s="626"/>
      <c r="C68" s="626"/>
      <c r="D68" s="628"/>
      <c r="E68" s="330" t="s">
        <v>953</v>
      </c>
      <c r="F68" s="628"/>
      <c r="G68" s="630"/>
      <c r="H68" s="630"/>
      <c r="I68" s="630"/>
      <c r="J68" s="630"/>
    </row>
    <row r="69" spans="1:10" ht="36.75" customHeight="1" x14ac:dyDescent="0.2">
      <c r="A69" s="29"/>
      <c r="B69" s="272" t="s">
        <v>684</v>
      </c>
      <c r="C69" s="272" t="s">
        <v>685</v>
      </c>
      <c r="D69" s="272"/>
      <c r="E69" s="272" t="s">
        <v>364</v>
      </c>
      <c r="F69" s="273" t="s">
        <v>133</v>
      </c>
      <c r="G69" s="275"/>
      <c r="H69" s="279"/>
      <c r="I69" s="275"/>
      <c r="J69" s="277">
        <f>SUM(J70:J74)</f>
        <v>697800</v>
      </c>
    </row>
    <row r="70" spans="1:10" ht="45" x14ac:dyDescent="0.2">
      <c r="A70" s="29"/>
      <c r="B70" s="282" t="s">
        <v>682</v>
      </c>
      <c r="C70" s="282" t="s">
        <v>686</v>
      </c>
      <c r="D70" s="282" t="s">
        <v>363</v>
      </c>
      <c r="E70" s="312" t="s">
        <v>688</v>
      </c>
      <c r="F70" s="283" t="s">
        <v>133</v>
      </c>
      <c r="G70" s="275"/>
      <c r="H70" s="279"/>
      <c r="I70" s="275"/>
      <c r="J70" s="281">
        <f>(24000+81800)+12000</f>
        <v>117800</v>
      </c>
    </row>
    <row r="71" spans="1:10" ht="30" x14ac:dyDescent="0.2">
      <c r="A71" s="29"/>
      <c r="B71" s="282" t="s">
        <v>683</v>
      </c>
      <c r="C71" s="282" t="s">
        <v>687</v>
      </c>
      <c r="D71" s="282" t="s">
        <v>363</v>
      </c>
      <c r="E71" s="312" t="s">
        <v>689</v>
      </c>
      <c r="F71" s="283" t="s">
        <v>133</v>
      </c>
      <c r="G71" s="283"/>
      <c r="H71" s="283"/>
      <c r="I71" s="283"/>
      <c r="J71" s="281">
        <f>(100000)+100000</f>
        <v>200000</v>
      </c>
    </row>
    <row r="72" spans="1:10" ht="45" x14ac:dyDescent="0.2">
      <c r="A72" s="29"/>
      <c r="B72" s="282" t="s">
        <v>683</v>
      </c>
      <c r="C72" s="282" t="s">
        <v>687</v>
      </c>
      <c r="D72" s="282" t="s">
        <v>363</v>
      </c>
      <c r="E72" s="312" t="s">
        <v>689</v>
      </c>
      <c r="F72" s="289" t="s">
        <v>757</v>
      </c>
      <c r="G72" s="280">
        <v>200000</v>
      </c>
      <c r="H72" s="290">
        <f>I72/G72*100</f>
        <v>0</v>
      </c>
      <c r="I72" s="280">
        <v>0</v>
      </c>
      <c r="J72" s="281">
        <v>200000</v>
      </c>
    </row>
    <row r="73" spans="1:10" ht="30" x14ac:dyDescent="0.2">
      <c r="A73" s="29"/>
      <c r="B73" s="282" t="s">
        <v>683</v>
      </c>
      <c r="C73" s="282" t="s">
        <v>687</v>
      </c>
      <c r="D73" s="282" t="s">
        <v>363</v>
      </c>
      <c r="E73" s="312" t="s">
        <v>689</v>
      </c>
      <c r="F73" s="289" t="s">
        <v>758</v>
      </c>
      <c r="G73" s="280">
        <f>(50000)+40000</f>
        <v>90000</v>
      </c>
      <c r="H73" s="290">
        <f>I73/G73*100</f>
        <v>0</v>
      </c>
      <c r="I73" s="280">
        <v>0</v>
      </c>
      <c r="J73" s="281">
        <f>(50000)+40000</f>
        <v>90000</v>
      </c>
    </row>
    <row r="74" spans="1:10" ht="30" x14ac:dyDescent="0.2">
      <c r="A74" s="29"/>
      <c r="B74" s="282" t="s">
        <v>683</v>
      </c>
      <c r="C74" s="282" t="s">
        <v>687</v>
      </c>
      <c r="D74" s="282" t="s">
        <v>363</v>
      </c>
      <c r="E74" s="312" t="s">
        <v>689</v>
      </c>
      <c r="F74" s="289" t="s">
        <v>759</v>
      </c>
      <c r="G74" s="280">
        <f>(50000)+40000</f>
        <v>90000</v>
      </c>
      <c r="H74" s="290">
        <f>I74/G74*100</f>
        <v>0</v>
      </c>
      <c r="I74" s="280">
        <v>0</v>
      </c>
      <c r="J74" s="281">
        <f>(50000)+40000</f>
        <v>90000</v>
      </c>
    </row>
    <row r="75" spans="1:10" ht="30" x14ac:dyDescent="0.2">
      <c r="A75" s="29"/>
      <c r="B75" s="272" t="s">
        <v>831</v>
      </c>
      <c r="C75" s="272" t="s">
        <v>706</v>
      </c>
      <c r="D75" s="272"/>
      <c r="E75" s="272" t="s">
        <v>832</v>
      </c>
      <c r="F75" s="273" t="s">
        <v>133</v>
      </c>
      <c r="G75" s="275"/>
      <c r="H75" s="279"/>
      <c r="I75" s="275"/>
      <c r="J75" s="277">
        <f>J76</f>
        <v>2534347</v>
      </c>
    </row>
    <row r="76" spans="1:10" ht="45" x14ac:dyDescent="0.2">
      <c r="A76" s="29"/>
      <c r="B76" s="282" t="s">
        <v>835</v>
      </c>
      <c r="C76" s="282" t="s">
        <v>833</v>
      </c>
      <c r="D76" s="282" t="s">
        <v>708</v>
      </c>
      <c r="E76" s="312" t="s">
        <v>834</v>
      </c>
      <c r="F76" s="283" t="s">
        <v>133</v>
      </c>
      <c r="G76" s="275"/>
      <c r="H76" s="279"/>
      <c r="I76" s="275"/>
      <c r="J76" s="281">
        <f>(2500000)+34347</f>
        <v>2534347</v>
      </c>
    </row>
    <row r="77" spans="1:10" ht="45" x14ac:dyDescent="0.2">
      <c r="A77" s="29"/>
      <c r="B77" s="546">
        <v>1000000</v>
      </c>
      <c r="C77" s="546"/>
      <c r="D77" s="546"/>
      <c r="E77" s="484" t="s">
        <v>68</v>
      </c>
      <c r="F77" s="496"/>
      <c r="G77" s="496"/>
      <c r="H77" s="496"/>
      <c r="I77" s="496"/>
      <c r="J77" s="494">
        <f>J78</f>
        <v>7961855</v>
      </c>
    </row>
    <row r="78" spans="1:10" ht="42.75" x14ac:dyDescent="0.2">
      <c r="A78" s="29"/>
      <c r="B78" s="547">
        <v>1010000</v>
      </c>
      <c r="C78" s="547"/>
      <c r="D78" s="547"/>
      <c r="E78" s="488" t="s">
        <v>94</v>
      </c>
      <c r="F78" s="496"/>
      <c r="G78" s="496"/>
      <c r="H78" s="496"/>
      <c r="I78" s="496"/>
      <c r="J78" s="497">
        <f>SUM(J79:J89)+J91</f>
        <v>7961855</v>
      </c>
    </row>
    <row r="79" spans="1:10" ht="60" x14ac:dyDescent="0.2">
      <c r="A79" s="29"/>
      <c r="B79" s="272" t="s">
        <v>49</v>
      </c>
      <c r="C79" s="272" t="s">
        <v>343</v>
      </c>
      <c r="D79" s="272" t="s">
        <v>344</v>
      </c>
      <c r="E79" s="272" t="s">
        <v>342</v>
      </c>
      <c r="F79" s="273" t="s">
        <v>133</v>
      </c>
      <c r="G79" s="285"/>
      <c r="H79" s="285"/>
      <c r="I79" s="285"/>
      <c r="J79" s="277">
        <f>(1607000)+101000</f>
        <v>1708000</v>
      </c>
    </row>
    <row r="80" spans="1:10" ht="75" x14ac:dyDescent="0.2">
      <c r="A80" s="29"/>
      <c r="B80" s="272" t="s">
        <v>49</v>
      </c>
      <c r="C80" s="272" t="s">
        <v>343</v>
      </c>
      <c r="D80" s="272" t="s">
        <v>344</v>
      </c>
      <c r="E80" s="272" t="s">
        <v>342</v>
      </c>
      <c r="F80" s="276" t="s">
        <v>966</v>
      </c>
      <c r="G80" s="277">
        <v>10648092</v>
      </c>
      <c r="H80" s="279">
        <f t="shared" ref="H80" si="0">I80/G80*100</f>
        <v>95.877468000839954</v>
      </c>
      <c r="I80" s="277">
        <f>G80-J80-214936</f>
        <v>10209121</v>
      </c>
      <c r="J80" s="275">
        <v>224035</v>
      </c>
    </row>
    <row r="81" spans="1:10" ht="75" x14ac:dyDescent="0.2">
      <c r="A81" s="29"/>
      <c r="B81" s="272" t="s">
        <v>49</v>
      </c>
      <c r="C81" s="272" t="s">
        <v>343</v>
      </c>
      <c r="D81" s="272" t="s">
        <v>344</v>
      </c>
      <c r="E81" s="272" t="s">
        <v>342</v>
      </c>
      <c r="F81" s="276" t="s">
        <v>967</v>
      </c>
      <c r="G81" s="285"/>
      <c r="H81" s="285"/>
      <c r="I81" s="285"/>
      <c r="J81" s="277">
        <v>17700</v>
      </c>
    </row>
    <row r="82" spans="1:10" ht="15" x14ac:dyDescent="0.2">
      <c r="A82" s="29"/>
      <c r="B82" s="272" t="s">
        <v>332</v>
      </c>
      <c r="C82" s="272" t="s">
        <v>333</v>
      </c>
      <c r="D82" s="272" t="s">
        <v>334</v>
      </c>
      <c r="E82" s="272" t="s">
        <v>335</v>
      </c>
      <c r="F82" s="273" t="s">
        <v>133</v>
      </c>
      <c r="G82" s="285"/>
      <c r="H82" s="285"/>
      <c r="I82" s="285"/>
      <c r="J82" s="277">
        <f>(530000)+17000</f>
        <v>547000</v>
      </c>
    </row>
    <row r="83" spans="1:10" ht="15" x14ac:dyDescent="0.2">
      <c r="A83" s="29"/>
      <c r="B83" s="272" t="s">
        <v>336</v>
      </c>
      <c r="C83" s="272" t="s">
        <v>337</v>
      </c>
      <c r="D83" s="272" t="s">
        <v>334</v>
      </c>
      <c r="E83" s="272" t="s">
        <v>338</v>
      </c>
      <c r="F83" s="273" t="s">
        <v>133</v>
      </c>
      <c r="G83" s="285"/>
      <c r="H83" s="285"/>
      <c r="I83" s="285"/>
      <c r="J83" s="277">
        <f>(192720)+70000</f>
        <v>262720</v>
      </c>
    </row>
    <row r="84" spans="1:10" ht="75" hidden="1" x14ac:dyDescent="0.2">
      <c r="A84" s="29"/>
      <c r="B84" s="255" t="s">
        <v>336</v>
      </c>
      <c r="C84" s="255" t="s">
        <v>337</v>
      </c>
      <c r="D84" s="255" t="s">
        <v>334</v>
      </c>
      <c r="E84" s="255" t="s">
        <v>338</v>
      </c>
      <c r="F84" s="260" t="s">
        <v>812</v>
      </c>
      <c r="G84" s="262"/>
      <c r="H84" s="262"/>
      <c r="I84" s="262"/>
      <c r="J84" s="277">
        <f>(230000)-230000</f>
        <v>0</v>
      </c>
    </row>
    <row r="85" spans="1:10" ht="60" x14ac:dyDescent="0.2">
      <c r="A85" s="29"/>
      <c r="B85" s="272" t="s">
        <v>336</v>
      </c>
      <c r="C85" s="272" t="s">
        <v>337</v>
      </c>
      <c r="D85" s="272" t="s">
        <v>334</v>
      </c>
      <c r="E85" s="272" t="s">
        <v>338</v>
      </c>
      <c r="F85" s="276" t="s">
        <v>44</v>
      </c>
      <c r="G85" s="277">
        <v>26997397.190000001</v>
      </c>
      <c r="H85" s="279">
        <f t="shared" ref="H85:H87" si="1">I85/G85*100</f>
        <v>78.113445683613321</v>
      </c>
      <c r="I85" s="277">
        <f>G85-(2908800)-J85</f>
        <v>21088597.190000001</v>
      </c>
      <c r="J85" s="277">
        <v>3000000</v>
      </c>
    </row>
    <row r="86" spans="1:10" ht="45" x14ac:dyDescent="0.2">
      <c r="A86" s="29"/>
      <c r="B86" s="272" t="s">
        <v>339</v>
      </c>
      <c r="C86" s="272" t="s">
        <v>327</v>
      </c>
      <c r="D86" s="272" t="s">
        <v>340</v>
      </c>
      <c r="E86" s="272" t="s">
        <v>341</v>
      </c>
      <c r="F86" s="273" t="s">
        <v>133</v>
      </c>
      <c r="G86" s="277"/>
      <c r="H86" s="279"/>
      <c r="I86" s="277"/>
      <c r="J86" s="277">
        <f>(1955500)+214500-1000000</f>
        <v>1170000</v>
      </c>
    </row>
    <row r="87" spans="1:10" ht="75" x14ac:dyDescent="0.2">
      <c r="A87" s="29"/>
      <c r="B87" s="272" t="s">
        <v>339</v>
      </c>
      <c r="C87" s="272" t="s">
        <v>327</v>
      </c>
      <c r="D87" s="272" t="s">
        <v>340</v>
      </c>
      <c r="E87" s="356" t="s">
        <v>341</v>
      </c>
      <c r="F87" s="276" t="s">
        <v>294</v>
      </c>
      <c r="G87" s="277">
        <v>3495937</v>
      </c>
      <c r="H87" s="279">
        <f t="shared" si="1"/>
        <v>0</v>
      </c>
      <c r="I87" s="277">
        <f>(1229800-543800)-686000</f>
        <v>0</v>
      </c>
      <c r="J87" s="277">
        <f>(1229800)-686000</f>
        <v>543800</v>
      </c>
    </row>
    <row r="88" spans="1:10" ht="60" x14ac:dyDescent="0.2">
      <c r="A88" s="29"/>
      <c r="B88" s="272" t="s">
        <v>339</v>
      </c>
      <c r="C88" s="272" t="s">
        <v>327</v>
      </c>
      <c r="D88" s="272" t="s">
        <v>340</v>
      </c>
      <c r="E88" s="272" t="s">
        <v>341</v>
      </c>
      <c r="F88" s="276" t="s">
        <v>968</v>
      </c>
      <c r="G88" s="277">
        <v>21098534</v>
      </c>
      <c r="H88" s="279">
        <f t="shared" ref="H88" si="2">I88/G88*100</f>
        <v>98.578100260425671</v>
      </c>
      <c r="I88" s="277">
        <f>G88-300000</f>
        <v>20798534</v>
      </c>
      <c r="J88" s="277">
        <v>300000</v>
      </c>
    </row>
    <row r="89" spans="1:10" ht="30" x14ac:dyDescent="0.2">
      <c r="A89" s="29"/>
      <c r="B89" s="272" t="s">
        <v>346</v>
      </c>
      <c r="C89" s="272" t="s">
        <v>347</v>
      </c>
      <c r="D89" s="272"/>
      <c r="E89" s="272" t="s">
        <v>345</v>
      </c>
      <c r="F89" s="273" t="s">
        <v>133</v>
      </c>
      <c r="G89" s="277"/>
      <c r="H89" s="279"/>
      <c r="I89" s="277"/>
      <c r="J89" s="277">
        <f>J90</f>
        <v>106800</v>
      </c>
    </row>
    <row r="90" spans="1:10" ht="30" x14ac:dyDescent="0.2">
      <c r="A90" s="29"/>
      <c r="B90" s="282" t="s">
        <v>691</v>
      </c>
      <c r="C90" s="282" t="s">
        <v>692</v>
      </c>
      <c r="D90" s="282" t="s">
        <v>348</v>
      </c>
      <c r="E90" s="282" t="s">
        <v>690</v>
      </c>
      <c r="F90" s="283" t="s">
        <v>133</v>
      </c>
      <c r="G90" s="281"/>
      <c r="H90" s="290"/>
      <c r="I90" s="281"/>
      <c r="J90" s="281">
        <f>(87500)+19300</f>
        <v>106800</v>
      </c>
    </row>
    <row r="91" spans="1:10" ht="30" x14ac:dyDescent="0.2">
      <c r="A91" s="29"/>
      <c r="B91" s="272" t="s">
        <v>818</v>
      </c>
      <c r="C91" s="272" t="s">
        <v>373</v>
      </c>
      <c r="D91" s="272" t="s">
        <v>324</v>
      </c>
      <c r="E91" s="272" t="s">
        <v>817</v>
      </c>
      <c r="F91" s="273" t="s">
        <v>133</v>
      </c>
      <c r="G91" s="281"/>
      <c r="H91" s="290"/>
      <c r="I91" s="281"/>
      <c r="J91" s="281">
        <f>(27000)+54800</f>
        <v>81800</v>
      </c>
    </row>
    <row r="92" spans="1:10" ht="45" x14ac:dyDescent="0.2">
      <c r="A92" s="29"/>
      <c r="B92" s="484" t="s">
        <v>65</v>
      </c>
      <c r="C92" s="484"/>
      <c r="D92" s="484"/>
      <c r="E92" s="484" t="s">
        <v>66</v>
      </c>
      <c r="F92" s="500"/>
      <c r="G92" s="496"/>
      <c r="H92" s="496"/>
      <c r="I92" s="496"/>
      <c r="J92" s="501">
        <f>J93</f>
        <v>6409993.3200000003</v>
      </c>
    </row>
    <row r="93" spans="1:10" ht="42.75" x14ac:dyDescent="0.2">
      <c r="A93" s="29"/>
      <c r="B93" s="488" t="s">
        <v>64</v>
      </c>
      <c r="C93" s="488"/>
      <c r="D93" s="488"/>
      <c r="E93" s="488" t="s">
        <v>90</v>
      </c>
      <c r="F93" s="500"/>
      <c r="G93" s="496"/>
      <c r="H93" s="496"/>
      <c r="I93" s="496"/>
      <c r="J93" s="502">
        <f>J99+J109+J96+J94+J106+J104+J108</f>
        <v>6409993.3200000003</v>
      </c>
    </row>
    <row r="94" spans="1:10" ht="30" x14ac:dyDescent="0.2">
      <c r="A94" s="29"/>
      <c r="B94" s="272" t="s">
        <v>349</v>
      </c>
      <c r="C94" s="272" t="s">
        <v>350</v>
      </c>
      <c r="D94" s="272"/>
      <c r="E94" s="272" t="s">
        <v>106</v>
      </c>
      <c r="F94" s="273" t="s">
        <v>133</v>
      </c>
      <c r="G94" s="285"/>
      <c r="H94" s="285"/>
      <c r="I94" s="285"/>
      <c r="J94" s="275">
        <f>J95</f>
        <v>153092</v>
      </c>
    </row>
    <row r="95" spans="1:10" s="227" customFormat="1" ht="45" x14ac:dyDescent="0.2">
      <c r="B95" s="282" t="s">
        <v>351</v>
      </c>
      <c r="C95" s="282" t="s">
        <v>352</v>
      </c>
      <c r="D95" s="282" t="s">
        <v>353</v>
      </c>
      <c r="E95" s="282" t="s">
        <v>354</v>
      </c>
      <c r="F95" s="283" t="s">
        <v>133</v>
      </c>
      <c r="G95" s="286"/>
      <c r="H95" s="286"/>
      <c r="I95" s="286"/>
      <c r="J95" s="280">
        <v>153092</v>
      </c>
    </row>
    <row r="96" spans="1:10" ht="30" x14ac:dyDescent="0.2">
      <c r="A96" s="29"/>
      <c r="B96" s="272" t="s">
        <v>105</v>
      </c>
      <c r="C96" s="272" t="s">
        <v>328</v>
      </c>
      <c r="D96" s="272"/>
      <c r="E96" s="272" t="s">
        <v>76</v>
      </c>
      <c r="F96" s="273" t="s">
        <v>133</v>
      </c>
      <c r="G96" s="287"/>
      <c r="H96" s="287"/>
      <c r="I96" s="287"/>
      <c r="J96" s="275">
        <f>J97+J98</f>
        <v>1093272</v>
      </c>
    </row>
    <row r="97" spans="1:10" s="227" customFormat="1" ht="30" x14ac:dyDescent="0.2">
      <c r="B97" s="282" t="s">
        <v>360</v>
      </c>
      <c r="C97" s="282" t="s">
        <v>361</v>
      </c>
      <c r="D97" s="282" t="s">
        <v>353</v>
      </c>
      <c r="E97" s="282" t="s">
        <v>34</v>
      </c>
      <c r="F97" s="283" t="s">
        <v>133</v>
      </c>
      <c r="G97" s="288"/>
      <c r="H97" s="288"/>
      <c r="I97" s="288"/>
      <c r="J97" s="280">
        <f>((636872)+76000-76000)+56400</f>
        <v>693272</v>
      </c>
    </row>
    <row r="98" spans="1:10" s="227" customFormat="1" ht="30" x14ac:dyDescent="0.2">
      <c r="B98" s="354" t="s">
        <v>760</v>
      </c>
      <c r="C98" s="354" t="s">
        <v>761</v>
      </c>
      <c r="D98" s="354" t="s">
        <v>353</v>
      </c>
      <c r="E98" s="354" t="s">
        <v>762</v>
      </c>
      <c r="F98" s="283" t="s">
        <v>133</v>
      </c>
      <c r="G98" s="288"/>
      <c r="H98" s="288"/>
      <c r="I98" s="288"/>
      <c r="J98" s="355">
        <v>400000</v>
      </c>
    </row>
    <row r="99" spans="1:10" ht="30" x14ac:dyDescent="0.2">
      <c r="A99" s="29"/>
      <c r="B99" s="272" t="s">
        <v>78</v>
      </c>
      <c r="C99" s="272"/>
      <c r="D99" s="282"/>
      <c r="E99" s="272" t="s">
        <v>79</v>
      </c>
      <c r="F99" s="273"/>
      <c r="G99" s="285"/>
      <c r="H99" s="285"/>
      <c r="I99" s="285"/>
      <c r="J99" s="275">
        <f>SUM(J100:J103)</f>
        <v>2693929.3200000003</v>
      </c>
    </row>
    <row r="100" spans="1:10" s="227" customFormat="1" ht="45" x14ac:dyDescent="0.2">
      <c r="B100" s="282" t="s">
        <v>77</v>
      </c>
      <c r="C100" s="282" t="s">
        <v>366</v>
      </c>
      <c r="D100" s="282" t="s">
        <v>370</v>
      </c>
      <c r="E100" s="282" t="s">
        <v>114</v>
      </c>
      <c r="F100" s="283" t="s">
        <v>133</v>
      </c>
      <c r="G100" s="283"/>
      <c r="H100" s="283"/>
      <c r="I100" s="283"/>
      <c r="J100" s="280">
        <f>((1436800)-1374895.68+371460-60000)+3036</f>
        <v>376400.32000000007</v>
      </c>
    </row>
    <row r="101" spans="1:10" s="227" customFormat="1" ht="75" x14ac:dyDescent="0.2">
      <c r="B101" s="282" t="s">
        <v>77</v>
      </c>
      <c r="C101" s="282" t="s">
        <v>366</v>
      </c>
      <c r="D101" s="282" t="s">
        <v>370</v>
      </c>
      <c r="E101" s="282" t="s">
        <v>114</v>
      </c>
      <c r="F101" s="289" t="s">
        <v>883</v>
      </c>
      <c r="G101" s="283"/>
      <c r="H101" s="283"/>
      <c r="I101" s="283"/>
      <c r="J101" s="280">
        <v>195500</v>
      </c>
    </row>
    <row r="102" spans="1:10" ht="105" x14ac:dyDescent="0.2">
      <c r="A102" s="29"/>
      <c r="B102" s="282" t="s">
        <v>77</v>
      </c>
      <c r="C102" s="282" t="s">
        <v>366</v>
      </c>
      <c r="D102" s="282" t="s">
        <v>370</v>
      </c>
      <c r="E102" s="282" t="s">
        <v>114</v>
      </c>
      <c r="F102" s="289" t="s">
        <v>820</v>
      </c>
      <c r="G102" s="283">
        <v>5311662</v>
      </c>
      <c r="H102" s="290">
        <f t="shared" ref="H102:H109" si="3">I102/G102*100</f>
        <v>0</v>
      </c>
      <c r="I102" s="283">
        <v>0</v>
      </c>
      <c r="J102" s="280">
        <v>1002100</v>
      </c>
    </row>
    <row r="103" spans="1:10" ht="75" x14ac:dyDescent="0.2">
      <c r="A103" s="29"/>
      <c r="B103" s="282" t="s">
        <v>77</v>
      </c>
      <c r="C103" s="282" t="s">
        <v>366</v>
      </c>
      <c r="D103" s="282" t="s">
        <v>370</v>
      </c>
      <c r="E103" s="282" t="s">
        <v>114</v>
      </c>
      <c r="F103" s="289" t="s">
        <v>922</v>
      </c>
      <c r="G103" s="283">
        <v>4924335</v>
      </c>
      <c r="H103" s="290">
        <f t="shared" si="3"/>
        <v>8.1229242385806087E-7</v>
      </c>
      <c r="I103" s="283">
        <f>G103-3784849.36-17466-1122100+80.4</f>
        <v>4.0000000130390845E-2</v>
      </c>
      <c r="J103" s="280">
        <f>(1122100)-2171</f>
        <v>1119929</v>
      </c>
    </row>
    <row r="104" spans="1:10" ht="45" hidden="1" x14ac:dyDescent="0.2">
      <c r="A104" s="29"/>
      <c r="B104" s="377" t="s">
        <v>112</v>
      </c>
      <c r="C104" s="377" t="s">
        <v>358</v>
      </c>
      <c r="D104" s="377"/>
      <c r="E104" s="377" t="s">
        <v>752</v>
      </c>
      <c r="F104" s="273" t="s">
        <v>133</v>
      </c>
      <c r="G104" s="283"/>
      <c r="H104" s="290"/>
      <c r="I104" s="283"/>
      <c r="J104" s="375">
        <f>J105</f>
        <v>0</v>
      </c>
    </row>
    <row r="105" spans="1:10" ht="45" hidden="1" x14ac:dyDescent="0.2">
      <c r="A105" s="29"/>
      <c r="B105" s="374" t="s">
        <v>113</v>
      </c>
      <c r="C105" s="374" t="s">
        <v>359</v>
      </c>
      <c r="D105" s="374" t="s">
        <v>370</v>
      </c>
      <c r="E105" s="374" t="s">
        <v>753</v>
      </c>
      <c r="F105" s="283" t="s">
        <v>133</v>
      </c>
      <c r="G105" s="283"/>
      <c r="H105" s="290"/>
      <c r="I105" s="283"/>
      <c r="J105" s="375">
        <v>0</v>
      </c>
    </row>
    <row r="106" spans="1:10" ht="30" x14ac:dyDescent="0.2">
      <c r="A106" s="29"/>
      <c r="B106" s="272" t="s">
        <v>116</v>
      </c>
      <c r="C106" s="272" t="s">
        <v>368</v>
      </c>
      <c r="D106" s="272"/>
      <c r="E106" s="272" t="s">
        <v>81</v>
      </c>
      <c r="F106" s="273" t="s">
        <v>133</v>
      </c>
      <c r="G106" s="283"/>
      <c r="H106" s="290"/>
      <c r="I106" s="283"/>
      <c r="J106" s="275">
        <f>J107</f>
        <v>64400</v>
      </c>
    </row>
    <row r="107" spans="1:10" ht="30" x14ac:dyDescent="0.2">
      <c r="A107" s="29"/>
      <c r="B107" s="291" t="s">
        <v>84</v>
      </c>
      <c r="C107" s="291" t="s">
        <v>371</v>
      </c>
      <c r="D107" s="291" t="s">
        <v>370</v>
      </c>
      <c r="E107" s="282" t="s">
        <v>85</v>
      </c>
      <c r="F107" s="283" t="s">
        <v>133</v>
      </c>
      <c r="G107" s="283"/>
      <c r="H107" s="290"/>
      <c r="I107" s="283"/>
      <c r="J107" s="280">
        <f>(32400+45000)+387000-400000</f>
        <v>64400</v>
      </c>
    </row>
    <row r="108" spans="1:10" ht="30" x14ac:dyDescent="0.2">
      <c r="A108" s="29"/>
      <c r="B108" s="292" t="s">
        <v>372</v>
      </c>
      <c r="C108" s="292" t="s">
        <v>373</v>
      </c>
      <c r="D108" s="292" t="s">
        <v>324</v>
      </c>
      <c r="E108" s="381" t="s">
        <v>89</v>
      </c>
      <c r="F108" s="273" t="s">
        <v>133</v>
      </c>
      <c r="G108" s="283"/>
      <c r="H108" s="290"/>
      <c r="I108" s="283"/>
      <c r="J108" s="382">
        <f>509606-499606+18300</f>
        <v>28300</v>
      </c>
    </row>
    <row r="109" spans="1:10" ht="105" x14ac:dyDescent="0.2">
      <c r="A109" s="29"/>
      <c r="B109" s="292" t="s">
        <v>372</v>
      </c>
      <c r="C109" s="292" t="s">
        <v>373</v>
      </c>
      <c r="D109" s="292" t="s">
        <v>324</v>
      </c>
      <c r="E109" s="272" t="s">
        <v>89</v>
      </c>
      <c r="F109" s="276" t="s">
        <v>713</v>
      </c>
      <c r="G109" s="277">
        <v>6319252.7999999998</v>
      </c>
      <c r="H109" s="279">
        <f t="shared" si="3"/>
        <v>62.38479334138998</v>
      </c>
      <c r="I109" s="277">
        <f>G109-J109</f>
        <v>3942252.8</v>
      </c>
      <c r="J109" s="275">
        <f>(2500000)-123000</f>
        <v>2377000</v>
      </c>
    </row>
    <row r="110" spans="1:10" ht="45" x14ac:dyDescent="0.2">
      <c r="A110" s="29"/>
      <c r="B110" s="484" t="s">
        <v>312</v>
      </c>
      <c r="C110" s="484"/>
      <c r="D110" s="484"/>
      <c r="E110" s="484" t="s">
        <v>67</v>
      </c>
      <c r="F110" s="496"/>
      <c r="G110" s="496"/>
      <c r="H110" s="496"/>
      <c r="I110" s="496"/>
      <c r="J110" s="494">
        <f>J111</f>
        <v>227459984.88</v>
      </c>
    </row>
    <row r="111" spans="1:10" ht="45" customHeight="1" x14ac:dyDescent="0.2">
      <c r="A111" s="29"/>
      <c r="B111" s="488" t="s">
        <v>313</v>
      </c>
      <c r="C111" s="488"/>
      <c r="D111" s="488"/>
      <c r="E111" s="488" t="s">
        <v>95</v>
      </c>
      <c r="F111" s="496"/>
      <c r="G111" s="496"/>
      <c r="H111" s="496"/>
      <c r="I111" s="496"/>
      <c r="J111" s="497">
        <f>J113+J117+J118+J132+J139+J141+J142+J133+J112</f>
        <v>227459984.88</v>
      </c>
    </row>
    <row r="112" spans="1:10" ht="45" customHeight="1" x14ac:dyDescent="0.2">
      <c r="A112" s="29"/>
      <c r="B112" s="453" t="s">
        <v>1026</v>
      </c>
      <c r="C112" s="453" t="s">
        <v>433</v>
      </c>
      <c r="D112" s="453" t="s">
        <v>430</v>
      </c>
      <c r="E112" s="453" t="s">
        <v>431</v>
      </c>
      <c r="F112" s="273" t="s">
        <v>133</v>
      </c>
      <c r="G112" s="285"/>
      <c r="H112" s="285"/>
      <c r="I112" s="285"/>
      <c r="J112" s="277">
        <v>66000</v>
      </c>
    </row>
    <row r="113" spans="1:10" ht="53.25" customHeight="1" x14ac:dyDescent="0.2">
      <c r="A113" s="29"/>
      <c r="B113" s="272" t="s">
        <v>527</v>
      </c>
      <c r="C113" s="272" t="s">
        <v>528</v>
      </c>
      <c r="D113" s="272"/>
      <c r="E113" s="324" t="s">
        <v>531</v>
      </c>
      <c r="F113" s="273" t="s">
        <v>133</v>
      </c>
      <c r="G113" s="285"/>
      <c r="H113" s="285"/>
      <c r="I113" s="285"/>
      <c r="J113" s="303">
        <f>J114+J115+J116</f>
        <v>41166754</v>
      </c>
    </row>
    <row r="114" spans="1:10" ht="36" customHeight="1" x14ac:dyDescent="0.2">
      <c r="A114" s="29"/>
      <c r="B114" s="282" t="s">
        <v>529</v>
      </c>
      <c r="C114" s="282" t="s">
        <v>530</v>
      </c>
      <c r="D114" s="282" t="s">
        <v>533</v>
      </c>
      <c r="E114" s="315" t="s">
        <v>532</v>
      </c>
      <c r="F114" s="283" t="s">
        <v>133</v>
      </c>
      <c r="G114" s="283"/>
      <c r="H114" s="283"/>
      <c r="I114" s="283"/>
      <c r="J114" s="313">
        <f>(((1400000)+2866500)+805000)-124746+400000</f>
        <v>5346754</v>
      </c>
    </row>
    <row r="115" spans="1:10" ht="37.5" customHeight="1" x14ac:dyDescent="0.2">
      <c r="A115" s="29"/>
      <c r="B115" s="282" t="s">
        <v>567</v>
      </c>
      <c r="C115" s="282" t="s">
        <v>568</v>
      </c>
      <c r="D115" s="282" t="s">
        <v>533</v>
      </c>
      <c r="E115" s="315" t="s">
        <v>569</v>
      </c>
      <c r="F115" s="283" t="s">
        <v>133</v>
      </c>
      <c r="G115" s="283"/>
      <c r="H115" s="283"/>
      <c r="I115" s="283"/>
      <c r="J115" s="313">
        <f>((5000000)+600000)-580000</f>
        <v>5020000</v>
      </c>
    </row>
    <row r="116" spans="1:10" ht="53.25" customHeight="1" x14ac:dyDescent="0.2">
      <c r="A116" s="29"/>
      <c r="B116" s="282" t="s">
        <v>534</v>
      </c>
      <c r="C116" s="282" t="s">
        <v>535</v>
      </c>
      <c r="D116" s="282" t="s">
        <v>533</v>
      </c>
      <c r="E116" s="315" t="s">
        <v>536</v>
      </c>
      <c r="F116" s="283" t="s">
        <v>133</v>
      </c>
      <c r="G116" s="283"/>
      <c r="H116" s="283"/>
      <c r="I116" s="283"/>
      <c r="J116" s="313">
        <f>((34000000)+2000000)-2188000-3012000</f>
        <v>30800000</v>
      </c>
    </row>
    <row r="117" spans="1:10" ht="37.5" customHeight="1" x14ac:dyDescent="0.2">
      <c r="A117" s="29"/>
      <c r="B117" s="272" t="s">
        <v>540</v>
      </c>
      <c r="C117" s="272" t="s">
        <v>541</v>
      </c>
      <c r="D117" s="272" t="s">
        <v>533</v>
      </c>
      <c r="E117" s="324" t="s">
        <v>542</v>
      </c>
      <c r="F117" s="273" t="s">
        <v>133</v>
      </c>
      <c r="G117" s="273"/>
      <c r="H117" s="273"/>
      <c r="I117" s="273"/>
      <c r="J117" s="303">
        <f>(((10282110)+8145732+450000)+737600+100257)+303000</f>
        <v>20018699</v>
      </c>
    </row>
    <row r="118" spans="1:10" ht="37.5" customHeight="1" x14ac:dyDescent="0.2">
      <c r="A118" s="29"/>
      <c r="B118" s="272" t="s">
        <v>571</v>
      </c>
      <c r="C118" s="272" t="s">
        <v>572</v>
      </c>
      <c r="D118" s="272" t="s">
        <v>570</v>
      </c>
      <c r="E118" s="324" t="s">
        <v>625</v>
      </c>
      <c r="F118" s="273" t="s">
        <v>118</v>
      </c>
      <c r="G118" s="273"/>
      <c r="H118" s="273"/>
      <c r="I118" s="273"/>
      <c r="J118" s="275">
        <f>J119+J120+J121+J122+J123+J124+J125+J126+J127+J128+J129+J130+J131</f>
        <v>13212969.879999999</v>
      </c>
    </row>
    <row r="119" spans="1:10" ht="38.25" customHeight="1" x14ac:dyDescent="0.2">
      <c r="A119" s="29"/>
      <c r="B119" s="282" t="s">
        <v>571</v>
      </c>
      <c r="C119" s="282" t="s">
        <v>572</v>
      </c>
      <c r="D119" s="282" t="s">
        <v>570</v>
      </c>
      <c r="E119" s="315" t="s">
        <v>625</v>
      </c>
      <c r="F119" s="316" t="s">
        <v>135</v>
      </c>
      <c r="G119" s="283"/>
      <c r="H119" s="283"/>
      <c r="I119" s="283"/>
      <c r="J119" s="313">
        <f>(1500000)-402032</f>
        <v>1097968</v>
      </c>
    </row>
    <row r="120" spans="1:10" ht="126.75" customHeight="1" x14ac:dyDescent="0.2">
      <c r="A120" s="29"/>
      <c r="B120" s="282" t="s">
        <v>571</v>
      </c>
      <c r="C120" s="282" t="s">
        <v>572</v>
      </c>
      <c r="D120" s="282" t="s">
        <v>570</v>
      </c>
      <c r="E120" s="315" t="s">
        <v>625</v>
      </c>
      <c r="F120" s="316" t="s">
        <v>714</v>
      </c>
      <c r="G120" s="283">
        <v>12358847</v>
      </c>
      <c r="H120" s="290">
        <f t="shared" ref="H120" si="4">I120/G120*100</f>
        <v>97.572589093464785</v>
      </c>
      <c r="I120" s="283">
        <f>(7358847)+4700000</f>
        <v>12058847</v>
      </c>
      <c r="J120" s="313">
        <f>((5000000)-4700000)-196000</f>
        <v>104000</v>
      </c>
    </row>
    <row r="121" spans="1:10" ht="55.5" customHeight="1" x14ac:dyDescent="0.2">
      <c r="A121" s="29"/>
      <c r="B121" s="282" t="s">
        <v>571</v>
      </c>
      <c r="C121" s="282" t="s">
        <v>572</v>
      </c>
      <c r="D121" s="282" t="s">
        <v>570</v>
      </c>
      <c r="E121" s="315" t="s">
        <v>625</v>
      </c>
      <c r="F121" s="316" t="s">
        <v>297</v>
      </c>
      <c r="G121" s="283"/>
      <c r="H121" s="283"/>
      <c r="I121" s="283"/>
      <c r="J121" s="313">
        <f>((4000000)-3500000)-228000</f>
        <v>272000</v>
      </c>
    </row>
    <row r="122" spans="1:10" ht="33.75" customHeight="1" x14ac:dyDescent="0.2">
      <c r="A122" s="29"/>
      <c r="B122" s="282" t="s">
        <v>571</v>
      </c>
      <c r="C122" s="282" t="s">
        <v>572</v>
      </c>
      <c r="D122" s="282" t="s">
        <v>570</v>
      </c>
      <c r="E122" s="315" t="s">
        <v>625</v>
      </c>
      <c r="F122" s="316" t="s">
        <v>626</v>
      </c>
      <c r="G122" s="283"/>
      <c r="H122" s="283"/>
      <c r="I122" s="283"/>
      <c r="J122" s="313">
        <f>(2000000)-1900000</f>
        <v>100000</v>
      </c>
    </row>
    <row r="123" spans="1:10" ht="58.5" customHeight="1" x14ac:dyDescent="0.2">
      <c r="A123" s="29"/>
      <c r="B123" s="282" t="s">
        <v>571</v>
      </c>
      <c r="C123" s="282" t="s">
        <v>572</v>
      </c>
      <c r="D123" s="282" t="s">
        <v>570</v>
      </c>
      <c r="E123" s="315" t="s">
        <v>625</v>
      </c>
      <c r="F123" s="316" t="s">
        <v>627</v>
      </c>
      <c r="G123" s="283"/>
      <c r="H123" s="283"/>
      <c r="I123" s="283"/>
      <c r="J123" s="313">
        <f>((2000000)-1798554)-101446</f>
        <v>100000</v>
      </c>
    </row>
    <row r="124" spans="1:10" ht="66" customHeight="1" x14ac:dyDescent="0.2">
      <c r="A124" s="29"/>
      <c r="B124" s="282" t="s">
        <v>571</v>
      </c>
      <c r="C124" s="282" t="s">
        <v>572</v>
      </c>
      <c r="D124" s="282" t="s">
        <v>570</v>
      </c>
      <c r="E124" s="315" t="s">
        <v>625</v>
      </c>
      <c r="F124" s="316" t="s">
        <v>628</v>
      </c>
      <c r="G124" s="283"/>
      <c r="H124" s="283"/>
      <c r="I124" s="283"/>
      <c r="J124" s="313">
        <f>(500000)-109930</f>
        <v>390070</v>
      </c>
    </row>
    <row r="125" spans="1:10" ht="59.25" customHeight="1" x14ac:dyDescent="0.2">
      <c r="A125" s="29"/>
      <c r="B125" s="282" t="s">
        <v>571</v>
      </c>
      <c r="C125" s="282" t="s">
        <v>572</v>
      </c>
      <c r="D125" s="282" t="s">
        <v>570</v>
      </c>
      <c r="E125" s="315" t="s">
        <v>625</v>
      </c>
      <c r="F125" s="316" t="s">
        <v>3</v>
      </c>
      <c r="G125" s="283">
        <v>181970000</v>
      </c>
      <c r="H125" s="290">
        <f t="shared" ref="H125" si="5">I125/G125*100</f>
        <v>28.724515029949991</v>
      </c>
      <c r="I125" s="283">
        <f>57270000-5000000</f>
        <v>52270000</v>
      </c>
      <c r="J125" s="313">
        <f>(5000000)+5000000</f>
        <v>10000000</v>
      </c>
    </row>
    <row r="126" spans="1:10" ht="59.25" customHeight="1" x14ac:dyDescent="0.2">
      <c r="A126" s="29"/>
      <c r="B126" s="371" t="s">
        <v>571</v>
      </c>
      <c r="C126" s="371" t="s">
        <v>572</v>
      </c>
      <c r="D126" s="371" t="s">
        <v>570</v>
      </c>
      <c r="E126" s="315" t="s">
        <v>625</v>
      </c>
      <c r="F126" s="316" t="s">
        <v>1009</v>
      </c>
      <c r="G126" s="283"/>
      <c r="H126" s="290"/>
      <c r="I126" s="283"/>
      <c r="J126" s="313">
        <v>206000</v>
      </c>
    </row>
    <row r="127" spans="1:10" ht="114.75" customHeight="1" x14ac:dyDescent="0.2">
      <c r="A127" s="29"/>
      <c r="B127" s="349" t="s">
        <v>571</v>
      </c>
      <c r="C127" s="349" t="s">
        <v>572</v>
      </c>
      <c r="D127" s="349" t="s">
        <v>570</v>
      </c>
      <c r="E127" s="315" t="s">
        <v>625</v>
      </c>
      <c r="F127" s="319" t="s">
        <v>980</v>
      </c>
      <c r="G127" s="283"/>
      <c r="H127" s="283"/>
      <c r="I127" s="283"/>
      <c r="J127" s="313">
        <v>108.68</v>
      </c>
    </row>
    <row r="128" spans="1:10" ht="111" customHeight="1" x14ac:dyDescent="0.2">
      <c r="A128" s="29"/>
      <c r="B128" s="349" t="s">
        <v>571</v>
      </c>
      <c r="C128" s="349" t="s">
        <v>572</v>
      </c>
      <c r="D128" s="349" t="s">
        <v>570</v>
      </c>
      <c r="E128" s="315" t="s">
        <v>625</v>
      </c>
      <c r="F128" s="319" t="s">
        <v>981</v>
      </c>
      <c r="G128" s="283"/>
      <c r="H128" s="283"/>
      <c r="I128" s="283"/>
      <c r="J128" s="313">
        <v>115362.2</v>
      </c>
    </row>
    <row r="129" spans="1:10" ht="67.5" customHeight="1" x14ac:dyDescent="0.2">
      <c r="A129" s="29"/>
      <c r="B129" s="349" t="s">
        <v>571</v>
      </c>
      <c r="C129" s="349" t="s">
        <v>572</v>
      </c>
      <c r="D129" s="349" t="s">
        <v>570</v>
      </c>
      <c r="E129" s="315" t="s">
        <v>625</v>
      </c>
      <c r="F129" s="319" t="s">
        <v>982</v>
      </c>
      <c r="G129" s="283"/>
      <c r="H129" s="283"/>
      <c r="I129" s="283"/>
      <c r="J129" s="313">
        <v>3461</v>
      </c>
    </row>
    <row r="130" spans="1:10" ht="93" customHeight="1" x14ac:dyDescent="0.2">
      <c r="A130" s="29"/>
      <c r="B130" s="349" t="s">
        <v>571</v>
      </c>
      <c r="C130" s="349" t="s">
        <v>572</v>
      </c>
      <c r="D130" s="349" t="s">
        <v>570</v>
      </c>
      <c r="E130" s="315" t="s">
        <v>625</v>
      </c>
      <c r="F130" s="319" t="s">
        <v>983</v>
      </c>
      <c r="G130" s="283"/>
      <c r="H130" s="283"/>
      <c r="I130" s="283"/>
      <c r="J130" s="313">
        <v>800000</v>
      </c>
    </row>
    <row r="131" spans="1:10" ht="59.25" customHeight="1" x14ac:dyDescent="0.2">
      <c r="A131" s="29"/>
      <c r="B131" s="349" t="s">
        <v>571</v>
      </c>
      <c r="C131" s="349" t="s">
        <v>572</v>
      </c>
      <c r="D131" s="349" t="s">
        <v>570</v>
      </c>
      <c r="E131" s="315" t="s">
        <v>625</v>
      </c>
      <c r="F131" s="319" t="s">
        <v>987</v>
      </c>
      <c r="G131" s="283"/>
      <c r="H131" s="283"/>
      <c r="I131" s="283"/>
      <c r="J131" s="313">
        <v>24000</v>
      </c>
    </row>
    <row r="132" spans="1:10" ht="63" customHeight="1" x14ac:dyDescent="0.2">
      <c r="A132" s="29"/>
      <c r="B132" s="282" t="s">
        <v>721</v>
      </c>
      <c r="C132" s="282" t="s">
        <v>609</v>
      </c>
      <c r="D132" s="282" t="s">
        <v>570</v>
      </c>
      <c r="E132" s="315" t="s">
        <v>722</v>
      </c>
      <c r="F132" s="316" t="s">
        <v>723</v>
      </c>
      <c r="G132" s="283"/>
      <c r="H132" s="283"/>
      <c r="I132" s="283"/>
      <c r="J132" s="313">
        <v>700000</v>
      </c>
    </row>
    <row r="133" spans="1:10" ht="15" hidden="1" x14ac:dyDescent="0.2">
      <c r="A133" s="29"/>
      <c r="B133" s="272" t="s">
        <v>975</v>
      </c>
      <c r="C133" s="272" t="s">
        <v>976</v>
      </c>
      <c r="D133" s="272"/>
      <c r="E133" s="272" t="s">
        <v>974</v>
      </c>
      <c r="F133" s="273"/>
      <c r="G133" s="283"/>
      <c r="H133" s="283"/>
      <c r="I133" s="283"/>
      <c r="J133" s="303">
        <f>SUM(J134:J138)</f>
        <v>0</v>
      </c>
    </row>
    <row r="134" spans="1:10" ht="120" hidden="1" x14ac:dyDescent="0.2">
      <c r="A134" s="29"/>
      <c r="B134" s="350" t="s">
        <v>977</v>
      </c>
      <c r="C134" s="350" t="s">
        <v>979</v>
      </c>
      <c r="D134" s="350" t="s">
        <v>324</v>
      </c>
      <c r="E134" s="350" t="s">
        <v>978</v>
      </c>
      <c r="F134" s="351" t="s">
        <v>980</v>
      </c>
      <c r="G134" s="352"/>
      <c r="H134" s="352"/>
      <c r="I134" s="352"/>
      <c r="J134" s="353"/>
    </row>
    <row r="135" spans="1:10" ht="105" hidden="1" x14ac:dyDescent="0.2">
      <c r="A135" s="29"/>
      <c r="B135" s="350" t="s">
        <v>977</v>
      </c>
      <c r="C135" s="350" t="s">
        <v>979</v>
      </c>
      <c r="D135" s="350" t="s">
        <v>324</v>
      </c>
      <c r="E135" s="350" t="s">
        <v>978</v>
      </c>
      <c r="F135" s="351" t="s">
        <v>981</v>
      </c>
      <c r="G135" s="352"/>
      <c r="H135" s="352"/>
      <c r="I135" s="352"/>
      <c r="J135" s="353"/>
    </row>
    <row r="136" spans="1:10" ht="60" hidden="1" x14ac:dyDescent="0.2">
      <c r="A136" s="29"/>
      <c r="B136" s="350" t="s">
        <v>977</v>
      </c>
      <c r="C136" s="350" t="s">
        <v>979</v>
      </c>
      <c r="D136" s="350" t="s">
        <v>324</v>
      </c>
      <c r="E136" s="350" t="s">
        <v>978</v>
      </c>
      <c r="F136" s="351" t="s">
        <v>982</v>
      </c>
      <c r="G136" s="352"/>
      <c r="H136" s="352"/>
      <c r="I136" s="352"/>
      <c r="J136" s="353"/>
    </row>
    <row r="137" spans="1:10" ht="90" hidden="1" x14ac:dyDescent="0.2">
      <c r="A137" s="29"/>
      <c r="B137" s="350" t="s">
        <v>977</v>
      </c>
      <c r="C137" s="350" t="s">
        <v>979</v>
      </c>
      <c r="D137" s="350" t="s">
        <v>324</v>
      </c>
      <c r="E137" s="350" t="s">
        <v>978</v>
      </c>
      <c r="F137" s="351" t="s">
        <v>983</v>
      </c>
      <c r="G137" s="352"/>
      <c r="H137" s="352"/>
      <c r="I137" s="352"/>
      <c r="J137" s="353"/>
    </row>
    <row r="138" spans="1:10" ht="60" hidden="1" x14ac:dyDescent="0.2">
      <c r="A138" s="29"/>
      <c r="B138" s="350" t="s">
        <v>977</v>
      </c>
      <c r="C138" s="350" t="s">
        <v>979</v>
      </c>
      <c r="D138" s="350" t="s">
        <v>324</v>
      </c>
      <c r="E138" s="350" t="s">
        <v>978</v>
      </c>
      <c r="F138" s="351" t="s">
        <v>987</v>
      </c>
      <c r="G138" s="352"/>
      <c r="H138" s="352"/>
      <c r="I138" s="352"/>
      <c r="J138" s="353"/>
    </row>
    <row r="139" spans="1:10" ht="42" customHeight="1" x14ac:dyDescent="0.2">
      <c r="A139" s="29"/>
      <c r="B139" s="272" t="s">
        <v>550</v>
      </c>
      <c r="C139" s="272" t="s">
        <v>551</v>
      </c>
      <c r="D139" s="272"/>
      <c r="E139" s="314" t="s">
        <v>552</v>
      </c>
      <c r="F139" s="273" t="s">
        <v>133</v>
      </c>
      <c r="G139" s="273"/>
      <c r="H139" s="273"/>
      <c r="I139" s="273"/>
      <c r="J139" s="303">
        <f>J140</f>
        <v>90769850</v>
      </c>
    </row>
    <row r="140" spans="1:10" ht="66" customHeight="1" x14ac:dyDescent="0.2">
      <c r="A140" s="29"/>
      <c r="B140" s="282" t="s">
        <v>553</v>
      </c>
      <c r="C140" s="282" t="s">
        <v>554</v>
      </c>
      <c r="D140" s="282" t="s">
        <v>556</v>
      </c>
      <c r="E140" s="315" t="s">
        <v>555</v>
      </c>
      <c r="F140" s="283" t="s">
        <v>133</v>
      </c>
      <c r="G140" s="283"/>
      <c r="H140" s="283"/>
      <c r="I140" s="283"/>
      <c r="J140" s="313">
        <f>(((58865000)+25301210-1200000)+2430650+100000)+5272990</f>
        <v>90769850</v>
      </c>
    </row>
    <row r="141" spans="1:10" ht="26.25" customHeight="1" x14ac:dyDescent="0.2">
      <c r="A141" s="29"/>
      <c r="B141" s="272" t="s">
        <v>557</v>
      </c>
      <c r="C141" s="272" t="s">
        <v>403</v>
      </c>
      <c r="D141" s="272" t="s">
        <v>404</v>
      </c>
      <c r="E141" s="314" t="s">
        <v>99</v>
      </c>
      <c r="F141" s="273" t="s">
        <v>133</v>
      </c>
      <c r="G141" s="283"/>
      <c r="H141" s="283"/>
      <c r="I141" s="283"/>
      <c r="J141" s="303">
        <f>(((2000000)+1500000)-1700000)-150000</f>
        <v>1650000</v>
      </c>
    </row>
    <row r="142" spans="1:10" ht="36.75" customHeight="1" x14ac:dyDescent="0.2">
      <c r="A142" s="29"/>
      <c r="B142" s="272" t="s">
        <v>575</v>
      </c>
      <c r="C142" s="272" t="s">
        <v>373</v>
      </c>
      <c r="D142" s="272" t="s">
        <v>324</v>
      </c>
      <c r="E142" s="314" t="s">
        <v>89</v>
      </c>
      <c r="F142" s="273" t="s">
        <v>118</v>
      </c>
      <c r="G142" s="283" t="s">
        <v>291</v>
      </c>
      <c r="H142" s="283"/>
      <c r="I142" s="283"/>
      <c r="J142" s="303">
        <f>SUM(J143:J210)</f>
        <v>59875712</v>
      </c>
    </row>
    <row r="143" spans="1:10" ht="75" x14ac:dyDescent="0.2">
      <c r="A143" s="29"/>
      <c r="B143" s="282" t="s">
        <v>575</v>
      </c>
      <c r="C143" s="282" t="s">
        <v>373</v>
      </c>
      <c r="D143" s="282" t="s">
        <v>324</v>
      </c>
      <c r="E143" s="320" t="s">
        <v>89</v>
      </c>
      <c r="F143" s="317" t="s">
        <v>857</v>
      </c>
      <c r="G143" s="283"/>
      <c r="H143" s="283"/>
      <c r="I143" s="283"/>
      <c r="J143" s="313">
        <v>625000</v>
      </c>
    </row>
    <row r="144" spans="1:10" ht="60" x14ac:dyDescent="0.2">
      <c r="A144" s="29"/>
      <c r="B144" s="282" t="s">
        <v>575</v>
      </c>
      <c r="C144" s="282" t="s">
        <v>373</v>
      </c>
      <c r="D144" s="282" t="s">
        <v>324</v>
      </c>
      <c r="E144" s="320" t="s">
        <v>89</v>
      </c>
      <c r="F144" s="317" t="s">
        <v>858</v>
      </c>
      <c r="G144" s="283"/>
      <c r="H144" s="283"/>
      <c r="I144" s="283"/>
      <c r="J144" s="313">
        <f>322000-60676</f>
        <v>261324</v>
      </c>
    </row>
    <row r="145" spans="1:10" ht="45" x14ac:dyDescent="0.2">
      <c r="A145" s="29"/>
      <c r="B145" s="282" t="s">
        <v>575</v>
      </c>
      <c r="C145" s="282" t="s">
        <v>373</v>
      </c>
      <c r="D145" s="282" t="s">
        <v>324</v>
      </c>
      <c r="E145" s="320" t="s">
        <v>89</v>
      </c>
      <c r="F145" s="317" t="s">
        <v>859</v>
      </c>
      <c r="G145" s="283"/>
      <c r="H145" s="283"/>
      <c r="I145" s="283"/>
      <c r="J145" s="313">
        <f>71904-5702</f>
        <v>66202</v>
      </c>
    </row>
    <row r="146" spans="1:10" ht="45" x14ac:dyDescent="0.2">
      <c r="A146" s="29"/>
      <c r="B146" s="282" t="s">
        <v>575</v>
      </c>
      <c r="C146" s="282" t="s">
        <v>373</v>
      </c>
      <c r="D146" s="282" t="s">
        <v>324</v>
      </c>
      <c r="E146" s="320" t="s">
        <v>89</v>
      </c>
      <c r="F146" s="317" t="s">
        <v>860</v>
      </c>
      <c r="G146" s="283"/>
      <c r="H146" s="283"/>
      <c r="I146" s="283"/>
      <c r="J146" s="313">
        <v>3325590</v>
      </c>
    </row>
    <row r="147" spans="1:10" ht="60" x14ac:dyDescent="0.2">
      <c r="A147" s="29"/>
      <c r="B147" s="282" t="s">
        <v>575</v>
      </c>
      <c r="C147" s="282" t="s">
        <v>373</v>
      </c>
      <c r="D147" s="282" t="s">
        <v>324</v>
      </c>
      <c r="E147" s="320" t="s">
        <v>89</v>
      </c>
      <c r="F147" s="317" t="s">
        <v>861</v>
      </c>
      <c r="G147" s="283"/>
      <c r="H147" s="283"/>
      <c r="I147" s="283"/>
      <c r="J147" s="313">
        <v>120752</v>
      </c>
    </row>
    <row r="148" spans="1:10" ht="65.25" customHeight="1" x14ac:dyDescent="0.2">
      <c r="A148" s="29"/>
      <c r="B148" s="282" t="s">
        <v>575</v>
      </c>
      <c r="C148" s="282" t="s">
        <v>373</v>
      </c>
      <c r="D148" s="282" t="s">
        <v>324</v>
      </c>
      <c r="E148" s="315" t="s">
        <v>89</v>
      </c>
      <c r="F148" s="315" t="s">
        <v>629</v>
      </c>
      <c r="G148" s="283"/>
      <c r="H148" s="283"/>
      <c r="I148" s="283"/>
      <c r="J148" s="313">
        <v>353700</v>
      </c>
    </row>
    <row r="149" spans="1:10" ht="77.25" customHeight="1" x14ac:dyDescent="0.2">
      <c r="A149" s="29"/>
      <c r="B149" s="282" t="s">
        <v>575</v>
      </c>
      <c r="C149" s="282" t="s">
        <v>373</v>
      </c>
      <c r="D149" s="282" t="s">
        <v>324</v>
      </c>
      <c r="E149" s="315" t="s">
        <v>89</v>
      </c>
      <c r="F149" s="317" t="s">
        <v>630</v>
      </c>
      <c r="G149" s="283"/>
      <c r="H149" s="283"/>
      <c r="I149" s="283"/>
      <c r="J149" s="313">
        <f>450000-450000</f>
        <v>0</v>
      </c>
    </row>
    <row r="150" spans="1:10" ht="77.25" customHeight="1" x14ac:dyDescent="0.2">
      <c r="A150" s="29"/>
      <c r="B150" s="282" t="s">
        <v>575</v>
      </c>
      <c r="C150" s="282" t="s">
        <v>373</v>
      </c>
      <c r="D150" s="282" t="s">
        <v>324</v>
      </c>
      <c r="E150" s="315" t="s">
        <v>89</v>
      </c>
      <c r="F150" s="317" t="s">
        <v>862</v>
      </c>
      <c r="G150" s="283"/>
      <c r="H150" s="283"/>
      <c r="I150" s="283"/>
      <c r="J150" s="313">
        <f>(1820000)-380000</f>
        <v>1440000</v>
      </c>
    </row>
    <row r="151" spans="1:10" ht="77.25" customHeight="1" x14ac:dyDescent="0.2">
      <c r="A151" s="29"/>
      <c r="B151" s="282" t="s">
        <v>575</v>
      </c>
      <c r="C151" s="282" t="s">
        <v>373</v>
      </c>
      <c r="D151" s="282" t="s">
        <v>324</v>
      </c>
      <c r="E151" s="315" t="s">
        <v>89</v>
      </c>
      <c r="F151" s="317" t="s">
        <v>863</v>
      </c>
      <c r="G151" s="283"/>
      <c r="H151" s="283"/>
      <c r="I151" s="283"/>
      <c r="J151" s="313">
        <f>(797000)-52000</f>
        <v>745000</v>
      </c>
    </row>
    <row r="152" spans="1:10" ht="77.25" customHeight="1" x14ac:dyDescent="0.2">
      <c r="A152" s="29"/>
      <c r="B152" s="282" t="s">
        <v>575</v>
      </c>
      <c r="C152" s="282" t="s">
        <v>373</v>
      </c>
      <c r="D152" s="282" t="s">
        <v>324</v>
      </c>
      <c r="E152" s="315" t="s">
        <v>89</v>
      </c>
      <c r="F152" s="317" t="s">
        <v>864</v>
      </c>
      <c r="G152" s="283"/>
      <c r="H152" s="283"/>
      <c r="I152" s="283"/>
      <c r="J152" s="313">
        <v>238000</v>
      </c>
    </row>
    <row r="153" spans="1:10" ht="132" customHeight="1" x14ac:dyDescent="0.2">
      <c r="A153" s="29"/>
      <c r="B153" s="282" t="s">
        <v>575</v>
      </c>
      <c r="C153" s="282" t="s">
        <v>373</v>
      </c>
      <c r="D153" s="282" t="s">
        <v>324</v>
      </c>
      <c r="E153" s="315" t="s">
        <v>89</v>
      </c>
      <c r="F153" s="317" t="s">
        <v>923</v>
      </c>
      <c r="G153" s="283"/>
      <c r="H153" s="283"/>
      <c r="I153" s="283"/>
      <c r="J153" s="313">
        <v>1200000</v>
      </c>
    </row>
    <row r="154" spans="1:10" ht="77.25" customHeight="1" x14ac:dyDescent="0.2">
      <c r="A154" s="29"/>
      <c r="B154" s="282" t="s">
        <v>575</v>
      </c>
      <c r="C154" s="282" t="s">
        <v>373</v>
      </c>
      <c r="D154" s="282" t="s">
        <v>324</v>
      </c>
      <c r="E154" s="315" t="s">
        <v>89</v>
      </c>
      <c r="F154" s="317" t="s">
        <v>865</v>
      </c>
      <c r="G154" s="283"/>
      <c r="H154" s="283"/>
      <c r="I154" s="283"/>
      <c r="J154" s="313">
        <v>90000</v>
      </c>
    </row>
    <row r="155" spans="1:10" ht="77.25" customHeight="1" x14ac:dyDescent="0.2">
      <c r="A155" s="29"/>
      <c r="B155" s="282" t="s">
        <v>575</v>
      </c>
      <c r="C155" s="282" t="s">
        <v>373</v>
      </c>
      <c r="D155" s="282" t="s">
        <v>324</v>
      </c>
      <c r="E155" s="315" t="s">
        <v>89</v>
      </c>
      <c r="F155" s="317" t="s">
        <v>866</v>
      </c>
      <c r="G155" s="283"/>
      <c r="H155" s="283"/>
      <c r="I155" s="283"/>
      <c r="J155" s="313">
        <f>(109200)-3576</f>
        <v>105624</v>
      </c>
    </row>
    <row r="156" spans="1:10" ht="77.25" customHeight="1" x14ac:dyDescent="0.2">
      <c r="A156" s="29"/>
      <c r="B156" s="282" t="s">
        <v>575</v>
      </c>
      <c r="C156" s="282" t="s">
        <v>373</v>
      </c>
      <c r="D156" s="282" t="s">
        <v>324</v>
      </c>
      <c r="E156" s="315" t="s">
        <v>89</v>
      </c>
      <c r="F156" s="317" t="s">
        <v>989</v>
      </c>
      <c r="G156" s="283"/>
      <c r="H156" s="283"/>
      <c r="I156" s="283"/>
      <c r="J156" s="313">
        <f>(350000)-25000</f>
        <v>325000</v>
      </c>
    </row>
    <row r="157" spans="1:10" ht="77.25" customHeight="1" x14ac:dyDescent="0.2">
      <c r="A157" s="29"/>
      <c r="B157" s="282" t="s">
        <v>575</v>
      </c>
      <c r="C157" s="282" t="s">
        <v>373</v>
      </c>
      <c r="D157" s="282" t="s">
        <v>324</v>
      </c>
      <c r="E157" s="315" t="s">
        <v>89</v>
      </c>
      <c r="F157" s="317" t="s">
        <v>1013</v>
      </c>
      <c r="G157" s="283"/>
      <c r="H157" s="283"/>
      <c r="I157" s="283"/>
      <c r="J157" s="313">
        <v>21998</v>
      </c>
    </row>
    <row r="158" spans="1:10" ht="75" x14ac:dyDescent="0.2">
      <c r="A158" s="29"/>
      <c r="B158" s="370" t="s">
        <v>575</v>
      </c>
      <c r="C158" s="370" t="s">
        <v>373</v>
      </c>
      <c r="D158" s="370" t="s">
        <v>324</v>
      </c>
      <c r="E158" s="315" t="s">
        <v>89</v>
      </c>
      <c r="F158" s="317" t="s">
        <v>992</v>
      </c>
      <c r="G158" s="283"/>
      <c r="H158" s="283"/>
      <c r="I158" s="283"/>
      <c r="J158" s="313">
        <v>200000</v>
      </c>
    </row>
    <row r="159" spans="1:10" ht="51.75" customHeight="1" x14ac:dyDescent="0.2">
      <c r="A159" s="29"/>
      <c r="B159" s="282" t="s">
        <v>575</v>
      </c>
      <c r="C159" s="282" t="s">
        <v>373</v>
      </c>
      <c r="D159" s="282" t="s">
        <v>324</v>
      </c>
      <c r="E159" s="315" t="s">
        <v>89</v>
      </c>
      <c r="F159" s="317" t="s">
        <v>635</v>
      </c>
      <c r="G159" s="283"/>
      <c r="H159" s="283"/>
      <c r="I159" s="283"/>
      <c r="J159" s="321">
        <v>550000</v>
      </c>
    </row>
    <row r="160" spans="1:10" ht="120" x14ac:dyDescent="0.2">
      <c r="A160" s="29"/>
      <c r="B160" s="282" t="s">
        <v>575</v>
      </c>
      <c r="C160" s="282" t="s">
        <v>373</v>
      </c>
      <c r="D160" s="282" t="s">
        <v>324</v>
      </c>
      <c r="E160" s="315" t="s">
        <v>89</v>
      </c>
      <c r="F160" s="317" t="s">
        <v>647</v>
      </c>
      <c r="G160" s="283"/>
      <c r="H160" s="283"/>
      <c r="I160" s="283"/>
      <c r="J160" s="313">
        <f>((2000000)+5371102)-309500</f>
        <v>7061602</v>
      </c>
    </row>
    <row r="161" spans="1:10" ht="105" x14ac:dyDescent="0.2">
      <c r="A161" s="29"/>
      <c r="B161" s="282" t="s">
        <v>575</v>
      </c>
      <c r="C161" s="282" t="s">
        <v>373</v>
      </c>
      <c r="D161" s="282" t="s">
        <v>324</v>
      </c>
      <c r="E161" s="315" t="s">
        <v>89</v>
      </c>
      <c r="F161" s="317" t="s">
        <v>867</v>
      </c>
      <c r="G161" s="283"/>
      <c r="H161" s="283"/>
      <c r="I161" s="283"/>
      <c r="J161" s="313">
        <v>298804</v>
      </c>
    </row>
    <row r="162" spans="1:10" ht="90" x14ac:dyDescent="0.2">
      <c r="A162" s="29"/>
      <c r="B162" s="282" t="s">
        <v>575</v>
      </c>
      <c r="C162" s="282" t="s">
        <v>373</v>
      </c>
      <c r="D162" s="282" t="s">
        <v>324</v>
      </c>
      <c r="E162" s="315" t="s">
        <v>89</v>
      </c>
      <c r="F162" s="317" t="s">
        <v>924</v>
      </c>
      <c r="G162" s="283"/>
      <c r="H162" s="283"/>
      <c r="I162" s="283"/>
      <c r="J162" s="313">
        <f>(1908200)-88000</f>
        <v>1820200</v>
      </c>
    </row>
    <row r="163" spans="1:10" ht="105" x14ac:dyDescent="0.2">
      <c r="A163" s="29"/>
      <c r="B163" s="282" t="s">
        <v>575</v>
      </c>
      <c r="C163" s="282" t="s">
        <v>373</v>
      </c>
      <c r="D163" s="282" t="s">
        <v>324</v>
      </c>
      <c r="E163" s="315" t="s">
        <v>89</v>
      </c>
      <c r="F163" s="317" t="s">
        <v>868</v>
      </c>
      <c r="G163" s="283"/>
      <c r="H163" s="283"/>
      <c r="I163" s="283"/>
      <c r="J163" s="313">
        <f>(543210)-1687</f>
        <v>541523</v>
      </c>
    </row>
    <row r="164" spans="1:10" ht="105" x14ac:dyDescent="0.2">
      <c r="A164" s="29"/>
      <c r="B164" s="282" t="s">
        <v>575</v>
      </c>
      <c r="C164" s="282" t="s">
        <v>373</v>
      </c>
      <c r="D164" s="282" t="s">
        <v>324</v>
      </c>
      <c r="E164" s="315" t="s">
        <v>89</v>
      </c>
      <c r="F164" s="317" t="s">
        <v>869</v>
      </c>
      <c r="G164" s="283"/>
      <c r="H164" s="283"/>
      <c r="I164" s="283"/>
      <c r="J164" s="313">
        <f>(517586)-93500</f>
        <v>424086</v>
      </c>
    </row>
    <row r="165" spans="1:10" ht="75" x14ac:dyDescent="0.2">
      <c r="A165" s="29"/>
      <c r="B165" s="282" t="s">
        <v>575</v>
      </c>
      <c r="C165" s="282" t="s">
        <v>373</v>
      </c>
      <c r="D165" s="282" t="s">
        <v>324</v>
      </c>
      <c r="E165" s="315" t="s">
        <v>89</v>
      </c>
      <c r="F165" s="317" t="s">
        <v>1014</v>
      </c>
      <c r="G165" s="283"/>
      <c r="H165" s="283"/>
      <c r="I165" s="283"/>
      <c r="J165" s="313">
        <f>((700000)+1798554)-48600</f>
        <v>2449954</v>
      </c>
    </row>
    <row r="166" spans="1:10" ht="135" x14ac:dyDescent="0.2">
      <c r="A166" s="29"/>
      <c r="B166" s="282" t="s">
        <v>575</v>
      </c>
      <c r="C166" s="282" t="s">
        <v>373</v>
      </c>
      <c r="D166" s="282" t="s">
        <v>324</v>
      </c>
      <c r="E166" s="315" t="s">
        <v>89</v>
      </c>
      <c r="F166" s="317" t="s">
        <v>1015</v>
      </c>
      <c r="G166" s="318"/>
      <c r="H166" s="318"/>
      <c r="I166" s="318"/>
      <c r="J166" s="313">
        <v>1750000</v>
      </c>
    </row>
    <row r="167" spans="1:10" ht="102" customHeight="1" x14ac:dyDescent="0.2">
      <c r="A167" s="29"/>
      <c r="B167" s="282" t="s">
        <v>575</v>
      </c>
      <c r="C167" s="282" t="s">
        <v>373</v>
      </c>
      <c r="D167" s="282" t="s">
        <v>324</v>
      </c>
      <c r="E167" s="315" t="s">
        <v>89</v>
      </c>
      <c r="F167" s="317" t="s">
        <v>894</v>
      </c>
      <c r="G167" s="283"/>
      <c r="H167" s="283"/>
      <c r="I167" s="283"/>
      <c r="J167" s="313">
        <f>((1330000)-200000)-67870</f>
        <v>1062130</v>
      </c>
    </row>
    <row r="168" spans="1:10" ht="89.25" customHeight="1" x14ac:dyDescent="0.2">
      <c r="A168" s="29"/>
      <c r="B168" s="282" t="s">
        <v>575</v>
      </c>
      <c r="C168" s="282" t="s">
        <v>373</v>
      </c>
      <c r="D168" s="282" t="s">
        <v>324</v>
      </c>
      <c r="E168" s="315" t="s">
        <v>89</v>
      </c>
      <c r="F168" s="317" t="s">
        <v>895</v>
      </c>
      <c r="G168" s="283"/>
      <c r="H168" s="283"/>
      <c r="I168" s="283"/>
      <c r="J168" s="313">
        <v>2000000</v>
      </c>
    </row>
    <row r="169" spans="1:10" ht="135" x14ac:dyDescent="0.2">
      <c r="A169" s="29"/>
      <c r="B169" s="282" t="s">
        <v>575</v>
      </c>
      <c r="C169" s="282" t="s">
        <v>373</v>
      </c>
      <c r="D169" s="282" t="s">
        <v>324</v>
      </c>
      <c r="E169" s="315" t="s">
        <v>89</v>
      </c>
      <c r="F169" s="317" t="s">
        <v>896</v>
      </c>
      <c r="G169" s="283"/>
      <c r="H169" s="283"/>
      <c r="I169" s="283"/>
      <c r="J169" s="313">
        <v>2000000</v>
      </c>
    </row>
    <row r="170" spans="1:10" ht="75" x14ac:dyDescent="0.2">
      <c r="A170" s="29"/>
      <c r="B170" s="282" t="s">
        <v>575</v>
      </c>
      <c r="C170" s="282" t="s">
        <v>373</v>
      </c>
      <c r="D170" s="282" t="s">
        <v>324</v>
      </c>
      <c r="E170" s="315" t="s">
        <v>89</v>
      </c>
      <c r="F170" s="317" t="s">
        <v>897</v>
      </c>
      <c r="G170" s="283"/>
      <c r="H170" s="283"/>
      <c r="I170" s="283"/>
      <c r="J170" s="313">
        <v>383000</v>
      </c>
    </row>
    <row r="171" spans="1:10" ht="90" x14ac:dyDescent="0.2">
      <c r="A171" s="29"/>
      <c r="B171" s="282" t="s">
        <v>575</v>
      </c>
      <c r="C171" s="282" t="s">
        <v>373</v>
      </c>
      <c r="D171" s="282" t="s">
        <v>324</v>
      </c>
      <c r="E171" s="315" t="s">
        <v>89</v>
      </c>
      <c r="F171" s="317" t="s">
        <v>870</v>
      </c>
      <c r="G171" s="283"/>
      <c r="H171" s="283"/>
      <c r="I171" s="283"/>
      <c r="J171" s="313">
        <v>208964</v>
      </c>
    </row>
    <row r="172" spans="1:10" ht="105" x14ac:dyDescent="0.2">
      <c r="A172" s="29"/>
      <c r="B172" s="282" t="s">
        <v>575</v>
      </c>
      <c r="C172" s="282" t="s">
        <v>373</v>
      </c>
      <c r="D172" s="282" t="s">
        <v>324</v>
      </c>
      <c r="E172" s="315" t="s">
        <v>89</v>
      </c>
      <c r="F172" s="317" t="s">
        <v>871</v>
      </c>
      <c r="G172" s="283"/>
      <c r="H172" s="283"/>
      <c r="I172" s="283"/>
      <c r="J172" s="313">
        <f>(546450)-44439</f>
        <v>502011</v>
      </c>
    </row>
    <row r="173" spans="1:10" ht="90" x14ac:dyDescent="0.2">
      <c r="A173" s="29"/>
      <c r="B173" s="282" t="s">
        <v>575</v>
      </c>
      <c r="C173" s="282" t="s">
        <v>373</v>
      </c>
      <c r="D173" s="282" t="s">
        <v>324</v>
      </c>
      <c r="E173" s="315" t="s">
        <v>89</v>
      </c>
      <c r="F173" s="317" t="s">
        <v>1011</v>
      </c>
      <c r="G173" s="283"/>
      <c r="H173" s="283"/>
      <c r="I173" s="283"/>
      <c r="J173" s="313">
        <f>(421426)+168570</f>
        <v>589996</v>
      </c>
    </row>
    <row r="174" spans="1:10" ht="90" x14ac:dyDescent="0.2">
      <c r="A174" s="29"/>
      <c r="B174" s="282" t="s">
        <v>575</v>
      </c>
      <c r="C174" s="282" t="s">
        <v>373</v>
      </c>
      <c r="D174" s="282" t="s">
        <v>324</v>
      </c>
      <c r="E174" s="315" t="s">
        <v>89</v>
      </c>
      <c r="F174" s="317" t="s">
        <v>1012</v>
      </c>
      <c r="G174" s="283"/>
      <c r="H174" s="283"/>
      <c r="I174" s="283"/>
      <c r="J174" s="313">
        <f>(109000)+44000</f>
        <v>153000</v>
      </c>
    </row>
    <row r="175" spans="1:10" ht="75" x14ac:dyDescent="0.2">
      <c r="A175" s="29"/>
      <c r="B175" s="282" t="s">
        <v>575</v>
      </c>
      <c r="C175" s="282" t="s">
        <v>373</v>
      </c>
      <c r="D175" s="282" t="s">
        <v>324</v>
      </c>
      <c r="E175" s="315" t="s">
        <v>89</v>
      </c>
      <c r="F175" s="317" t="s">
        <v>898</v>
      </c>
      <c r="G175" s="283"/>
      <c r="H175" s="283"/>
      <c r="I175" s="283"/>
      <c r="J175" s="313">
        <v>675000</v>
      </c>
    </row>
    <row r="176" spans="1:10" ht="156" customHeight="1" x14ac:dyDescent="0.2">
      <c r="A176" s="29"/>
      <c r="B176" s="282" t="s">
        <v>575</v>
      </c>
      <c r="C176" s="282" t="s">
        <v>373</v>
      </c>
      <c r="D176" s="282" t="s">
        <v>324</v>
      </c>
      <c r="E176" s="315" t="s">
        <v>89</v>
      </c>
      <c r="F176" s="317" t="s">
        <v>1051</v>
      </c>
      <c r="G176" s="283"/>
      <c r="H176" s="283"/>
      <c r="I176" s="283"/>
      <c r="J176" s="313">
        <v>3385670</v>
      </c>
    </row>
    <row r="177" spans="1:10" ht="220.5" customHeight="1" x14ac:dyDescent="0.2">
      <c r="A177" s="29"/>
      <c r="B177" s="543" t="s">
        <v>575</v>
      </c>
      <c r="C177" s="543" t="s">
        <v>373</v>
      </c>
      <c r="D177" s="543" t="s">
        <v>324</v>
      </c>
      <c r="E177" s="315" t="s">
        <v>89</v>
      </c>
      <c r="F177" s="317" t="s">
        <v>1039</v>
      </c>
      <c r="G177" s="283"/>
      <c r="H177" s="283"/>
      <c r="I177" s="283"/>
      <c r="J177" s="313">
        <v>3200000</v>
      </c>
    </row>
    <row r="178" spans="1:10" ht="105" x14ac:dyDescent="0.2">
      <c r="A178" s="29"/>
      <c r="B178" s="282" t="s">
        <v>575</v>
      </c>
      <c r="C178" s="282" t="s">
        <v>373</v>
      </c>
      <c r="D178" s="282" t="s">
        <v>324</v>
      </c>
      <c r="E178" s="315" t="s">
        <v>89</v>
      </c>
      <c r="F178" s="317" t="s">
        <v>886</v>
      </c>
      <c r="G178" s="283"/>
      <c r="H178" s="283"/>
      <c r="I178" s="283"/>
      <c r="J178" s="313">
        <v>898020</v>
      </c>
    </row>
    <row r="179" spans="1:10" ht="97.5" customHeight="1" x14ac:dyDescent="0.2">
      <c r="A179" s="29"/>
      <c r="B179" s="282" t="s">
        <v>575</v>
      </c>
      <c r="C179" s="282" t="s">
        <v>373</v>
      </c>
      <c r="D179" s="282" t="s">
        <v>324</v>
      </c>
      <c r="E179" s="315" t="s">
        <v>89</v>
      </c>
      <c r="F179" s="317" t="s">
        <v>887</v>
      </c>
      <c r="G179" s="283"/>
      <c r="H179" s="283"/>
      <c r="I179" s="283"/>
      <c r="J179" s="313">
        <f>(300000)-1670</f>
        <v>298330</v>
      </c>
    </row>
    <row r="180" spans="1:10" ht="90" x14ac:dyDescent="0.2">
      <c r="A180" s="29"/>
      <c r="B180" s="282" t="s">
        <v>575</v>
      </c>
      <c r="C180" s="282" t="s">
        <v>373</v>
      </c>
      <c r="D180" s="282" t="s">
        <v>324</v>
      </c>
      <c r="E180" s="315" t="s">
        <v>89</v>
      </c>
      <c r="F180" s="317" t="s">
        <v>1016</v>
      </c>
      <c r="G180" s="283"/>
      <c r="H180" s="283"/>
      <c r="I180" s="283"/>
      <c r="J180" s="313">
        <v>100000</v>
      </c>
    </row>
    <row r="181" spans="1:10" ht="75" x14ac:dyDescent="0.2">
      <c r="A181" s="29"/>
      <c r="B181" s="282" t="s">
        <v>575</v>
      </c>
      <c r="C181" s="282" t="s">
        <v>373</v>
      </c>
      <c r="D181" s="282" t="s">
        <v>324</v>
      </c>
      <c r="E181" s="315" t="s">
        <v>89</v>
      </c>
      <c r="F181" s="317" t="s">
        <v>985</v>
      </c>
      <c r="G181" s="283"/>
      <c r="H181" s="283"/>
      <c r="I181" s="283"/>
      <c r="J181" s="313">
        <v>93914</v>
      </c>
    </row>
    <row r="182" spans="1:10" ht="75" x14ac:dyDescent="0.2">
      <c r="A182" s="29"/>
      <c r="B182" s="282" t="s">
        <v>575</v>
      </c>
      <c r="C182" s="282" t="s">
        <v>373</v>
      </c>
      <c r="D182" s="282" t="s">
        <v>324</v>
      </c>
      <c r="E182" s="315" t="s">
        <v>89</v>
      </c>
      <c r="F182" s="317" t="s">
        <v>993</v>
      </c>
      <c r="G182" s="283"/>
      <c r="H182" s="283"/>
      <c r="I182" s="283"/>
      <c r="J182" s="313">
        <v>299976</v>
      </c>
    </row>
    <row r="183" spans="1:10" ht="75" x14ac:dyDescent="0.2">
      <c r="A183" s="29"/>
      <c r="B183" s="282" t="s">
        <v>575</v>
      </c>
      <c r="C183" s="282" t="s">
        <v>373</v>
      </c>
      <c r="D183" s="282" t="s">
        <v>324</v>
      </c>
      <c r="E183" s="315" t="s">
        <v>89</v>
      </c>
      <c r="F183" s="317" t="s">
        <v>994</v>
      </c>
      <c r="G183" s="283"/>
      <c r="H183" s="283"/>
      <c r="I183" s="283"/>
      <c r="J183" s="313">
        <v>555871</v>
      </c>
    </row>
    <row r="184" spans="1:10" ht="75" x14ac:dyDescent="0.2">
      <c r="A184" s="29"/>
      <c r="B184" s="282" t="s">
        <v>575</v>
      </c>
      <c r="C184" s="282" t="s">
        <v>373</v>
      </c>
      <c r="D184" s="282" t="s">
        <v>324</v>
      </c>
      <c r="E184" s="315" t="s">
        <v>89</v>
      </c>
      <c r="F184" s="317" t="s">
        <v>995</v>
      </c>
      <c r="G184" s="283"/>
      <c r="H184" s="283"/>
      <c r="I184" s="283"/>
      <c r="J184" s="313">
        <v>172344</v>
      </c>
    </row>
    <row r="185" spans="1:10" ht="90" x14ac:dyDescent="0.2">
      <c r="A185" s="29"/>
      <c r="B185" s="282" t="s">
        <v>575</v>
      </c>
      <c r="C185" s="282" t="s">
        <v>373</v>
      </c>
      <c r="D185" s="282" t="s">
        <v>324</v>
      </c>
      <c r="E185" s="315" t="s">
        <v>89</v>
      </c>
      <c r="F185" s="317" t="s">
        <v>996</v>
      </c>
      <c r="G185" s="283"/>
      <c r="H185" s="283"/>
      <c r="I185" s="283"/>
      <c r="J185" s="313">
        <v>276116</v>
      </c>
    </row>
    <row r="186" spans="1:10" ht="105" x14ac:dyDescent="0.2">
      <c r="A186" s="29"/>
      <c r="B186" s="282" t="s">
        <v>575</v>
      </c>
      <c r="C186" s="282" t="s">
        <v>373</v>
      </c>
      <c r="D186" s="282" t="s">
        <v>324</v>
      </c>
      <c r="E186" s="315" t="s">
        <v>89</v>
      </c>
      <c r="F186" s="317" t="s">
        <v>986</v>
      </c>
      <c r="G186" s="283"/>
      <c r="H186" s="283"/>
      <c r="I186" s="283"/>
      <c r="J186" s="313">
        <v>200000</v>
      </c>
    </row>
    <row r="187" spans="1:10" ht="84" customHeight="1" x14ac:dyDescent="0.2">
      <c r="A187" s="29"/>
      <c r="B187" s="282" t="s">
        <v>575</v>
      </c>
      <c r="C187" s="282" t="s">
        <v>373</v>
      </c>
      <c r="D187" s="282" t="s">
        <v>324</v>
      </c>
      <c r="E187" s="315" t="s">
        <v>89</v>
      </c>
      <c r="F187" s="317" t="s">
        <v>908</v>
      </c>
      <c r="G187" s="283"/>
      <c r="H187" s="283"/>
      <c r="I187" s="283"/>
      <c r="J187" s="313">
        <f>(2500000)+1060000</f>
        <v>3560000</v>
      </c>
    </row>
    <row r="188" spans="1:10" ht="81.75" customHeight="1" x14ac:dyDescent="0.2">
      <c r="A188" s="29"/>
      <c r="B188" s="282" t="s">
        <v>575</v>
      </c>
      <c r="C188" s="282" t="s">
        <v>373</v>
      </c>
      <c r="D188" s="282" t="s">
        <v>324</v>
      </c>
      <c r="E188" s="315" t="s">
        <v>89</v>
      </c>
      <c r="F188" s="317" t="s">
        <v>909</v>
      </c>
      <c r="G188" s="283"/>
      <c r="H188" s="283"/>
      <c r="I188" s="283"/>
      <c r="J188" s="313">
        <v>900000</v>
      </c>
    </row>
    <row r="189" spans="1:10" ht="92.25" customHeight="1" x14ac:dyDescent="0.2">
      <c r="A189" s="29"/>
      <c r="B189" s="282" t="s">
        <v>575</v>
      </c>
      <c r="C189" s="282" t="s">
        <v>373</v>
      </c>
      <c r="D189" s="282" t="s">
        <v>324</v>
      </c>
      <c r="E189" s="315" t="s">
        <v>89</v>
      </c>
      <c r="F189" s="317" t="s">
        <v>910</v>
      </c>
      <c r="G189" s="283"/>
      <c r="H189" s="283"/>
      <c r="I189" s="283"/>
      <c r="J189" s="313">
        <v>900000</v>
      </c>
    </row>
    <row r="190" spans="1:10" ht="94.5" customHeight="1" x14ac:dyDescent="0.2">
      <c r="A190" s="29"/>
      <c r="B190" s="282" t="s">
        <v>575</v>
      </c>
      <c r="C190" s="282" t="s">
        <v>373</v>
      </c>
      <c r="D190" s="282" t="s">
        <v>324</v>
      </c>
      <c r="E190" s="315" t="s">
        <v>89</v>
      </c>
      <c r="F190" s="317" t="s">
        <v>911</v>
      </c>
      <c r="G190" s="283"/>
      <c r="H190" s="283"/>
      <c r="I190" s="283"/>
      <c r="J190" s="313">
        <v>1100000</v>
      </c>
    </row>
    <row r="191" spans="1:10" ht="107.25" customHeight="1" x14ac:dyDescent="0.2">
      <c r="A191" s="29"/>
      <c r="B191" s="282" t="s">
        <v>575</v>
      </c>
      <c r="C191" s="282" t="s">
        <v>373</v>
      </c>
      <c r="D191" s="282" t="s">
        <v>324</v>
      </c>
      <c r="E191" s="315" t="s">
        <v>89</v>
      </c>
      <c r="F191" s="317" t="s">
        <v>888</v>
      </c>
      <c r="G191" s="283"/>
      <c r="H191" s="283"/>
      <c r="I191" s="283"/>
      <c r="J191" s="313">
        <v>1170000</v>
      </c>
    </row>
    <row r="192" spans="1:10" ht="88.5" customHeight="1" x14ac:dyDescent="0.2">
      <c r="A192" s="29"/>
      <c r="B192" s="282" t="s">
        <v>575</v>
      </c>
      <c r="C192" s="282" t="s">
        <v>373</v>
      </c>
      <c r="D192" s="282" t="s">
        <v>324</v>
      </c>
      <c r="E192" s="315" t="s">
        <v>89</v>
      </c>
      <c r="F192" s="317" t="s">
        <v>906</v>
      </c>
      <c r="G192" s="283"/>
      <c r="H192" s="283"/>
      <c r="I192" s="283"/>
      <c r="J192" s="313">
        <v>1300000</v>
      </c>
    </row>
    <row r="193" spans="1:10" ht="73.5" customHeight="1" x14ac:dyDescent="0.2">
      <c r="A193" s="29"/>
      <c r="B193" s="282" t="s">
        <v>575</v>
      </c>
      <c r="C193" s="282" t="s">
        <v>373</v>
      </c>
      <c r="D193" s="282" t="s">
        <v>324</v>
      </c>
      <c r="E193" s="315" t="s">
        <v>89</v>
      </c>
      <c r="F193" s="317" t="s">
        <v>907</v>
      </c>
      <c r="G193" s="283"/>
      <c r="H193" s="283"/>
      <c r="I193" s="283"/>
      <c r="J193" s="313">
        <v>1430000</v>
      </c>
    </row>
    <row r="194" spans="1:10" ht="96" customHeight="1" x14ac:dyDescent="0.2">
      <c r="A194" s="29"/>
      <c r="B194" s="282" t="s">
        <v>575</v>
      </c>
      <c r="C194" s="282" t="s">
        <v>373</v>
      </c>
      <c r="D194" s="282" t="s">
        <v>324</v>
      </c>
      <c r="E194" s="315" t="s">
        <v>89</v>
      </c>
      <c r="F194" s="317" t="s">
        <v>889</v>
      </c>
      <c r="G194" s="283"/>
      <c r="H194" s="283"/>
      <c r="I194" s="283"/>
      <c r="J194" s="313">
        <v>1000000</v>
      </c>
    </row>
    <row r="195" spans="1:10" ht="77.25" customHeight="1" x14ac:dyDescent="0.2">
      <c r="A195" s="29"/>
      <c r="B195" s="282" t="s">
        <v>575</v>
      </c>
      <c r="C195" s="282" t="s">
        <v>373</v>
      </c>
      <c r="D195" s="282" t="s">
        <v>324</v>
      </c>
      <c r="E195" s="315" t="s">
        <v>89</v>
      </c>
      <c r="F195" s="317" t="s">
        <v>872</v>
      </c>
      <c r="G195" s="283"/>
      <c r="H195" s="283"/>
      <c r="I195" s="283"/>
      <c r="J195" s="313">
        <v>2326868</v>
      </c>
    </row>
    <row r="196" spans="1:10" ht="90" x14ac:dyDescent="0.2">
      <c r="A196" s="29"/>
      <c r="B196" s="282" t="s">
        <v>575</v>
      </c>
      <c r="C196" s="282" t="s">
        <v>373</v>
      </c>
      <c r="D196" s="282" t="s">
        <v>324</v>
      </c>
      <c r="E196" s="315" t="s">
        <v>89</v>
      </c>
      <c r="F196" s="317" t="s">
        <v>873</v>
      </c>
      <c r="G196" s="283"/>
      <c r="H196" s="283"/>
      <c r="I196" s="283"/>
      <c r="J196" s="313">
        <f>(3496790)-72380</f>
        <v>3424410</v>
      </c>
    </row>
    <row r="197" spans="1:10" ht="132.75" customHeight="1" x14ac:dyDescent="0.2">
      <c r="A197" s="29"/>
      <c r="B197" s="282" t="s">
        <v>575</v>
      </c>
      <c r="C197" s="282" t="s">
        <v>373</v>
      </c>
      <c r="D197" s="282" t="s">
        <v>324</v>
      </c>
      <c r="E197" s="315" t="s">
        <v>89</v>
      </c>
      <c r="F197" s="317" t="s">
        <v>990</v>
      </c>
      <c r="G197" s="283"/>
      <c r="H197" s="283"/>
      <c r="I197" s="283"/>
      <c r="J197" s="313">
        <v>280881</v>
      </c>
    </row>
    <row r="198" spans="1:10" ht="105" x14ac:dyDescent="0.2">
      <c r="A198" s="29"/>
      <c r="B198" s="282" t="s">
        <v>575</v>
      </c>
      <c r="C198" s="282" t="s">
        <v>373</v>
      </c>
      <c r="D198" s="282" t="s">
        <v>324</v>
      </c>
      <c r="E198" s="315" t="s">
        <v>89</v>
      </c>
      <c r="F198" s="317" t="s">
        <v>997</v>
      </c>
      <c r="G198" s="283"/>
      <c r="H198" s="283"/>
      <c r="I198" s="283"/>
      <c r="J198" s="313">
        <v>122352</v>
      </c>
    </row>
    <row r="199" spans="1:10" ht="15" hidden="1" x14ac:dyDescent="0.2">
      <c r="A199" s="29"/>
      <c r="B199" s="282"/>
      <c r="C199" s="282"/>
      <c r="D199" s="282"/>
      <c r="E199" s="315"/>
      <c r="F199" s="317"/>
      <c r="G199" s="283"/>
      <c r="H199" s="283"/>
      <c r="I199" s="283"/>
      <c r="J199" s="313"/>
    </row>
    <row r="200" spans="1:10" ht="15" hidden="1" x14ac:dyDescent="0.2">
      <c r="A200" s="29"/>
      <c r="B200" s="282"/>
      <c r="C200" s="282"/>
      <c r="D200" s="282"/>
      <c r="E200" s="315"/>
      <c r="F200" s="317"/>
      <c r="G200" s="283"/>
      <c r="H200" s="283"/>
      <c r="I200" s="283"/>
      <c r="J200" s="313"/>
    </row>
    <row r="201" spans="1:10" ht="60" x14ac:dyDescent="0.2">
      <c r="A201" s="29"/>
      <c r="B201" s="282" t="s">
        <v>575</v>
      </c>
      <c r="C201" s="282" t="s">
        <v>373</v>
      </c>
      <c r="D201" s="282" t="s">
        <v>324</v>
      </c>
      <c r="E201" s="315" t="s">
        <v>89</v>
      </c>
      <c r="F201" s="317" t="s">
        <v>874</v>
      </c>
      <c r="G201" s="283"/>
      <c r="H201" s="283"/>
      <c r="I201" s="283"/>
      <c r="J201" s="313">
        <v>960000</v>
      </c>
    </row>
    <row r="202" spans="1:10" ht="75" x14ac:dyDescent="0.2">
      <c r="A202" s="29"/>
      <c r="B202" s="282" t="s">
        <v>575</v>
      </c>
      <c r="C202" s="282" t="s">
        <v>373</v>
      </c>
      <c r="D202" s="282" t="s">
        <v>324</v>
      </c>
      <c r="E202" s="315" t="s">
        <v>89</v>
      </c>
      <c r="F202" s="317" t="s">
        <v>875</v>
      </c>
      <c r="G202" s="283"/>
      <c r="H202" s="283"/>
      <c r="I202" s="283"/>
      <c r="J202" s="313">
        <v>15500</v>
      </c>
    </row>
    <row r="203" spans="1:10" ht="75" x14ac:dyDescent="0.2">
      <c r="A203" s="29"/>
      <c r="B203" s="282" t="s">
        <v>575</v>
      </c>
      <c r="C203" s="282" t="s">
        <v>373</v>
      </c>
      <c r="D203" s="282" t="s">
        <v>324</v>
      </c>
      <c r="E203" s="315" t="s">
        <v>89</v>
      </c>
      <c r="F203" s="317" t="s">
        <v>876</v>
      </c>
      <c r="G203" s="283"/>
      <c r="H203" s="283"/>
      <c r="I203" s="283"/>
      <c r="J203" s="313">
        <v>31000</v>
      </c>
    </row>
    <row r="204" spans="1:10" ht="75" x14ac:dyDescent="0.2">
      <c r="A204" s="29"/>
      <c r="B204" s="282" t="s">
        <v>575</v>
      </c>
      <c r="C204" s="282" t="s">
        <v>373</v>
      </c>
      <c r="D204" s="282" t="s">
        <v>324</v>
      </c>
      <c r="E204" s="315" t="s">
        <v>89</v>
      </c>
      <c r="F204" s="317" t="s">
        <v>877</v>
      </c>
      <c r="G204" s="283"/>
      <c r="H204" s="283"/>
      <c r="I204" s="283"/>
      <c r="J204" s="313">
        <v>31000</v>
      </c>
    </row>
    <row r="205" spans="1:10" ht="75" x14ac:dyDescent="0.2">
      <c r="A205" s="29"/>
      <c r="B205" s="282" t="s">
        <v>575</v>
      </c>
      <c r="C205" s="282" t="s">
        <v>373</v>
      </c>
      <c r="D205" s="282" t="s">
        <v>324</v>
      </c>
      <c r="E205" s="315" t="s">
        <v>89</v>
      </c>
      <c r="F205" s="317" t="s">
        <v>878</v>
      </c>
      <c r="G205" s="283"/>
      <c r="H205" s="283"/>
      <c r="I205" s="283"/>
      <c r="J205" s="313">
        <v>31000</v>
      </c>
    </row>
    <row r="206" spans="1:10" ht="75" x14ac:dyDescent="0.2">
      <c r="A206" s="29"/>
      <c r="B206" s="282" t="s">
        <v>575</v>
      </c>
      <c r="C206" s="282" t="s">
        <v>373</v>
      </c>
      <c r="D206" s="282" t="s">
        <v>324</v>
      </c>
      <c r="E206" s="315" t="s">
        <v>89</v>
      </c>
      <c r="F206" s="317" t="s">
        <v>879</v>
      </c>
      <c r="G206" s="283"/>
      <c r="H206" s="283"/>
      <c r="I206" s="283"/>
      <c r="J206" s="313">
        <v>62000</v>
      </c>
    </row>
    <row r="207" spans="1:10" ht="75" x14ac:dyDescent="0.2">
      <c r="A207" s="29"/>
      <c r="B207" s="282" t="s">
        <v>575</v>
      </c>
      <c r="C207" s="282" t="s">
        <v>373</v>
      </c>
      <c r="D207" s="282" t="s">
        <v>324</v>
      </c>
      <c r="E207" s="315" t="s">
        <v>89</v>
      </c>
      <c r="F207" s="317" t="s">
        <v>880</v>
      </c>
      <c r="G207" s="283"/>
      <c r="H207" s="283"/>
      <c r="I207" s="283"/>
      <c r="J207" s="313">
        <v>62000</v>
      </c>
    </row>
    <row r="208" spans="1:10" ht="75" x14ac:dyDescent="0.2">
      <c r="A208" s="29"/>
      <c r="B208" s="282" t="s">
        <v>575</v>
      </c>
      <c r="C208" s="282" t="s">
        <v>373</v>
      </c>
      <c r="D208" s="282" t="s">
        <v>324</v>
      </c>
      <c r="E208" s="315" t="s">
        <v>89</v>
      </c>
      <c r="F208" s="317" t="s">
        <v>881</v>
      </c>
      <c r="G208" s="283"/>
      <c r="H208" s="283"/>
      <c r="I208" s="283"/>
      <c r="J208" s="313">
        <f>(31000)-31000</f>
        <v>0</v>
      </c>
    </row>
    <row r="209" spans="1:11" ht="75" x14ac:dyDescent="0.2">
      <c r="A209" s="29"/>
      <c r="B209" s="282" t="s">
        <v>575</v>
      </c>
      <c r="C209" s="282" t="s">
        <v>373</v>
      </c>
      <c r="D209" s="282" t="s">
        <v>324</v>
      </c>
      <c r="E209" s="315" t="s">
        <v>89</v>
      </c>
      <c r="F209" s="317" t="s">
        <v>882</v>
      </c>
      <c r="G209" s="283"/>
      <c r="H209" s="283"/>
      <c r="I209" s="283"/>
      <c r="J209" s="313">
        <v>100000</v>
      </c>
    </row>
    <row r="210" spans="1:11" ht="15" hidden="1" customHeight="1" x14ac:dyDescent="0.2">
      <c r="A210" s="29"/>
      <c r="B210" s="282"/>
      <c r="C210" s="282"/>
      <c r="D210" s="282"/>
      <c r="E210" s="315"/>
      <c r="F210" s="317"/>
      <c r="G210" s="283"/>
      <c r="H210" s="283"/>
      <c r="I210" s="283"/>
      <c r="J210" s="313"/>
    </row>
    <row r="211" spans="1:11" ht="75" x14ac:dyDescent="0.2">
      <c r="A211" s="29"/>
      <c r="B211" s="484" t="s">
        <v>69</v>
      </c>
      <c r="C211" s="484"/>
      <c r="D211" s="484"/>
      <c r="E211" s="484" t="s">
        <v>931</v>
      </c>
      <c r="F211" s="496"/>
      <c r="G211" s="496"/>
      <c r="H211" s="496"/>
      <c r="I211" s="496"/>
      <c r="J211" s="494">
        <f>J212</f>
        <v>124047594</v>
      </c>
    </row>
    <row r="212" spans="1:11" ht="71.25" x14ac:dyDescent="0.2">
      <c r="A212" s="29"/>
      <c r="B212" s="488" t="s">
        <v>70</v>
      </c>
      <c r="C212" s="488"/>
      <c r="D212" s="488"/>
      <c r="E212" s="488" t="s">
        <v>930</v>
      </c>
      <c r="F212" s="496"/>
      <c r="G212" s="496"/>
      <c r="H212" s="496"/>
      <c r="I212" s="496"/>
      <c r="J212" s="497">
        <f>J213+J230+J232+J234+J235+J236+J237+J238+J239+J240+J241+J244+J233+J242+J243+J231</f>
        <v>124047594</v>
      </c>
    </row>
    <row r="213" spans="1:11" ht="30" x14ac:dyDescent="0.2">
      <c r="A213" s="29"/>
      <c r="B213" s="356" t="s">
        <v>599</v>
      </c>
      <c r="C213" s="356" t="s">
        <v>600</v>
      </c>
      <c r="D213" s="356"/>
      <c r="E213" s="356" t="s">
        <v>598</v>
      </c>
      <c r="F213" s="369"/>
      <c r="G213" s="273"/>
      <c r="H213" s="273"/>
      <c r="I213" s="273"/>
      <c r="J213" s="366">
        <f>SUM(J214:J229)</f>
        <v>100442200</v>
      </c>
    </row>
    <row r="214" spans="1:11" ht="45" x14ac:dyDescent="0.2">
      <c r="A214" s="29"/>
      <c r="B214" s="354" t="s">
        <v>602</v>
      </c>
      <c r="C214" s="354" t="s">
        <v>603</v>
      </c>
      <c r="D214" s="354" t="s">
        <v>570</v>
      </c>
      <c r="E214" s="354" t="s">
        <v>601</v>
      </c>
      <c r="F214" s="363" t="s">
        <v>899</v>
      </c>
      <c r="G214" s="281">
        <f>160515935</f>
        <v>160515935</v>
      </c>
      <c r="H214" s="290">
        <f t="shared" ref="H214:H223" si="6">I214/G214*100</f>
        <v>53.140353323799282</v>
      </c>
      <c r="I214" s="281">
        <v>85298735</v>
      </c>
      <c r="J214" s="359">
        <f>(((9888000)+10000000)+10000000)+1500000</f>
        <v>31388000</v>
      </c>
    </row>
    <row r="215" spans="1:11" ht="102" customHeight="1" x14ac:dyDescent="0.2">
      <c r="A215" s="29"/>
      <c r="B215" s="354" t="s">
        <v>602</v>
      </c>
      <c r="C215" s="354" t="s">
        <v>603</v>
      </c>
      <c r="D215" s="354" t="s">
        <v>570</v>
      </c>
      <c r="E215" s="354" t="s">
        <v>601</v>
      </c>
      <c r="F215" s="301" t="s">
        <v>935</v>
      </c>
      <c r="G215" s="313"/>
      <c r="H215" s="290"/>
      <c r="I215" s="313"/>
      <c r="J215" s="361">
        <v>5000000</v>
      </c>
    </row>
    <row r="216" spans="1:11" ht="60" x14ac:dyDescent="0.2">
      <c r="A216" s="29"/>
      <c r="B216" s="354" t="s">
        <v>602</v>
      </c>
      <c r="C216" s="354" t="s">
        <v>603</v>
      </c>
      <c r="D216" s="354" t="s">
        <v>570</v>
      </c>
      <c r="E216" s="354" t="s">
        <v>601</v>
      </c>
      <c r="F216" s="364" t="s">
        <v>848</v>
      </c>
      <c r="G216" s="281">
        <f>(18108013)+12288187-311800</f>
        <v>30084400</v>
      </c>
      <c r="H216" s="290">
        <f t="shared" si="6"/>
        <v>83.407570036297884</v>
      </c>
      <c r="I216" s="281">
        <v>25092667</v>
      </c>
      <c r="J216" s="359">
        <f>((5000000)-1000000)+600000</f>
        <v>4600000</v>
      </c>
      <c r="K216" s="189"/>
    </row>
    <row r="217" spans="1:11" ht="60" x14ac:dyDescent="0.2">
      <c r="A217" s="29"/>
      <c r="B217" s="354" t="s">
        <v>602</v>
      </c>
      <c r="C217" s="354" t="s">
        <v>603</v>
      </c>
      <c r="D217" s="354" t="s">
        <v>570</v>
      </c>
      <c r="E217" s="354" t="s">
        <v>601</v>
      </c>
      <c r="F217" s="364" t="s">
        <v>849</v>
      </c>
      <c r="G217" s="313">
        <f>21126292-145692</f>
        <v>20980600</v>
      </c>
      <c r="H217" s="290">
        <f t="shared" si="6"/>
        <v>0</v>
      </c>
      <c r="I217" s="313">
        <v>0</v>
      </c>
      <c r="J217" s="361">
        <f>((4000000)+2000000+2795000)-145000</f>
        <v>8650000</v>
      </c>
    </row>
    <row r="218" spans="1:11" ht="60" x14ac:dyDescent="0.2">
      <c r="A218" s="29"/>
      <c r="B218" s="354" t="s">
        <v>602</v>
      </c>
      <c r="C218" s="354" t="s">
        <v>603</v>
      </c>
      <c r="D218" s="354" t="s">
        <v>570</v>
      </c>
      <c r="E218" s="354" t="s">
        <v>601</v>
      </c>
      <c r="F218" s="364" t="s">
        <v>4</v>
      </c>
      <c r="G218" s="281">
        <f>(24955463)+5054637</f>
        <v>30010100</v>
      </c>
      <c r="H218" s="290">
        <f t="shared" si="6"/>
        <v>76.382392827747992</v>
      </c>
      <c r="I218" s="281">
        <v>22922432.469999999</v>
      </c>
      <c r="J218" s="359">
        <f>(((3000000)+2000000)-1000000)+1000000</f>
        <v>5000000</v>
      </c>
    </row>
    <row r="219" spans="1:11" ht="90" x14ac:dyDescent="0.2">
      <c r="A219" s="29"/>
      <c r="B219" s="354" t="s">
        <v>602</v>
      </c>
      <c r="C219" s="354" t="s">
        <v>603</v>
      </c>
      <c r="D219" s="354" t="s">
        <v>570</v>
      </c>
      <c r="E219" s="354" t="s">
        <v>601</v>
      </c>
      <c r="F219" s="364" t="s">
        <v>5</v>
      </c>
      <c r="G219" s="281">
        <f>(6639195)+3899305-1999900</f>
        <v>8538600</v>
      </c>
      <c r="H219" s="290">
        <f t="shared" si="6"/>
        <v>0</v>
      </c>
      <c r="I219" s="281">
        <v>0</v>
      </c>
      <c r="J219" s="359">
        <f>((3000000)+3000000)-782800</f>
        <v>5217200</v>
      </c>
    </row>
    <row r="220" spans="1:11" ht="75" x14ac:dyDescent="0.2">
      <c r="A220" s="29"/>
      <c r="B220" s="354" t="s">
        <v>602</v>
      </c>
      <c r="C220" s="354" t="s">
        <v>603</v>
      </c>
      <c r="D220" s="354" t="s">
        <v>570</v>
      </c>
      <c r="E220" s="354" t="s">
        <v>601</v>
      </c>
      <c r="F220" s="364" t="s">
        <v>850</v>
      </c>
      <c r="G220" s="281">
        <f>(15302238)+15435062</f>
        <v>30737300</v>
      </c>
      <c r="H220" s="290">
        <f t="shared" si="6"/>
        <v>65.316732439088668</v>
      </c>
      <c r="I220" s="281">
        <v>20076600</v>
      </c>
      <c r="J220" s="359">
        <f>(((3000000)+1000000)+2000000)+500000</f>
        <v>6500000</v>
      </c>
    </row>
    <row r="221" spans="1:11" ht="105" x14ac:dyDescent="0.2">
      <c r="A221" s="29"/>
      <c r="B221" s="354" t="s">
        <v>602</v>
      </c>
      <c r="C221" s="354" t="s">
        <v>603</v>
      </c>
      <c r="D221" s="354" t="s">
        <v>570</v>
      </c>
      <c r="E221" s="354" t="s">
        <v>601</v>
      </c>
      <c r="F221" s="364" t="s">
        <v>801</v>
      </c>
      <c r="G221" s="281">
        <v>1919400</v>
      </c>
      <c r="H221" s="290">
        <f t="shared" si="6"/>
        <v>0</v>
      </c>
      <c r="I221" s="281">
        <v>0</v>
      </c>
      <c r="J221" s="359">
        <f>(300000)-138000</f>
        <v>162000</v>
      </c>
    </row>
    <row r="222" spans="1:11" ht="90" x14ac:dyDescent="0.2">
      <c r="A222" s="29"/>
      <c r="B222" s="354" t="s">
        <v>602</v>
      </c>
      <c r="C222" s="354" t="s">
        <v>603</v>
      </c>
      <c r="D222" s="354" t="s">
        <v>570</v>
      </c>
      <c r="E222" s="354" t="s">
        <v>601</v>
      </c>
      <c r="F222" s="364" t="s">
        <v>934</v>
      </c>
      <c r="G222" s="313">
        <f>9300000+10829899</f>
        <v>20129899</v>
      </c>
      <c r="H222" s="290">
        <f t="shared" si="6"/>
        <v>98.484840882708852</v>
      </c>
      <c r="I222" s="313">
        <f>(6795000)+2200000+10829899</f>
        <v>19824899</v>
      </c>
      <c r="J222" s="361">
        <f>(4000000-1495000)-2200000</f>
        <v>305000</v>
      </c>
    </row>
    <row r="223" spans="1:11" ht="105" x14ac:dyDescent="0.2">
      <c r="A223" s="29"/>
      <c r="B223" s="354" t="s">
        <v>602</v>
      </c>
      <c r="C223" s="354" t="s">
        <v>603</v>
      </c>
      <c r="D223" s="354" t="s">
        <v>570</v>
      </c>
      <c r="E223" s="354" t="s">
        <v>601</v>
      </c>
      <c r="F223" s="364" t="s">
        <v>965</v>
      </c>
      <c r="G223" s="313">
        <f>8700000+6796500</f>
        <v>15496500</v>
      </c>
      <c r="H223" s="290">
        <f t="shared" si="6"/>
        <v>93.901848804568772</v>
      </c>
      <c r="I223" s="313">
        <f>(6000000)+1755000+6796500</f>
        <v>14551500</v>
      </c>
      <c r="J223" s="361">
        <f>(4000000-1300000)-1755000</f>
        <v>945000</v>
      </c>
    </row>
    <row r="224" spans="1:11" ht="120" x14ac:dyDescent="0.2">
      <c r="A224" s="29"/>
      <c r="B224" s="354" t="s">
        <v>602</v>
      </c>
      <c r="C224" s="354" t="s">
        <v>603</v>
      </c>
      <c r="D224" s="354" t="s">
        <v>570</v>
      </c>
      <c r="E224" s="354" t="s">
        <v>601</v>
      </c>
      <c r="F224" s="364" t="s">
        <v>802</v>
      </c>
      <c r="G224" s="281"/>
      <c r="H224" s="283"/>
      <c r="I224" s="281"/>
      <c r="J224" s="359">
        <v>250000</v>
      </c>
    </row>
    <row r="225" spans="1:10" ht="105" x14ac:dyDescent="0.2">
      <c r="A225" s="29"/>
      <c r="B225" s="354" t="s">
        <v>604</v>
      </c>
      <c r="C225" s="354" t="s">
        <v>605</v>
      </c>
      <c r="D225" s="354" t="s">
        <v>570</v>
      </c>
      <c r="E225" s="354" t="s">
        <v>606</v>
      </c>
      <c r="F225" s="360" t="s">
        <v>900</v>
      </c>
      <c r="G225" s="281"/>
      <c r="H225" s="283"/>
      <c r="I225" s="281"/>
      <c r="J225" s="359">
        <f>((510000)+80000)+35000</f>
        <v>625000</v>
      </c>
    </row>
    <row r="226" spans="1:10" ht="90" x14ac:dyDescent="0.2">
      <c r="A226" s="29"/>
      <c r="B226" s="354" t="s">
        <v>604</v>
      </c>
      <c r="C226" s="354" t="s">
        <v>605</v>
      </c>
      <c r="D226" s="354" t="s">
        <v>570</v>
      </c>
      <c r="E226" s="354" t="s">
        <v>606</v>
      </c>
      <c r="F226" s="358" t="s">
        <v>851</v>
      </c>
      <c r="G226" s="281"/>
      <c r="H226" s="283"/>
      <c r="I226" s="281"/>
      <c r="J226" s="359">
        <f>((5000000)-2000000-1000000+250000-2200000)+1200000</f>
        <v>1250000</v>
      </c>
    </row>
    <row r="227" spans="1:10" ht="75" x14ac:dyDescent="0.2">
      <c r="A227" s="29"/>
      <c r="B227" s="354" t="s">
        <v>604</v>
      </c>
      <c r="C227" s="354" t="s">
        <v>605</v>
      </c>
      <c r="D227" s="354" t="s">
        <v>570</v>
      </c>
      <c r="E227" s="354" t="s">
        <v>606</v>
      </c>
      <c r="F227" s="316" t="s">
        <v>852</v>
      </c>
      <c r="G227" s="313">
        <f>288696000-5834500</f>
        <v>282861500</v>
      </c>
      <c r="H227" s="318">
        <f>I227/G227*100</f>
        <v>87.448097390418994</v>
      </c>
      <c r="I227" s="313">
        <f>G227-2670000-5834500-J228</f>
        <v>247357000</v>
      </c>
      <c r="J227" s="361">
        <f>(1200000+5000000)-3530000</f>
        <v>2670000</v>
      </c>
    </row>
    <row r="228" spans="1:10" ht="120" x14ac:dyDescent="0.2">
      <c r="A228" s="29"/>
      <c r="B228" s="354" t="s">
        <v>604</v>
      </c>
      <c r="C228" s="354" t="s">
        <v>605</v>
      </c>
      <c r="D228" s="354" t="s">
        <v>570</v>
      </c>
      <c r="E228" s="354" t="s">
        <v>606</v>
      </c>
      <c r="F228" s="316" t="s">
        <v>936</v>
      </c>
      <c r="G228" s="313"/>
      <c r="H228" s="318"/>
      <c r="I228" s="313"/>
      <c r="J228" s="361">
        <v>27000000</v>
      </c>
    </row>
    <row r="229" spans="1:10" ht="75" x14ac:dyDescent="0.2">
      <c r="A229" s="29"/>
      <c r="B229" s="354" t="s">
        <v>604</v>
      </c>
      <c r="C229" s="354" t="s">
        <v>605</v>
      </c>
      <c r="D229" s="354" t="s">
        <v>570</v>
      </c>
      <c r="E229" s="354" t="s">
        <v>606</v>
      </c>
      <c r="F229" s="362" t="s">
        <v>853</v>
      </c>
      <c r="G229" s="281">
        <f>178000000</f>
        <v>178000000</v>
      </c>
      <c r="H229" s="279">
        <f t="shared" ref="H229:H230" si="7">I229/G229*100</f>
        <v>99.50561797752809</v>
      </c>
      <c r="I229" s="281">
        <f>G229-1480000+600000</f>
        <v>177120000</v>
      </c>
      <c r="J229" s="359">
        <f>((1200000)+280000)-600000</f>
        <v>880000</v>
      </c>
    </row>
    <row r="230" spans="1:10" ht="75" x14ac:dyDescent="0.2">
      <c r="A230" s="29"/>
      <c r="B230" s="356" t="s">
        <v>608</v>
      </c>
      <c r="C230" s="356" t="s">
        <v>609</v>
      </c>
      <c r="D230" s="356" t="s">
        <v>570</v>
      </c>
      <c r="E230" s="356" t="s">
        <v>607</v>
      </c>
      <c r="F230" s="365" t="s">
        <v>901</v>
      </c>
      <c r="G230" s="277">
        <f>(16874496)+1019604</f>
        <v>17894100</v>
      </c>
      <c r="H230" s="279">
        <f t="shared" si="7"/>
        <v>16.091918565337178</v>
      </c>
      <c r="I230" s="277">
        <f>((5859900)-3000000+1019604)-1000000</f>
        <v>2879504</v>
      </c>
      <c r="J230" s="366">
        <f>((3000000)+3000000)+1000000</f>
        <v>7000000</v>
      </c>
    </row>
    <row r="231" spans="1:10" ht="60" x14ac:dyDescent="0.2">
      <c r="A231" s="29"/>
      <c r="B231" s="356" t="s">
        <v>608</v>
      </c>
      <c r="C231" s="356" t="s">
        <v>609</v>
      </c>
      <c r="D231" s="356" t="s">
        <v>570</v>
      </c>
      <c r="E231" s="356" t="s">
        <v>607</v>
      </c>
      <c r="F231" s="365" t="s">
        <v>905</v>
      </c>
      <c r="G231" s="277">
        <v>977000</v>
      </c>
      <c r="H231" s="279">
        <f t="shared" ref="H231" si="8">I231/G231*100</f>
        <v>0</v>
      </c>
      <c r="I231" s="277">
        <v>0</v>
      </c>
      <c r="J231" s="366">
        <f>(1000000-250000)+227000</f>
        <v>977000</v>
      </c>
    </row>
    <row r="232" spans="1:10" ht="60" x14ac:dyDescent="0.2">
      <c r="A232" s="29"/>
      <c r="B232" s="356" t="s">
        <v>608</v>
      </c>
      <c r="C232" s="356" t="s">
        <v>609</v>
      </c>
      <c r="D232" s="356" t="s">
        <v>570</v>
      </c>
      <c r="E232" s="356" t="s">
        <v>607</v>
      </c>
      <c r="F232" s="365" t="s">
        <v>916</v>
      </c>
      <c r="G232" s="277"/>
      <c r="H232" s="283"/>
      <c r="I232" s="277"/>
      <c r="J232" s="366">
        <f>(230000)+112000</f>
        <v>342000</v>
      </c>
    </row>
    <row r="233" spans="1:10" ht="75" x14ac:dyDescent="0.2">
      <c r="A233" s="29"/>
      <c r="B233" s="356" t="s">
        <v>608</v>
      </c>
      <c r="C233" s="356" t="s">
        <v>609</v>
      </c>
      <c r="D233" s="356" t="s">
        <v>570</v>
      </c>
      <c r="E233" s="356" t="s">
        <v>607</v>
      </c>
      <c r="F233" s="365" t="s">
        <v>902</v>
      </c>
      <c r="G233" s="277"/>
      <c r="H233" s="283"/>
      <c r="I233" s="277"/>
      <c r="J233" s="366">
        <f>(360000)+300000</f>
        <v>660000</v>
      </c>
    </row>
    <row r="234" spans="1:10" ht="60" x14ac:dyDescent="0.2">
      <c r="A234" s="29"/>
      <c r="B234" s="356" t="s">
        <v>608</v>
      </c>
      <c r="C234" s="356" t="s">
        <v>609</v>
      </c>
      <c r="D234" s="356" t="s">
        <v>570</v>
      </c>
      <c r="E234" s="356" t="s">
        <v>607</v>
      </c>
      <c r="F234" s="365" t="s">
        <v>917</v>
      </c>
      <c r="G234" s="277"/>
      <c r="H234" s="283"/>
      <c r="I234" s="277"/>
      <c r="J234" s="366">
        <f>(100000)-100000</f>
        <v>0</v>
      </c>
    </row>
    <row r="235" spans="1:10" ht="60" x14ac:dyDescent="0.2">
      <c r="A235" s="29"/>
      <c r="B235" s="356" t="s">
        <v>608</v>
      </c>
      <c r="C235" s="356" t="s">
        <v>609</v>
      </c>
      <c r="D235" s="356" t="s">
        <v>570</v>
      </c>
      <c r="E235" s="356" t="s">
        <v>607</v>
      </c>
      <c r="F235" s="365" t="s">
        <v>918</v>
      </c>
      <c r="G235" s="277"/>
      <c r="H235" s="283"/>
      <c r="I235" s="277"/>
      <c r="J235" s="366">
        <v>152000</v>
      </c>
    </row>
    <row r="236" spans="1:10" ht="75" x14ac:dyDescent="0.2">
      <c r="A236" s="29"/>
      <c r="B236" s="356" t="s">
        <v>608</v>
      </c>
      <c r="C236" s="356" t="s">
        <v>609</v>
      </c>
      <c r="D236" s="356" t="s">
        <v>570</v>
      </c>
      <c r="E236" s="356" t="s">
        <v>607</v>
      </c>
      <c r="F236" s="365" t="s">
        <v>919</v>
      </c>
      <c r="G236" s="277"/>
      <c r="H236" s="283"/>
      <c r="I236" s="277"/>
      <c r="J236" s="366">
        <f>(460000)-155000</f>
        <v>305000</v>
      </c>
    </row>
    <row r="237" spans="1:10" ht="60" x14ac:dyDescent="0.2">
      <c r="A237" s="29"/>
      <c r="B237" s="356" t="s">
        <v>608</v>
      </c>
      <c r="C237" s="356" t="s">
        <v>609</v>
      </c>
      <c r="D237" s="356" t="s">
        <v>570</v>
      </c>
      <c r="E237" s="356" t="s">
        <v>607</v>
      </c>
      <c r="F237" s="365" t="s">
        <v>854</v>
      </c>
      <c r="G237" s="277"/>
      <c r="H237" s="283"/>
      <c r="I237" s="277"/>
      <c r="J237" s="366">
        <f>((500000)+80000)+30000</f>
        <v>610000</v>
      </c>
    </row>
    <row r="238" spans="1:10" ht="75" x14ac:dyDescent="0.2">
      <c r="A238" s="29"/>
      <c r="B238" s="356" t="s">
        <v>608</v>
      </c>
      <c r="C238" s="356" t="s">
        <v>609</v>
      </c>
      <c r="D238" s="356" t="s">
        <v>570</v>
      </c>
      <c r="E238" s="356" t="s">
        <v>607</v>
      </c>
      <c r="F238" s="365" t="s">
        <v>903</v>
      </c>
      <c r="G238" s="277"/>
      <c r="H238" s="283"/>
      <c r="I238" s="277"/>
      <c r="J238" s="366">
        <f>(570000)+159000</f>
        <v>729000</v>
      </c>
    </row>
    <row r="239" spans="1:10" ht="45" x14ac:dyDescent="0.2">
      <c r="A239" s="29"/>
      <c r="B239" s="356" t="s">
        <v>608</v>
      </c>
      <c r="C239" s="356" t="s">
        <v>609</v>
      </c>
      <c r="D239" s="356" t="s">
        <v>570</v>
      </c>
      <c r="E239" s="356" t="s">
        <v>607</v>
      </c>
      <c r="F239" s="365" t="s">
        <v>855</v>
      </c>
      <c r="G239" s="277">
        <v>32296985</v>
      </c>
      <c r="H239" s="279">
        <f t="shared" ref="H239:H243" si="9">I239/G239*100</f>
        <v>74.49237444300141</v>
      </c>
      <c r="I239" s="277">
        <v>24058791</v>
      </c>
      <c r="J239" s="366">
        <f>(((5000000)+7000000)+5000000-509606)-8500000</f>
        <v>7990394</v>
      </c>
    </row>
    <row r="240" spans="1:10" ht="75" x14ac:dyDescent="0.2">
      <c r="A240" s="29"/>
      <c r="B240" s="356" t="s">
        <v>608</v>
      </c>
      <c r="C240" s="356" t="s">
        <v>609</v>
      </c>
      <c r="D240" s="356" t="s">
        <v>570</v>
      </c>
      <c r="E240" s="356" t="s">
        <v>607</v>
      </c>
      <c r="F240" s="365" t="s">
        <v>856</v>
      </c>
      <c r="G240" s="277">
        <f>(10111121)+2079379</f>
        <v>12190500</v>
      </c>
      <c r="H240" s="279">
        <f t="shared" si="9"/>
        <v>51.679586563307488</v>
      </c>
      <c r="I240" s="277">
        <v>6300000</v>
      </c>
      <c r="J240" s="366">
        <f>((4000000)+4000000)-4300000</f>
        <v>3700000</v>
      </c>
    </row>
    <row r="241" spans="1:10" ht="60" x14ac:dyDescent="0.2">
      <c r="A241" s="29"/>
      <c r="B241" s="356" t="s">
        <v>608</v>
      </c>
      <c r="C241" s="356" t="s">
        <v>609</v>
      </c>
      <c r="D241" s="356" t="s">
        <v>570</v>
      </c>
      <c r="E241" s="356" t="s">
        <v>607</v>
      </c>
      <c r="F241" s="368" t="s">
        <v>636</v>
      </c>
      <c r="G241" s="277">
        <v>2912000</v>
      </c>
      <c r="H241" s="279">
        <f t="shared" si="9"/>
        <v>23.550824175824175</v>
      </c>
      <c r="I241" s="277">
        <v>685800</v>
      </c>
      <c r="J241" s="366">
        <v>940000</v>
      </c>
    </row>
    <row r="242" spans="1:10" ht="90" x14ac:dyDescent="0.2">
      <c r="A242" s="29"/>
      <c r="B242" s="356" t="s">
        <v>608</v>
      </c>
      <c r="C242" s="356" t="s">
        <v>609</v>
      </c>
      <c r="D242" s="356" t="s">
        <v>570</v>
      </c>
      <c r="E242" s="356" t="s">
        <v>607</v>
      </c>
      <c r="F242" s="367" t="s">
        <v>803</v>
      </c>
      <c r="G242" s="277"/>
      <c r="H242" s="283"/>
      <c r="I242" s="277"/>
      <c r="J242" s="366">
        <v>200000</v>
      </c>
    </row>
    <row r="243" spans="1:10" ht="60" x14ac:dyDescent="0.2">
      <c r="A243" s="29"/>
      <c r="B243" s="356" t="s">
        <v>608</v>
      </c>
      <c r="C243" s="356" t="s">
        <v>609</v>
      </c>
      <c r="D243" s="356" t="s">
        <v>570</v>
      </c>
      <c r="E243" s="356" t="s">
        <v>607</v>
      </c>
      <c r="F243" s="367" t="s">
        <v>904</v>
      </c>
      <c r="G243" s="277">
        <f>25849000-100000</f>
        <v>25749000</v>
      </c>
      <c r="H243" s="279">
        <f t="shared" si="9"/>
        <v>98.229057439123849</v>
      </c>
      <c r="I243" s="277">
        <f>(24393000)+1000000-100000</f>
        <v>25293000</v>
      </c>
      <c r="J243" s="366">
        <f>(1000000)-1000000</f>
        <v>0</v>
      </c>
    </row>
    <row r="244" spans="1:10" ht="45" x14ac:dyDescent="0.2">
      <c r="A244" s="29"/>
      <c r="B244" s="356" t="s">
        <v>610</v>
      </c>
      <c r="C244" s="356" t="s">
        <v>373</v>
      </c>
      <c r="D244" s="356" t="s">
        <v>324</v>
      </c>
      <c r="E244" s="356" t="s">
        <v>89</v>
      </c>
      <c r="F244" s="301" t="s">
        <v>293</v>
      </c>
      <c r="G244" s="277"/>
      <c r="H244" s="283"/>
      <c r="I244" s="277"/>
      <c r="J244" s="366">
        <f>(180000)-180000</f>
        <v>0</v>
      </c>
    </row>
    <row r="245" spans="1:10" ht="75" x14ac:dyDescent="0.2">
      <c r="A245" s="29"/>
      <c r="B245" s="484" t="s">
        <v>314</v>
      </c>
      <c r="C245" s="484"/>
      <c r="D245" s="484"/>
      <c r="E245" s="484" t="s">
        <v>71</v>
      </c>
      <c r="F245" s="500"/>
      <c r="G245" s="496"/>
      <c r="H245" s="496"/>
      <c r="I245" s="496"/>
      <c r="J245" s="494">
        <f>J246</f>
        <v>215900</v>
      </c>
    </row>
    <row r="246" spans="1:10" ht="71.25" x14ac:dyDescent="0.2">
      <c r="A246" s="29"/>
      <c r="B246" s="488" t="s">
        <v>315</v>
      </c>
      <c r="C246" s="488"/>
      <c r="D246" s="488"/>
      <c r="E246" s="488" t="s">
        <v>96</v>
      </c>
      <c r="F246" s="500"/>
      <c r="G246" s="496"/>
      <c r="H246" s="496"/>
      <c r="I246" s="496"/>
      <c r="J246" s="497">
        <f>SUM(J247:J252)</f>
        <v>215900</v>
      </c>
    </row>
    <row r="247" spans="1:10" ht="60" hidden="1" x14ac:dyDescent="0.2">
      <c r="A247" s="29"/>
      <c r="B247" s="255" t="s">
        <v>580</v>
      </c>
      <c r="C247" s="255" t="s">
        <v>581</v>
      </c>
      <c r="D247" s="255" t="s">
        <v>570</v>
      </c>
      <c r="E247" s="255" t="s">
        <v>582</v>
      </c>
      <c r="F247" s="260" t="s">
        <v>836</v>
      </c>
      <c r="G247" s="262"/>
      <c r="H247" s="262"/>
      <c r="I247" s="262"/>
      <c r="J247" s="263">
        <f>(2376000)-2376000</f>
        <v>0</v>
      </c>
    </row>
    <row r="248" spans="1:10" ht="45" x14ac:dyDescent="0.2">
      <c r="A248" s="29"/>
      <c r="B248" s="453" t="s">
        <v>1028</v>
      </c>
      <c r="C248" s="453" t="s">
        <v>433</v>
      </c>
      <c r="D248" s="453" t="s">
        <v>430</v>
      </c>
      <c r="E248" s="453" t="s">
        <v>431</v>
      </c>
      <c r="F248" s="273" t="s">
        <v>133</v>
      </c>
      <c r="G248" s="285"/>
      <c r="H248" s="285"/>
      <c r="I248" s="285"/>
      <c r="J248" s="277">
        <v>33000</v>
      </c>
    </row>
    <row r="249" spans="1:10" ht="60" x14ac:dyDescent="0.2">
      <c r="A249" s="29"/>
      <c r="B249" s="272" t="s">
        <v>580</v>
      </c>
      <c r="C249" s="272" t="s">
        <v>581</v>
      </c>
      <c r="D249" s="272" t="s">
        <v>570</v>
      </c>
      <c r="E249" s="272" t="s">
        <v>582</v>
      </c>
      <c r="F249" s="276" t="s">
        <v>837</v>
      </c>
      <c r="G249" s="285"/>
      <c r="H249" s="285"/>
      <c r="I249" s="285"/>
      <c r="J249" s="277">
        <v>150300</v>
      </c>
    </row>
    <row r="250" spans="1:10" ht="110.25" x14ac:dyDescent="0.2">
      <c r="A250" s="29"/>
      <c r="B250" s="272" t="s">
        <v>580</v>
      </c>
      <c r="C250" s="272" t="s">
        <v>581</v>
      </c>
      <c r="D250" s="272" t="s">
        <v>570</v>
      </c>
      <c r="E250" s="272" t="s">
        <v>582</v>
      </c>
      <c r="F250" s="310" t="s">
        <v>1010</v>
      </c>
      <c r="G250" s="285"/>
      <c r="H250" s="285"/>
      <c r="I250" s="285"/>
      <c r="J250" s="277">
        <v>16300</v>
      </c>
    </row>
    <row r="251" spans="1:10" ht="110.25" x14ac:dyDescent="0.2">
      <c r="A251" s="29"/>
      <c r="B251" s="272" t="s">
        <v>580</v>
      </c>
      <c r="C251" s="272" t="s">
        <v>581</v>
      </c>
      <c r="D251" s="272" t="s">
        <v>570</v>
      </c>
      <c r="E251" s="272" t="s">
        <v>582</v>
      </c>
      <c r="F251" s="310" t="s">
        <v>970</v>
      </c>
      <c r="G251" s="285"/>
      <c r="H251" s="285"/>
      <c r="I251" s="285"/>
      <c r="J251" s="277">
        <v>16300</v>
      </c>
    </row>
    <row r="252" spans="1:10" ht="30" hidden="1" x14ac:dyDescent="0.2">
      <c r="A252" s="29"/>
      <c r="B252" s="255" t="s">
        <v>580</v>
      </c>
      <c r="C252" s="255" t="s">
        <v>581</v>
      </c>
      <c r="D252" s="255" t="s">
        <v>570</v>
      </c>
      <c r="E252" s="255" t="s">
        <v>582</v>
      </c>
      <c r="F252" s="264" t="s">
        <v>631</v>
      </c>
      <c r="G252" s="256"/>
      <c r="H252" s="256"/>
      <c r="I252" s="256"/>
      <c r="J252" s="263">
        <f>(780000)-780000</f>
        <v>0</v>
      </c>
    </row>
    <row r="253" spans="1:10" ht="30" x14ac:dyDescent="0.2">
      <c r="A253" s="254"/>
      <c r="B253" s="484" t="s">
        <v>320</v>
      </c>
      <c r="C253" s="484"/>
      <c r="D253" s="484"/>
      <c r="E253" s="484" t="s">
        <v>763</v>
      </c>
      <c r="F253" s="500"/>
      <c r="G253" s="496"/>
      <c r="H253" s="496"/>
      <c r="I253" s="496"/>
      <c r="J253" s="494">
        <f>J254</f>
        <v>909350</v>
      </c>
    </row>
    <row r="254" spans="1:10" ht="42.75" x14ac:dyDescent="0.2">
      <c r="A254" s="254"/>
      <c r="B254" s="488" t="s">
        <v>321</v>
      </c>
      <c r="C254" s="488"/>
      <c r="D254" s="488"/>
      <c r="E254" s="488" t="s">
        <v>764</v>
      </c>
      <c r="F254" s="496"/>
      <c r="G254" s="496"/>
      <c r="H254" s="496"/>
      <c r="I254" s="496"/>
      <c r="J254" s="497">
        <f>J255+J257+J256</f>
        <v>909350</v>
      </c>
    </row>
    <row r="255" spans="1:10" ht="45" x14ac:dyDescent="0.2">
      <c r="A255" s="29"/>
      <c r="B255" s="272" t="s">
        <v>754</v>
      </c>
      <c r="C255" s="272" t="s">
        <v>755</v>
      </c>
      <c r="D255" s="272" t="s">
        <v>324</v>
      </c>
      <c r="E255" s="272" t="s">
        <v>502</v>
      </c>
      <c r="F255" s="301" t="s">
        <v>811</v>
      </c>
      <c r="G255" s="302"/>
      <c r="H255" s="302"/>
      <c r="I255" s="302"/>
      <c r="J255" s="303">
        <f>(500000)-206000</f>
        <v>294000</v>
      </c>
    </row>
    <row r="256" spans="1:10" ht="30" x14ac:dyDescent="0.2">
      <c r="A256" s="29"/>
      <c r="B256" s="272" t="s">
        <v>491</v>
      </c>
      <c r="C256" s="272" t="s">
        <v>493</v>
      </c>
      <c r="D256" s="272" t="s">
        <v>404</v>
      </c>
      <c r="E256" s="272" t="s">
        <v>492</v>
      </c>
      <c r="F256" s="301"/>
      <c r="G256" s="302"/>
      <c r="H256" s="302"/>
      <c r="I256" s="302"/>
      <c r="J256" s="303">
        <v>20000</v>
      </c>
    </row>
    <row r="257" spans="1:10" ht="15" x14ac:dyDescent="0.2">
      <c r="A257" s="29"/>
      <c r="B257" s="272" t="s">
        <v>495</v>
      </c>
      <c r="C257" s="272" t="s">
        <v>449</v>
      </c>
      <c r="D257" s="272" t="s">
        <v>324</v>
      </c>
      <c r="E257" s="272" t="s">
        <v>447</v>
      </c>
      <c r="F257" s="273" t="s">
        <v>133</v>
      </c>
      <c r="G257" s="302"/>
      <c r="H257" s="302"/>
      <c r="I257" s="302"/>
      <c r="J257" s="303">
        <f>J258</f>
        <v>595350</v>
      </c>
    </row>
    <row r="258" spans="1:10" ht="30" x14ac:dyDescent="0.2">
      <c r="A258" s="29"/>
      <c r="B258" s="282" t="s">
        <v>496</v>
      </c>
      <c r="C258" s="282" t="s">
        <v>497</v>
      </c>
      <c r="D258" s="282" t="s">
        <v>324</v>
      </c>
      <c r="E258" s="282" t="s">
        <v>494</v>
      </c>
      <c r="F258" s="283" t="s">
        <v>133</v>
      </c>
      <c r="G258" s="302"/>
      <c r="H258" s="302"/>
      <c r="I258" s="302"/>
      <c r="J258" s="303">
        <f>((0)+400000)+195350</f>
        <v>595350</v>
      </c>
    </row>
    <row r="259" spans="1:10" ht="45" x14ac:dyDescent="0.2">
      <c r="A259" s="29"/>
      <c r="B259" s="484" t="s">
        <v>318</v>
      </c>
      <c r="C259" s="484"/>
      <c r="D259" s="484"/>
      <c r="E259" s="484" t="s">
        <v>72</v>
      </c>
      <c r="F259" s="496"/>
      <c r="G259" s="496"/>
      <c r="H259" s="496"/>
      <c r="I259" s="496"/>
      <c r="J259" s="494">
        <f>J260</f>
        <v>66000</v>
      </c>
    </row>
    <row r="260" spans="1:10" ht="42.75" x14ac:dyDescent="0.2">
      <c r="A260" s="29"/>
      <c r="B260" s="488" t="s">
        <v>319</v>
      </c>
      <c r="C260" s="488"/>
      <c r="D260" s="488"/>
      <c r="E260" s="488" t="s">
        <v>97</v>
      </c>
      <c r="F260" s="496"/>
      <c r="G260" s="496"/>
      <c r="H260" s="496"/>
      <c r="I260" s="496"/>
      <c r="J260" s="497">
        <f>J261</f>
        <v>66000</v>
      </c>
    </row>
    <row r="261" spans="1:10" ht="45" x14ac:dyDescent="0.2">
      <c r="A261" s="29"/>
      <c r="B261" s="453" t="s">
        <v>1029</v>
      </c>
      <c r="C261" s="453" t="s">
        <v>433</v>
      </c>
      <c r="D261" s="453" t="s">
        <v>430</v>
      </c>
      <c r="E261" s="453" t="s">
        <v>431</v>
      </c>
      <c r="F261" s="273" t="s">
        <v>133</v>
      </c>
      <c r="G261" s="302"/>
      <c r="H261" s="302"/>
      <c r="I261" s="302"/>
      <c r="J261" s="303">
        <v>66000</v>
      </c>
    </row>
    <row r="262" spans="1:10" ht="75" x14ac:dyDescent="0.2">
      <c r="A262" s="29"/>
      <c r="B262" s="484" t="s">
        <v>316</v>
      </c>
      <c r="C262" s="484"/>
      <c r="D262" s="484"/>
      <c r="E262" s="484" t="s">
        <v>765</v>
      </c>
      <c r="F262" s="496"/>
      <c r="G262" s="496"/>
      <c r="H262" s="496"/>
      <c r="I262" s="496"/>
      <c r="J262" s="494">
        <f>J263</f>
        <v>338000</v>
      </c>
    </row>
    <row r="263" spans="1:10" ht="71.25" x14ac:dyDescent="0.2">
      <c r="A263" s="29"/>
      <c r="B263" s="488" t="s">
        <v>317</v>
      </c>
      <c r="C263" s="488"/>
      <c r="D263" s="488"/>
      <c r="E263" s="488" t="s">
        <v>766</v>
      </c>
      <c r="F263" s="496"/>
      <c r="G263" s="496"/>
      <c r="H263" s="496"/>
      <c r="I263" s="496"/>
      <c r="J263" s="497">
        <f>SUM(J264:J270)</f>
        <v>338000</v>
      </c>
    </row>
    <row r="264" spans="1:10" ht="45" x14ac:dyDescent="0.2">
      <c r="A264" s="29"/>
      <c r="B264" s="453" t="s">
        <v>1031</v>
      </c>
      <c r="C264" s="453" t="s">
        <v>433</v>
      </c>
      <c r="D264" s="453" t="s">
        <v>430</v>
      </c>
      <c r="E264" s="453" t="s">
        <v>431</v>
      </c>
      <c r="F264" s="459" t="s">
        <v>133</v>
      </c>
      <c r="G264" s="460"/>
      <c r="H264" s="460"/>
      <c r="I264" s="460"/>
      <c r="J264" s="463">
        <f>40000-2000</f>
        <v>38000</v>
      </c>
    </row>
    <row r="265" spans="1:10" ht="30" x14ac:dyDescent="0.2">
      <c r="A265" s="29"/>
      <c r="B265" s="272" t="s">
        <v>577</v>
      </c>
      <c r="C265" s="272" t="s">
        <v>578</v>
      </c>
      <c r="D265" s="272" t="s">
        <v>579</v>
      </c>
      <c r="E265" s="272" t="s">
        <v>576</v>
      </c>
      <c r="F265" s="304" t="s">
        <v>86</v>
      </c>
      <c r="G265" s="273"/>
      <c r="H265" s="273"/>
      <c r="I265" s="273"/>
      <c r="J265" s="277">
        <v>100000</v>
      </c>
    </row>
    <row r="266" spans="1:10" ht="30" x14ac:dyDescent="0.2">
      <c r="A266" s="29"/>
      <c r="B266" s="272" t="s">
        <v>577</v>
      </c>
      <c r="C266" s="272" t="s">
        <v>578</v>
      </c>
      <c r="D266" s="272" t="s">
        <v>579</v>
      </c>
      <c r="E266" s="272" t="s">
        <v>576</v>
      </c>
      <c r="F266" s="304" t="s">
        <v>87</v>
      </c>
      <c r="G266" s="273"/>
      <c r="H266" s="273"/>
      <c r="I266" s="273"/>
      <c r="J266" s="277">
        <v>43000</v>
      </c>
    </row>
    <row r="267" spans="1:10" ht="45" x14ac:dyDescent="0.2">
      <c r="A267" s="29"/>
      <c r="B267" s="272" t="s">
        <v>577</v>
      </c>
      <c r="C267" s="272" t="s">
        <v>578</v>
      </c>
      <c r="D267" s="272" t="s">
        <v>579</v>
      </c>
      <c r="E267" s="272" t="s">
        <v>576</v>
      </c>
      <c r="F267" s="304" t="s">
        <v>632</v>
      </c>
      <c r="G267" s="273"/>
      <c r="H267" s="273"/>
      <c r="I267" s="273"/>
      <c r="J267" s="277">
        <v>20000</v>
      </c>
    </row>
    <row r="268" spans="1:10" ht="30" hidden="1" x14ac:dyDescent="0.2">
      <c r="A268" s="29"/>
      <c r="B268" s="272" t="s">
        <v>577</v>
      </c>
      <c r="C268" s="272" t="s">
        <v>578</v>
      </c>
      <c r="D268" s="272" t="s">
        <v>579</v>
      </c>
      <c r="E268" s="272" t="s">
        <v>576</v>
      </c>
      <c r="F268" s="304" t="s">
        <v>841</v>
      </c>
      <c r="G268" s="273"/>
      <c r="H268" s="273"/>
      <c r="I268" s="273"/>
      <c r="J268" s="277">
        <f>(1405000)-1405000</f>
        <v>0</v>
      </c>
    </row>
    <row r="269" spans="1:10" ht="30" x14ac:dyDescent="0.2">
      <c r="A269" s="29"/>
      <c r="B269" s="272" t="s">
        <v>577</v>
      </c>
      <c r="C269" s="272" t="s">
        <v>578</v>
      </c>
      <c r="D269" s="272" t="s">
        <v>579</v>
      </c>
      <c r="E269" s="272" t="s">
        <v>576</v>
      </c>
      <c r="F269" s="304" t="s">
        <v>88</v>
      </c>
      <c r="G269" s="273"/>
      <c r="H269" s="273"/>
      <c r="I269" s="273"/>
      <c r="J269" s="277">
        <v>85000</v>
      </c>
    </row>
    <row r="270" spans="1:10" ht="45" x14ac:dyDescent="0.2">
      <c r="A270" s="29"/>
      <c r="B270" s="272" t="s">
        <v>838</v>
      </c>
      <c r="C270" s="272" t="s">
        <v>839</v>
      </c>
      <c r="D270" s="272" t="s">
        <v>324</v>
      </c>
      <c r="E270" s="272" t="s">
        <v>840</v>
      </c>
      <c r="F270" s="304" t="s">
        <v>633</v>
      </c>
      <c r="G270" s="273"/>
      <c r="H270" s="273"/>
      <c r="I270" s="273"/>
      <c r="J270" s="277">
        <v>52000</v>
      </c>
    </row>
    <row r="271" spans="1:10" ht="30" x14ac:dyDescent="0.2">
      <c r="A271" s="29"/>
      <c r="B271" s="484" t="s">
        <v>322</v>
      </c>
      <c r="C271" s="484"/>
      <c r="D271" s="484"/>
      <c r="E271" s="484" t="s">
        <v>74</v>
      </c>
      <c r="F271" s="496"/>
      <c r="G271" s="496"/>
      <c r="H271" s="496"/>
      <c r="I271" s="496"/>
      <c r="J271" s="494">
        <f>J272</f>
        <v>81000</v>
      </c>
    </row>
    <row r="272" spans="1:10" ht="42.75" x14ac:dyDescent="0.2">
      <c r="A272" s="29"/>
      <c r="B272" s="488" t="s">
        <v>323</v>
      </c>
      <c r="C272" s="488"/>
      <c r="D272" s="488"/>
      <c r="E272" s="488" t="s">
        <v>98</v>
      </c>
      <c r="F272" s="496"/>
      <c r="G272" s="496"/>
      <c r="H272" s="496"/>
      <c r="I272" s="496"/>
      <c r="J272" s="497">
        <f>J273</f>
        <v>81000</v>
      </c>
    </row>
    <row r="273" spans="1:17" ht="45" x14ac:dyDescent="0.2">
      <c r="A273" s="29"/>
      <c r="B273" s="453" t="s">
        <v>1032</v>
      </c>
      <c r="C273" s="453" t="s">
        <v>433</v>
      </c>
      <c r="D273" s="453" t="s">
        <v>430</v>
      </c>
      <c r="E273" s="453" t="s">
        <v>431</v>
      </c>
      <c r="F273" s="304"/>
      <c r="G273" s="273"/>
      <c r="H273" s="273"/>
      <c r="I273" s="273"/>
      <c r="J273" s="277">
        <f>79000+2000</f>
        <v>81000</v>
      </c>
    </row>
    <row r="274" spans="1:17" ht="24.75" customHeight="1" x14ac:dyDescent="0.2">
      <c r="A274" s="48"/>
      <c r="B274" s="234"/>
      <c r="C274" s="234"/>
      <c r="D274" s="235"/>
      <c r="E274" s="236" t="s">
        <v>60</v>
      </c>
      <c r="F274" s="238"/>
      <c r="G274" s="238"/>
      <c r="H274" s="238"/>
      <c r="I274" s="238"/>
      <c r="J274" s="239">
        <f>J6+J20+J92+J37+J56+J77+J110+J211+J245+J262+J253+J259+J271</f>
        <v>473469666.07999998</v>
      </c>
      <c r="K274" s="29" t="b">
        <f>J274='dod3'!O219</f>
        <v>1</v>
      </c>
    </row>
    <row r="275" spans="1:17" ht="15.75" x14ac:dyDescent="0.2">
      <c r="B275" s="632" t="s">
        <v>634</v>
      </c>
      <c r="C275" s="633"/>
      <c r="D275" s="633"/>
      <c r="E275" s="633"/>
      <c r="F275" s="633"/>
      <c r="G275" s="633"/>
      <c r="H275" s="633"/>
      <c r="I275" s="633"/>
      <c r="J275" s="633"/>
      <c r="K275" s="633"/>
      <c r="L275" s="633"/>
      <c r="M275" s="633"/>
      <c r="N275" s="633"/>
      <c r="O275" s="633"/>
      <c r="P275" s="633"/>
      <c r="Q275" s="633"/>
    </row>
    <row r="276" spans="1:17" ht="18.75" x14ac:dyDescent="0.2">
      <c r="B276" s="631"/>
      <c r="C276" s="631"/>
      <c r="D276" s="631"/>
      <c r="E276" s="631"/>
      <c r="F276" s="631"/>
      <c r="G276" s="631"/>
      <c r="H276" s="631"/>
      <c r="I276" s="631"/>
      <c r="J276" s="631"/>
    </row>
    <row r="277" spans="1:17" ht="15" x14ac:dyDescent="0.25">
      <c r="D277" s="616" t="s">
        <v>1046</v>
      </c>
      <c r="E277" s="616"/>
      <c r="F277" s="616"/>
      <c r="G277" s="616"/>
      <c r="H277" s="616"/>
      <c r="I277" s="616"/>
      <c r="J277" s="616"/>
      <c r="K277" s="616"/>
      <c r="L277" s="616"/>
      <c r="M277" s="616"/>
      <c r="N277" s="616"/>
      <c r="O277" s="616"/>
      <c r="P277" s="616"/>
    </row>
    <row r="278" spans="1:17" ht="15" x14ac:dyDescent="0.25">
      <c r="D278" s="616"/>
      <c r="E278" s="616"/>
      <c r="F278" s="616"/>
      <c r="G278" s="616"/>
      <c r="H278" s="616"/>
      <c r="I278" s="616"/>
      <c r="J278" s="616"/>
      <c r="K278" s="616"/>
      <c r="L278" s="616"/>
      <c r="M278" s="616"/>
      <c r="N278" s="616"/>
      <c r="O278" s="616"/>
      <c r="P278" s="616"/>
    </row>
    <row r="279" spans="1:17" ht="15" x14ac:dyDescent="0.25">
      <c r="D279" s="616" t="s">
        <v>290</v>
      </c>
      <c r="E279" s="616"/>
      <c r="F279" s="616"/>
      <c r="G279" s="616"/>
      <c r="H279" s="616"/>
      <c r="I279" s="616"/>
      <c r="J279" s="616"/>
      <c r="K279" s="616"/>
      <c r="L279" s="616"/>
      <c r="M279" s="616"/>
      <c r="N279" s="616"/>
      <c r="O279" s="616"/>
      <c r="P279" s="616"/>
    </row>
  </sheetData>
  <mergeCells count="16">
    <mergeCell ref="D277:P277"/>
    <mergeCell ref="D278:P278"/>
    <mergeCell ref="D279:P279"/>
    <mergeCell ref="B276:J276"/>
    <mergeCell ref="B275:Q275"/>
    <mergeCell ref="B1:J1"/>
    <mergeCell ref="G2:J2"/>
    <mergeCell ref="B3:J3"/>
    <mergeCell ref="B66:B68"/>
    <mergeCell ref="C66:C68"/>
    <mergeCell ref="D66:D68"/>
    <mergeCell ref="F66:F68"/>
    <mergeCell ref="G66:G68"/>
    <mergeCell ref="H66:H68"/>
    <mergeCell ref="I66:I68"/>
    <mergeCell ref="J66:J68"/>
  </mergeCells>
  <phoneticPr fontId="16" type="noConversion"/>
  <printOptions horizontalCentered="1"/>
  <pageMargins left="0.82677165354330717" right="0" top="0.31496062992125984" bottom="0.31496062992125984" header="0.23622047244094491" footer="0.19685039370078741"/>
  <pageSetup paperSize="9" scale="70" orientation="landscape" r:id="rId1"/>
  <headerFooter alignWithMargins="0">
    <oddFooter>&amp;R&amp;P</oddFooter>
  </headerFooter>
  <rowBreaks count="17" manualBreakCount="17">
    <brk id="29" min="1" max="9" man="1"/>
    <brk id="45" min="1" max="9" man="1"/>
    <brk id="61" min="1" max="9" man="1"/>
    <brk id="76" min="1" max="9" man="1"/>
    <brk id="94" min="1" max="9" man="1"/>
    <brk id="112" min="1" max="9" man="1"/>
    <brk id="126" min="1" max="9" man="1"/>
    <brk id="143" min="1" max="9" man="1"/>
    <brk id="154" min="1" max="9" man="1"/>
    <brk id="163" min="1" max="9" man="1"/>
    <brk id="170" min="1" max="9" man="1"/>
    <brk id="184" min="1" max="9" man="1"/>
    <brk id="193" min="1" max="9" man="1"/>
    <brk id="204" min="1" max="9" man="1"/>
    <brk id="216" min="1" max="9" man="1"/>
    <brk id="225" min="1" max="9" man="1"/>
    <brk id="234" min="1"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4"/>
  <sheetViews>
    <sheetView view="pageBreakPreview" topLeftCell="A24" zoomScale="85" zoomScaleNormal="85" zoomScaleSheetLayoutView="85" workbookViewId="0">
      <selection activeCell="C37" sqref="C37"/>
    </sheetView>
  </sheetViews>
  <sheetFormatPr defaultColWidth="9.140625" defaultRowHeight="12.75" x14ac:dyDescent="0.2"/>
  <cols>
    <col min="1" max="1" width="7" style="159" customWidth="1"/>
    <col min="2" max="2" width="23.5703125" style="159" customWidth="1"/>
    <col min="3" max="3" width="83.5703125" style="159" customWidth="1"/>
    <col min="4" max="4" width="18.28515625" style="159" customWidth="1"/>
    <col min="5" max="5" width="17" style="159" customWidth="1"/>
    <col min="6" max="6" width="14.7109375" style="159" customWidth="1"/>
    <col min="7" max="7" width="10.7109375" style="159" bestFit="1" customWidth="1"/>
    <col min="8" max="16384" width="9.140625" style="159"/>
  </cols>
  <sheetData>
    <row r="1" spans="1:8" ht="16.5" customHeight="1" x14ac:dyDescent="0.2">
      <c r="A1" s="158"/>
      <c r="D1" s="566" t="s">
        <v>247</v>
      </c>
      <c r="E1" s="566"/>
    </row>
    <row r="2" spans="1:8" ht="16.5" customHeight="1" x14ac:dyDescent="0.2">
      <c r="A2" s="158"/>
      <c r="D2" s="566" t="s">
        <v>248</v>
      </c>
      <c r="E2" s="636"/>
    </row>
    <row r="3" spans="1:8" ht="12.75" customHeight="1" x14ac:dyDescent="0.2">
      <c r="A3" s="158"/>
      <c r="D3" s="566"/>
      <c r="E3" s="636"/>
    </row>
    <row r="4" spans="1:8" ht="12.75" customHeight="1" x14ac:dyDescent="0.2">
      <c r="A4" s="158"/>
      <c r="D4" s="566"/>
      <c r="E4" s="568"/>
    </row>
    <row r="5" spans="1:8" ht="16.5" x14ac:dyDescent="0.25">
      <c r="A5" s="637" t="s">
        <v>249</v>
      </c>
      <c r="B5" s="639"/>
      <c r="C5" s="639"/>
      <c r="D5" s="639"/>
      <c r="E5" s="160"/>
      <c r="F5" s="160"/>
    </row>
    <row r="6" spans="1:8" ht="16.5" x14ac:dyDescent="0.25">
      <c r="A6" s="637" t="s">
        <v>250</v>
      </c>
      <c r="B6" s="637"/>
      <c r="C6" s="637"/>
      <c r="D6" s="637"/>
    </row>
    <row r="7" spans="1:8" ht="16.5" x14ac:dyDescent="0.2">
      <c r="A7" s="638" t="s">
        <v>300</v>
      </c>
      <c r="B7" s="638"/>
      <c r="C7" s="638"/>
      <c r="D7" s="638"/>
    </row>
    <row r="8" spans="1:8" ht="16.5" x14ac:dyDescent="0.2">
      <c r="D8" s="161" t="s">
        <v>134</v>
      </c>
      <c r="F8" s="160"/>
      <c r="G8" s="160"/>
      <c r="H8" s="162"/>
    </row>
    <row r="9" spans="1:8" s="163" customFormat="1" ht="26.25" customHeight="1" x14ac:dyDescent="0.2">
      <c r="B9" s="164" t="s">
        <v>251</v>
      </c>
      <c r="C9" s="164" t="s">
        <v>252</v>
      </c>
      <c r="D9" s="165" t="s">
        <v>301</v>
      </c>
    </row>
    <row r="10" spans="1:8" s="163" customFormat="1" ht="39.75" customHeight="1" x14ac:dyDescent="0.2">
      <c r="A10" s="166"/>
      <c r="B10" s="167" t="s">
        <v>253</v>
      </c>
      <c r="C10" s="168" t="s">
        <v>254</v>
      </c>
      <c r="D10" s="169">
        <v>100</v>
      </c>
    </row>
    <row r="11" spans="1:8" s="163" customFormat="1" ht="40.5" customHeight="1" x14ac:dyDescent="0.2">
      <c r="B11" s="167" t="s">
        <v>255</v>
      </c>
      <c r="C11" s="168" t="s">
        <v>256</v>
      </c>
      <c r="D11" s="169">
        <f>3300000+100000</f>
        <v>3400000</v>
      </c>
    </row>
    <row r="12" spans="1:8" s="163" customFormat="1" ht="61.5" customHeight="1" x14ac:dyDescent="0.2">
      <c r="B12" s="167" t="s">
        <v>257</v>
      </c>
      <c r="C12" s="168" t="s">
        <v>258</v>
      </c>
      <c r="D12" s="169">
        <v>0</v>
      </c>
    </row>
    <row r="13" spans="1:8" s="163" customFormat="1" ht="61.5" customHeight="1" x14ac:dyDescent="0.2">
      <c r="B13" s="167" t="s">
        <v>259</v>
      </c>
      <c r="C13" s="168" t="s">
        <v>260</v>
      </c>
      <c r="D13" s="169">
        <v>105000</v>
      </c>
    </row>
    <row r="14" spans="1:8" s="163" customFormat="1" ht="41.25" customHeight="1" x14ac:dyDescent="0.2">
      <c r="B14" s="167" t="s">
        <v>261</v>
      </c>
      <c r="C14" s="168" t="s">
        <v>262</v>
      </c>
      <c r="D14" s="169">
        <v>1900</v>
      </c>
    </row>
    <row r="15" spans="1:8" s="163" customFormat="1" ht="26.25" customHeight="1" x14ac:dyDescent="0.2">
      <c r="B15" s="167"/>
      <c r="C15" s="170" t="s">
        <v>263</v>
      </c>
      <c r="D15" s="171">
        <f>SUM(D10:D14)</f>
        <v>3507000</v>
      </c>
    </row>
    <row r="16" spans="1:8" s="163" customFormat="1" ht="26.25" customHeight="1" x14ac:dyDescent="0.2">
      <c r="B16" s="167"/>
      <c r="C16" s="170" t="s">
        <v>884</v>
      </c>
      <c r="D16" s="171">
        <v>608620.62</v>
      </c>
    </row>
    <row r="17" spans="1:7" s="163" customFormat="1" ht="26.25" customHeight="1" x14ac:dyDescent="0.2">
      <c r="B17" s="243"/>
      <c r="C17" s="244" t="s">
        <v>264</v>
      </c>
      <c r="D17" s="245">
        <f>D15+D16</f>
        <v>4115620.62</v>
      </c>
    </row>
    <row r="18" spans="1:7" s="163" customFormat="1" ht="30.75" customHeight="1" x14ac:dyDescent="0.2">
      <c r="A18" s="184"/>
      <c r="B18" s="167"/>
      <c r="C18" s="186" t="s">
        <v>265</v>
      </c>
      <c r="D18" s="187"/>
    </row>
    <row r="19" spans="1:7" s="163" customFormat="1" ht="43.5" customHeight="1" x14ac:dyDescent="0.2">
      <c r="A19" s="184"/>
      <c r="B19" s="167" t="s">
        <v>266</v>
      </c>
      <c r="C19" s="168" t="s">
        <v>267</v>
      </c>
      <c r="D19" s="169">
        <v>106500</v>
      </c>
    </row>
    <row r="20" spans="1:7" s="163" customFormat="1" ht="44.25" customHeight="1" x14ac:dyDescent="0.2">
      <c r="A20" s="184"/>
      <c r="B20" s="167" t="s">
        <v>268</v>
      </c>
      <c r="C20" s="168" t="s">
        <v>269</v>
      </c>
      <c r="D20" s="169">
        <f>(121100)-40000</f>
        <v>81100</v>
      </c>
    </row>
    <row r="21" spans="1:7" s="163" customFormat="1" ht="61.5" customHeight="1" x14ac:dyDescent="0.2">
      <c r="A21" s="184"/>
      <c r="B21" s="167" t="s">
        <v>270</v>
      </c>
      <c r="C21" s="168" t="s">
        <v>271</v>
      </c>
      <c r="D21" s="169">
        <f>(120000)+55000+15100</f>
        <v>190100</v>
      </c>
    </row>
    <row r="22" spans="1:7" s="163" customFormat="1" ht="44.25" customHeight="1" x14ac:dyDescent="0.2">
      <c r="A22" s="184"/>
      <c r="B22" s="167" t="s">
        <v>272</v>
      </c>
      <c r="C22" s="168" t="s">
        <v>273</v>
      </c>
      <c r="D22" s="169">
        <f>((146000)+15000)-15100</f>
        <v>145900</v>
      </c>
    </row>
    <row r="23" spans="1:7" s="163" customFormat="1" ht="32.25" customHeight="1" x14ac:dyDescent="0.2">
      <c r="A23" s="184"/>
      <c r="B23" s="167" t="s">
        <v>274</v>
      </c>
      <c r="C23" s="168" t="s">
        <v>275</v>
      </c>
      <c r="D23" s="169">
        <f>((136200)+30000)+1800</f>
        <v>168000</v>
      </c>
    </row>
    <row r="24" spans="1:7" s="163" customFormat="1" ht="40.5" customHeight="1" x14ac:dyDescent="0.2">
      <c r="A24" s="184"/>
      <c r="B24" s="167" t="s">
        <v>276</v>
      </c>
      <c r="C24" s="168" t="s">
        <v>277</v>
      </c>
      <c r="D24" s="169">
        <f>(571200)+100000</f>
        <v>671200</v>
      </c>
    </row>
    <row r="25" spans="1:7" s="163" customFormat="1" ht="82.5" x14ac:dyDescent="0.2">
      <c r="A25" s="184"/>
      <c r="B25" s="167" t="s">
        <v>278</v>
      </c>
      <c r="C25" s="168" t="s">
        <v>279</v>
      </c>
      <c r="D25" s="169">
        <f>(690000)</f>
        <v>690000</v>
      </c>
    </row>
    <row r="26" spans="1:7" s="163" customFormat="1" ht="44.25" customHeight="1" x14ac:dyDescent="0.2">
      <c r="A26" s="184"/>
      <c r="B26" s="167" t="s">
        <v>280</v>
      </c>
      <c r="C26" s="188" t="s">
        <v>281</v>
      </c>
      <c r="D26" s="169">
        <f>(20000)-1800</f>
        <v>18200</v>
      </c>
    </row>
    <row r="27" spans="1:7" s="163" customFormat="1" ht="76.5" customHeight="1" x14ac:dyDescent="0.2">
      <c r="A27" s="184"/>
      <c r="B27" s="167" t="s">
        <v>282</v>
      </c>
      <c r="C27" s="188" t="s">
        <v>283</v>
      </c>
      <c r="D27" s="169">
        <f>(150000)-150000</f>
        <v>0</v>
      </c>
    </row>
    <row r="28" spans="1:7" s="163" customFormat="1" ht="45.75" customHeight="1" x14ac:dyDescent="0.2">
      <c r="A28" s="184"/>
      <c r="B28" s="167" t="s">
        <v>284</v>
      </c>
      <c r="C28" s="168" t="s">
        <v>285</v>
      </c>
      <c r="D28" s="169">
        <f>((1346000)+508620.62)+140000+100000-50000</f>
        <v>2044620.62</v>
      </c>
    </row>
    <row r="29" spans="1:7" s="163" customFormat="1" ht="27.75" customHeight="1" x14ac:dyDescent="0.2">
      <c r="B29" s="240"/>
      <c r="C29" s="241" t="s">
        <v>264</v>
      </c>
      <c r="D29" s="242">
        <f>D19+D20+D21+D22+D23+D24+D26+D27+D28+D25</f>
        <v>4115620.62</v>
      </c>
      <c r="F29" s="477" t="b">
        <f>D17=D29</f>
        <v>1</v>
      </c>
      <c r="G29" s="477" t="b">
        <f>D29=70000+'dod3'!P174+'dod3'!P113+'dod3'!P23</f>
        <v>1</v>
      </c>
    </row>
    <row r="32" spans="1:7" ht="18.75" x14ac:dyDescent="0.2">
      <c r="B32" s="400" t="s">
        <v>1042</v>
      </c>
      <c r="C32" s="400"/>
      <c r="D32" s="400" t="s">
        <v>1047</v>
      </c>
    </row>
    <row r="33" spans="2:5" ht="18.75" x14ac:dyDescent="0.2">
      <c r="B33" s="400"/>
      <c r="C33" s="400"/>
      <c r="D33" s="400"/>
    </row>
    <row r="34" spans="2:5" ht="18.75" x14ac:dyDescent="0.2">
      <c r="B34" s="634" t="s">
        <v>286</v>
      </c>
      <c r="C34" s="634"/>
      <c r="D34" s="399" t="s">
        <v>287</v>
      </c>
    </row>
    <row r="40" spans="2:5" ht="16.5" x14ac:dyDescent="0.2">
      <c r="B40" s="635"/>
      <c r="C40" s="172"/>
      <c r="D40" s="173"/>
      <c r="E40" s="174"/>
    </row>
    <row r="41" spans="2:5" ht="16.5" x14ac:dyDescent="0.2">
      <c r="B41" s="635"/>
      <c r="C41" s="175"/>
      <c r="D41" s="173"/>
      <c r="E41" s="174"/>
    </row>
    <row r="42" spans="2:5" ht="16.5" x14ac:dyDescent="0.2">
      <c r="B42" s="635"/>
      <c r="C42" s="176"/>
      <c r="D42" s="173"/>
      <c r="E42" s="174"/>
    </row>
    <row r="43" spans="2:5" ht="16.5" x14ac:dyDescent="0.2">
      <c r="B43" s="635"/>
      <c r="C43" s="172"/>
      <c r="D43" s="173"/>
      <c r="E43" s="174"/>
    </row>
    <row r="44" spans="2:5" ht="16.5" x14ac:dyDescent="0.2">
      <c r="B44" s="635"/>
      <c r="C44" s="172"/>
      <c r="D44" s="173"/>
      <c r="E44" s="174"/>
    </row>
  </sheetData>
  <mergeCells count="9">
    <mergeCell ref="B34:C34"/>
    <mergeCell ref="B40:B44"/>
    <mergeCell ref="D1:E1"/>
    <mergeCell ref="D2:E2"/>
    <mergeCell ref="D3:E3"/>
    <mergeCell ref="D4:E4"/>
    <mergeCell ref="A6:D6"/>
    <mergeCell ref="A7:D7"/>
    <mergeCell ref="A5:D5"/>
  </mergeCells>
  <pageMargins left="0.23622047244094491" right="0.31496062992125984" top="0.27559055118110237" bottom="0" header="0.23622047244094491" footer="0.19685039370078741"/>
  <pageSetup paperSize="9" scale="6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9"/>
  <sheetViews>
    <sheetView view="pageBreakPreview" topLeftCell="A18" zoomScale="85" zoomScaleNormal="85" zoomScaleSheetLayoutView="85" workbookViewId="0">
      <selection activeCell="A22" sqref="A22:D22"/>
    </sheetView>
  </sheetViews>
  <sheetFormatPr defaultRowHeight="12.75" x14ac:dyDescent="0.2"/>
  <cols>
    <col min="1" max="1" width="6.85546875" customWidth="1"/>
    <col min="2" max="2" width="15.140625" customWidth="1"/>
    <col min="3" max="3" width="15.28515625" customWidth="1"/>
    <col min="4" max="4" width="10.85546875" customWidth="1"/>
    <col min="5" max="5" width="58.140625" customWidth="1"/>
    <col min="6" max="6" width="15.85546875" style="5" customWidth="1"/>
  </cols>
  <sheetData>
    <row r="1" spans="1:6" x14ac:dyDescent="0.2">
      <c r="A1" s="198"/>
      <c r="B1" s="198"/>
      <c r="C1" s="198"/>
      <c r="D1" s="198"/>
      <c r="E1" s="198"/>
      <c r="F1" s="199" t="s">
        <v>611</v>
      </c>
    </row>
    <row r="2" spans="1:6" x14ac:dyDescent="0.2">
      <c r="A2" s="198"/>
      <c r="B2" s="198"/>
      <c r="C2" s="198"/>
      <c r="D2" s="198"/>
      <c r="E2" s="198"/>
      <c r="F2" s="199" t="s">
        <v>612</v>
      </c>
    </row>
    <row r="3" spans="1:6" x14ac:dyDescent="0.2">
      <c r="A3" s="198"/>
      <c r="B3" s="198"/>
      <c r="C3" s="198"/>
      <c r="D3" s="198"/>
      <c r="E3" s="198"/>
      <c r="F3" s="199" t="s">
        <v>613</v>
      </c>
    </row>
    <row r="4" spans="1:6" ht="15.75" x14ac:dyDescent="0.25">
      <c r="A4" s="640" t="s">
        <v>614</v>
      </c>
      <c r="B4" s="641"/>
      <c r="C4" s="641"/>
      <c r="D4" s="641"/>
      <c r="E4" s="641"/>
      <c r="F4" s="641"/>
    </row>
    <row r="5" spans="1:6" ht="15.75" x14ac:dyDescent="0.25">
      <c r="A5" s="640" t="s">
        <v>615</v>
      </c>
      <c r="B5" s="641"/>
      <c r="C5" s="641"/>
      <c r="D5" s="641"/>
      <c r="E5" s="641"/>
      <c r="F5" s="641"/>
    </row>
    <row r="6" spans="1:6" ht="15.75" x14ac:dyDescent="0.25">
      <c r="A6" s="642" t="s">
        <v>616</v>
      </c>
      <c r="B6" s="643"/>
      <c r="C6" s="643"/>
      <c r="D6" s="643"/>
      <c r="E6" s="643"/>
      <c r="F6" s="643"/>
    </row>
    <row r="7" spans="1:6" ht="59.25" customHeight="1" x14ac:dyDescent="0.2">
      <c r="A7" s="200" t="s">
        <v>617</v>
      </c>
      <c r="B7" s="201" t="s">
        <v>618</v>
      </c>
      <c r="C7" s="201" t="s">
        <v>61</v>
      </c>
      <c r="D7" s="201" t="s">
        <v>43</v>
      </c>
      <c r="E7" s="200" t="s">
        <v>619</v>
      </c>
      <c r="F7" s="202" t="s">
        <v>620</v>
      </c>
    </row>
    <row r="8" spans="1:6" ht="60" customHeight="1" x14ac:dyDescent="0.2">
      <c r="A8" s="305">
        <v>1</v>
      </c>
      <c r="B8" s="306" t="s">
        <v>586</v>
      </c>
      <c r="C8" s="306" t="s">
        <v>587</v>
      </c>
      <c r="D8" s="306" t="s">
        <v>119</v>
      </c>
      <c r="E8" s="307" t="s">
        <v>842</v>
      </c>
      <c r="F8" s="308">
        <f>(165000)+68148.66</f>
        <v>233148.66</v>
      </c>
    </row>
    <row r="9" spans="1:6" ht="60" customHeight="1" x14ac:dyDescent="0.2">
      <c r="A9" s="305">
        <v>2</v>
      </c>
      <c r="B9" s="306" t="s">
        <v>586</v>
      </c>
      <c r="C9" s="306" t="s">
        <v>587</v>
      </c>
      <c r="D9" s="306" t="s">
        <v>119</v>
      </c>
      <c r="E9" s="307" t="s">
        <v>843</v>
      </c>
      <c r="F9" s="308">
        <v>285000</v>
      </c>
    </row>
    <row r="10" spans="1:6" ht="73.5" customHeight="1" x14ac:dyDescent="0.2">
      <c r="A10" s="305">
        <v>3</v>
      </c>
      <c r="B10" s="306" t="s">
        <v>586</v>
      </c>
      <c r="C10" s="306" t="s">
        <v>587</v>
      </c>
      <c r="D10" s="306" t="s">
        <v>119</v>
      </c>
      <c r="E10" s="309" t="s">
        <v>1017</v>
      </c>
      <c r="F10" s="308">
        <v>90000</v>
      </c>
    </row>
    <row r="11" spans="1:6" ht="80.25" customHeight="1" x14ac:dyDescent="0.2">
      <c r="A11" s="305">
        <v>4</v>
      </c>
      <c r="B11" s="306" t="s">
        <v>586</v>
      </c>
      <c r="C11" s="306" t="s">
        <v>587</v>
      </c>
      <c r="D11" s="306" t="s">
        <v>119</v>
      </c>
      <c r="E11" s="309" t="s">
        <v>644</v>
      </c>
      <c r="F11" s="308">
        <v>21000</v>
      </c>
    </row>
    <row r="12" spans="1:6" ht="47.25" x14ac:dyDescent="0.2">
      <c r="A12" s="305">
        <v>5</v>
      </c>
      <c r="B12" s="306" t="s">
        <v>588</v>
      </c>
      <c r="C12" s="306" t="s">
        <v>589</v>
      </c>
      <c r="D12" s="306" t="s">
        <v>121</v>
      </c>
      <c r="E12" s="309" t="s">
        <v>1018</v>
      </c>
      <c r="F12" s="308">
        <v>238000</v>
      </c>
    </row>
    <row r="13" spans="1:6" ht="67.5" customHeight="1" x14ac:dyDescent="0.2">
      <c r="A13" s="305">
        <v>6</v>
      </c>
      <c r="B13" s="306" t="s">
        <v>588</v>
      </c>
      <c r="C13" s="306" t="s">
        <v>589</v>
      </c>
      <c r="D13" s="306" t="s">
        <v>121</v>
      </c>
      <c r="E13" s="307" t="s">
        <v>645</v>
      </c>
      <c r="F13" s="308">
        <v>70000</v>
      </c>
    </row>
    <row r="14" spans="1:6" ht="47.25" x14ac:dyDescent="0.2">
      <c r="A14" s="305">
        <v>7</v>
      </c>
      <c r="B14" s="306" t="s">
        <v>591</v>
      </c>
      <c r="C14" s="306" t="s">
        <v>592</v>
      </c>
      <c r="D14" s="306" t="s">
        <v>123</v>
      </c>
      <c r="E14" s="307" t="s">
        <v>844</v>
      </c>
      <c r="F14" s="308">
        <v>85000</v>
      </c>
    </row>
    <row r="15" spans="1:6" ht="95.25" customHeight="1" x14ac:dyDescent="0.2">
      <c r="A15" s="305">
        <v>8</v>
      </c>
      <c r="B15" s="306" t="s">
        <v>591</v>
      </c>
      <c r="C15" s="306" t="s">
        <v>592</v>
      </c>
      <c r="D15" s="306" t="s">
        <v>123</v>
      </c>
      <c r="E15" s="307" t="s">
        <v>621</v>
      </c>
      <c r="F15" s="308">
        <v>40000</v>
      </c>
    </row>
    <row r="16" spans="1:6" ht="95.25" customHeight="1" x14ac:dyDescent="0.2">
      <c r="A16" s="305">
        <v>9</v>
      </c>
      <c r="B16" s="306" t="s">
        <v>593</v>
      </c>
      <c r="C16" s="306" t="s">
        <v>594</v>
      </c>
      <c r="D16" s="306" t="s">
        <v>122</v>
      </c>
      <c r="E16" s="307" t="s">
        <v>622</v>
      </c>
      <c r="F16" s="308">
        <v>69000</v>
      </c>
    </row>
    <row r="17" spans="1:7" ht="63" x14ac:dyDescent="0.2">
      <c r="A17" s="305">
        <v>10</v>
      </c>
      <c r="B17" s="306" t="s">
        <v>593</v>
      </c>
      <c r="C17" s="306" t="s">
        <v>594</v>
      </c>
      <c r="D17" s="306" t="s">
        <v>122</v>
      </c>
      <c r="E17" s="307" t="s">
        <v>649</v>
      </c>
      <c r="F17" s="308">
        <f>(110000)+30000</f>
        <v>140000</v>
      </c>
    </row>
    <row r="18" spans="1:7" ht="15.75" x14ac:dyDescent="0.2">
      <c r="A18" s="644" t="s">
        <v>623</v>
      </c>
      <c r="B18" s="645"/>
      <c r="C18" s="645"/>
      <c r="D18" s="645"/>
      <c r="E18" s="646"/>
      <c r="F18" s="246">
        <f>SUM(F8:F17)</f>
        <v>1271148.6600000001</v>
      </c>
      <c r="G18" s="203" t="b">
        <f>F18='dod3'!P201-'dod3'!P202</f>
        <v>1</v>
      </c>
    </row>
    <row r="19" spans="1:7" s="5" customFormat="1" ht="15.75" x14ac:dyDescent="0.2">
      <c r="A19" s="207"/>
      <c r="B19" s="207"/>
      <c r="C19" s="207"/>
      <c r="D19" s="207"/>
      <c r="E19" s="207"/>
      <c r="F19" s="208"/>
    </row>
    <row r="20" spans="1:7" s="5" customFormat="1" ht="15.75" x14ac:dyDescent="0.2">
      <c r="A20" s="648" t="s">
        <v>1042</v>
      </c>
      <c r="B20" s="649"/>
      <c r="C20" s="649"/>
      <c r="D20" s="649"/>
      <c r="E20" s="395"/>
      <c r="F20" s="397" t="s">
        <v>1048</v>
      </c>
    </row>
    <row r="21" spans="1:7" s="5" customFormat="1" ht="15.75" x14ac:dyDescent="0.2">
      <c r="A21" s="398"/>
      <c r="B21" s="398"/>
      <c r="C21" s="398"/>
      <c r="D21" s="398"/>
      <c r="E21" s="395"/>
      <c r="F21" s="396"/>
    </row>
    <row r="22" spans="1:7" ht="15.75" x14ac:dyDescent="0.25">
      <c r="A22" s="650" t="s">
        <v>1049</v>
      </c>
      <c r="B22" s="650"/>
      <c r="C22" s="650"/>
      <c r="D22" s="650"/>
      <c r="E22" s="204"/>
      <c r="F22" s="394" t="s">
        <v>624</v>
      </c>
    </row>
    <row r="23" spans="1:7" ht="15.75" x14ac:dyDescent="0.2">
      <c r="A23" s="647"/>
      <c r="B23" s="647"/>
      <c r="C23" s="647"/>
      <c r="D23" s="647"/>
      <c r="E23" s="647"/>
      <c r="F23" s="205"/>
    </row>
    <row r="29" spans="1:7" x14ac:dyDescent="0.2">
      <c r="E29" s="5"/>
    </row>
  </sheetData>
  <mergeCells count="7">
    <mergeCell ref="A4:F4"/>
    <mergeCell ref="A5:F5"/>
    <mergeCell ref="A6:F6"/>
    <mergeCell ref="A18:E18"/>
    <mergeCell ref="A23:E23"/>
    <mergeCell ref="A20:D20"/>
    <mergeCell ref="A22:D22"/>
  </mergeCell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FD236"/>
  <sheetViews>
    <sheetView tabSelected="1" view="pageBreakPreview" topLeftCell="B1" zoomScale="70" zoomScaleNormal="70" zoomScaleSheetLayoutView="70" zoomScalePageLayoutView="70" workbookViewId="0">
      <pane ySplit="4" topLeftCell="A204" activePane="bottomLeft" state="frozen"/>
      <selection activeCell="B1" sqref="B1"/>
      <selection pane="bottomLeft" activeCell="E20" sqref="E20"/>
    </sheetView>
  </sheetViews>
  <sheetFormatPr defaultColWidth="7.85546875" defaultRowHeight="12.75" x14ac:dyDescent="0.2"/>
  <cols>
    <col min="1" max="1" width="3.28515625" style="28" hidden="1" customWidth="1"/>
    <col min="2" max="2" width="14.140625" style="28" customWidth="1"/>
    <col min="3" max="3" width="13.28515625" style="28" customWidth="1"/>
    <col min="4" max="4" width="15.28515625" style="28" customWidth="1"/>
    <col min="5" max="5" width="50.5703125" style="28" customWidth="1"/>
    <col min="6" max="6" width="38.5703125" style="28" customWidth="1"/>
    <col min="7" max="9" width="18.140625" style="28" customWidth="1"/>
    <col min="10" max="10" width="15.85546875" style="29" customWidth="1"/>
    <col min="11" max="11" width="12.5703125" style="29" customWidth="1"/>
    <col min="12" max="16384" width="7.85546875" style="29"/>
  </cols>
  <sheetData>
    <row r="1" spans="1:11" ht="31.5" customHeight="1" x14ac:dyDescent="0.2">
      <c r="G1" s="617" t="s">
        <v>915</v>
      </c>
      <c r="H1" s="617"/>
      <c r="I1" s="617"/>
    </row>
    <row r="2" spans="1:11" ht="46.5" customHeight="1" x14ac:dyDescent="0.2">
      <c r="B2" s="659" t="s">
        <v>643</v>
      </c>
      <c r="C2" s="660"/>
      <c r="D2" s="660"/>
      <c r="E2" s="660"/>
      <c r="F2" s="660"/>
      <c r="G2" s="660"/>
      <c r="H2" s="660"/>
      <c r="I2" s="660"/>
    </row>
    <row r="3" spans="1:11" ht="9" customHeight="1" x14ac:dyDescent="0.3">
      <c r="B3" s="30"/>
      <c r="C3" s="31"/>
      <c r="D3" s="31"/>
      <c r="E3" s="31"/>
      <c r="F3" s="32"/>
      <c r="G3" s="32"/>
      <c r="H3" s="33"/>
      <c r="I3" s="34" t="s">
        <v>134</v>
      </c>
    </row>
    <row r="4" spans="1:11" ht="107.25" customHeight="1" x14ac:dyDescent="0.2">
      <c r="A4" s="35"/>
      <c r="B4" s="44" t="s">
        <v>41</v>
      </c>
      <c r="C4" s="44" t="s">
        <v>61</v>
      </c>
      <c r="D4" s="36" t="s">
        <v>43</v>
      </c>
      <c r="E4" s="43" t="s">
        <v>56</v>
      </c>
      <c r="F4" s="38" t="s">
        <v>63</v>
      </c>
      <c r="G4" s="42" t="s">
        <v>36</v>
      </c>
      <c r="H4" s="38" t="s">
        <v>124</v>
      </c>
      <c r="I4" s="38" t="s">
        <v>62</v>
      </c>
    </row>
    <row r="5" spans="1:11" s="40" customFormat="1" ht="30" x14ac:dyDescent="0.2">
      <c r="A5" s="39"/>
      <c r="B5" s="484" t="s">
        <v>302</v>
      </c>
      <c r="C5" s="484"/>
      <c r="D5" s="484"/>
      <c r="E5" s="485" t="s">
        <v>304</v>
      </c>
      <c r="F5" s="550"/>
      <c r="G5" s="494">
        <f>G6</f>
        <v>9829664</v>
      </c>
      <c r="H5" s="494">
        <f>H6</f>
        <v>14928435.25</v>
      </c>
      <c r="I5" s="494">
        <f t="shared" ref="I5:I23" si="0">G5+H5</f>
        <v>24758099.25</v>
      </c>
    </row>
    <row r="6" spans="1:11" ht="28.5" x14ac:dyDescent="0.2">
      <c r="B6" s="488" t="s">
        <v>303</v>
      </c>
      <c r="C6" s="488"/>
      <c r="D6" s="488"/>
      <c r="E6" s="489" t="s">
        <v>305</v>
      </c>
      <c r="F6" s="551"/>
      <c r="G6" s="497">
        <f>SUM(G7:G23)</f>
        <v>9829664</v>
      </c>
      <c r="H6" s="497">
        <f>SUM(H7:H23)</f>
        <v>14928435.25</v>
      </c>
      <c r="I6" s="497">
        <f t="shared" si="0"/>
        <v>24758099.25</v>
      </c>
    </row>
    <row r="7" spans="1:11" ht="60" x14ac:dyDescent="0.2">
      <c r="B7" s="272" t="s">
        <v>428</v>
      </c>
      <c r="C7" s="272" t="s">
        <v>429</v>
      </c>
      <c r="D7" s="272" t="s">
        <v>430</v>
      </c>
      <c r="E7" s="272" t="s">
        <v>427</v>
      </c>
      <c r="F7" s="276" t="s">
        <v>13</v>
      </c>
      <c r="G7" s="277">
        <f>11700+86000</f>
        <v>97700</v>
      </c>
      <c r="H7" s="277">
        <f>((370000)+1318600-86000)-97200-6000</f>
        <v>1499400</v>
      </c>
      <c r="I7" s="277">
        <f t="shared" si="0"/>
        <v>1597100</v>
      </c>
    </row>
    <row r="8" spans="1:11" ht="45" hidden="1" x14ac:dyDescent="0.2">
      <c r="B8" s="455" t="s">
        <v>432</v>
      </c>
      <c r="C8" s="455" t="s">
        <v>433</v>
      </c>
      <c r="D8" s="455" t="s">
        <v>430</v>
      </c>
      <c r="E8" s="455" t="s">
        <v>431</v>
      </c>
      <c r="F8" s="456" t="s">
        <v>13</v>
      </c>
      <c r="G8" s="457"/>
      <c r="H8" s="457">
        <f>(((76000)+318000)+6000)-400000</f>
        <v>0</v>
      </c>
      <c r="I8" s="457">
        <f t="shared" si="0"/>
        <v>0</v>
      </c>
    </row>
    <row r="9" spans="1:11" ht="45" x14ac:dyDescent="0.2">
      <c r="B9" s="377" t="s">
        <v>435</v>
      </c>
      <c r="C9" s="377" t="s">
        <v>436</v>
      </c>
      <c r="D9" s="377" t="s">
        <v>437</v>
      </c>
      <c r="E9" s="377" t="s">
        <v>434</v>
      </c>
      <c r="F9" s="276" t="s">
        <v>13</v>
      </c>
      <c r="G9" s="277">
        <f>'dod3'!E20</f>
        <v>4100700</v>
      </c>
      <c r="H9" s="277">
        <f>'dod3'!J20</f>
        <v>0</v>
      </c>
      <c r="I9" s="277">
        <f t="shared" si="0"/>
        <v>4100700</v>
      </c>
    </row>
    <row r="10" spans="1:11" ht="45" hidden="1" x14ac:dyDescent="0.2">
      <c r="B10" s="255" t="s">
        <v>646</v>
      </c>
      <c r="C10" s="259" t="s">
        <v>373</v>
      </c>
      <c r="D10" s="259" t="s">
        <v>324</v>
      </c>
      <c r="E10" s="255" t="s">
        <v>89</v>
      </c>
      <c r="F10" s="260" t="s">
        <v>13</v>
      </c>
      <c r="G10" s="263"/>
      <c r="H10" s="263">
        <f>'dod3'!J21</f>
        <v>0</v>
      </c>
      <c r="I10" s="263">
        <f t="shared" si="0"/>
        <v>0</v>
      </c>
    </row>
    <row r="11" spans="1:11" ht="60" x14ac:dyDescent="0.2">
      <c r="B11" s="377" t="s">
        <v>438</v>
      </c>
      <c r="C11" s="377" t="s">
        <v>439</v>
      </c>
      <c r="D11" s="377" t="s">
        <v>440</v>
      </c>
      <c r="E11" s="376" t="s">
        <v>441</v>
      </c>
      <c r="F11" s="276" t="s">
        <v>560</v>
      </c>
      <c r="G11" s="378">
        <f>(2155000)+220000</f>
        <v>2375000</v>
      </c>
      <c r="H11" s="277">
        <f>(1200000)+2800000</f>
        <v>4000000</v>
      </c>
      <c r="I11" s="277">
        <f t="shared" si="0"/>
        <v>6375000</v>
      </c>
      <c r="K11" s="219" t="b">
        <f>I11+I12='dod3'!P26</f>
        <v>1</v>
      </c>
    </row>
    <row r="12" spans="1:11" ht="62.25" customHeight="1" x14ac:dyDescent="0.2">
      <c r="B12" s="377" t="s">
        <v>438</v>
      </c>
      <c r="C12" s="377" t="s">
        <v>439</v>
      </c>
      <c r="D12" s="377" t="s">
        <v>440</v>
      </c>
      <c r="E12" s="376" t="s">
        <v>441</v>
      </c>
      <c r="F12" s="276" t="s">
        <v>136</v>
      </c>
      <c r="G12" s="378">
        <f>((400000)+700800)+250000+215000</f>
        <v>1565800</v>
      </c>
      <c r="H12" s="277">
        <v>0</v>
      </c>
      <c r="I12" s="277">
        <f t="shared" si="0"/>
        <v>1565800</v>
      </c>
    </row>
    <row r="13" spans="1:11" ht="45" x14ac:dyDescent="0.2">
      <c r="B13" s="377" t="s">
        <v>962</v>
      </c>
      <c r="C13" s="377" t="s">
        <v>799</v>
      </c>
      <c r="D13" s="377" t="s">
        <v>103</v>
      </c>
      <c r="E13" s="377" t="s">
        <v>800</v>
      </c>
      <c r="F13" s="276" t="s">
        <v>725</v>
      </c>
      <c r="G13" s="378">
        <f>'dod3'!E28</f>
        <v>0</v>
      </c>
      <c r="H13" s="277">
        <f>'dod3'!J28</f>
        <v>100000</v>
      </c>
      <c r="I13" s="277">
        <f t="shared" si="0"/>
        <v>100000</v>
      </c>
    </row>
    <row r="14" spans="1:11" ht="75" x14ac:dyDescent="0.2">
      <c r="B14" s="377" t="s">
        <v>821</v>
      </c>
      <c r="C14" s="377" t="s">
        <v>822</v>
      </c>
      <c r="D14" s="377" t="s">
        <v>103</v>
      </c>
      <c r="E14" s="377" t="s">
        <v>823</v>
      </c>
      <c r="F14" s="276" t="s">
        <v>925</v>
      </c>
      <c r="G14" s="378">
        <f>(972664+100000)+160000</f>
        <v>1232664</v>
      </c>
      <c r="H14" s="277">
        <f>(1997336-100000)-100000</f>
        <v>1797336</v>
      </c>
      <c r="I14" s="277">
        <f t="shared" si="0"/>
        <v>3030000</v>
      </c>
      <c r="J14" s="405" t="b">
        <f>G14+G15+G16+G17+G18+G19+G20+G21+G22+G23='dod3'!E29</f>
        <v>1</v>
      </c>
      <c r="K14" s="405" t="b">
        <f>H14+H15+H16+H17+H18+H19+H20+H21+H22+H23='dod3'!J29</f>
        <v>1</v>
      </c>
    </row>
    <row r="15" spans="1:11" ht="120" x14ac:dyDescent="0.2">
      <c r="B15" s="377" t="s">
        <v>821</v>
      </c>
      <c r="C15" s="377" t="s">
        <v>822</v>
      </c>
      <c r="D15" s="377" t="s">
        <v>103</v>
      </c>
      <c r="E15" s="377" t="s">
        <v>823</v>
      </c>
      <c r="F15" s="276" t="s">
        <v>824</v>
      </c>
      <c r="G15" s="378">
        <f>170000+50000</f>
        <v>220000</v>
      </c>
      <c r="H15" s="277">
        <v>600000</v>
      </c>
      <c r="I15" s="277">
        <f t="shared" si="0"/>
        <v>820000</v>
      </c>
    </row>
    <row r="16" spans="1:11" ht="75" x14ac:dyDescent="0.2">
      <c r="B16" s="377" t="s">
        <v>821</v>
      </c>
      <c r="C16" s="377" t="s">
        <v>822</v>
      </c>
      <c r="D16" s="377" t="s">
        <v>103</v>
      </c>
      <c r="E16" s="377" t="s">
        <v>823</v>
      </c>
      <c r="F16" s="276" t="s">
        <v>825</v>
      </c>
      <c r="G16" s="378"/>
      <c r="H16" s="277">
        <f>(600000)+108000</f>
        <v>708000</v>
      </c>
      <c r="I16" s="277">
        <f t="shared" si="0"/>
        <v>708000</v>
      </c>
      <c r="J16" s="29" t="s">
        <v>961</v>
      </c>
    </row>
    <row r="17" spans="2:12" ht="62.25" customHeight="1" x14ac:dyDescent="0.2">
      <c r="B17" s="377" t="s">
        <v>821</v>
      </c>
      <c r="C17" s="377" t="s">
        <v>822</v>
      </c>
      <c r="D17" s="377" t="s">
        <v>103</v>
      </c>
      <c r="E17" s="377" t="s">
        <v>823</v>
      </c>
      <c r="F17" s="276" t="s">
        <v>826</v>
      </c>
      <c r="G17" s="378"/>
      <c r="H17" s="277">
        <v>1500000</v>
      </c>
      <c r="I17" s="277">
        <f t="shared" si="0"/>
        <v>1500000</v>
      </c>
    </row>
    <row r="18" spans="2:12" ht="90" x14ac:dyDescent="0.2">
      <c r="B18" s="377" t="s">
        <v>821</v>
      </c>
      <c r="C18" s="377" t="s">
        <v>822</v>
      </c>
      <c r="D18" s="377" t="s">
        <v>103</v>
      </c>
      <c r="E18" s="377" t="s">
        <v>823</v>
      </c>
      <c r="F18" s="276" t="s">
        <v>827</v>
      </c>
      <c r="G18" s="378">
        <f>25000</f>
        <v>25000</v>
      </c>
      <c r="H18" s="277"/>
      <c r="I18" s="277">
        <f t="shared" si="0"/>
        <v>25000</v>
      </c>
      <c r="J18" s="29" t="s">
        <v>1022</v>
      </c>
    </row>
    <row r="19" spans="2:12" ht="105" x14ac:dyDescent="0.2">
      <c r="B19" s="377" t="s">
        <v>821</v>
      </c>
      <c r="C19" s="377" t="s">
        <v>822</v>
      </c>
      <c r="D19" s="377" t="s">
        <v>103</v>
      </c>
      <c r="E19" s="377" t="s">
        <v>823</v>
      </c>
      <c r="F19" s="276" t="s">
        <v>828</v>
      </c>
      <c r="G19" s="378">
        <v>80000</v>
      </c>
      <c r="H19" s="277">
        <f>(0)+30000</f>
        <v>30000</v>
      </c>
      <c r="I19" s="277">
        <f t="shared" si="0"/>
        <v>110000</v>
      </c>
    </row>
    <row r="20" spans="2:12" ht="75" x14ac:dyDescent="0.2">
      <c r="B20" s="377" t="s">
        <v>821</v>
      </c>
      <c r="C20" s="377" t="s">
        <v>822</v>
      </c>
      <c r="D20" s="377" t="s">
        <v>103</v>
      </c>
      <c r="E20" s="377" t="s">
        <v>823</v>
      </c>
      <c r="F20" s="276" t="s">
        <v>829</v>
      </c>
      <c r="G20" s="378">
        <f>(70000)+62800</f>
        <v>132800</v>
      </c>
      <c r="H20" s="277"/>
      <c r="I20" s="277">
        <f t="shared" si="0"/>
        <v>132800</v>
      </c>
    </row>
    <row r="21" spans="2:12" ht="105" x14ac:dyDescent="0.2">
      <c r="B21" s="377" t="s">
        <v>821</v>
      </c>
      <c r="C21" s="377" t="s">
        <v>822</v>
      </c>
      <c r="D21" s="377" t="s">
        <v>103</v>
      </c>
      <c r="E21" s="377" t="s">
        <v>823</v>
      </c>
      <c r="F21" s="276" t="s">
        <v>830</v>
      </c>
      <c r="G21" s="378"/>
      <c r="H21" s="277">
        <v>1400000</v>
      </c>
      <c r="I21" s="277">
        <f t="shared" si="0"/>
        <v>1400000</v>
      </c>
    </row>
    <row r="22" spans="2:12" ht="45" x14ac:dyDescent="0.2">
      <c r="B22" s="403" t="s">
        <v>821</v>
      </c>
      <c r="C22" s="403" t="s">
        <v>822</v>
      </c>
      <c r="D22" s="403" t="s">
        <v>103</v>
      </c>
      <c r="E22" s="403" t="s">
        <v>823</v>
      </c>
      <c r="F22" s="276" t="s">
        <v>596</v>
      </c>
      <c r="G22" s="404"/>
      <c r="H22" s="277">
        <v>143759.25</v>
      </c>
      <c r="I22" s="277">
        <f t="shared" si="0"/>
        <v>143759.25</v>
      </c>
    </row>
    <row r="23" spans="2:12" ht="105" x14ac:dyDescent="0.2">
      <c r="B23" s="453" t="s">
        <v>821</v>
      </c>
      <c r="C23" s="453" t="s">
        <v>822</v>
      </c>
      <c r="D23" s="453" t="s">
        <v>103</v>
      </c>
      <c r="E23" s="453" t="s">
        <v>823</v>
      </c>
      <c r="F23" s="276" t="s">
        <v>828</v>
      </c>
      <c r="G23" s="454"/>
      <c r="H23" s="277">
        <v>3149940</v>
      </c>
      <c r="I23" s="277">
        <f t="shared" si="0"/>
        <v>3149940</v>
      </c>
    </row>
    <row r="24" spans="2:12" ht="30" x14ac:dyDescent="0.2">
      <c r="B24" s="484" t="s">
        <v>306</v>
      </c>
      <c r="C24" s="484"/>
      <c r="D24" s="484"/>
      <c r="E24" s="485" t="s">
        <v>6</v>
      </c>
      <c r="F24" s="503"/>
      <c r="G24" s="494">
        <f>G25</f>
        <v>897321909.99999988</v>
      </c>
      <c r="H24" s="494">
        <f>H25</f>
        <v>138767283</v>
      </c>
      <c r="I24" s="494">
        <f t="shared" ref="I24:I25" si="1">G24+H24</f>
        <v>1036089192.9999999</v>
      </c>
    </row>
    <row r="25" spans="2:12" ht="28.5" x14ac:dyDescent="0.2">
      <c r="B25" s="488" t="s">
        <v>307</v>
      </c>
      <c r="C25" s="488"/>
      <c r="D25" s="488"/>
      <c r="E25" s="489" t="s">
        <v>2</v>
      </c>
      <c r="F25" s="503"/>
      <c r="G25" s="497">
        <f>SUM(G26:G42)-G40-G41</f>
        <v>897321909.99999988</v>
      </c>
      <c r="H25" s="497">
        <f>SUM(H26:H42)-H40-H41</f>
        <v>138767283</v>
      </c>
      <c r="I25" s="497">
        <f t="shared" si="1"/>
        <v>1036089192.9999999</v>
      </c>
      <c r="J25" s="219" t="b">
        <f>I25='dod3'!P31</f>
        <v>1</v>
      </c>
      <c r="K25" s="219" t="b">
        <f>G25='dod3'!E31</f>
        <v>1</v>
      </c>
      <c r="L25" s="219" t="b">
        <f>H25='dod3'!J31</f>
        <v>1</v>
      </c>
    </row>
    <row r="26" spans="2:12" ht="30" x14ac:dyDescent="0.2">
      <c r="B26" s="272" t="s">
        <v>376</v>
      </c>
      <c r="C26" s="272" t="s">
        <v>377</v>
      </c>
      <c r="D26" s="272" t="s">
        <v>379</v>
      </c>
      <c r="E26" s="272" t="s">
        <v>380</v>
      </c>
      <c r="F26" s="276" t="s">
        <v>137</v>
      </c>
      <c r="G26" s="277">
        <f>'dod3'!E32-G27</f>
        <v>236972936</v>
      </c>
      <c r="H26" s="277">
        <f>'dod3'!J32-H27</f>
        <v>42696100</v>
      </c>
      <c r="I26" s="277">
        <f t="shared" ref="I26:I42" si="2">G26+H26</f>
        <v>279669036</v>
      </c>
    </row>
    <row r="27" spans="2:12" ht="54" customHeight="1" x14ac:dyDescent="0.2">
      <c r="B27" s="272" t="s">
        <v>376</v>
      </c>
      <c r="C27" s="272" t="s">
        <v>377</v>
      </c>
      <c r="D27" s="272" t="s">
        <v>379</v>
      </c>
      <c r="E27" s="272" t="s">
        <v>380</v>
      </c>
      <c r="F27" s="276" t="s">
        <v>648</v>
      </c>
      <c r="G27" s="277">
        <f>(165502+120830)+41349</f>
        <v>327681</v>
      </c>
      <c r="H27" s="277">
        <f>(353242+55000)-41349</f>
        <v>366893</v>
      </c>
      <c r="I27" s="277">
        <f t="shared" si="2"/>
        <v>694574</v>
      </c>
    </row>
    <row r="28" spans="2:12" ht="75" x14ac:dyDescent="0.2">
      <c r="B28" s="272" t="s">
        <v>382</v>
      </c>
      <c r="C28" s="272" t="s">
        <v>378</v>
      </c>
      <c r="D28" s="272" t="s">
        <v>383</v>
      </c>
      <c r="E28" s="272" t="s">
        <v>381</v>
      </c>
      <c r="F28" s="276" t="s">
        <v>137</v>
      </c>
      <c r="G28" s="277">
        <f>'dod3'!E33-G29-G30-G31</f>
        <v>497739710.07999998</v>
      </c>
      <c r="H28" s="277">
        <f>'dod3'!J33-H29-H30-H31</f>
        <v>51881209</v>
      </c>
      <c r="I28" s="277">
        <f t="shared" si="2"/>
        <v>549620919.07999992</v>
      </c>
    </row>
    <row r="29" spans="2:12" ht="75" x14ac:dyDescent="0.2">
      <c r="B29" s="272" t="s">
        <v>382</v>
      </c>
      <c r="C29" s="272" t="s">
        <v>378</v>
      </c>
      <c r="D29" s="272" t="s">
        <v>383</v>
      </c>
      <c r="E29" s="272" t="s">
        <v>381</v>
      </c>
      <c r="F29" s="276" t="s">
        <v>138</v>
      </c>
      <c r="G29" s="277">
        <v>4297100</v>
      </c>
      <c r="H29" s="277"/>
      <c r="I29" s="277">
        <f t="shared" si="2"/>
        <v>4297100</v>
      </c>
    </row>
    <row r="30" spans="2:12" ht="75" x14ac:dyDescent="0.2">
      <c r="B30" s="272" t="s">
        <v>382</v>
      </c>
      <c r="C30" s="272" t="s">
        <v>378</v>
      </c>
      <c r="D30" s="272" t="s">
        <v>383</v>
      </c>
      <c r="E30" s="272" t="s">
        <v>381</v>
      </c>
      <c r="F30" s="276" t="s">
        <v>648</v>
      </c>
      <c r="G30" s="277">
        <f>(318969+495888)+86612</f>
        <v>901469</v>
      </c>
      <c r="H30" s="277">
        <f>(297437+100000)-86612</f>
        <v>310825</v>
      </c>
      <c r="I30" s="277">
        <f t="shared" si="2"/>
        <v>1212294</v>
      </c>
    </row>
    <row r="31" spans="2:12" ht="75" x14ac:dyDescent="0.2">
      <c r="B31" s="272" t="s">
        <v>382</v>
      </c>
      <c r="C31" s="272" t="s">
        <v>378</v>
      </c>
      <c r="D31" s="272" t="s">
        <v>383</v>
      </c>
      <c r="E31" s="272" t="s">
        <v>381</v>
      </c>
      <c r="F31" s="276" t="s">
        <v>892</v>
      </c>
      <c r="G31" s="277"/>
      <c r="H31" s="277">
        <v>9450</v>
      </c>
      <c r="I31" s="277">
        <f t="shared" si="2"/>
        <v>9450</v>
      </c>
    </row>
    <row r="32" spans="2:12" ht="30" x14ac:dyDescent="0.2">
      <c r="B32" s="272" t="s">
        <v>384</v>
      </c>
      <c r="C32" s="272" t="s">
        <v>385</v>
      </c>
      <c r="D32" s="272" t="s">
        <v>383</v>
      </c>
      <c r="E32" s="272" t="s">
        <v>46</v>
      </c>
      <c r="F32" s="276" t="s">
        <v>137</v>
      </c>
      <c r="G32" s="277">
        <f>'dod3'!E34</f>
        <v>1838089.92</v>
      </c>
      <c r="H32" s="277"/>
      <c r="I32" s="277">
        <f t="shared" si="2"/>
        <v>1838089.92</v>
      </c>
    </row>
    <row r="33" spans="2:12" ht="75" x14ac:dyDescent="0.2">
      <c r="B33" s="272" t="s">
        <v>387</v>
      </c>
      <c r="C33" s="272" t="s">
        <v>386</v>
      </c>
      <c r="D33" s="272" t="s">
        <v>388</v>
      </c>
      <c r="E33" s="272" t="s">
        <v>47</v>
      </c>
      <c r="F33" s="276" t="s">
        <v>137</v>
      </c>
      <c r="G33" s="277">
        <f>'dod3'!E35-G34</f>
        <v>15644300</v>
      </c>
      <c r="H33" s="277">
        <f>'dod3'!J35</f>
        <v>513449</v>
      </c>
      <c r="I33" s="277">
        <f t="shared" si="2"/>
        <v>16157749</v>
      </c>
    </row>
    <row r="34" spans="2:12" ht="75" x14ac:dyDescent="0.2">
      <c r="B34" s="272" t="s">
        <v>387</v>
      </c>
      <c r="C34" s="272" t="s">
        <v>386</v>
      </c>
      <c r="D34" s="272" t="s">
        <v>388</v>
      </c>
      <c r="E34" s="272" t="s">
        <v>47</v>
      </c>
      <c r="F34" s="276" t="s">
        <v>138</v>
      </c>
      <c r="G34" s="277">
        <v>20000</v>
      </c>
      <c r="H34" s="277"/>
      <c r="I34" s="277">
        <f t="shared" si="2"/>
        <v>20000</v>
      </c>
    </row>
    <row r="35" spans="2:12" ht="45" x14ac:dyDescent="0.2">
      <c r="B35" s="272" t="s">
        <v>389</v>
      </c>
      <c r="C35" s="272" t="s">
        <v>363</v>
      </c>
      <c r="D35" s="272" t="s">
        <v>344</v>
      </c>
      <c r="E35" s="272" t="s">
        <v>48</v>
      </c>
      <c r="F35" s="276" t="s">
        <v>137</v>
      </c>
      <c r="G35" s="277">
        <f>'dod3'!E36</f>
        <v>25834020</v>
      </c>
      <c r="H35" s="277">
        <f>'dod3'!J36</f>
        <v>11763200</v>
      </c>
      <c r="I35" s="277">
        <f t="shared" si="2"/>
        <v>37597220</v>
      </c>
    </row>
    <row r="36" spans="2:12" ht="30" x14ac:dyDescent="0.2">
      <c r="B36" s="272" t="s">
        <v>390</v>
      </c>
      <c r="C36" s="272" t="s">
        <v>391</v>
      </c>
      <c r="D36" s="272" t="s">
        <v>392</v>
      </c>
      <c r="E36" s="272" t="s">
        <v>393</v>
      </c>
      <c r="F36" s="276" t="s">
        <v>137</v>
      </c>
      <c r="G36" s="275">
        <f>'dod3'!E37</f>
        <v>95366804</v>
      </c>
      <c r="H36" s="277">
        <f>'dod3'!J37</f>
        <v>13316259</v>
      </c>
      <c r="I36" s="277">
        <f t="shared" si="2"/>
        <v>108683063</v>
      </c>
    </row>
    <row r="37" spans="2:12" ht="30" x14ac:dyDescent="0.2">
      <c r="B37" s="272" t="s">
        <v>395</v>
      </c>
      <c r="C37" s="272" t="s">
        <v>396</v>
      </c>
      <c r="D37" s="272" t="s">
        <v>397</v>
      </c>
      <c r="E37" s="272" t="s">
        <v>394</v>
      </c>
      <c r="F37" s="276" t="s">
        <v>137</v>
      </c>
      <c r="G37" s="275">
        <f>'dod3'!E38-G38</f>
        <v>4275700</v>
      </c>
      <c r="H37" s="277">
        <f>'dod3'!J38-H38</f>
        <v>176000</v>
      </c>
      <c r="I37" s="277">
        <f t="shared" si="2"/>
        <v>4451700</v>
      </c>
    </row>
    <row r="38" spans="2:12" ht="45" x14ac:dyDescent="0.2">
      <c r="B38" s="272" t="s">
        <v>395</v>
      </c>
      <c r="C38" s="272" t="s">
        <v>396</v>
      </c>
      <c r="D38" s="272" t="s">
        <v>397</v>
      </c>
      <c r="E38" s="272" t="s">
        <v>394</v>
      </c>
      <c r="F38" s="276" t="s">
        <v>892</v>
      </c>
      <c r="G38" s="275"/>
      <c r="H38" s="277">
        <v>450</v>
      </c>
      <c r="I38" s="277">
        <f t="shared" si="2"/>
        <v>450</v>
      </c>
    </row>
    <row r="39" spans="2:12" ht="30" x14ac:dyDescent="0.2">
      <c r="B39" s="272" t="s">
        <v>399</v>
      </c>
      <c r="C39" s="272" t="s">
        <v>400</v>
      </c>
      <c r="D39" s="272"/>
      <c r="E39" s="272" t="s">
        <v>398</v>
      </c>
      <c r="F39" s="276" t="s">
        <v>137</v>
      </c>
      <c r="G39" s="275">
        <f>'dod3'!E39</f>
        <v>13998100</v>
      </c>
      <c r="H39" s="277">
        <f>'dod3'!J39</f>
        <v>1299700</v>
      </c>
      <c r="I39" s="277">
        <f t="shared" si="2"/>
        <v>15297800</v>
      </c>
    </row>
    <row r="40" spans="2:12" ht="30" x14ac:dyDescent="0.2">
      <c r="B40" s="298" t="s">
        <v>656</v>
      </c>
      <c r="C40" s="282" t="s">
        <v>657</v>
      </c>
      <c r="D40" s="282" t="s">
        <v>397</v>
      </c>
      <c r="E40" s="282" t="s">
        <v>655</v>
      </c>
      <c r="F40" s="289" t="s">
        <v>137</v>
      </c>
      <c r="G40" s="280">
        <f>'dod3'!E40</f>
        <v>13830900</v>
      </c>
      <c r="H40" s="281">
        <f>'dod3'!J40</f>
        <v>1299700</v>
      </c>
      <c r="I40" s="281">
        <f t="shared" si="2"/>
        <v>15130600</v>
      </c>
    </row>
    <row r="41" spans="2:12" ht="30" x14ac:dyDescent="0.2">
      <c r="B41" s="298" t="s">
        <v>697</v>
      </c>
      <c r="C41" s="282" t="s">
        <v>698</v>
      </c>
      <c r="D41" s="282" t="s">
        <v>397</v>
      </c>
      <c r="E41" s="282" t="s">
        <v>696</v>
      </c>
      <c r="F41" s="289" t="s">
        <v>137</v>
      </c>
      <c r="G41" s="280">
        <f>'dod3'!E41</f>
        <v>167200</v>
      </c>
      <c r="H41" s="281">
        <f>'dod3'!J41</f>
        <v>0</v>
      </c>
      <c r="I41" s="281">
        <f t="shared" si="2"/>
        <v>167200</v>
      </c>
    </row>
    <row r="42" spans="2:12" ht="45" x14ac:dyDescent="0.2">
      <c r="B42" s="272" t="s">
        <v>402</v>
      </c>
      <c r="C42" s="272" t="s">
        <v>403</v>
      </c>
      <c r="D42" s="272" t="s">
        <v>404</v>
      </c>
      <c r="E42" s="272" t="s">
        <v>99</v>
      </c>
      <c r="F42" s="276" t="s">
        <v>596</v>
      </c>
      <c r="G42" s="299">
        <f>'dod3'!E42</f>
        <v>106000</v>
      </c>
      <c r="H42" s="300">
        <f>'dod3'!J42</f>
        <v>16433748</v>
      </c>
      <c r="I42" s="277">
        <f t="shared" si="2"/>
        <v>16539748</v>
      </c>
    </row>
    <row r="43" spans="2:12" ht="30" x14ac:dyDescent="0.2">
      <c r="B43" s="498" t="s">
        <v>308</v>
      </c>
      <c r="C43" s="499"/>
      <c r="D43" s="499"/>
      <c r="E43" s="485" t="s">
        <v>53</v>
      </c>
      <c r="F43" s="552"/>
      <c r="G43" s="550">
        <f>G44</f>
        <v>350015473</v>
      </c>
      <c r="H43" s="550">
        <f>H44</f>
        <v>46456973</v>
      </c>
      <c r="I43" s="550">
        <f t="shared" ref="I43:I66" si="3">G43+H43</f>
        <v>396472446</v>
      </c>
    </row>
    <row r="44" spans="2:12" ht="28.5" x14ac:dyDescent="0.2">
      <c r="B44" s="484" t="s">
        <v>309</v>
      </c>
      <c r="C44" s="484"/>
      <c r="D44" s="484"/>
      <c r="E44" s="489" t="s">
        <v>54</v>
      </c>
      <c r="F44" s="502"/>
      <c r="G44" s="502">
        <f>G46+G47+G48+G50+G57+G52+G54+G60+G51+G49+G45</f>
        <v>350015473</v>
      </c>
      <c r="H44" s="502">
        <f>H46+H47+H48+H50+H57+H52+H54+H60+H51+H49+H45</f>
        <v>46456973</v>
      </c>
      <c r="I44" s="551">
        <f>G44+H44</f>
        <v>396472446</v>
      </c>
      <c r="J44" s="219" t="b">
        <f>I44='dod3'!P44-'dod3'!E45</f>
        <v>1</v>
      </c>
      <c r="K44" s="219" t="b">
        <f>G44='dod3'!E44-'dod3'!E45</f>
        <v>1</v>
      </c>
      <c r="L44" s="219" t="b">
        <f>H44='dod3'!J44</f>
        <v>1</v>
      </c>
    </row>
    <row r="45" spans="2:12" ht="45" x14ac:dyDescent="0.2">
      <c r="B45" s="453" t="s">
        <v>1025</v>
      </c>
      <c r="C45" s="453" t="s">
        <v>433</v>
      </c>
      <c r="D45" s="453" t="s">
        <v>430</v>
      </c>
      <c r="E45" s="453" t="s">
        <v>431</v>
      </c>
      <c r="F45" s="276" t="s">
        <v>13</v>
      </c>
      <c r="G45" s="549"/>
      <c r="H45" s="549">
        <v>40000</v>
      </c>
      <c r="I45" s="277">
        <f t="shared" si="3"/>
        <v>40000</v>
      </c>
      <c r="J45" s="219"/>
      <c r="K45" s="219"/>
      <c r="L45" s="219"/>
    </row>
    <row r="46" spans="2:12" ht="30" x14ac:dyDescent="0.2">
      <c r="B46" s="272" t="s">
        <v>405</v>
      </c>
      <c r="C46" s="272" t="s">
        <v>401</v>
      </c>
      <c r="D46" s="272" t="s">
        <v>406</v>
      </c>
      <c r="E46" s="272" t="s">
        <v>55</v>
      </c>
      <c r="F46" s="346" t="s">
        <v>988</v>
      </c>
      <c r="G46" s="276">
        <f>'dod3'!F46</f>
        <v>176872111</v>
      </c>
      <c r="H46" s="275">
        <f>'dod3'!J46</f>
        <v>25953925</v>
      </c>
      <c r="I46" s="277">
        <f t="shared" si="3"/>
        <v>202826036</v>
      </c>
    </row>
    <row r="47" spans="2:12" ht="30" x14ac:dyDescent="0.2">
      <c r="B47" s="272" t="s">
        <v>407</v>
      </c>
      <c r="C47" s="272" t="s">
        <v>408</v>
      </c>
      <c r="D47" s="272" t="s">
        <v>409</v>
      </c>
      <c r="E47" s="272" t="s">
        <v>410</v>
      </c>
      <c r="F47" s="346" t="s">
        <v>988</v>
      </c>
      <c r="G47" s="276">
        <f>'dod3'!F47</f>
        <v>54159300</v>
      </c>
      <c r="H47" s="275">
        <f>'dod3'!J47</f>
        <v>1720650</v>
      </c>
      <c r="I47" s="277">
        <f t="shared" si="3"/>
        <v>55879950</v>
      </c>
    </row>
    <row r="48" spans="2:12" ht="30" x14ac:dyDescent="0.2">
      <c r="B48" s="272" t="s">
        <v>411</v>
      </c>
      <c r="C48" s="272" t="s">
        <v>412</v>
      </c>
      <c r="D48" s="272" t="s">
        <v>413</v>
      </c>
      <c r="E48" s="272" t="s">
        <v>729</v>
      </c>
      <c r="F48" s="346" t="s">
        <v>988</v>
      </c>
      <c r="G48" s="276">
        <f>'dod3'!F48-G49</f>
        <v>53968600</v>
      </c>
      <c r="H48" s="275">
        <f>'dod3'!J48-H49</f>
        <v>8055237</v>
      </c>
      <c r="I48" s="277">
        <f t="shared" si="3"/>
        <v>62023837</v>
      </c>
    </row>
    <row r="49" spans="1:12" ht="30" x14ac:dyDescent="0.2">
      <c r="B49" s="403" t="s">
        <v>411</v>
      </c>
      <c r="C49" s="403" t="s">
        <v>412</v>
      </c>
      <c r="D49" s="403" t="s">
        <v>413</v>
      </c>
      <c r="E49" s="403" t="s">
        <v>729</v>
      </c>
      <c r="F49" s="346" t="s">
        <v>29</v>
      </c>
      <c r="G49" s="276">
        <v>5286</v>
      </c>
      <c r="H49" s="404">
        <v>9524</v>
      </c>
      <c r="I49" s="277">
        <f t="shared" si="3"/>
        <v>14810</v>
      </c>
    </row>
    <row r="50" spans="1:12" ht="30" x14ac:dyDescent="0.2">
      <c r="B50" s="272" t="s">
        <v>414</v>
      </c>
      <c r="C50" s="272" t="s">
        <v>415</v>
      </c>
      <c r="D50" s="272" t="s">
        <v>416</v>
      </c>
      <c r="E50" s="272" t="s">
        <v>417</v>
      </c>
      <c r="F50" s="346" t="s">
        <v>988</v>
      </c>
      <c r="G50" s="276">
        <f>'dod3'!F49-G51</f>
        <v>8406600</v>
      </c>
      <c r="H50" s="275">
        <f>'dod3'!J49-H51</f>
        <v>6858400</v>
      </c>
      <c r="I50" s="277">
        <f t="shared" si="3"/>
        <v>15265000</v>
      </c>
    </row>
    <row r="51" spans="1:12" ht="75" x14ac:dyDescent="0.2">
      <c r="B51" s="339" t="s">
        <v>414</v>
      </c>
      <c r="C51" s="339" t="s">
        <v>415</v>
      </c>
      <c r="D51" s="339" t="s">
        <v>416</v>
      </c>
      <c r="E51" s="339" t="s">
        <v>417</v>
      </c>
      <c r="F51" s="276" t="s">
        <v>999</v>
      </c>
      <c r="G51" s="276">
        <v>600000</v>
      </c>
      <c r="H51" s="341"/>
      <c r="I51" s="277">
        <f t="shared" si="3"/>
        <v>600000</v>
      </c>
    </row>
    <row r="52" spans="1:12" ht="30" x14ac:dyDescent="0.2">
      <c r="B52" s="272" t="s">
        <v>418</v>
      </c>
      <c r="C52" s="272" t="s">
        <v>419</v>
      </c>
      <c r="D52" s="272"/>
      <c r="E52" s="272" t="s">
        <v>730</v>
      </c>
      <c r="F52" s="346" t="s">
        <v>988</v>
      </c>
      <c r="G52" s="276">
        <f>'dod3'!F50</f>
        <v>36699976</v>
      </c>
      <c r="H52" s="275">
        <f>'dod3'!J50</f>
        <v>2374000</v>
      </c>
      <c r="I52" s="277">
        <f t="shared" si="3"/>
        <v>39073976</v>
      </c>
    </row>
    <row r="53" spans="1:12" s="227" customFormat="1" ht="45" x14ac:dyDescent="0.2">
      <c r="A53" s="345"/>
      <c r="B53" s="282" t="s">
        <v>420</v>
      </c>
      <c r="C53" s="298" t="s">
        <v>421</v>
      </c>
      <c r="D53" s="298" t="s">
        <v>731</v>
      </c>
      <c r="E53" s="282" t="s">
        <v>422</v>
      </c>
      <c r="F53" s="346" t="s">
        <v>988</v>
      </c>
      <c r="G53" s="289">
        <f>'dod3'!F51</f>
        <v>36699976</v>
      </c>
      <c r="H53" s="280">
        <f>'dod3'!J51</f>
        <v>2374000</v>
      </c>
      <c r="I53" s="281">
        <f t="shared" si="3"/>
        <v>39073976</v>
      </c>
    </row>
    <row r="54" spans="1:12" ht="30" x14ac:dyDescent="0.2">
      <c r="B54" s="272" t="s">
        <v>782</v>
      </c>
      <c r="C54" s="278" t="s">
        <v>783</v>
      </c>
      <c r="D54" s="278"/>
      <c r="E54" s="278" t="s">
        <v>784</v>
      </c>
      <c r="F54" s="346" t="s">
        <v>988</v>
      </c>
      <c r="G54" s="276">
        <f>'dod3'!F52</f>
        <v>16678900</v>
      </c>
      <c r="H54" s="275">
        <f>'dod3'!J52</f>
        <v>0</v>
      </c>
      <c r="I54" s="277">
        <f t="shared" si="3"/>
        <v>16678900</v>
      </c>
    </row>
    <row r="55" spans="1:12" ht="45" x14ac:dyDescent="0.2">
      <c r="B55" s="282" t="s">
        <v>785</v>
      </c>
      <c r="C55" s="282" t="s">
        <v>786</v>
      </c>
      <c r="D55" s="278" t="s">
        <v>425</v>
      </c>
      <c r="E55" s="312" t="s">
        <v>787</v>
      </c>
      <c r="F55" s="346" t="s">
        <v>988</v>
      </c>
      <c r="G55" s="276">
        <f>'dod3'!F53</f>
        <v>10353200</v>
      </c>
      <c r="H55" s="275">
        <f>'dod3'!J53</f>
        <v>0</v>
      </c>
      <c r="I55" s="277">
        <f t="shared" si="3"/>
        <v>10353200</v>
      </c>
    </row>
    <row r="56" spans="1:12" ht="45" x14ac:dyDescent="0.2">
      <c r="B56" s="282" t="s">
        <v>790</v>
      </c>
      <c r="C56" s="282" t="s">
        <v>789</v>
      </c>
      <c r="D56" s="278" t="s">
        <v>425</v>
      </c>
      <c r="E56" s="312" t="s">
        <v>788</v>
      </c>
      <c r="F56" s="346" t="s">
        <v>988</v>
      </c>
      <c r="G56" s="276">
        <f>'dod3'!F54</f>
        <v>6325700</v>
      </c>
      <c r="H56" s="275">
        <f>'dod3'!J54</f>
        <v>0</v>
      </c>
      <c r="I56" s="277">
        <f t="shared" si="3"/>
        <v>6325700</v>
      </c>
    </row>
    <row r="57" spans="1:12" ht="30" x14ac:dyDescent="0.2">
      <c r="B57" s="272" t="s">
        <v>423</v>
      </c>
      <c r="C57" s="278" t="s">
        <v>424</v>
      </c>
      <c r="D57" s="278"/>
      <c r="E57" s="278" t="s">
        <v>426</v>
      </c>
      <c r="F57" s="346" t="s">
        <v>988</v>
      </c>
      <c r="G57" s="276">
        <f>'dod3'!F55</f>
        <v>2440300</v>
      </c>
      <c r="H57" s="275">
        <f>'dod3'!J55</f>
        <v>22800</v>
      </c>
      <c r="I57" s="277">
        <f t="shared" si="3"/>
        <v>2463100</v>
      </c>
    </row>
    <row r="58" spans="1:12" ht="30" x14ac:dyDescent="0.2">
      <c r="B58" s="282" t="s">
        <v>660</v>
      </c>
      <c r="C58" s="282" t="s">
        <v>662</v>
      </c>
      <c r="D58" s="298" t="s">
        <v>425</v>
      </c>
      <c r="E58" s="312" t="s">
        <v>658</v>
      </c>
      <c r="F58" s="346" t="s">
        <v>988</v>
      </c>
      <c r="G58" s="276">
        <f>'dod3'!F56</f>
        <v>2140300</v>
      </c>
      <c r="H58" s="275">
        <f>'dod3'!J56</f>
        <v>22800</v>
      </c>
      <c r="I58" s="277">
        <f t="shared" si="3"/>
        <v>2163100</v>
      </c>
    </row>
    <row r="59" spans="1:12" ht="30" x14ac:dyDescent="0.2">
      <c r="B59" s="282" t="s">
        <v>661</v>
      </c>
      <c r="C59" s="282" t="s">
        <v>663</v>
      </c>
      <c r="D59" s="298" t="s">
        <v>425</v>
      </c>
      <c r="E59" s="312" t="s">
        <v>659</v>
      </c>
      <c r="F59" s="346" t="s">
        <v>988</v>
      </c>
      <c r="G59" s="276">
        <f>'dod3'!F57</f>
        <v>300000</v>
      </c>
      <c r="H59" s="275">
        <f>'dod3'!J57</f>
        <v>0</v>
      </c>
      <c r="I59" s="277">
        <f t="shared" si="3"/>
        <v>300000</v>
      </c>
    </row>
    <row r="60" spans="1:12" ht="45" customHeight="1" x14ac:dyDescent="0.2">
      <c r="B60" s="272" t="s">
        <v>798</v>
      </c>
      <c r="C60" s="278" t="s">
        <v>799</v>
      </c>
      <c r="D60" s="278" t="s">
        <v>103</v>
      </c>
      <c r="E60" s="278" t="s">
        <v>800</v>
      </c>
      <c r="F60" s="346" t="s">
        <v>988</v>
      </c>
      <c r="G60" s="276">
        <f>'dod3'!F58</f>
        <v>184400</v>
      </c>
      <c r="H60" s="275">
        <f>'dod3'!J58</f>
        <v>1422437</v>
      </c>
      <c r="I60" s="277">
        <f t="shared" si="3"/>
        <v>1606837</v>
      </c>
    </row>
    <row r="61" spans="1:12" ht="45" x14ac:dyDescent="0.2">
      <c r="B61" s="484" t="s">
        <v>310</v>
      </c>
      <c r="C61" s="484"/>
      <c r="D61" s="484"/>
      <c r="E61" s="485" t="s">
        <v>92</v>
      </c>
      <c r="F61" s="552"/>
      <c r="G61" s="494">
        <f>G62</f>
        <v>987481959</v>
      </c>
      <c r="H61" s="494">
        <f>H62</f>
        <v>4111347</v>
      </c>
      <c r="I61" s="494">
        <f t="shared" si="3"/>
        <v>991593306</v>
      </c>
    </row>
    <row r="62" spans="1:12" ht="42.75" x14ac:dyDescent="0.2">
      <c r="B62" s="488" t="s">
        <v>311</v>
      </c>
      <c r="C62" s="488"/>
      <c r="D62" s="488"/>
      <c r="E62" s="489" t="s">
        <v>93</v>
      </c>
      <c r="F62" s="503"/>
      <c r="G62" s="497">
        <f>G67+G76+G103+G96+G70+G92+G105+G93+G84+G101+G64+G97+G109+G85+G100+G63</f>
        <v>987481959</v>
      </c>
      <c r="H62" s="497">
        <f>H67+H76+H103+H96+H70+H92+H105+H93+H84+H101+H64+H97+H85+H100+H109+H63</f>
        <v>4111347</v>
      </c>
      <c r="I62" s="497">
        <f t="shared" si="3"/>
        <v>991593306</v>
      </c>
      <c r="J62" s="219" t="b">
        <f>I62='dod3'!P60-'dod3'!O102-'dod3'!E61-'dod3'!E101-'dod3'!P113-50000</f>
        <v>1</v>
      </c>
      <c r="K62" s="458" t="b">
        <f>G62='dod3'!E60-'dod3'!F61-'dod3'!F101</f>
        <v>1</v>
      </c>
      <c r="L62" s="219" t="b">
        <f>H62='dod3'!J60-'dod3'!P113-'dod3'!J102-50000</f>
        <v>1</v>
      </c>
    </row>
    <row r="63" spans="1:12" ht="45" x14ac:dyDescent="0.2">
      <c r="B63" s="453" t="s">
        <v>1023</v>
      </c>
      <c r="C63" s="453" t="s">
        <v>433</v>
      </c>
      <c r="D63" s="453" t="s">
        <v>430</v>
      </c>
      <c r="E63" s="453" t="s">
        <v>431</v>
      </c>
      <c r="F63" s="276" t="s">
        <v>13</v>
      </c>
      <c r="G63" s="277"/>
      <c r="H63" s="277">
        <f>126000-50000</f>
        <v>76000</v>
      </c>
      <c r="I63" s="277">
        <f t="shared" si="3"/>
        <v>76000</v>
      </c>
      <c r="J63" s="219"/>
      <c r="K63" s="219"/>
      <c r="L63" s="219"/>
    </row>
    <row r="64" spans="1:12" ht="75" x14ac:dyDescent="0.2">
      <c r="B64" s="278" t="s">
        <v>451</v>
      </c>
      <c r="C64" s="278" t="s">
        <v>452</v>
      </c>
      <c r="D64" s="278"/>
      <c r="E64" s="278" t="s">
        <v>14</v>
      </c>
      <c r="F64" s="276" t="s">
        <v>138</v>
      </c>
      <c r="G64" s="277">
        <f>G65+G66</f>
        <v>523967300</v>
      </c>
      <c r="H64" s="277">
        <f>H65+H66</f>
        <v>0</v>
      </c>
      <c r="I64" s="277">
        <f t="shared" si="3"/>
        <v>523967300</v>
      </c>
    </row>
    <row r="65" spans="2:9" ht="45" x14ac:dyDescent="0.2">
      <c r="B65" s="298" t="s">
        <v>453</v>
      </c>
      <c r="C65" s="298" t="s">
        <v>454</v>
      </c>
      <c r="D65" s="298" t="s">
        <v>385</v>
      </c>
      <c r="E65" s="331" t="s">
        <v>450</v>
      </c>
      <c r="F65" s="332" t="s">
        <v>138</v>
      </c>
      <c r="G65" s="281">
        <f>'dod3'!E63</f>
        <v>75388844.269999996</v>
      </c>
      <c r="H65" s="281">
        <f>'dod3'!J63</f>
        <v>0</v>
      </c>
      <c r="I65" s="281">
        <f t="shared" si="3"/>
        <v>75388844.269999996</v>
      </c>
    </row>
    <row r="66" spans="2:9" ht="45" x14ac:dyDescent="0.2">
      <c r="B66" s="333" t="s">
        <v>476</v>
      </c>
      <c r="C66" s="298" t="s">
        <v>477</v>
      </c>
      <c r="D66" s="298" t="s">
        <v>117</v>
      </c>
      <c r="E66" s="282" t="s">
        <v>15</v>
      </c>
      <c r="F66" s="289" t="s">
        <v>138</v>
      </c>
      <c r="G66" s="281">
        <f>'dod3'!E64</f>
        <v>448578455.73000002</v>
      </c>
      <c r="H66" s="281">
        <f>'dod3'!J64</f>
        <v>0</v>
      </c>
      <c r="I66" s="281">
        <f t="shared" si="3"/>
        <v>448578455.73000002</v>
      </c>
    </row>
    <row r="67" spans="2:9" ht="45" x14ac:dyDescent="0.2">
      <c r="B67" s="272" t="s">
        <v>478</v>
      </c>
      <c r="C67" s="272" t="s">
        <v>479</v>
      </c>
      <c r="D67" s="282"/>
      <c r="E67" s="272" t="s">
        <v>16</v>
      </c>
      <c r="F67" s="276" t="s">
        <v>138</v>
      </c>
      <c r="G67" s="277">
        <f>G68+G69</f>
        <v>60000</v>
      </c>
      <c r="H67" s="277">
        <f>H68+H69</f>
        <v>0</v>
      </c>
      <c r="I67" s="277">
        <f>G67+H67</f>
        <v>60000</v>
      </c>
    </row>
    <row r="68" spans="2:9" ht="60" x14ac:dyDescent="0.2">
      <c r="B68" s="282" t="s">
        <v>481</v>
      </c>
      <c r="C68" s="282" t="s">
        <v>482</v>
      </c>
      <c r="D68" s="282" t="s">
        <v>385</v>
      </c>
      <c r="E68" s="316" t="s">
        <v>480</v>
      </c>
      <c r="F68" s="332" t="s">
        <v>138</v>
      </c>
      <c r="G68" s="334">
        <f>'dod3'!E66</f>
        <v>1999.94</v>
      </c>
      <c r="H68" s="334"/>
      <c r="I68" s="334">
        <f>G68+H68</f>
        <v>1999.94</v>
      </c>
    </row>
    <row r="69" spans="2:9" ht="45" x14ac:dyDescent="0.2">
      <c r="B69" s="282" t="s">
        <v>483</v>
      </c>
      <c r="C69" s="282" t="s">
        <v>484</v>
      </c>
      <c r="D69" s="316">
        <v>1060</v>
      </c>
      <c r="E69" s="335" t="s">
        <v>27</v>
      </c>
      <c r="F69" s="289" t="s">
        <v>138</v>
      </c>
      <c r="G69" s="281">
        <f>'dod3'!E67</f>
        <v>58000.06</v>
      </c>
      <c r="H69" s="281"/>
      <c r="I69" s="281">
        <f t="shared" ref="I69:I103" si="4">G69+H69</f>
        <v>58000.06</v>
      </c>
    </row>
    <row r="70" spans="2:9" ht="60" x14ac:dyDescent="0.2">
      <c r="B70" s="278" t="s">
        <v>514</v>
      </c>
      <c r="C70" s="278" t="s">
        <v>515</v>
      </c>
      <c r="D70" s="278"/>
      <c r="E70" s="327" t="s">
        <v>513</v>
      </c>
      <c r="F70" s="336" t="s">
        <v>138</v>
      </c>
      <c r="G70" s="337">
        <f>SUM(G71:G75)</f>
        <v>73202930</v>
      </c>
      <c r="H70" s="337">
        <f>SUM(H71:H75)</f>
        <v>100000</v>
      </c>
      <c r="I70" s="337">
        <f t="shared" ref="I70:I75" si="5">G70+H70</f>
        <v>73302930</v>
      </c>
    </row>
    <row r="71" spans="2:9" ht="45" x14ac:dyDescent="0.2">
      <c r="B71" s="298" t="s">
        <v>516</v>
      </c>
      <c r="C71" s="298" t="s">
        <v>517</v>
      </c>
      <c r="D71" s="298" t="s">
        <v>385</v>
      </c>
      <c r="E71" s="328" t="s">
        <v>518</v>
      </c>
      <c r="F71" s="332" t="s">
        <v>138</v>
      </c>
      <c r="G71" s="338">
        <f>'dod3'!E69</f>
        <v>245130</v>
      </c>
      <c r="H71" s="338">
        <f>'dod3'!J69</f>
        <v>100000</v>
      </c>
      <c r="I71" s="338">
        <f t="shared" si="5"/>
        <v>345130</v>
      </c>
    </row>
    <row r="72" spans="2:9" ht="45" x14ac:dyDescent="0.2">
      <c r="B72" s="282" t="s">
        <v>519</v>
      </c>
      <c r="C72" s="282" t="s">
        <v>520</v>
      </c>
      <c r="D72" s="282" t="s">
        <v>386</v>
      </c>
      <c r="E72" s="282" t="s">
        <v>24</v>
      </c>
      <c r="F72" s="289" t="s">
        <v>138</v>
      </c>
      <c r="G72" s="281">
        <f>'dod3'!E70</f>
        <v>1360000</v>
      </c>
      <c r="H72" s="281"/>
      <c r="I72" s="281">
        <f t="shared" si="5"/>
        <v>1360000</v>
      </c>
    </row>
    <row r="73" spans="2:9" ht="45" x14ac:dyDescent="0.2">
      <c r="B73" s="282" t="s">
        <v>522</v>
      </c>
      <c r="C73" s="282" t="s">
        <v>523</v>
      </c>
      <c r="D73" s="282" t="s">
        <v>386</v>
      </c>
      <c r="E73" s="298" t="s">
        <v>25</v>
      </c>
      <c r="F73" s="289" t="s">
        <v>138</v>
      </c>
      <c r="G73" s="281">
        <f>'dod3'!E71</f>
        <v>6010000</v>
      </c>
      <c r="H73" s="281"/>
      <c r="I73" s="281">
        <f t="shared" si="5"/>
        <v>6010000</v>
      </c>
    </row>
    <row r="74" spans="2:9" ht="45" x14ac:dyDescent="0.2">
      <c r="B74" s="298" t="s">
        <v>524</v>
      </c>
      <c r="C74" s="298" t="s">
        <v>521</v>
      </c>
      <c r="D74" s="298" t="s">
        <v>386</v>
      </c>
      <c r="E74" s="298" t="s">
        <v>26</v>
      </c>
      <c r="F74" s="289" t="s">
        <v>138</v>
      </c>
      <c r="G74" s="281">
        <f>'dod3'!E72</f>
        <v>400000</v>
      </c>
      <c r="H74" s="281"/>
      <c r="I74" s="281">
        <f t="shared" si="5"/>
        <v>400000</v>
      </c>
    </row>
    <row r="75" spans="2:9" ht="45" x14ac:dyDescent="0.2">
      <c r="B75" s="298" t="s">
        <v>525</v>
      </c>
      <c r="C75" s="298" t="s">
        <v>526</v>
      </c>
      <c r="D75" s="298" t="s">
        <v>386</v>
      </c>
      <c r="E75" s="298" t="s">
        <v>31</v>
      </c>
      <c r="F75" s="289" t="s">
        <v>138</v>
      </c>
      <c r="G75" s="281">
        <f>'dod3'!E73</f>
        <v>65187800</v>
      </c>
      <c r="H75" s="281"/>
      <c r="I75" s="281">
        <f t="shared" si="5"/>
        <v>65187800</v>
      </c>
    </row>
    <row r="76" spans="2:9" ht="45" x14ac:dyDescent="0.2">
      <c r="B76" s="272" t="s">
        <v>455</v>
      </c>
      <c r="C76" s="272" t="s">
        <v>456</v>
      </c>
      <c r="D76" s="272"/>
      <c r="E76" s="272" t="s">
        <v>732</v>
      </c>
      <c r="F76" s="276" t="s">
        <v>138</v>
      </c>
      <c r="G76" s="277">
        <f>SUM(G77:G83)</f>
        <v>231787720</v>
      </c>
      <c r="H76" s="277">
        <f>SUM(H77:H83)</f>
        <v>0</v>
      </c>
      <c r="I76" s="277">
        <f t="shared" si="4"/>
        <v>231787720</v>
      </c>
    </row>
    <row r="77" spans="2:9" ht="45" x14ac:dyDescent="0.2">
      <c r="B77" s="282" t="s">
        <v>465</v>
      </c>
      <c r="C77" s="282" t="s">
        <v>457</v>
      </c>
      <c r="D77" s="282" t="s">
        <v>353</v>
      </c>
      <c r="E77" s="282" t="s">
        <v>18</v>
      </c>
      <c r="F77" s="289" t="s">
        <v>138</v>
      </c>
      <c r="G77" s="281">
        <f>'dod3'!E75</f>
        <v>2853000</v>
      </c>
      <c r="H77" s="281"/>
      <c r="I77" s="281">
        <f t="shared" si="4"/>
        <v>2853000</v>
      </c>
    </row>
    <row r="78" spans="2:9" ht="45" x14ac:dyDescent="0.2">
      <c r="B78" s="282" t="s">
        <v>466</v>
      </c>
      <c r="C78" s="282" t="s">
        <v>458</v>
      </c>
      <c r="D78" s="282" t="s">
        <v>353</v>
      </c>
      <c r="E78" s="282" t="s">
        <v>464</v>
      </c>
      <c r="F78" s="289" t="s">
        <v>140</v>
      </c>
      <c r="G78" s="281">
        <f>'dod3'!E76</f>
        <v>305000</v>
      </c>
      <c r="H78" s="281"/>
      <c r="I78" s="281">
        <f>G78+H78</f>
        <v>305000</v>
      </c>
    </row>
    <row r="79" spans="2:9" ht="45" x14ac:dyDescent="0.2">
      <c r="B79" s="282" t="s">
        <v>467</v>
      </c>
      <c r="C79" s="282" t="s">
        <v>459</v>
      </c>
      <c r="D79" s="282" t="s">
        <v>353</v>
      </c>
      <c r="E79" s="282" t="s">
        <v>19</v>
      </c>
      <c r="F79" s="289" t="s">
        <v>138</v>
      </c>
      <c r="G79" s="281">
        <f>'dod3'!E77</f>
        <v>155242720</v>
      </c>
      <c r="H79" s="281"/>
      <c r="I79" s="281">
        <f t="shared" si="4"/>
        <v>155242720</v>
      </c>
    </row>
    <row r="80" spans="2:9" ht="45" x14ac:dyDescent="0.2">
      <c r="B80" s="282" t="s">
        <v>468</v>
      </c>
      <c r="C80" s="282" t="s">
        <v>460</v>
      </c>
      <c r="D80" s="282" t="s">
        <v>353</v>
      </c>
      <c r="E80" s="282" t="s">
        <v>20</v>
      </c>
      <c r="F80" s="289" t="s">
        <v>138</v>
      </c>
      <c r="G80" s="281">
        <f>'dod3'!E78</f>
        <v>4390000</v>
      </c>
      <c r="H80" s="281"/>
      <c r="I80" s="281">
        <f t="shared" si="4"/>
        <v>4390000</v>
      </c>
    </row>
    <row r="81" spans="2:9" ht="45" x14ac:dyDescent="0.2">
      <c r="B81" s="282" t="s">
        <v>469</v>
      </c>
      <c r="C81" s="282" t="s">
        <v>461</v>
      </c>
      <c r="D81" s="282" t="s">
        <v>353</v>
      </c>
      <c r="E81" s="282" t="s">
        <v>21</v>
      </c>
      <c r="F81" s="289" t="s">
        <v>138</v>
      </c>
      <c r="G81" s="281">
        <f>'dod3'!E79</f>
        <v>24267000</v>
      </c>
      <c r="H81" s="281"/>
      <c r="I81" s="281">
        <f t="shared" si="4"/>
        <v>24267000</v>
      </c>
    </row>
    <row r="82" spans="2:9" ht="45" x14ac:dyDescent="0.2">
      <c r="B82" s="282" t="s">
        <v>470</v>
      </c>
      <c r="C82" s="282" t="s">
        <v>462</v>
      </c>
      <c r="D82" s="282" t="s">
        <v>353</v>
      </c>
      <c r="E82" s="282" t="s">
        <v>22</v>
      </c>
      <c r="F82" s="289" t="s">
        <v>138</v>
      </c>
      <c r="G82" s="281">
        <f>'dod3'!E80</f>
        <v>3330000</v>
      </c>
      <c r="H82" s="281"/>
      <c r="I82" s="281">
        <f t="shared" si="4"/>
        <v>3330000</v>
      </c>
    </row>
    <row r="83" spans="2:9" ht="45" x14ac:dyDescent="0.2">
      <c r="B83" s="282" t="s">
        <v>471</v>
      </c>
      <c r="C83" s="282" t="s">
        <v>463</v>
      </c>
      <c r="D83" s="282" t="s">
        <v>353</v>
      </c>
      <c r="E83" s="282" t="s">
        <v>23</v>
      </c>
      <c r="F83" s="289" t="s">
        <v>138</v>
      </c>
      <c r="G83" s="281">
        <f>'dod3'!E81</f>
        <v>41400000</v>
      </c>
      <c r="H83" s="281"/>
      <c r="I83" s="281">
        <f t="shared" si="4"/>
        <v>41400000</v>
      </c>
    </row>
    <row r="84" spans="2:9" ht="30" x14ac:dyDescent="0.2">
      <c r="B84" s="272" t="s">
        <v>485</v>
      </c>
      <c r="C84" s="272" t="s">
        <v>472</v>
      </c>
      <c r="D84" s="272" t="s">
        <v>386</v>
      </c>
      <c r="E84" s="272" t="s">
        <v>17</v>
      </c>
      <c r="F84" s="276" t="s">
        <v>138</v>
      </c>
      <c r="G84" s="273">
        <f>'dod3'!E82</f>
        <v>174859</v>
      </c>
      <c r="H84" s="273">
        <f>'dod3'!J82</f>
        <v>0</v>
      </c>
      <c r="I84" s="273">
        <f>G84+H84</f>
        <v>174859</v>
      </c>
    </row>
    <row r="85" spans="2:9" ht="90" x14ac:dyDescent="0.2">
      <c r="B85" s="653" t="s">
        <v>475</v>
      </c>
      <c r="C85" s="662" t="s">
        <v>473</v>
      </c>
      <c r="D85" s="662"/>
      <c r="E85" s="340" t="s">
        <v>736</v>
      </c>
      <c r="F85" s="662" t="s">
        <v>138</v>
      </c>
      <c r="G85" s="664">
        <f>SUM(G87:G91)</f>
        <v>105286800</v>
      </c>
      <c r="H85" s="664">
        <f>SUM(H87:H91)</f>
        <v>0</v>
      </c>
      <c r="I85" s="664">
        <f>G85+H85</f>
        <v>105286800</v>
      </c>
    </row>
    <row r="86" spans="2:9" ht="60" x14ac:dyDescent="0.2">
      <c r="B86" s="654"/>
      <c r="C86" s="663"/>
      <c r="D86" s="663"/>
      <c r="E86" s="342" t="s">
        <v>737</v>
      </c>
      <c r="F86" s="663"/>
      <c r="G86" s="665"/>
      <c r="H86" s="665"/>
      <c r="I86" s="665"/>
    </row>
    <row r="87" spans="2:9" ht="45" x14ac:dyDescent="0.2">
      <c r="B87" s="282" t="s">
        <v>738</v>
      </c>
      <c r="C87" s="282" t="s">
        <v>739</v>
      </c>
      <c r="D87" s="282" t="s">
        <v>377</v>
      </c>
      <c r="E87" s="282" t="s">
        <v>735</v>
      </c>
      <c r="F87" s="289" t="s">
        <v>138</v>
      </c>
      <c r="G87" s="283">
        <f>'dod3'!E85</f>
        <v>62560700</v>
      </c>
      <c r="H87" s="283">
        <f>'dod3'!J85</f>
        <v>0</v>
      </c>
      <c r="I87" s="283">
        <f t="shared" ref="I87:I91" si="6">G87+H87</f>
        <v>62560700</v>
      </c>
    </row>
    <row r="88" spans="2:9" ht="60" x14ac:dyDescent="0.2">
      <c r="B88" s="282" t="s">
        <v>845</v>
      </c>
      <c r="C88" s="282" t="s">
        <v>846</v>
      </c>
      <c r="D88" s="282" t="s">
        <v>377</v>
      </c>
      <c r="E88" s="282" t="s">
        <v>847</v>
      </c>
      <c r="F88" s="289" t="s">
        <v>138</v>
      </c>
      <c r="G88" s="283">
        <f>'dod3'!E86</f>
        <v>17597177.48</v>
      </c>
      <c r="H88" s="283">
        <f>'dod3'!J86</f>
        <v>0</v>
      </c>
      <c r="I88" s="283">
        <f t="shared" si="6"/>
        <v>17597177.48</v>
      </c>
    </row>
    <row r="89" spans="2:9" ht="45" x14ac:dyDescent="0.2">
      <c r="B89" s="282" t="s">
        <v>733</v>
      </c>
      <c r="C89" s="282" t="s">
        <v>734</v>
      </c>
      <c r="D89" s="282" t="s">
        <v>377</v>
      </c>
      <c r="E89" s="282" t="s">
        <v>664</v>
      </c>
      <c r="F89" s="289" t="s">
        <v>138</v>
      </c>
      <c r="G89" s="283">
        <f>'dod3'!E87</f>
        <v>23367018.920000002</v>
      </c>
      <c r="H89" s="283">
        <f>'dod3'!J87</f>
        <v>0</v>
      </c>
      <c r="I89" s="283">
        <f t="shared" si="6"/>
        <v>23367018.920000002</v>
      </c>
    </row>
    <row r="90" spans="2:9" ht="60" x14ac:dyDescent="0.2">
      <c r="B90" s="282" t="s">
        <v>742</v>
      </c>
      <c r="C90" s="282" t="s">
        <v>743</v>
      </c>
      <c r="D90" s="282" t="s">
        <v>377</v>
      </c>
      <c r="E90" s="282" t="s">
        <v>744</v>
      </c>
      <c r="F90" s="289" t="s">
        <v>138</v>
      </c>
      <c r="G90" s="283">
        <f>'dod3'!E88</f>
        <v>1521903.5999999996</v>
      </c>
      <c r="H90" s="283">
        <f>'dod3'!J88</f>
        <v>0</v>
      </c>
      <c r="I90" s="283">
        <f t="shared" si="6"/>
        <v>1521903.5999999996</v>
      </c>
    </row>
    <row r="91" spans="2:9" ht="60" x14ac:dyDescent="0.2">
      <c r="B91" s="282" t="s">
        <v>740</v>
      </c>
      <c r="C91" s="282" t="s">
        <v>741</v>
      </c>
      <c r="D91" s="282" t="s">
        <v>377</v>
      </c>
      <c r="E91" s="282" t="s">
        <v>745</v>
      </c>
      <c r="F91" s="289" t="s">
        <v>138</v>
      </c>
      <c r="G91" s="283">
        <f>'dod3'!E89</f>
        <v>240000</v>
      </c>
      <c r="H91" s="283">
        <f>'dod3'!J89</f>
        <v>0</v>
      </c>
      <c r="I91" s="283">
        <f t="shared" si="6"/>
        <v>240000</v>
      </c>
    </row>
    <row r="92" spans="2:9" ht="30" x14ac:dyDescent="0.2">
      <c r="B92" s="272" t="s">
        <v>486</v>
      </c>
      <c r="C92" s="272" t="s">
        <v>474</v>
      </c>
      <c r="D92" s="272" t="s">
        <v>385</v>
      </c>
      <c r="E92" s="272" t="s">
        <v>665</v>
      </c>
      <c r="F92" s="276" t="s">
        <v>138</v>
      </c>
      <c r="G92" s="277">
        <f>'dod3'!E90</f>
        <v>188940</v>
      </c>
      <c r="H92" s="277"/>
      <c r="I92" s="277">
        <f t="shared" ref="I92:I102" si="7">G92+H92</f>
        <v>188940</v>
      </c>
    </row>
    <row r="93" spans="2:9" ht="60" x14ac:dyDescent="0.2">
      <c r="B93" s="272" t="s">
        <v>507</v>
      </c>
      <c r="C93" s="272" t="s">
        <v>508</v>
      </c>
      <c r="D93" s="272"/>
      <c r="E93" s="272" t="s">
        <v>666</v>
      </c>
      <c r="F93" s="276" t="s">
        <v>139</v>
      </c>
      <c r="G93" s="273">
        <f>G94+G95</f>
        <v>18569643</v>
      </c>
      <c r="H93" s="273">
        <f>H94+H95</f>
        <v>703200</v>
      </c>
      <c r="I93" s="273">
        <f t="shared" si="7"/>
        <v>19272843</v>
      </c>
    </row>
    <row r="94" spans="2:9" ht="60" x14ac:dyDescent="0.2">
      <c r="B94" s="282" t="s">
        <v>511</v>
      </c>
      <c r="C94" s="282" t="s">
        <v>509</v>
      </c>
      <c r="D94" s="282" t="s">
        <v>378</v>
      </c>
      <c r="E94" s="282" t="s">
        <v>52</v>
      </c>
      <c r="F94" s="289" t="s">
        <v>138</v>
      </c>
      <c r="G94" s="283">
        <f>'dod3'!E92</f>
        <v>14058400</v>
      </c>
      <c r="H94" s="283">
        <f>'dod3'!J92</f>
        <v>284500</v>
      </c>
      <c r="I94" s="283">
        <f t="shared" si="7"/>
        <v>14342900</v>
      </c>
    </row>
    <row r="95" spans="2:9" ht="45" x14ac:dyDescent="0.2">
      <c r="B95" s="282" t="s">
        <v>512</v>
      </c>
      <c r="C95" s="282" t="s">
        <v>510</v>
      </c>
      <c r="D95" s="282" t="s">
        <v>377</v>
      </c>
      <c r="E95" s="282" t="s">
        <v>667</v>
      </c>
      <c r="F95" s="289" t="s">
        <v>138</v>
      </c>
      <c r="G95" s="283">
        <f>'dod3'!E93</f>
        <v>4511243</v>
      </c>
      <c r="H95" s="283">
        <f>'dod3'!J93</f>
        <v>418700</v>
      </c>
      <c r="I95" s="283">
        <f t="shared" si="7"/>
        <v>4929943</v>
      </c>
    </row>
    <row r="96" spans="2:9" ht="75" x14ac:dyDescent="0.2">
      <c r="B96" s="272" t="s">
        <v>504</v>
      </c>
      <c r="C96" s="272" t="s">
        <v>505</v>
      </c>
      <c r="D96" s="272" t="s">
        <v>377</v>
      </c>
      <c r="E96" s="272" t="s">
        <v>668</v>
      </c>
      <c r="F96" s="276" t="s">
        <v>138</v>
      </c>
      <c r="G96" s="277">
        <f>'dod3'!E94</f>
        <v>1375600</v>
      </c>
      <c r="H96" s="277">
        <f>'dod3'!J94</f>
        <v>0</v>
      </c>
      <c r="I96" s="277">
        <f t="shared" si="7"/>
        <v>1375600</v>
      </c>
    </row>
    <row r="97" spans="2:12" ht="30" x14ac:dyDescent="0.2">
      <c r="B97" s="272" t="s">
        <v>669</v>
      </c>
      <c r="C97" s="272" t="s">
        <v>670</v>
      </c>
      <c r="D97" s="272"/>
      <c r="E97" s="272" t="s">
        <v>671</v>
      </c>
      <c r="F97" s="276" t="s">
        <v>138</v>
      </c>
      <c r="G97" s="277">
        <f>G98+G99</f>
        <v>123527</v>
      </c>
      <c r="H97" s="277">
        <f>H98+H99</f>
        <v>0</v>
      </c>
      <c r="I97" s="277">
        <f t="shared" si="7"/>
        <v>123527</v>
      </c>
    </row>
    <row r="98" spans="2:12" ht="60" x14ac:dyDescent="0.2">
      <c r="B98" s="282" t="s">
        <v>672</v>
      </c>
      <c r="C98" s="282" t="s">
        <v>673</v>
      </c>
      <c r="D98" s="282" t="s">
        <v>377</v>
      </c>
      <c r="E98" s="282" t="s">
        <v>746</v>
      </c>
      <c r="F98" s="289" t="s">
        <v>138</v>
      </c>
      <c r="G98" s="281">
        <f>'dod3'!E96</f>
        <v>123359</v>
      </c>
      <c r="H98" s="281">
        <f>'dod3'!J96</f>
        <v>0</v>
      </c>
      <c r="I98" s="281">
        <f t="shared" si="7"/>
        <v>123359</v>
      </c>
    </row>
    <row r="99" spans="2:12" ht="45" x14ac:dyDescent="0.2">
      <c r="B99" s="282" t="s">
        <v>674</v>
      </c>
      <c r="C99" s="282" t="s">
        <v>675</v>
      </c>
      <c r="D99" s="282" t="s">
        <v>377</v>
      </c>
      <c r="E99" s="282" t="s">
        <v>747</v>
      </c>
      <c r="F99" s="289" t="s">
        <v>138</v>
      </c>
      <c r="G99" s="281">
        <f>'dod3'!E97</f>
        <v>168</v>
      </c>
      <c r="H99" s="281">
        <f>'dod3'!J97</f>
        <v>0</v>
      </c>
      <c r="I99" s="281">
        <f t="shared" si="7"/>
        <v>168</v>
      </c>
    </row>
    <row r="100" spans="2:12" ht="75" x14ac:dyDescent="0.2">
      <c r="B100" s="272" t="s">
        <v>750</v>
      </c>
      <c r="C100" s="272" t="s">
        <v>749</v>
      </c>
      <c r="D100" s="272" t="s">
        <v>117</v>
      </c>
      <c r="E100" s="272" t="s">
        <v>748</v>
      </c>
      <c r="F100" s="276" t="s">
        <v>138</v>
      </c>
      <c r="G100" s="277">
        <f>'dod3'!E98</f>
        <v>2026990</v>
      </c>
      <c r="H100" s="277">
        <f>'dod3'!J98</f>
        <v>0</v>
      </c>
      <c r="I100" s="273">
        <f t="shared" si="7"/>
        <v>2026990</v>
      </c>
    </row>
    <row r="101" spans="2:12" ht="30" x14ac:dyDescent="0.2">
      <c r="B101" s="272" t="s">
        <v>676</v>
      </c>
      <c r="C101" s="272" t="s">
        <v>677</v>
      </c>
      <c r="D101" s="272"/>
      <c r="E101" s="325" t="s">
        <v>50</v>
      </c>
      <c r="F101" s="276" t="s">
        <v>138</v>
      </c>
      <c r="G101" s="273">
        <f>G102</f>
        <v>500000</v>
      </c>
      <c r="H101" s="273">
        <f>H102</f>
        <v>0</v>
      </c>
      <c r="I101" s="273">
        <f t="shared" si="7"/>
        <v>500000</v>
      </c>
    </row>
    <row r="102" spans="2:12" ht="45" x14ac:dyDescent="0.2">
      <c r="B102" s="282" t="s">
        <v>678</v>
      </c>
      <c r="C102" s="282" t="s">
        <v>679</v>
      </c>
      <c r="D102" s="282" t="s">
        <v>385</v>
      </c>
      <c r="E102" s="282" t="s">
        <v>751</v>
      </c>
      <c r="F102" s="289" t="s">
        <v>138</v>
      </c>
      <c r="G102" s="283">
        <f>'dod3'!E100</f>
        <v>500000</v>
      </c>
      <c r="H102" s="283"/>
      <c r="I102" s="283">
        <f t="shared" si="7"/>
        <v>500000</v>
      </c>
    </row>
    <row r="103" spans="2:12" ht="90" x14ac:dyDescent="0.2">
      <c r="B103" s="653" t="s">
        <v>503</v>
      </c>
      <c r="C103" s="653" t="s">
        <v>362</v>
      </c>
      <c r="D103" s="653" t="s">
        <v>353</v>
      </c>
      <c r="E103" s="343" t="s">
        <v>680</v>
      </c>
      <c r="F103" s="655" t="s">
        <v>138</v>
      </c>
      <c r="G103" s="656">
        <f>'dod3'!E106</f>
        <v>851000</v>
      </c>
      <c r="H103" s="656"/>
      <c r="I103" s="656">
        <f t="shared" si="4"/>
        <v>851000</v>
      </c>
    </row>
    <row r="104" spans="2:12" ht="78.75" customHeight="1" x14ac:dyDescent="0.2">
      <c r="B104" s="654"/>
      <c r="C104" s="654"/>
      <c r="D104" s="654"/>
      <c r="E104" s="344" t="s">
        <v>681</v>
      </c>
      <c r="F104" s="585"/>
      <c r="G104" s="657"/>
      <c r="H104" s="657"/>
      <c r="I104" s="661"/>
    </row>
    <row r="105" spans="2:12" ht="30" x14ac:dyDescent="0.2">
      <c r="B105" s="272" t="s">
        <v>684</v>
      </c>
      <c r="C105" s="272" t="s">
        <v>685</v>
      </c>
      <c r="D105" s="272"/>
      <c r="E105" s="272" t="s">
        <v>364</v>
      </c>
      <c r="F105" s="276" t="s">
        <v>138</v>
      </c>
      <c r="G105" s="273">
        <f>'dod3'!E108</f>
        <v>29366650</v>
      </c>
      <c r="H105" s="273">
        <f>'dod3'!J108</f>
        <v>697800</v>
      </c>
      <c r="I105" s="273">
        <f t="shared" ref="I105:I151" si="8">G105+H105</f>
        <v>30064450</v>
      </c>
    </row>
    <row r="106" spans="2:12" ht="45" x14ac:dyDescent="0.2">
      <c r="B106" s="282" t="s">
        <v>682</v>
      </c>
      <c r="C106" s="282" t="s">
        <v>686</v>
      </c>
      <c r="D106" s="282" t="s">
        <v>363</v>
      </c>
      <c r="E106" s="312" t="s">
        <v>688</v>
      </c>
      <c r="F106" s="289" t="s">
        <v>138</v>
      </c>
      <c r="G106" s="283">
        <f>'dod3'!E109</f>
        <v>3454700</v>
      </c>
      <c r="H106" s="283">
        <f>'dod3'!J109</f>
        <v>117800</v>
      </c>
      <c r="I106" s="283">
        <f t="shared" si="8"/>
        <v>3572500</v>
      </c>
    </row>
    <row r="107" spans="2:12" ht="45" x14ac:dyDescent="0.2">
      <c r="B107" s="282" t="s">
        <v>683</v>
      </c>
      <c r="C107" s="282" t="s">
        <v>687</v>
      </c>
      <c r="D107" s="282" t="s">
        <v>363</v>
      </c>
      <c r="E107" s="312" t="s">
        <v>689</v>
      </c>
      <c r="F107" s="289" t="s">
        <v>138</v>
      </c>
      <c r="G107" s="283">
        <f>'dod3'!E110-G108</f>
        <v>22771100</v>
      </c>
      <c r="H107" s="283">
        <f>'dod3'!J110-H108</f>
        <v>280000</v>
      </c>
      <c r="I107" s="283">
        <f t="shared" si="8"/>
        <v>23051100</v>
      </c>
    </row>
    <row r="108" spans="2:12" ht="75" x14ac:dyDescent="0.2">
      <c r="B108" s="282" t="s">
        <v>683</v>
      </c>
      <c r="C108" s="282" t="s">
        <v>687</v>
      </c>
      <c r="D108" s="282" t="s">
        <v>363</v>
      </c>
      <c r="E108" s="312" t="s">
        <v>689</v>
      </c>
      <c r="F108" s="289" t="s">
        <v>999</v>
      </c>
      <c r="G108" s="283">
        <f>(1000000+500000+104400+640730+396720+180000+120000)+199000</f>
        <v>3140850</v>
      </c>
      <c r="H108" s="283">
        <v>300000</v>
      </c>
      <c r="I108" s="283">
        <f t="shared" si="8"/>
        <v>3440850</v>
      </c>
    </row>
    <row r="109" spans="2:12" ht="75" x14ac:dyDescent="0.2">
      <c r="B109" s="272" t="s">
        <v>831</v>
      </c>
      <c r="C109" s="272" t="s">
        <v>706</v>
      </c>
      <c r="D109" s="272"/>
      <c r="E109" s="272" t="s">
        <v>832</v>
      </c>
      <c r="F109" s="276" t="s">
        <v>999</v>
      </c>
      <c r="G109" s="273">
        <f>G110</f>
        <v>0</v>
      </c>
      <c r="H109" s="273">
        <f>H110</f>
        <v>2534347</v>
      </c>
      <c r="I109" s="273">
        <f t="shared" si="8"/>
        <v>2534347</v>
      </c>
    </row>
    <row r="110" spans="2:12" ht="75" x14ac:dyDescent="0.2">
      <c r="B110" s="282" t="s">
        <v>835</v>
      </c>
      <c r="C110" s="282" t="s">
        <v>833</v>
      </c>
      <c r="D110" s="282" t="s">
        <v>708</v>
      </c>
      <c r="E110" s="312" t="s">
        <v>834</v>
      </c>
      <c r="F110" s="289" t="s">
        <v>999</v>
      </c>
      <c r="G110" s="283">
        <f>'dod3'!E112</f>
        <v>0</v>
      </c>
      <c r="H110" s="283">
        <f>'dod3'!O112</f>
        <v>2534347</v>
      </c>
      <c r="I110" s="283">
        <f t="shared" si="8"/>
        <v>2534347</v>
      </c>
    </row>
    <row r="111" spans="2:12" ht="30" x14ac:dyDescent="0.2">
      <c r="B111" s="546">
        <v>1000000</v>
      </c>
      <c r="C111" s="546"/>
      <c r="D111" s="546"/>
      <c r="E111" s="484" t="s">
        <v>68</v>
      </c>
      <c r="F111" s="500"/>
      <c r="G111" s="550">
        <f>G112</f>
        <v>72933500</v>
      </c>
      <c r="H111" s="550">
        <f>H112</f>
        <v>14623555</v>
      </c>
      <c r="I111" s="550">
        <f t="shared" si="8"/>
        <v>87557055</v>
      </c>
    </row>
    <row r="112" spans="2:12" ht="28.5" x14ac:dyDescent="0.2">
      <c r="B112" s="547">
        <v>1010000</v>
      </c>
      <c r="C112" s="547"/>
      <c r="D112" s="547"/>
      <c r="E112" s="488" t="s">
        <v>94</v>
      </c>
      <c r="F112" s="500"/>
      <c r="G112" s="551">
        <f>SUM(G113:G124)-G120-G121-G122-G124+G125-G123</f>
        <v>72933500</v>
      </c>
      <c r="H112" s="551">
        <f>SUM(H113:H124)-H120-H121-H122-H124+H125-H123</f>
        <v>14623555</v>
      </c>
      <c r="I112" s="551">
        <f t="shared" ref="I112:I125" si="9">G112+H112</f>
        <v>87557055</v>
      </c>
      <c r="J112" s="219" t="b">
        <f>I112='dod3'!P117</f>
        <v>1</v>
      </c>
      <c r="K112" s="219" t="b">
        <f>G112='dod3'!E117</f>
        <v>1</v>
      </c>
      <c r="L112" s="219" t="b">
        <f>H112='dod3'!J117</f>
        <v>1</v>
      </c>
    </row>
    <row r="113" spans="1:12" ht="60" x14ac:dyDescent="0.2">
      <c r="B113" s="272" t="s">
        <v>49</v>
      </c>
      <c r="C113" s="272" t="s">
        <v>343</v>
      </c>
      <c r="D113" s="272" t="s">
        <v>344</v>
      </c>
      <c r="E113" s="272" t="s">
        <v>342</v>
      </c>
      <c r="F113" s="276" t="s">
        <v>28</v>
      </c>
      <c r="G113" s="273">
        <f>'dod3'!E118</f>
        <v>41628400</v>
      </c>
      <c r="H113" s="273">
        <f>'dod3'!J118</f>
        <v>8066835</v>
      </c>
      <c r="I113" s="273">
        <f>G113+H113</f>
        <v>49695235</v>
      </c>
    </row>
    <row r="114" spans="1:12" ht="60" x14ac:dyDescent="0.2">
      <c r="A114" s="29"/>
      <c r="B114" s="272" t="s">
        <v>325</v>
      </c>
      <c r="C114" s="272" t="s">
        <v>326</v>
      </c>
      <c r="D114" s="272" t="s">
        <v>330</v>
      </c>
      <c r="E114" s="272" t="s">
        <v>331</v>
      </c>
      <c r="F114" s="276" t="s">
        <v>28</v>
      </c>
      <c r="G114" s="273">
        <f>'dod3'!E119</f>
        <v>623000</v>
      </c>
      <c r="H114" s="273">
        <f>'dod3'!J119</f>
        <v>0</v>
      </c>
      <c r="I114" s="273">
        <f t="shared" si="9"/>
        <v>623000</v>
      </c>
    </row>
    <row r="115" spans="1:12" ht="60" x14ac:dyDescent="0.2">
      <c r="A115" s="29"/>
      <c r="B115" s="272" t="s">
        <v>332</v>
      </c>
      <c r="C115" s="272" t="s">
        <v>333</v>
      </c>
      <c r="D115" s="272" t="s">
        <v>334</v>
      </c>
      <c r="E115" s="272" t="s">
        <v>335</v>
      </c>
      <c r="F115" s="276" t="s">
        <v>28</v>
      </c>
      <c r="G115" s="273">
        <f>'dod3'!E120</f>
        <v>7110500</v>
      </c>
      <c r="H115" s="273">
        <f>'dod3'!J120</f>
        <v>627000</v>
      </c>
      <c r="I115" s="273">
        <f t="shared" si="9"/>
        <v>7737500</v>
      </c>
    </row>
    <row r="116" spans="1:12" ht="60" x14ac:dyDescent="0.2">
      <c r="A116" s="29"/>
      <c r="B116" s="272" t="s">
        <v>336</v>
      </c>
      <c r="C116" s="272" t="s">
        <v>337</v>
      </c>
      <c r="D116" s="272" t="s">
        <v>334</v>
      </c>
      <c r="E116" s="272" t="s">
        <v>338</v>
      </c>
      <c r="F116" s="276" t="s">
        <v>28</v>
      </c>
      <c r="G116" s="273">
        <f>'dod3'!E121</f>
        <v>1097900</v>
      </c>
      <c r="H116" s="273">
        <f>'dod3'!J121</f>
        <v>3332820</v>
      </c>
      <c r="I116" s="273">
        <f t="shared" si="9"/>
        <v>4430720</v>
      </c>
    </row>
    <row r="117" spans="1:12" ht="60" x14ac:dyDescent="0.2">
      <c r="A117" s="29"/>
      <c r="B117" s="272" t="s">
        <v>339</v>
      </c>
      <c r="C117" s="272" t="s">
        <v>327</v>
      </c>
      <c r="D117" s="272" t="s">
        <v>340</v>
      </c>
      <c r="E117" s="272" t="s">
        <v>341</v>
      </c>
      <c r="F117" s="276" t="s">
        <v>28</v>
      </c>
      <c r="G117" s="273">
        <f>'dod3'!E122</f>
        <v>5298100</v>
      </c>
      <c r="H117" s="273">
        <f>'dod3'!J122</f>
        <v>2348500</v>
      </c>
      <c r="I117" s="273">
        <f t="shared" si="9"/>
        <v>7646600</v>
      </c>
    </row>
    <row r="118" spans="1:12" ht="60" x14ac:dyDescent="0.2">
      <c r="A118" s="29"/>
      <c r="B118" s="272" t="s">
        <v>814</v>
      </c>
      <c r="C118" s="272" t="s">
        <v>815</v>
      </c>
      <c r="D118" s="272" t="s">
        <v>816</v>
      </c>
      <c r="E118" s="272" t="s">
        <v>813</v>
      </c>
      <c r="F118" s="276" t="s">
        <v>28</v>
      </c>
      <c r="G118" s="273">
        <f>'dod3'!E123</f>
        <v>110000</v>
      </c>
      <c r="H118" s="273">
        <f>'dod3'!J123</f>
        <v>0</v>
      </c>
      <c r="I118" s="273">
        <f t="shared" si="9"/>
        <v>110000</v>
      </c>
    </row>
    <row r="119" spans="1:12" ht="15" x14ac:dyDescent="0.2">
      <c r="A119" s="29"/>
      <c r="B119" s="272" t="s">
        <v>346</v>
      </c>
      <c r="C119" s="272" t="s">
        <v>347</v>
      </c>
      <c r="D119" s="272"/>
      <c r="E119" s="272" t="s">
        <v>345</v>
      </c>
      <c r="F119" s="276"/>
      <c r="G119" s="273">
        <f>'dod3'!E124</f>
        <v>17065600</v>
      </c>
      <c r="H119" s="273">
        <f>'dod3'!J124</f>
        <v>166600</v>
      </c>
      <c r="I119" s="273">
        <f t="shared" si="9"/>
        <v>17232200</v>
      </c>
    </row>
    <row r="120" spans="1:12" ht="37.5" customHeight="1" x14ac:dyDescent="0.2">
      <c r="A120" s="29"/>
      <c r="B120" s="282" t="s">
        <v>691</v>
      </c>
      <c r="C120" s="282" t="s">
        <v>692</v>
      </c>
      <c r="D120" s="282" t="s">
        <v>348</v>
      </c>
      <c r="E120" s="282" t="s">
        <v>690</v>
      </c>
      <c r="F120" s="289" t="s">
        <v>75</v>
      </c>
      <c r="G120" s="283">
        <v>231000</v>
      </c>
      <c r="H120" s="283">
        <v>0</v>
      </c>
      <c r="I120" s="283">
        <f t="shared" si="9"/>
        <v>231000</v>
      </c>
    </row>
    <row r="121" spans="1:12" ht="60" x14ac:dyDescent="0.2">
      <c r="A121" s="29"/>
      <c r="B121" s="282" t="s">
        <v>691</v>
      </c>
      <c r="C121" s="282" t="s">
        <v>692</v>
      </c>
      <c r="D121" s="282" t="s">
        <v>348</v>
      </c>
      <c r="E121" s="282" t="s">
        <v>690</v>
      </c>
      <c r="F121" s="289" t="s">
        <v>28</v>
      </c>
      <c r="G121" s="283">
        <f>'dod3'!E125-'dod8'!G120</f>
        <v>11549600</v>
      </c>
      <c r="H121" s="283">
        <f>'dod3'!J125-'dod8'!H120</f>
        <v>166600</v>
      </c>
      <c r="I121" s="283">
        <f t="shared" si="9"/>
        <v>11716200</v>
      </c>
    </row>
    <row r="122" spans="1:12" ht="35.25" customHeight="1" x14ac:dyDescent="0.2">
      <c r="A122" s="29"/>
      <c r="B122" s="282" t="s">
        <v>693</v>
      </c>
      <c r="C122" s="282" t="s">
        <v>694</v>
      </c>
      <c r="D122" s="282" t="s">
        <v>348</v>
      </c>
      <c r="E122" s="282" t="s">
        <v>695</v>
      </c>
      <c r="F122" s="289" t="s">
        <v>75</v>
      </c>
      <c r="G122" s="283">
        <v>211200</v>
      </c>
      <c r="H122" s="283">
        <v>0</v>
      </c>
      <c r="I122" s="283">
        <f t="shared" si="9"/>
        <v>211200</v>
      </c>
    </row>
    <row r="123" spans="1:12" ht="75" x14ac:dyDescent="0.2">
      <c r="A123" s="29"/>
      <c r="B123" s="282" t="s">
        <v>693</v>
      </c>
      <c r="C123" s="282" t="s">
        <v>694</v>
      </c>
      <c r="D123" s="282" t="s">
        <v>348</v>
      </c>
      <c r="E123" s="282" t="s">
        <v>695</v>
      </c>
      <c r="F123" s="289" t="s">
        <v>819</v>
      </c>
      <c r="G123" s="283">
        <v>235000</v>
      </c>
      <c r="H123" s="283"/>
      <c r="I123" s="283">
        <f t="shared" si="9"/>
        <v>235000</v>
      </c>
    </row>
    <row r="124" spans="1:12" ht="62.25" customHeight="1" x14ac:dyDescent="0.2">
      <c r="A124" s="29"/>
      <c r="B124" s="282" t="s">
        <v>693</v>
      </c>
      <c r="C124" s="282" t="s">
        <v>694</v>
      </c>
      <c r="D124" s="282" t="s">
        <v>348</v>
      </c>
      <c r="E124" s="282" t="s">
        <v>695</v>
      </c>
      <c r="F124" s="289" t="s">
        <v>28</v>
      </c>
      <c r="G124" s="283">
        <f>'dod3'!E126-'dod8'!G122-G123</f>
        <v>4838800</v>
      </c>
      <c r="H124" s="283">
        <f>'dod3'!J126-'dod8'!H122</f>
        <v>0</v>
      </c>
      <c r="I124" s="283">
        <f t="shared" si="9"/>
        <v>4838800</v>
      </c>
    </row>
    <row r="125" spans="1:12" ht="60" x14ac:dyDescent="0.2">
      <c r="A125" s="29"/>
      <c r="B125" s="272" t="s">
        <v>818</v>
      </c>
      <c r="C125" s="272" t="s">
        <v>373</v>
      </c>
      <c r="D125" s="272" t="s">
        <v>324</v>
      </c>
      <c r="E125" s="272" t="s">
        <v>817</v>
      </c>
      <c r="F125" s="276" t="s">
        <v>28</v>
      </c>
      <c r="G125" s="273">
        <f>'dod3'!E127</f>
        <v>0</v>
      </c>
      <c r="H125" s="273">
        <f>'dod3'!J127</f>
        <v>81800</v>
      </c>
      <c r="I125" s="273">
        <f t="shared" si="9"/>
        <v>81800</v>
      </c>
    </row>
    <row r="126" spans="1:12" ht="30" x14ac:dyDescent="0.2">
      <c r="A126" s="29"/>
      <c r="B126" s="484" t="s">
        <v>65</v>
      </c>
      <c r="C126" s="484"/>
      <c r="D126" s="484"/>
      <c r="E126" s="484" t="s">
        <v>66</v>
      </c>
      <c r="F126" s="503"/>
      <c r="G126" s="494">
        <f>G127</f>
        <v>41048363</v>
      </c>
      <c r="H126" s="494">
        <f>H127</f>
        <v>8530293.3200000003</v>
      </c>
      <c r="I126" s="494">
        <f t="shared" si="8"/>
        <v>49578656.32</v>
      </c>
    </row>
    <row r="127" spans="1:12" ht="28.5" x14ac:dyDescent="0.2">
      <c r="A127" s="29"/>
      <c r="B127" s="488" t="s">
        <v>64</v>
      </c>
      <c r="C127" s="488"/>
      <c r="D127" s="488"/>
      <c r="E127" s="488" t="s">
        <v>90</v>
      </c>
      <c r="F127" s="503"/>
      <c r="G127" s="497">
        <f>G128+G130+G134+G137+G139+G144+G149+G147+G150+G142</f>
        <v>41048363</v>
      </c>
      <c r="H127" s="497">
        <f>H128+H130+H134+H137+H139+H144+H149+H150+H142</f>
        <v>8530293.3200000003</v>
      </c>
      <c r="I127" s="497">
        <f t="shared" si="8"/>
        <v>49578656.32</v>
      </c>
      <c r="J127" s="219" t="b">
        <f>I127='dod3'!P129+'dod4'!I14-'dod3'!P152</f>
        <v>1</v>
      </c>
      <c r="K127" s="219" t="b">
        <f>G127='dod3'!E129-'dod3'!E152</f>
        <v>1</v>
      </c>
      <c r="L127" s="219" t="b">
        <f>H127='dod3'!J129+'dod4'!I14</f>
        <v>1</v>
      </c>
    </row>
    <row r="128" spans="1:12" ht="60" x14ac:dyDescent="0.2">
      <c r="A128" s="29"/>
      <c r="B128" s="272" t="s">
        <v>349</v>
      </c>
      <c r="C128" s="272" t="s">
        <v>350</v>
      </c>
      <c r="D128" s="272"/>
      <c r="E128" s="272" t="s">
        <v>106</v>
      </c>
      <c r="F128" s="276" t="s">
        <v>141</v>
      </c>
      <c r="G128" s="277">
        <f>G129</f>
        <v>2670218</v>
      </c>
      <c r="H128" s="277">
        <f>H129</f>
        <v>153092</v>
      </c>
      <c r="I128" s="277">
        <f t="shared" si="8"/>
        <v>2823310</v>
      </c>
    </row>
    <row r="129" spans="1:9" ht="75" x14ac:dyDescent="0.2">
      <c r="A129" s="29"/>
      <c r="B129" s="282" t="s">
        <v>351</v>
      </c>
      <c r="C129" s="282" t="s">
        <v>352</v>
      </c>
      <c r="D129" s="282" t="s">
        <v>353</v>
      </c>
      <c r="E129" s="282" t="s">
        <v>354</v>
      </c>
      <c r="F129" s="289" t="s">
        <v>141</v>
      </c>
      <c r="G129" s="281">
        <f>'dod3'!E131</f>
        <v>2670218</v>
      </c>
      <c r="H129" s="281">
        <f>'dod3'!J131</f>
        <v>153092</v>
      </c>
      <c r="I129" s="281">
        <f t="shared" si="8"/>
        <v>2823310</v>
      </c>
    </row>
    <row r="130" spans="1:9" ht="60" x14ac:dyDescent="0.2">
      <c r="A130" s="29"/>
      <c r="B130" s="272" t="s">
        <v>105</v>
      </c>
      <c r="C130" s="272" t="s">
        <v>328</v>
      </c>
      <c r="D130" s="272"/>
      <c r="E130" s="272" t="s">
        <v>76</v>
      </c>
      <c r="F130" s="276" t="s">
        <v>141</v>
      </c>
      <c r="G130" s="277">
        <f>G131+G132+G133</f>
        <v>5483699</v>
      </c>
      <c r="H130" s="277">
        <f>H131+H132+H133</f>
        <v>1413272</v>
      </c>
      <c r="I130" s="277">
        <f t="shared" si="8"/>
        <v>6896971</v>
      </c>
    </row>
    <row r="131" spans="1:9" ht="75" x14ac:dyDescent="0.2">
      <c r="A131" s="29"/>
      <c r="B131" s="282" t="s">
        <v>104</v>
      </c>
      <c r="C131" s="282" t="s">
        <v>329</v>
      </c>
      <c r="D131" s="282" t="s">
        <v>353</v>
      </c>
      <c r="E131" s="282" t="s">
        <v>33</v>
      </c>
      <c r="F131" s="289" t="s">
        <v>141</v>
      </c>
      <c r="G131" s="281">
        <f>'dod3'!E133</f>
        <v>789000</v>
      </c>
      <c r="H131" s="281">
        <f>'dod3'!J133</f>
        <v>0</v>
      </c>
      <c r="I131" s="281">
        <f t="shared" si="8"/>
        <v>789000</v>
      </c>
    </row>
    <row r="132" spans="1:9" ht="75" x14ac:dyDescent="0.2">
      <c r="A132" s="29"/>
      <c r="B132" s="282" t="s">
        <v>360</v>
      </c>
      <c r="C132" s="282" t="s">
        <v>361</v>
      </c>
      <c r="D132" s="282" t="s">
        <v>353</v>
      </c>
      <c r="E132" s="282" t="s">
        <v>34</v>
      </c>
      <c r="F132" s="289" t="s">
        <v>141</v>
      </c>
      <c r="G132" s="281">
        <f>'dod3'!E134</f>
        <v>3030302</v>
      </c>
      <c r="H132" s="281">
        <f>'dod3'!J134</f>
        <v>1013272</v>
      </c>
      <c r="I132" s="281">
        <f t="shared" si="8"/>
        <v>4043574</v>
      </c>
    </row>
    <row r="133" spans="1:9" ht="75" x14ac:dyDescent="0.2">
      <c r="A133" s="29"/>
      <c r="B133" s="282" t="s">
        <v>760</v>
      </c>
      <c r="C133" s="282" t="s">
        <v>761</v>
      </c>
      <c r="D133" s="282" t="s">
        <v>353</v>
      </c>
      <c r="E133" s="282" t="s">
        <v>762</v>
      </c>
      <c r="F133" s="289" t="s">
        <v>141</v>
      </c>
      <c r="G133" s="281">
        <f>'dod3'!E135</f>
        <v>1664397</v>
      </c>
      <c r="H133" s="281">
        <f>'dod3'!J135</f>
        <v>400000</v>
      </c>
      <c r="I133" s="281">
        <f t="shared" si="8"/>
        <v>2064397</v>
      </c>
    </row>
    <row r="134" spans="1:9" ht="60" x14ac:dyDescent="0.2">
      <c r="A134" s="29"/>
      <c r="B134" s="272" t="s">
        <v>107</v>
      </c>
      <c r="C134" s="272" t="s">
        <v>355</v>
      </c>
      <c r="D134" s="272"/>
      <c r="E134" s="272" t="s">
        <v>108</v>
      </c>
      <c r="F134" s="276" t="s">
        <v>141</v>
      </c>
      <c r="G134" s="277">
        <f>G135+G136</f>
        <v>10797100</v>
      </c>
      <c r="H134" s="277">
        <f>H135+H136</f>
        <v>0</v>
      </c>
      <c r="I134" s="277">
        <f t="shared" si="8"/>
        <v>10797100</v>
      </c>
    </row>
    <row r="135" spans="1:9" ht="75" x14ac:dyDescent="0.2">
      <c r="A135" s="29"/>
      <c r="B135" s="282" t="s">
        <v>109</v>
      </c>
      <c r="C135" s="282" t="s">
        <v>356</v>
      </c>
      <c r="D135" s="282" t="s">
        <v>370</v>
      </c>
      <c r="E135" s="282" t="s">
        <v>110</v>
      </c>
      <c r="F135" s="289" t="s">
        <v>141</v>
      </c>
      <c r="G135" s="281">
        <f>'dod3'!E137</f>
        <v>9084900</v>
      </c>
      <c r="H135" s="281">
        <f>'dod3'!J137</f>
        <v>0</v>
      </c>
      <c r="I135" s="281">
        <f t="shared" si="8"/>
        <v>9084900</v>
      </c>
    </row>
    <row r="136" spans="1:9" ht="75" x14ac:dyDescent="0.2">
      <c r="A136" s="29"/>
      <c r="B136" s="282" t="s">
        <v>111</v>
      </c>
      <c r="C136" s="282" t="s">
        <v>357</v>
      </c>
      <c r="D136" s="282" t="s">
        <v>370</v>
      </c>
      <c r="E136" s="282" t="s">
        <v>11</v>
      </c>
      <c r="F136" s="289" t="s">
        <v>141</v>
      </c>
      <c r="G136" s="281">
        <f>'dod3'!E138</f>
        <v>1712200</v>
      </c>
      <c r="H136" s="281">
        <f>'dod3'!J138</f>
        <v>0</v>
      </c>
      <c r="I136" s="281">
        <f t="shared" si="8"/>
        <v>1712200</v>
      </c>
    </row>
    <row r="137" spans="1:9" ht="71.25" customHeight="1" x14ac:dyDescent="0.2">
      <c r="A137" s="29"/>
      <c r="B137" s="272" t="s">
        <v>112</v>
      </c>
      <c r="C137" s="272" t="s">
        <v>358</v>
      </c>
      <c r="D137" s="272"/>
      <c r="E137" s="272" t="s">
        <v>752</v>
      </c>
      <c r="F137" s="276" t="s">
        <v>141</v>
      </c>
      <c r="G137" s="277">
        <f>G138</f>
        <v>11500</v>
      </c>
      <c r="H137" s="277">
        <f>H138</f>
        <v>0</v>
      </c>
      <c r="I137" s="277">
        <f t="shared" si="8"/>
        <v>11500</v>
      </c>
    </row>
    <row r="138" spans="1:9" ht="75" x14ac:dyDescent="0.2">
      <c r="A138" s="29"/>
      <c r="B138" s="282" t="s">
        <v>113</v>
      </c>
      <c r="C138" s="282" t="s">
        <v>359</v>
      </c>
      <c r="D138" s="282" t="s">
        <v>370</v>
      </c>
      <c r="E138" s="282" t="s">
        <v>753</v>
      </c>
      <c r="F138" s="289" t="s">
        <v>141</v>
      </c>
      <c r="G138" s="281">
        <f>'dod3'!E140</f>
        <v>11500</v>
      </c>
      <c r="H138" s="281">
        <f>'dod3'!J140</f>
        <v>0</v>
      </c>
      <c r="I138" s="281">
        <f t="shared" si="8"/>
        <v>11500</v>
      </c>
    </row>
    <row r="139" spans="1:9" ht="66" customHeight="1" x14ac:dyDescent="0.2">
      <c r="A139" s="29"/>
      <c r="B139" s="272" t="s">
        <v>78</v>
      </c>
      <c r="C139" s="272" t="s">
        <v>365</v>
      </c>
      <c r="D139" s="272"/>
      <c r="E139" s="272" t="s">
        <v>79</v>
      </c>
      <c r="F139" s="276" t="s">
        <v>141</v>
      </c>
      <c r="G139" s="277">
        <f>G140+G141</f>
        <v>20312598</v>
      </c>
      <c r="H139" s="277">
        <f>H140+H141</f>
        <v>4287229.32</v>
      </c>
      <c r="I139" s="277">
        <f t="shared" si="8"/>
        <v>24599827.32</v>
      </c>
    </row>
    <row r="140" spans="1:9" ht="75" x14ac:dyDescent="0.2">
      <c r="A140" s="29"/>
      <c r="B140" s="282" t="s">
        <v>77</v>
      </c>
      <c r="C140" s="282" t="s">
        <v>366</v>
      </c>
      <c r="D140" s="282" t="s">
        <v>370</v>
      </c>
      <c r="E140" s="282" t="s">
        <v>114</v>
      </c>
      <c r="F140" s="289" t="s">
        <v>141</v>
      </c>
      <c r="G140" s="281">
        <f>'dod3'!E142</f>
        <v>16489908</v>
      </c>
      <c r="H140" s="281">
        <f>'dod3'!J142</f>
        <v>4287229.32</v>
      </c>
      <c r="I140" s="281">
        <f t="shared" si="8"/>
        <v>20777137.32</v>
      </c>
    </row>
    <row r="141" spans="1:9" ht="75" x14ac:dyDescent="0.2">
      <c r="A141" s="29"/>
      <c r="B141" s="282" t="s">
        <v>80</v>
      </c>
      <c r="C141" s="282" t="s">
        <v>367</v>
      </c>
      <c r="D141" s="282" t="s">
        <v>370</v>
      </c>
      <c r="E141" s="282" t="s">
        <v>115</v>
      </c>
      <c r="F141" s="289" t="s">
        <v>141</v>
      </c>
      <c r="G141" s="281">
        <f>'dod3'!E143</f>
        <v>3822690</v>
      </c>
      <c r="H141" s="281">
        <f>'dod3'!J143</f>
        <v>0</v>
      </c>
      <c r="I141" s="281">
        <f t="shared" si="8"/>
        <v>3822690</v>
      </c>
    </row>
    <row r="142" spans="1:9" ht="60" x14ac:dyDescent="0.2">
      <c r="A142" s="29"/>
      <c r="B142" s="377" t="s">
        <v>1004</v>
      </c>
      <c r="C142" s="377" t="s">
        <v>1005</v>
      </c>
      <c r="D142" s="377"/>
      <c r="E142" s="377" t="s">
        <v>1003</v>
      </c>
      <c r="F142" s="276" t="s">
        <v>141</v>
      </c>
      <c r="G142" s="277">
        <f>'dod3'!E144</f>
        <v>40000</v>
      </c>
      <c r="H142" s="277">
        <f>'dod3'!J144</f>
        <v>0</v>
      </c>
      <c r="I142" s="277">
        <f t="shared" si="8"/>
        <v>40000</v>
      </c>
    </row>
    <row r="143" spans="1:9" ht="75" x14ac:dyDescent="0.2">
      <c r="A143" s="29"/>
      <c r="B143" s="374" t="s">
        <v>1007</v>
      </c>
      <c r="C143" s="374" t="s">
        <v>1008</v>
      </c>
      <c r="D143" s="374" t="s">
        <v>370</v>
      </c>
      <c r="E143" s="374" t="s">
        <v>1006</v>
      </c>
      <c r="F143" s="289" t="s">
        <v>141</v>
      </c>
      <c r="G143" s="281">
        <f>'dod3'!E145</f>
        <v>40000</v>
      </c>
      <c r="H143" s="281">
        <f>'dod3'!J145</f>
        <v>0</v>
      </c>
      <c r="I143" s="281">
        <f t="shared" si="8"/>
        <v>40000</v>
      </c>
    </row>
    <row r="144" spans="1:9" ht="60.75" customHeight="1" x14ac:dyDescent="0.2">
      <c r="A144" s="29"/>
      <c r="B144" s="272" t="s">
        <v>116</v>
      </c>
      <c r="C144" s="272" t="s">
        <v>368</v>
      </c>
      <c r="D144" s="272"/>
      <c r="E144" s="272" t="s">
        <v>81</v>
      </c>
      <c r="F144" s="276" t="s">
        <v>141</v>
      </c>
      <c r="G144" s="277">
        <f>G145+G146</f>
        <v>1722328</v>
      </c>
      <c r="H144" s="277">
        <f>H145+H146</f>
        <v>89400</v>
      </c>
      <c r="I144" s="277">
        <f t="shared" si="8"/>
        <v>1811728</v>
      </c>
    </row>
    <row r="145" spans="1:12" ht="75" x14ac:dyDescent="0.2">
      <c r="A145" s="29"/>
      <c r="B145" s="291" t="s">
        <v>82</v>
      </c>
      <c r="C145" s="291" t="s">
        <v>369</v>
      </c>
      <c r="D145" s="291" t="s">
        <v>370</v>
      </c>
      <c r="E145" s="282" t="s">
        <v>83</v>
      </c>
      <c r="F145" s="289" t="s">
        <v>141</v>
      </c>
      <c r="G145" s="281">
        <f>'dod3'!E147</f>
        <v>722400</v>
      </c>
      <c r="H145" s="281">
        <f>'dod3'!J147</f>
        <v>0</v>
      </c>
      <c r="I145" s="281">
        <f t="shared" si="8"/>
        <v>722400</v>
      </c>
    </row>
    <row r="146" spans="1:12" ht="75" x14ac:dyDescent="0.2">
      <c r="A146" s="29"/>
      <c r="B146" s="291" t="s">
        <v>84</v>
      </c>
      <c r="C146" s="291" t="s">
        <v>371</v>
      </c>
      <c r="D146" s="291" t="s">
        <v>370</v>
      </c>
      <c r="E146" s="282" t="s">
        <v>85</v>
      </c>
      <c r="F146" s="289" t="s">
        <v>141</v>
      </c>
      <c r="G146" s="281">
        <f>'dod3'!E148</f>
        <v>999928</v>
      </c>
      <c r="H146" s="281">
        <f>'dod3'!J148</f>
        <v>89400</v>
      </c>
      <c r="I146" s="281">
        <f t="shared" si="8"/>
        <v>1089328</v>
      </c>
    </row>
    <row r="147" spans="1:12" ht="60" x14ac:dyDescent="0.2">
      <c r="A147" s="29"/>
      <c r="B147" s="292" t="s">
        <v>704</v>
      </c>
      <c r="C147" s="292" t="s">
        <v>706</v>
      </c>
      <c r="D147" s="292"/>
      <c r="E147" s="272" t="s">
        <v>705</v>
      </c>
      <c r="F147" s="276" t="s">
        <v>141</v>
      </c>
      <c r="G147" s="277">
        <f>'dod3'!E149</f>
        <v>10920</v>
      </c>
      <c r="H147" s="277">
        <f>'dod3'!J149</f>
        <v>0</v>
      </c>
      <c r="I147" s="277">
        <f t="shared" si="8"/>
        <v>10920</v>
      </c>
    </row>
    <row r="148" spans="1:12" ht="75" x14ac:dyDescent="0.2">
      <c r="A148" s="29"/>
      <c r="B148" s="291" t="s">
        <v>710</v>
      </c>
      <c r="C148" s="291" t="s">
        <v>709</v>
      </c>
      <c r="D148" s="291" t="s">
        <v>708</v>
      </c>
      <c r="E148" s="282" t="s">
        <v>707</v>
      </c>
      <c r="F148" s="289" t="s">
        <v>141</v>
      </c>
      <c r="G148" s="281">
        <f>'dod3'!E150</f>
        <v>10920</v>
      </c>
      <c r="H148" s="293">
        <f>'dod3'!J150</f>
        <v>0</v>
      </c>
      <c r="I148" s="281">
        <f t="shared" si="8"/>
        <v>10920</v>
      </c>
    </row>
    <row r="149" spans="1:12" ht="75" x14ac:dyDescent="0.2">
      <c r="A149" s="29"/>
      <c r="B149" s="292" t="s">
        <v>372</v>
      </c>
      <c r="C149" s="292" t="s">
        <v>373</v>
      </c>
      <c r="D149" s="292" t="s">
        <v>324</v>
      </c>
      <c r="E149" s="272" t="s">
        <v>89</v>
      </c>
      <c r="F149" s="289" t="s">
        <v>141</v>
      </c>
      <c r="G149" s="277">
        <f>'dod3'!E151</f>
        <v>0</v>
      </c>
      <c r="H149" s="277">
        <f>'dod3'!J151</f>
        <v>2405300</v>
      </c>
      <c r="I149" s="277">
        <f t="shared" si="8"/>
        <v>2405300</v>
      </c>
    </row>
    <row r="150" spans="1:12" ht="60" x14ac:dyDescent="0.2">
      <c r="A150" s="29"/>
      <c r="B150" s="294" t="s">
        <v>792</v>
      </c>
      <c r="C150" s="294" t="s">
        <v>793</v>
      </c>
      <c r="D150" s="294"/>
      <c r="E150" s="295" t="s">
        <v>791</v>
      </c>
      <c r="F150" s="276" t="s">
        <v>141</v>
      </c>
      <c r="G150" s="277">
        <f>G151</f>
        <v>0</v>
      </c>
      <c r="H150" s="277">
        <f>H151</f>
        <v>182000</v>
      </c>
      <c r="I150" s="277">
        <f t="shared" si="8"/>
        <v>182000</v>
      </c>
    </row>
    <row r="151" spans="1:12" ht="75" x14ac:dyDescent="0.2">
      <c r="A151" s="29"/>
      <c r="B151" s="296" t="s">
        <v>794</v>
      </c>
      <c r="C151" s="296" t="s">
        <v>796</v>
      </c>
      <c r="D151" s="296" t="s">
        <v>117</v>
      </c>
      <c r="E151" s="297" t="s">
        <v>374</v>
      </c>
      <c r="F151" s="289" t="s">
        <v>141</v>
      </c>
      <c r="G151" s="277">
        <f>'dod4'!F12</f>
        <v>0</v>
      </c>
      <c r="H151" s="281">
        <f>'dod4'!G12</f>
        <v>182000</v>
      </c>
      <c r="I151" s="281">
        <f t="shared" si="8"/>
        <v>182000</v>
      </c>
    </row>
    <row r="152" spans="1:12" ht="45" x14ac:dyDescent="0.2">
      <c r="A152" s="254"/>
      <c r="B152" s="484" t="s">
        <v>312</v>
      </c>
      <c r="C152" s="484"/>
      <c r="D152" s="484"/>
      <c r="E152" s="484" t="s">
        <v>67</v>
      </c>
      <c r="F152" s="553"/>
      <c r="G152" s="494">
        <f>G153</f>
        <v>204865449.26999998</v>
      </c>
      <c r="H152" s="494">
        <f>H153</f>
        <v>227981607.97</v>
      </c>
      <c r="I152" s="494">
        <f>I153</f>
        <v>432847057.24000001</v>
      </c>
    </row>
    <row r="153" spans="1:12" ht="42.75" x14ac:dyDescent="0.2">
      <c r="A153" s="254"/>
      <c r="B153" s="488" t="s">
        <v>313</v>
      </c>
      <c r="C153" s="484"/>
      <c r="D153" s="484"/>
      <c r="E153" s="488" t="s">
        <v>95</v>
      </c>
      <c r="F153" s="553"/>
      <c r="G153" s="502">
        <f>G155+G161+G162+G165+G169+G171+G173+G174+G175+G176+G163+G167+G164+G154</f>
        <v>204865449.26999998</v>
      </c>
      <c r="H153" s="502">
        <f>H155+H161+H162+H165+H166+H169+H171+H173+H174+H175+H176+H167+H154</f>
        <v>227981607.97</v>
      </c>
      <c r="I153" s="497">
        <f>G153+H153</f>
        <v>432847057.24000001</v>
      </c>
      <c r="J153" s="219" t="b">
        <f>I153='dod3'!P154-'dod3'!E155-'dod3'!J174</f>
        <v>1</v>
      </c>
      <c r="K153" s="219" t="b">
        <f>G153='dod3'!E154-'dod3'!E155</f>
        <v>1</v>
      </c>
      <c r="L153" s="219" t="b">
        <f>H153='dod3'!J154-'dod3'!J174</f>
        <v>1</v>
      </c>
    </row>
    <row r="154" spans="1:12" ht="45" x14ac:dyDescent="0.2">
      <c r="A154" s="254"/>
      <c r="B154" s="453" t="s">
        <v>1026</v>
      </c>
      <c r="C154" s="453" t="s">
        <v>433</v>
      </c>
      <c r="D154" s="453" t="s">
        <v>430</v>
      </c>
      <c r="E154" s="453" t="s">
        <v>431</v>
      </c>
      <c r="F154" s="276" t="s">
        <v>13</v>
      </c>
      <c r="G154" s="549"/>
      <c r="H154" s="549">
        <v>66000</v>
      </c>
      <c r="I154" s="277">
        <f>G154+H154</f>
        <v>66000</v>
      </c>
      <c r="J154" s="219"/>
      <c r="K154" s="219"/>
      <c r="L154" s="219"/>
    </row>
    <row r="155" spans="1:12" ht="30" x14ac:dyDescent="0.2">
      <c r="A155" s="29"/>
      <c r="B155" s="272" t="s">
        <v>527</v>
      </c>
      <c r="C155" s="272" t="s">
        <v>528</v>
      </c>
      <c r="D155" s="272"/>
      <c r="E155" s="272" t="s">
        <v>531</v>
      </c>
      <c r="F155" s="276"/>
      <c r="G155" s="275">
        <f>SUM(G156:G160)</f>
        <v>25309669</v>
      </c>
      <c r="H155" s="275">
        <f>SUM(H156:H160)</f>
        <v>41166754</v>
      </c>
      <c r="I155" s="277">
        <f>G155+H155</f>
        <v>66476423</v>
      </c>
      <c r="J155" s="189"/>
      <c r="K155" s="189"/>
    </row>
    <row r="156" spans="1:12" ht="90" x14ac:dyDescent="0.2">
      <c r="A156" s="29"/>
      <c r="B156" s="282" t="s">
        <v>529</v>
      </c>
      <c r="C156" s="282" t="s">
        <v>530</v>
      </c>
      <c r="D156" s="282" t="s">
        <v>533</v>
      </c>
      <c r="E156" s="282" t="s">
        <v>532</v>
      </c>
      <c r="F156" s="276" t="s">
        <v>637</v>
      </c>
      <c r="G156" s="322">
        <f>'dod3'!E157</f>
        <v>3264869</v>
      </c>
      <c r="H156" s="281">
        <f>'dod3'!J157</f>
        <v>5346754</v>
      </c>
      <c r="I156" s="281">
        <f>G156+H156</f>
        <v>8611623</v>
      </c>
    </row>
    <row r="157" spans="1:12" ht="45" x14ac:dyDescent="0.2">
      <c r="A157" s="29"/>
      <c r="B157" s="379" t="s">
        <v>971</v>
      </c>
      <c r="C157" s="379" t="s">
        <v>972</v>
      </c>
      <c r="D157" s="379" t="s">
        <v>533</v>
      </c>
      <c r="E157" s="379" t="s">
        <v>973</v>
      </c>
      <c r="F157" s="276" t="s">
        <v>638</v>
      </c>
      <c r="G157" s="322">
        <f>'dod3'!E158</f>
        <v>17000000</v>
      </c>
      <c r="H157" s="281">
        <f>'dod3'!J158</f>
        <v>0</v>
      </c>
      <c r="I157" s="281">
        <f>G157+H157</f>
        <v>17000000</v>
      </c>
    </row>
    <row r="158" spans="1:12" ht="45" x14ac:dyDescent="0.2">
      <c r="A158" s="29"/>
      <c r="B158" s="282" t="s">
        <v>537</v>
      </c>
      <c r="C158" s="282" t="s">
        <v>538</v>
      </c>
      <c r="D158" s="282" t="s">
        <v>533</v>
      </c>
      <c r="E158" s="282" t="s">
        <v>539</v>
      </c>
      <c r="F158" s="276" t="s">
        <v>638</v>
      </c>
      <c r="G158" s="322">
        <f>'dod3'!E159</f>
        <v>4984800</v>
      </c>
      <c r="H158" s="281">
        <f>'dod3'!J159</f>
        <v>0</v>
      </c>
      <c r="I158" s="281">
        <f t="shared" ref="I158:I176" si="10">G158+H158</f>
        <v>4984800</v>
      </c>
    </row>
    <row r="159" spans="1:12" ht="90" x14ac:dyDescent="0.2">
      <c r="A159" s="29"/>
      <c r="B159" s="282" t="s">
        <v>567</v>
      </c>
      <c r="C159" s="282" t="s">
        <v>568</v>
      </c>
      <c r="D159" s="282" t="s">
        <v>533</v>
      </c>
      <c r="E159" s="282" t="s">
        <v>569</v>
      </c>
      <c r="F159" s="276" t="s">
        <v>637</v>
      </c>
      <c r="G159" s="322">
        <f>'dod3'!E160</f>
        <v>0</v>
      </c>
      <c r="H159" s="281">
        <f>'dod3'!J160</f>
        <v>5020000</v>
      </c>
      <c r="I159" s="281">
        <f t="shared" si="10"/>
        <v>5020000</v>
      </c>
    </row>
    <row r="160" spans="1:12" ht="90" x14ac:dyDescent="0.2">
      <c r="A160" s="29"/>
      <c r="B160" s="282" t="s">
        <v>534</v>
      </c>
      <c r="C160" s="282" t="s">
        <v>535</v>
      </c>
      <c r="D160" s="282" t="s">
        <v>533</v>
      </c>
      <c r="E160" s="282" t="s">
        <v>536</v>
      </c>
      <c r="F160" s="276" t="s">
        <v>637</v>
      </c>
      <c r="G160" s="322">
        <f>'dod3'!E161</f>
        <v>60000</v>
      </c>
      <c r="H160" s="281">
        <f>'dod3'!J161</f>
        <v>30800000</v>
      </c>
      <c r="I160" s="281">
        <f t="shared" si="10"/>
        <v>30860000</v>
      </c>
    </row>
    <row r="161" spans="1:9" ht="45" x14ac:dyDescent="0.2">
      <c r="A161" s="29"/>
      <c r="B161" s="272" t="s">
        <v>561</v>
      </c>
      <c r="C161" s="272" t="s">
        <v>562</v>
      </c>
      <c r="D161" s="272" t="s">
        <v>533</v>
      </c>
      <c r="E161" s="272" t="s">
        <v>563</v>
      </c>
      <c r="F161" s="276" t="s">
        <v>638</v>
      </c>
      <c r="G161" s="323">
        <f>'dod3'!E162</f>
        <v>10369292</v>
      </c>
      <c r="H161" s="277">
        <f>'dod3'!J162</f>
        <v>0</v>
      </c>
      <c r="I161" s="277">
        <f t="shared" si="10"/>
        <v>10369292</v>
      </c>
    </row>
    <row r="162" spans="1:9" ht="90" x14ac:dyDescent="0.2">
      <c r="A162" s="29"/>
      <c r="B162" s="272" t="s">
        <v>540</v>
      </c>
      <c r="C162" s="272" t="s">
        <v>541</v>
      </c>
      <c r="D162" s="272" t="s">
        <v>533</v>
      </c>
      <c r="E162" s="272" t="s">
        <v>542</v>
      </c>
      <c r="F162" s="276" t="s">
        <v>637</v>
      </c>
      <c r="G162" s="323">
        <f>'dod3'!E163-G163-G164</f>
        <v>101335024.27</v>
      </c>
      <c r="H162" s="277">
        <f>'dod3'!J163</f>
        <v>20018699</v>
      </c>
      <c r="I162" s="277">
        <f t="shared" si="10"/>
        <v>121353723.27</v>
      </c>
    </row>
    <row r="163" spans="1:9" ht="45" x14ac:dyDescent="0.2">
      <c r="A163" s="29"/>
      <c r="B163" s="272" t="s">
        <v>540</v>
      </c>
      <c r="C163" s="272" t="s">
        <v>541</v>
      </c>
      <c r="D163" s="272" t="s">
        <v>533</v>
      </c>
      <c r="E163" s="272" t="s">
        <v>542</v>
      </c>
      <c r="F163" s="276" t="s">
        <v>648</v>
      </c>
      <c r="G163" s="323">
        <v>58434</v>
      </c>
      <c r="H163" s="277"/>
      <c r="I163" s="277">
        <f t="shared" si="10"/>
        <v>58434</v>
      </c>
    </row>
    <row r="164" spans="1:9" ht="30" x14ac:dyDescent="0.2">
      <c r="A164" s="29"/>
      <c r="B164" s="272" t="s">
        <v>540</v>
      </c>
      <c r="C164" s="272" t="s">
        <v>541</v>
      </c>
      <c r="D164" s="272" t="s">
        <v>533</v>
      </c>
      <c r="E164" s="272" t="s">
        <v>542</v>
      </c>
      <c r="F164" s="276" t="s">
        <v>29</v>
      </c>
      <c r="G164" s="323">
        <v>6200</v>
      </c>
      <c r="H164" s="277"/>
      <c r="I164" s="277">
        <f t="shared" si="10"/>
        <v>6200</v>
      </c>
    </row>
    <row r="165" spans="1:9" ht="105" x14ac:dyDescent="0.2">
      <c r="A165" s="29"/>
      <c r="B165" s="272" t="s">
        <v>571</v>
      </c>
      <c r="C165" s="272" t="s">
        <v>572</v>
      </c>
      <c r="D165" s="272" t="s">
        <v>570</v>
      </c>
      <c r="E165" s="272" t="s">
        <v>597</v>
      </c>
      <c r="F165" s="276" t="s">
        <v>984</v>
      </c>
      <c r="G165" s="323">
        <f>'dod3'!E164</f>
        <v>0</v>
      </c>
      <c r="H165" s="277">
        <f>'dod3'!J164</f>
        <v>13212969.880000001</v>
      </c>
      <c r="I165" s="277">
        <f t="shared" si="10"/>
        <v>13212969.880000001</v>
      </c>
    </row>
    <row r="166" spans="1:9" ht="48" customHeight="1" x14ac:dyDescent="0.2">
      <c r="A166" s="29"/>
      <c r="B166" s="272" t="s">
        <v>721</v>
      </c>
      <c r="C166" s="272" t="s">
        <v>609</v>
      </c>
      <c r="D166" s="272" t="s">
        <v>570</v>
      </c>
      <c r="E166" s="324" t="s">
        <v>724</v>
      </c>
      <c r="F166" s="276" t="s">
        <v>725</v>
      </c>
      <c r="G166" s="323">
        <v>0</v>
      </c>
      <c r="H166" s="277">
        <f>'dod3'!J165</f>
        <v>700000</v>
      </c>
      <c r="I166" s="277">
        <f t="shared" si="10"/>
        <v>700000</v>
      </c>
    </row>
    <row r="167" spans="1:9" ht="15" hidden="1" x14ac:dyDescent="0.2">
      <c r="A167" s="29"/>
      <c r="B167" s="380"/>
      <c r="C167" s="380"/>
      <c r="D167" s="380"/>
      <c r="E167" s="380"/>
      <c r="F167" s="276"/>
      <c r="G167" s="323"/>
      <c r="H167" s="277"/>
      <c r="I167" s="277"/>
    </row>
    <row r="168" spans="1:9" ht="0.75" hidden="1" customHeight="1" x14ac:dyDescent="0.2">
      <c r="A168" s="29"/>
      <c r="B168" s="379"/>
      <c r="C168" s="379"/>
      <c r="D168" s="379"/>
      <c r="E168" s="379"/>
      <c r="F168" s="289"/>
      <c r="G168" s="322"/>
      <c r="H168" s="281"/>
      <c r="I168" s="281"/>
    </row>
    <row r="169" spans="1:9" ht="45" x14ac:dyDescent="0.2">
      <c r="A169" s="29"/>
      <c r="B169" s="272" t="s">
        <v>544</v>
      </c>
      <c r="C169" s="272" t="s">
        <v>545</v>
      </c>
      <c r="D169" s="272"/>
      <c r="E169" s="272" t="s">
        <v>547</v>
      </c>
      <c r="F169" s="276" t="s">
        <v>639</v>
      </c>
      <c r="G169" s="275">
        <f>SUM(G170)</f>
        <v>15350597</v>
      </c>
      <c r="H169" s="275">
        <f>SUM(H170)</f>
        <v>0</v>
      </c>
      <c r="I169" s="277">
        <f t="shared" si="10"/>
        <v>15350597</v>
      </c>
    </row>
    <row r="170" spans="1:9" ht="45" x14ac:dyDescent="0.2">
      <c r="A170" s="29"/>
      <c r="B170" s="282" t="s">
        <v>543</v>
      </c>
      <c r="C170" s="282" t="s">
        <v>546</v>
      </c>
      <c r="D170" s="282" t="s">
        <v>549</v>
      </c>
      <c r="E170" s="282" t="s">
        <v>548</v>
      </c>
      <c r="F170" s="289" t="s">
        <v>639</v>
      </c>
      <c r="G170" s="322">
        <f>'dod3'!E169</f>
        <v>15350597</v>
      </c>
      <c r="H170" s="281">
        <f>'dod3'!J169</f>
        <v>0</v>
      </c>
      <c r="I170" s="281">
        <f t="shared" si="10"/>
        <v>15350597</v>
      </c>
    </row>
    <row r="171" spans="1:9" ht="90" x14ac:dyDescent="0.2">
      <c r="A171" s="29"/>
      <c r="B171" s="272" t="s">
        <v>550</v>
      </c>
      <c r="C171" s="272" t="s">
        <v>551</v>
      </c>
      <c r="D171" s="272"/>
      <c r="E171" s="272" t="s">
        <v>552</v>
      </c>
      <c r="F171" s="276" t="s">
        <v>637</v>
      </c>
      <c r="G171" s="275">
        <f>SUM(G172)</f>
        <v>49844755</v>
      </c>
      <c r="H171" s="275">
        <f>SUM(H172)</f>
        <v>91284073.090000004</v>
      </c>
      <c r="I171" s="277">
        <f t="shared" si="10"/>
        <v>141128828.09</v>
      </c>
    </row>
    <row r="172" spans="1:9" ht="105" x14ac:dyDescent="0.2">
      <c r="A172" s="29"/>
      <c r="B172" s="282" t="s">
        <v>553</v>
      </c>
      <c r="C172" s="282" t="s">
        <v>554</v>
      </c>
      <c r="D172" s="282" t="s">
        <v>556</v>
      </c>
      <c r="E172" s="282" t="s">
        <v>555</v>
      </c>
      <c r="F172" s="289" t="s">
        <v>637</v>
      </c>
      <c r="G172" s="322">
        <f>'dod3'!E171</f>
        <v>49844755</v>
      </c>
      <c r="H172" s="281">
        <f>'dod3'!J171</f>
        <v>91284073.090000004</v>
      </c>
      <c r="I172" s="281">
        <f t="shared" si="10"/>
        <v>141128828.09</v>
      </c>
    </row>
    <row r="173" spans="1:9" ht="225" x14ac:dyDescent="0.2">
      <c r="A173" s="29"/>
      <c r="B173" s="272" t="s">
        <v>557</v>
      </c>
      <c r="C173" s="272" t="s">
        <v>403</v>
      </c>
      <c r="D173" s="272" t="s">
        <v>404</v>
      </c>
      <c r="E173" s="272" t="s">
        <v>99</v>
      </c>
      <c r="F173" s="461" t="s">
        <v>1030</v>
      </c>
      <c r="G173" s="323">
        <f>'dod3'!E172</f>
        <v>1173300</v>
      </c>
      <c r="H173" s="277">
        <f>'dod3'!J172</f>
        <v>1650000</v>
      </c>
      <c r="I173" s="277">
        <f t="shared" si="10"/>
        <v>2823300</v>
      </c>
    </row>
    <row r="174" spans="1:9" ht="90" x14ac:dyDescent="0.2">
      <c r="A174" s="29"/>
      <c r="B174" s="272" t="s">
        <v>575</v>
      </c>
      <c r="C174" s="272" t="s">
        <v>373</v>
      </c>
      <c r="D174" s="272" t="s">
        <v>324</v>
      </c>
      <c r="E174" s="272" t="s">
        <v>89</v>
      </c>
      <c r="F174" s="276" t="s">
        <v>637</v>
      </c>
      <c r="G174" s="323">
        <f>'dod3'!E173</f>
        <v>0</v>
      </c>
      <c r="H174" s="277">
        <f>'dod3'!J173</f>
        <v>59875712</v>
      </c>
      <c r="I174" s="277">
        <f t="shared" si="10"/>
        <v>59875712</v>
      </c>
    </row>
    <row r="175" spans="1:9" ht="90" x14ac:dyDescent="0.2">
      <c r="A175" s="29"/>
      <c r="B175" s="272" t="s">
        <v>558</v>
      </c>
      <c r="C175" s="272" t="s">
        <v>559</v>
      </c>
      <c r="D175" s="272" t="s">
        <v>490</v>
      </c>
      <c r="E175" s="272" t="s">
        <v>703</v>
      </c>
      <c r="F175" s="276" t="s">
        <v>637</v>
      </c>
      <c r="G175" s="323">
        <f>'dod3'!E177</f>
        <v>252990</v>
      </c>
      <c r="H175" s="277">
        <f>'dod3'!J177</f>
        <v>0</v>
      </c>
      <c r="I175" s="277">
        <f t="shared" si="10"/>
        <v>252990</v>
      </c>
    </row>
    <row r="176" spans="1:9" ht="105" x14ac:dyDescent="0.2">
      <c r="A176" s="29"/>
      <c r="B176" s="272" t="s">
        <v>488</v>
      </c>
      <c r="C176" s="272" t="s">
        <v>489</v>
      </c>
      <c r="D176" s="272" t="s">
        <v>490</v>
      </c>
      <c r="E176" s="325" t="s">
        <v>487</v>
      </c>
      <c r="F176" s="276" t="s">
        <v>0</v>
      </c>
      <c r="G176" s="303">
        <f>'dod3'!E178</f>
        <v>1165188</v>
      </c>
      <c r="H176" s="303">
        <f>'dod3'!J178</f>
        <v>7400</v>
      </c>
      <c r="I176" s="277">
        <f t="shared" si="10"/>
        <v>1172588</v>
      </c>
    </row>
    <row r="177" spans="1:12" ht="60" x14ac:dyDescent="0.2">
      <c r="A177" s="29"/>
      <c r="B177" s="484" t="s">
        <v>69</v>
      </c>
      <c r="C177" s="484"/>
      <c r="D177" s="484"/>
      <c r="E177" s="484" t="s">
        <v>931</v>
      </c>
      <c r="F177" s="484"/>
      <c r="G177" s="501">
        <f>G178</f>
        <v>0</v>
      </c>
      <c r="H177" s="501">
        <f>H178</f>
        <v>124047594</v>
      </c>
      <c r="I177" s="501">
        <f>I178</f>
        <v>124047594</v>
      </c>
    </row>
    <row r="178" spans="1:12" ht="57" x14ac:dyDescent="0.2">
      <c r="A178" s="29"/>
      <c r="B178" s="488" t="s">
        <v>70</v>
      </c>
      <c r="C178" s="488"/>
      <c r="D178" s="488"/>
      <c r="E178" s="488" t="s">
        <v>932</v>
      </c>
      <c r="F178" s="488"/>
      <c r="G178" s="502">
        <f>G179+G182+G183</f>
        <v>0</v>
      </c>
      <c r="H178" s="502">
        <f>H179+H182+H183</f>
        <v>124047594</v>
      </c>
      <c r="I178" s="502">
        <f>G178+H178</f>
        <v>124047594</v>
      </c>
      <c r="J178" s="219" t="b">
        <f>G178='dod3'!E180-'dod3'!E181</f>
        <v>1</v>
      </c>
      <c r="K178" s="219" t="b">
        <f>H178='dod3'!J180</f>
        <v>1</v>
      </c>
      <c r="L178" s="219" t="b">
        <f>I178='dod3'!P180-'dod3'!E181</f>
        <v>1</v>
      </c>
    </row>
    <row r="179" spans="1:12" ht="45" x14ac:dyDescent="0.2">
      <c r="A179" s="29"/>
      <c r="B179" s="356" t="s">
        <v>599</v>
      </c>
      <c r="C179" s="356" t="s">
        <v>600</v>
      </c>
      <c r="D179" s="356"/>
      <c r="E179" s="356" t="s">
        <v>598</v>
      </c>
      <c r="F179" s="276" t="s">
        <v>596</v>
      </c>
      <c r="G179" s="277">
        <f>G180+G181</f>
        <v>0</v>
      </c>
      <c r="H179" s="277">
        <f>H180+H181</f>
        <v>100442200</v>
      </c>
      <c r="I179" s="277">
        <f t="shared" ref="I179:I183" si="11">G179+H179</f>
        <v>100442200</v>
      </c>
    </row>
    <row r="180" spans="1:12" ht="45" x14ac:dyDescent="0.2">
      <c r="A180" s="29"/>
      <c r="B180" s="354" t="s">
        <v>602</v>
      </c>
      <c r="C180" s="354" t="s">
        <v>603</v>
      </c>
      <c r="D180" s="354" t="s">
        <v>570</v>
      </c>
      <c r="E180" s="354" t="s">
        <v>601</v>
      </c>
      <c r="F180" s="289" t="s">
        <v>596</v>
      </c>
      <c r="G180" s="281">
        <f>'dod3'!E183</f>
        <v>0</v>
      </c>
      <c r="H180" s="281">
        <f>'dod3'!J183</f>
        <v>68017200</v>
      </c>
      <c r="I180" s="281">
        <f t="shared" si="11"/>
        <v>68017200</v>
      </c>
    </row>
    <row r="181" spans="1:12" ht="45" x14ac:dyDescent="0.2">
      <c r="A181" s="29"/>
      <c r="B181" s="354" t="s">
        <v>604</v>
      </c>
      <c r="C181" s="354" t="s">
        <v>605</v>
      </c>
      <c r="D181" s="354" t="s">
        <v>570</v>
      </c>
      <c r="E181" s="354" t="s">
        <v>606</v>
      </c>
      <c r="F181" s="289" t="s">
        <v>596</v>
      </c>
      <c r="G181" s="281">
        <f>'dod3'!E184</f>
        <v>0</v>
      </c>
      <c r="H181" s="281">
        <f>'dod3'!J184</f>
        <v>32425000</v>
      </c>
      <c r="I181" s="281">
        <f t="shared" si="11"/>
        <v>32425000</v>
      </c>
    </row>
    <row r="182" spans="1:12" ht="45" x14ac:dyDescent="0.2">
      <c r="A182" s="29"/>
      <c r="B182" s="356" t="s">
        <v>608</v>
      </c>
      <c r="C182" s="356" t="s">
        <v>609</v>
      </c>
      <c r="D182" s="356" t="s">
        <v>570</v>
      </c>
      <c r="E182" s="356" t="s">
        <v>607</v>
      </c>
      <c r="F182" s="276" t="s">
        <v>596</v>
      </c>
      <c r="G182" s="281">
        <f>'dod3'!E185</f>
        <v>0</v>
      </c>
      <c r="H182" s="281">
        <f>'dod3'!J185</f>
        <v>23605394</v>
      </c>
      <c r="I182" s="277">
        <f t="shared" si="11"/>
        <v>23605394</v>
      </c>
    </row>
    <row r="183" spans="1:12" ht="45" x14ac:dyDescent="0.2">
      <c r="A183" s="29"/>
      <c r="B183" s="356" t="s">
        <v>610</v>
      </c>
      <c r="C183" s="356" t="s">
        <v>373</v>
      </c>
      <c r="D183" s="356" t="s">
        <v>324</v>
      </c>
      <c r="E183" s="356" t="s">
        <v>89</v>
      </c>
      <c r="F183" s="276" t="s">
        <v>596</v>
      </c>
      <c r="G183" s="281">
        <f>'dod3'!E186</f>
        <v>0</v>
      </c>
      <c r="H183" s="281">
        <f>'dod3'!J186</f>
        <v>0</v>
      </c>
      <c r="I183" s="277">
        <f t="shared" si="11"/>
        <v>0</v>
      </c>
    </row>
    <row r="184" spans="1:12" ht="45" x14ac:dyDescent="0.2">
      <c r="A184" s="29"/>
      <c r="B184" s="554" t="s">
        <v>314</v>
      </c>
      <c r="C184" s="554"/>
      <c r="D184" s="554"/>
      <c r="E184" s="554" t="s">
        <v>71</v>
      </c>
      <c r="F184" s="555"/>
      <c r="G184" s="556">
        <f t="shared" ref="G184:I184" si="12">G185</f>
        <v>0</v>
      </c>
      <c r="H184" s="556">
        <f t="shared" si="12"/>
        <v>215900</v>
      </c>
      <c r="I184" s="557">
        <f t="shared" si="12"/>
        <v>215900</v>
      </c>
    </row>
    <row r="185" spans="1:12" ht="57" x14ac:dyDescent="0.2">
      <c r="A185" s="29"/>
      <c r="B185" s="558" t="s">
        <v>315</v>
      </c>
      <c r="C185" s="558"/>
      <c r="D185" s="558"/>
      <c r="E185" s="558" t="s">
        <v>96</v>
      </c>
      <c r="F185" s="260"/>
      <c r="G185" s="559">
        <f>G187+G186</f>
        <v>0</v>
      </c>
      <c r="H185" s="559">
        <f>H187+H186</f>
        <v>215900</v>
      </c>
      <c r="I185" s="560">
        <f>I187+I186</f>
        <v>215900</v>
      </c>
      <c r="J185" s="219" t="b">
        <f>I185='dod3'!P188-'dod3'!E189</f>
        <v>1</v>
      </c>
      <c r="K185" s="219" t="b">
        <f>G185='dod3'!E188-'dod3'!E189</f>
        <v>1</v>
      </c>
      <c r="L185" s="219" t="b">
        <f>H185='dod3'!J188</f>
        <v>1</v>
      </c>
    </row>
    <row r="186" spans="1:12" ht="45" x14ac:dyDescent="0.2">
      <c r="A186" s="29"/>
      <c r="B186" s="453" t="s">
        <v>1028</v>
      </c>
      <c r="C186" s="453" t="s">
        <v>433</v>
      </c>
      <c r="D186" s="453" t="s">
        <v>430</v>
      </c>
      <c r="E186" s="453" t="s">
        <v>431</v>
      </c>
      <c r="F186" s="276" t="s">
        <v>13</v>
      </c>
      <c r="G186" s="454"/>
      <c r="H186" s="454">
        <v>33000</v>
      </c>
      <c r="I186" s="277">
        <f>G186+H186</f>
        <v>33000</v>
      </c>
      <c r="J186" s="219"/>
      <c r="K186" s="219"/>
      <c r="L186" s="219"/>
    </row>
    <row r="187" spans="1:12" ht="45" x14ac:dyDescent="0.2">
      <c r="A187" s="29"/>
      <c r="B187" s="272" t="s">
        <v>580</v>
      </c>
      <c r="C187" s="272" t="s">
        <v>581</v>
      </c>
      <c r="D187" s="272" t="s">
        <v>570</v>
      </c>
      <c r="E187" s="272" t="s">
        <v>582</v>
      </c>
      <c r="F187" s="276" t="s">
        <v>596</v>
      </c>
      <c r="G187" s="277">
        <f>'dod3'!E190</f>
        <v>0</v>
      </c>
      <c r="H187" s="275">
        <f>'dod3'!J190</f>
        <v>182900</v>
      </c>
      <c r="I187" s="277">
        <f>G187+H187</f>
        <v>182900</v>
      </c>
    </row>
    <row r="188" spans="1:12" ht="30" x14ac:dyDescent="0.2">
      <c r="A188" s="29"/>
      <c r="B188" s="484" t="s">
        <v>320</v>
      </c>
      <c r="C188" s="484"/>
      <c r="D188" s="484"/>
      <c r="E188" s="484" t="s">
        <v>763</v>
      </c>
      <c r="F188" s="503"/>
      <c r="G188" s="494">
        <f>G189</f>
        <v>4738544.5999999996</v>
      </c>
      <c r="H188" s="494">
        <f>H189</f>
        <v>909350</v>
      </c>
      <c r="I188" s="494">
        <f t="shared" ref="I188:I196" si="13">G188+H188</f>
        <v>5647894.5999999996</v>
      </c>
    </row>
    <row r="189" spans="1:12" ht="28.5" x14ac:dyDescent="0.2">
      <c r="A189" s="29"/>
      <c r="B189" s="488" t="s">
        <v>321</v>
      </c>
      <c r="C189" s="488"/>
      <c r="D189" s="488"/>
      <c r="E189" s="488" t="s">
        <v>764</v>
      </c>
      <c r="F189" s="503"/>
      <c r="G189" s="497">
        <f>G190+G191+G193+G194+G192</f>
        <v>4738544.5999999996</v>
      </c>
      <c r="H189" s="497">
        <f>H190+H191+H193+H194+H192</f>
        <v>909350</v>
      </c>
      <c r="I189" s="497">
        <f t="shared" si="13"/>
        <v>5647894.5999999996</v>
      </c>
      <c r="J189" s="219" t="b">
        <f>I189='dod3'!P192-70000</f>
        <v>1</v>
      </c>
      <c r="K189" s="219" t="b">
        <f>G189='dod3'!E192</f>
        <v>1</v>
      </c>
      <c r="L189" s="219" t="b">
        <f>H189='dod3'!J192-70000</f>
        <v>1</v>
      </c>
    </row>
    <row r="190" spans="1:12" ht="45" x14ac:dyDescent="0.2">
      <c r="A190" s="29"/>
      <c r="B190" s="272" t="s">
        <v>754</v>
      </c>
      <c r="C190" s="272" t="s">
        <v>755</v>
      </c>
      <c r="D190" s="272" t="s">
        <v>324</v>
      </c>
      <c r="E190" s="272" t="s">
        <v>502</v>
      </c>
      <c r="F190" s="276" t="s">
        <v>596</v>
      </c>
      <c r="G190" s="277">
        <f>(1200000-1000000)-200000</f>
        <v>0</v>
      </c>
      <c r="H190" s="277">
        <f>((1000000)-500000)-206000</f>
        <v>294000</v>
      </c>
      <c r="I190" s="277">
        <f>G190+H190</f>
        <v>294000</v>
      </c>
    </row>
    <row r="191" spans="1:12" ht="30" x14ac:dyDescent="0.2">
      <c r="A191" s="29"/>
      <c r="B191" s="272" t="s">
        <v>500</v>
      </c>
      <c r="C191" s="272" t="s">
        <v>501</v>
      </c>
      <c r="D191" s="272" t="s">
        <v>499</v>
      </c>
      <c r="E191" s="272" t="s">
        <v>498</v>
      </c>
      <c r="F191" s="276" t="s">
        <v>296</v>
      </c>
      <c r="G191" s="277">
        <f>((1500000)+400000)+100257-100257</f>
        <v>1900000</v>
      </c>
      <c r="H191" s="277"/>
      <c r="I191" s="277">
        <f>G191+H191</f>
        <v>1900000</v>
      </c>
    </row>
    <row r="192" spans="1:12" ht="30" x14ac:dyDescent="0.2">
      <c r="A192" s="29"/>
      <c r="B192" s="272" t="s">
        <v>500</v>
      </c>
      <c r="C192" s="272" t="s">
        <v>501</v>
      </c>
      <c r="D192" s="272" t="s">
        <v>499</v>
      </c>
      <c r="E192" s="272" t="s">
        <v>498</v>
      </c>
      <c r="F192" s="301" t="s">
        <v>810</v>
      </c>
      <c r="G192" s="277">
        <f>(300000)-100257</f>
        <v>199743</v>
      </c>
      <c r="H192" s="277"/>
      <c r="I192" s="277">
        <f>G192+H192</f>
        <v>199743</v>
      </c>
    </row>
    <row r="193" spans="1:192" ht="45" x14ac:dyDescent="0.2">
      <c r="A193" s="29"/>
      <c r="B193" s="272" t="s">
        <v>491</v>
      </c>
      <c r="C193" s="272" t="s">
        <v>493</v>
      </c>
      <c r="D193" s="272" t="s">
        <v>404</v>
      </c>
      <c r="E193" s="272" t="s">
        <v>492</v>
      </c>
      <c r="F193" s="276" t="s">
        <v>38</v>
      </c>
      <c r="G193" s="277">
        <f>(475000)-20000</f>
        <v>455000</v>
      </c>
      <c r="H193" s="277">
        <v>20000</v>
      </c>
      <c r="I193" s="277">
        <f t="shared" si="13"/>
        <v>475000</v>
      </c>
    </row>
    <row r="194" spans="1:192" ht="15" x14ac:dyDescent="0.2">
      <c r="A194" s="29"/>
      <c r="B194" s="272" t="s">
        <v>495</v>
      </c>
      <c r="C194" s="272" t="s">
        <v>449</v>
      </c>
      <c r="D194" s="272" t="s">
        <v>324</v>
      </c>
      <c r="E194" s="272" t="s">
        <v>447</v>
      </c>
      <c r="F194" s="276"/>
      <c r="G194" s="277">
        <f>G195+G196</f>
        <v>2183801.6</v>
      </c>
      <c r="H194" s="277">
        <f>H195+H196</f>
        <v>595350</v>
      </c>
      <c r="I194" s="277">
        <f t="shared" si="13"/>
        <v>2779151.6</v>
      </c>
    </row>
    <row r="195" spans="1:192" ht="30" x14ac:dyDescent="0.2">
      <c r="A195" s="29"/>
      <c r="B195" s="282" t="s">
        <v>496</v>
      </c>
      <c r="C195" s="282" t="s">
        <v>497</v>
      </c>
      <c r="D195" s="282" t="s">
        <v>324</v>
      </c>
      <c r="E195" s="282" t="s">
        <v>494</v>
      </c>
      <c r="F195" s="289" t="s">
        <v>29</v>
      </c>
      <c r="G195" s="281">
        <f>(1000000)-111998.4</f>
        <v>888001.6</v>
      </c>
      <c r="H195" s="281">
        <f>(0)+195350</f>
        <v>195350</v>
      </c>
      <c r="I195" s="281">
        <f t="shared" si="13"/>
        <v>1083351.6000000001</v>
      </c>
    </row>
    <row r="196" spans="1:192" ht="60" x14ac:dyDescent="0.2">
      <c r="A196" s="29"/>
      <c r="B196" s="282" t="s">
        <v>496</v>
      </c>
      <c r="C196" s="282" t="s">
        <v>497</v>
      </c>
      <c r="D196" s="282" t="s">
        <v>324</v>
      </c>
      <c r="E196" s="282" t="s">
        <v>494</v>
      </c>
      <c r="F196" s="289" t="s">
        <v>295</v>
      </c>
      <c r="G196" s="281">
        <f>(1195800)+100000</f>
        <v>1295800</v>
      </c>
      <c r="H196" s="281">
        <f>(0)+400000</f>
        <v>400000</v>
      </c>
      <c r="I196" s="281">
        <f t="shared" si="13"/>
        <v>1695800</v>
      </c>
    </row>
    <row r="197" spans="1:192" ht="57.75" customHeight="1" x14ac:dyDescent="0.2">
      <c r="A197" s="29"/>
      <c r="B197" s="484" t="s">
        <v>318</v>
      </c>
      <c r="C197" s="484"/>
      <c r="D197" s="484"/>
      <c r="E197" s="484" t="s">
        <v>72</v>
      </c>
      <c r="F197" s="550"/>
      <c r="G197" s="494">
        <v>0</v>
      </c>
      <c r="H197" s="494">
        <f>H198</f>
        <v>1337148.6600000001</v>
      </c>
      <c r="I197" s="494">
        <f>I198</f>
        <v>1337148.6600000001</v>
      </c>
    </row>
    <row r="198" spans="1:192" ht="42.75" x14ac:dyDescent="0.2">
      <c r="A198" s="29"/>
      <c r="B198" s="488" t="s">
        <v>319</v>
      </c>
      <c r="C198" s="488"/>
      <c r="D198" s="488"/>
      <c r="E198" s="488" t="s">
        <v>73</v>
      </c>
      <c r="F198" s="551"/>
      <c r="G198" s="497">
        <f>G199+G200+G203+G204</f>
        <v>0</v>
      </c>
      <c r="H198" s="497">
        <f>H200+H203+H204+H199</f>
        <v>1337148.6600000001</v>
      </c>
      <c r="I198" s="497">
        <f>G198+H198</f>
        <v>1337148.6600000001</v>
      </c>
      <c r="J198" s="406" t="b">
        <f>I197='dod3'!P201-'dod3'!E202</f>
        <v>1</v>
      </c>
      <c r="K198" s="462" t="b">
        <f>G198='dod3'!E201-'dod3'!E202</f>
        <v>1</v>
      </c>
      <c r="L198" s="462" t="b">
        <f>H198='dod3'!J201</f>
        <v>1</v>
      </c>
    </row>
    <row r="199" spans="1:192" ht="45" x14ac:dyDescent="0.2">
      <c r="A199" s="29"/>
      <c r="B199" s="453" t="s">
        <v>1029</v>
      </c>
      <c r="C199" s="453" t="s">
        <v>433</v>
      </c>
      <c r="D199" s="453" t="s">
        <v>430</v>
      </c>
      <c r="E199" s="453" t="s">
        <v>431</v>
      </c>
      <c r="F199" s="276" t="s">
        <v>13</v>
      </c>
      <c r="G199" s="454"/>
      <c r="H199" s="454">
        <v>66000</v>
      </c>
      <c r="I199" s="277">
        <f>G199+H199</f>
        <v>66000</v>
      </c>
    </row>
    <row r="200" spans="1:192" ht="30" x14ac:dyDescent="0.2">
      <c r="A200" s="29"/>
      <c r="B200" s="348" t="s">
        <v>583</v>
      </c>
      <c r="C200" s="348" t="s">
        <v>584</v>
      </c>
      <c r="D200" s="348"/>
      <c r="E200" s="348" t="s">
        <v>585</v>
      </c>
      <c r="F200" s="276" t="s">
        <v>30</v>
      </c>
      <c r="G200" s="277">
        <f>G201+G202</f>
        <v>0</v>
      </c>
      <c r="H200" s="277">
        <f>H201+H202</f>
        <v>937148.66</v>
      </c>
      <c r="I200" s="277">
        <f t="shared" ref="I200:I201" si="14">G200+H200</f>
        <v>937148.66</v>
      </c>
    </row>
    <row r="201" spans="1:192" ht="30" x14ac:dyDescent="0.2">
      <c r="A201" s="29"/>
      <c r="B201" s="347" t="s">
        <v>586</v>
      </c>
      <c r="C201" s="347" t="s">
        <v>587</v>
      </c>
      <c r="D201" s="347" t="s">
        <v>119</v>
      </c>
      <c r="E201" s="347" t="s">
        <v>120</v>
      </c>
      <c r="F201" s="289" t="s">
        <v>30</v>
      </c>
      <c r="G201" s="281">
        <f>'dod3'!E204</f>
        <v>0</v>
      </c>
      <c r="H201" s="281">
        <f>'dod3'!J204</f>
        <v>629148.66</v>
      </c>
      <c r="I201" s="281">
        <f t="shared" si="14"/>
        <v>629148.66</v>
      </c>
    </row>
    <row r="202" spans="1:192" ht="30" x14ac:dyDescent="0.2">
      <c r="A202" s="29"/>
      <c r="B202" s="347" t="s">
        <v>588</v>
      </c>
      <c r="C202" s="347" t="s">
        <v>589</v>
      </c>
      <c r="D202" s="347" t="s">
        <v>121</v>
      </c>
      <c r="E202" s="347" t="s">
        <v>590</v>
      </c>
      <c r="F202" s="289" t="s">
        <v>30</v>
      </c>
      <c r="G202" s="281">
        <f>'dod3'!E205</f>
        <v>0</v>
      </c>
      <c r="H202" s="281">
        <f>'dod3'!J205</f>
        <v>308000</v>
      </c>
      <c r="I202" s="281">
        <f>G202+H202</f>
        <v>308000</v>
      </c>
    </row>
    <row r="203" spans="1:192" ht="30" x14ac:dyDescent="0.2">
      <c r="B203" s="348" t="s">
        <v>591</v>
      </c>
      <c r="C203" s="348" t="s">
        <v>592</v>
      </c>
      <c r="D203" s="348" t="s">
        <v>123</v>
      </c>
      <c r="E203" s="348" t="s">
        <v>130</v>
      </c>
      <c r="F203" s="276" t="s">
        <v>30</v>
      </c>
      <c r="G203" s="277">
        <f>'dod3'!E206</f>
        <v>0</v>
      </c>
      <c r="H203" s="277">
        <f>'dod3'!J206</f>
        <v>125000</v>
      </c>
      <c r="I203" s="277">
        <f>G203+H203</f>
        <v>125000</v>
      </c>
    </row>
    <row r="204" spans="1:192" ht="30" x14ac:dyDescent="0.2">
      <c r="B204" s="348" t="s">
        <v>593</v>
      </c>
      <c r="C204" s="348" t="s">
        <v>594</v>
      </c>
      <c r="D204" s="348" t="s">
        <v>122</v>
      </c>
      <c r="E204" s="348" t="s">
        <v>595</v>
      </c>
      <c r="F204" s="276" t="s">
        <v>30</v>
      </c>
      <c r="G204" s="277">
        <f>'dod3'!E207</f>
        <v>0</v>
      </c>
      <c r="H204" s="277">
        <f>'dod3'!J207</f>
        <v>209000</v>
      </c>
      <c r="I204" s="277">
        <f>G204+H204</f>
        <v>209000</v>
      </c>
      <c r="AW204" s="206"/>
      <c r="AX204" s="206"/>
      <c r="AY204" s="206"/>
      <c r="AZ204" s="206"/>
      <c r="BA204" s="206"/>
      <c r="BB204" s="206"/>
      <c r="BC204" s="206"/>
      <c r="BD204" s="206"/>
      <c r="BE204" s="206"/>
      <c r="BF204" s="206"/>
      <c r="BG204" s="206"/>
      <c r="BH204" s="206"/>
      <c r="BI204" s="206"/>
      <c r="BJ204" s="206"/>
      <c r="BK204" s="206"/>
      <c r="BL204" s="206"/>
      <c r="BM204" s="206"/>
      <c r="BN204" s="206"/>
      <c r="BO204" s="206"/>
      <c r="BP204" s="206"/>
      <c r="BQ204" s="206"/>
      <c r="BR204" s="206"/>
      <c r="BS204" s="206"/>
      <c r="BT204" s="206"/>
      <c r="BU204" s="206"/>
      <c r="BV204" s="206"/>
      <c r="BW204" s="206"/>
      <c r="BX204" s="206"/>
      <c r="BY204" s="206"/>
      <c r="BZ204" s="206"/>
      <c r="CA204" s="206"/>
      <c r="CB204" s="206"/>
      <c r="CC204" s="206"/>
      <c r="CD204" s="206"/>
      <c r="CE204" s="206"/>
      <c r="CF204" s="206"/>
      <c r="CG204" s="206"/>
      <c r="CH204" s="206"/>
      <c r="CI204" s="206"/>
      <c r="CJ204" s="206"/>
      <c r="CK204" s="206"/>
      <c r="CL204" s="206"/>
      <c r="CM204" s="206"/>
      <c r="CN204" s="206"/>
      <c r="CO204" s="206"/>
      <c r="CP204" s="206"/>
      <c r="CQ204" s="206"/>
      <c r="CR204" s="206"/>
      <c r="CS204" s="206"/>
      <c r="CT204" s="206"/>
      <c r="CU204" s="206"/>
      <c r="CV204" s="206"/>
      <c r="CW204" s="206"/>
      <c r="CX204" s="206"/>
      <c r="CY204" s="206"/>
      <c r="CZ204" s="206"/>
      <c r="DA204" s="206"/>
      <c r="DB204" s="206"/>
      <c r="DC204" s="206"/>
      <c r="DD204" s="206"/>
      <c r="DE204" s="206"/>
      <c r="DF204" s="206"/>
      <c r="DG204" s="206"/>
      <c r="DH204" s="206"/>
      <c r="DI204" s="206"/>
      <c r="DJ204" s="206"/>
      <c r="DK204" s="206"/>
      <c r="DL204" s="206"/>
      <c r="DM204" s="206"/>
      <c r="DN204" s="206"/>
      <c r="DO204" s="206"/>
      <c r="DP204" s="206"/>
      <c r="DQ204" s="206"/>
      <c r="DR204" s="206"/>
      <c r="DS204" s="206"/>
      <c r="DT204" s="206"/>
      <c r="DU204" s="206"/>
      <c r="DV204" s="206"/>
      <c r="DW204" s="206"/>
      <c r="DX204" s="206"/>
      <c r="DY204" s="206"/>
      <c r="DZ204" s="206"/>
      <c r="EA204" s="206"/>
      <c r="EB204" s="206"/>
      <c r="EC204" s="206"/>
      <c r="ED204" s="206"/>
      <c r="EE204" s="206"/>
      <c r="EF204" s="206"/>
      <c r="EG204" s="206"/>
      <c r="EH204" s="206"/>
      <c r="EI204" s="206"/>
      <c r="EJ204" s="206"/>
      <c r="EK204" s="206"/>
      <c r="EL204" s="206"/>
      <c r="EM204" s="206"/>
      <c r="EN204" s="206"/>
      <c r="EO204" s="206"/>
      <c r="EP204" s="206"/>
      <c r="EQ204" s="206"/>
      <c r="ER204" s="206"/>
      <c r="ES204" s="206"/>
      <c r="ET204" s="206"/>
      <c r="EU204" s="206"/>
      <c r="EV204" s="206"/>
      <c r="EW204" s="206"/>
      <c r="EX204" s="206"/>
      <c r="EY204" s="206"/>
      <c r="EZ204" s="206"/>
      <c r="FA204" s="206"/>
      <c r="FB204" s="206"/>
      <c r="FC204" s="206"/>
      <c r="FD204" s="206"/>
      <c r="FE204" s="206"/>
      <c r="FF204" s="206"/>
      <c r="FG204" s="206"/>
      <c r="FH204" s="206"/>
      <c r="FI204" s="206"/>
      <c r="FJ204" s="206"/>
      <c r="FK204" s="206"/>
      <c r="FL204" s="206"/>
      <c r="FM204" s="206"/>
      <c r="FN204" s="206"/>
      <c r="FO204" s="206"/>
      <c r="FP204" s="206"/>
      <c r="FQ204" s="206"/>
      <c r="FR204" s="206"/>
      <c r="FS204" s="206"/>
      <c r="FT204" s="206"/>
      <c r="FU204" s="206"/>
      <c r="FV204" s="206"/>
      <c r="FW204" s="206"/>
      <c r="FX204" s="206"/>
      <c r="FY204" s="206"/>
      <c r="FZ204" s="206"/>
      <c r="GA204" s="206"/>
      <c r="GB204" s="206"/>
      <c r="GC204" s="206"/>
      <c r="GD204" s="206"/>
      <c r="GE204" s="206"/>
      <c r="GF204" s="206"/>
      <c r="GG204" s="206"/>
      <c r="GH204" s="206"/>
      <c r="GI204" s="206"/>
      <c r="GJ204" s="206"/>
    </row>
    <row r="205" spans="1:192" ht="60" x14ac:dyDescent="0.2">
      <c r="B205" s="561" t="s">
        <v>316</v>
      </c>
      <c r="C205" s="561"/>
      <c r="D205" s="561"/>
      <c r="E205" s="484" t="s">
        <v>765</v>
      </c>
      <c r="F205" s="562"/>
      <c r="G205" s="563">
        <f t="shared" ref="G205:I205" si="15">G206</f>
        <v>0</v>
      </c>
      <c r="H205" s="563">
        <f t="shared" si="15"/>
        <v>338000</v>
      </c>
      <c r="I205" s="564">
        <f t="shared" si="15"/>
        <v>338000</v>
      </c>
      <c r="AW205" s="206"/>
      <c r="AX205" s="206"/>
      <c r="AY205" s="206"/>
      <c r="AZ205" s="206"/>
      <c r="BA205" s="206"/>
      <c r="BB205" s="206"/>
      <c r="BC205" s="206"/>
      <c r="BD205" s="206"/>
      <c r="BE205" s="206"/>
      <c r="BF205" s="206"/>
      <c r="BG205" s="206"/>
      <c r="BH205" s="206"/>
      <c r="BI205" s="206"/>
      <c r="BJ205" s="206"/>
      <c r="BK205" s="206"/>
      <c r="BL205" s="206"/>
      <c r="BM205" s="206"/>
      <c r="BN205" s="206"/>
      <c r="BO205" s="206"/>
      <c r="BP205" s="206"/>
      <c r="BQ205" s="206"/>
      <c r="BR205" s="206"/>
      <c r="BS205" s="206"/>
      <c r="BT205" s="206"/>
      <c r="BU205" s="206"/>
      <c r="BV205" s="206"/>
      <c r="BW205" s="206"/>
      <c r="BX205" s="206"/>
      <c r="BY205" s="206"/>
      <c r="BZ205" s="206"/>
      <c r="CA205" s="206"/>
      <c r="CB205" s="206"/>
      <c r="CC205" s="206"/>
      <c r="CD205" s="206"/>
      <c r="CE205" s="206"/>
      <c r="CF205" s="206"/>
      <c r="CG205" s="206"/>
      <c r="CH205" s="206"/>
      <c r="CI205" s="206"/>
      <c r="CJ205" s="206"/>
      <c r="CK205" s="206"/>
      <c r="CL205" s="206"/>
      <c r="CM205" s="206"/>
      <c r="CN205" s="206"/>
      <c r="CO205" s="206"/>
      <c r="CP205" s="206"/>
      <c r="CQ205" s="206"/>
      <c r="CR205" s="206"/>
      <c r="CS205" s="206"/>
      <c r="CT205" s="206"/>
      <c r="CU205" s="206"/>
      <c r="CV205" s="206"/>
      <c r="CW205" s="206"/>
      <c r="CX205" s="206"/>
      <c r="CY205" s="206"/>
      <c r="CZ205" s="206"/>
      <c r="DA205" s="206"/>
      <c r="DB205" s="206"/>
      <c r="DC205" s="206"/>
      <c r="DD205" s="206"/>
      <c r="DE205" s="206"/>
      <c r="DF205" s="206"/>
      <c r="DG205" s="206"/>
      <c r="DH205" s="206"/>
      <c r="DI205" s="206"/>
      <c r="DJ205" s="206"/>
      <c r="DK205" s="206"/>
      <c r="DL205" s="206"/>
      <c r="DM205" s="206"/>
      <c r="DN205" s="206"/>
      <c r="DO205" s="206"/>
      <c r="DP205" s="206"/>
      <c r="DQ205" s="206"/>
      <c r="DR205" s="206"/>
      <c r="DS205" s="206"/>
      <c r="DT205" s="206"/>
      <c r="DU205" s="206"/>
      <c r="DV205" s="206"/>
      <c r="DW205" s="206"/>
      <c r="DX205" s="206"/>
      <c r="DY205" s="206"/>
      <c r="DZ205" s="206"/>
      <c r="EA205" s="206"/>
      <c r="EB205" s="206"/>
      <c r="EC205" s="206"/>
      <c r="ED205" s="206"/>
      <c r="EE205" s="206"/>
      <c r="EF205" s="206"/>
      <c r="EG205" s="206"/>
      <c r="EH205" s="206"/>
      <c r="EI205" s="206"/>
      <c r="EJ205" s="206"/>
      <c r="EK205" s="206"/>
      <c r="EL205" s="206"/>
      <c r="EM205" s="206"/>
      <c r="EN205" s="206"/>
      <c r="EO205" s="206"/>
      <c r="EP205" s="206"/>
      <c r="EQ205" s="206"/>
      <c r="ER205" s="206"/>
      <c r="ES205" s="206"/>
      <c r="ET205" s="206"/>
      <c r="EU205" s="206"/>
      <c r="EV205" s="206"/>
      <c r="EW205" s="206"/>
      <c r="EX205" s="206"/>
      <c r="EY205" s="206"/>
      <c r="EZ205" s="206"/>
      <c r="FA205" s="206"/>
      <c r="FB205" s="206"/>
      <c r="FC205" s="206"/>
      <c r="FD205" s="206"/>
      <c r="FE205" s="206"/>
      <c r="FF205" s="206"/>
      <c r="FG205" s="206"/>
      <c r="FH205" s="206"/>
      <c r="FI205" s="206"/>
      <c r="FJ205" s="206"/>
      <c r="FK205" s="206"/>
      <c r="FL205" s="206"/>
      <c r="FM205" s="206"/>
      <c r="FN205" s="206"/>
      <c r="FO205" s="206"/>
      <c r="FP205" s="206"/>
      <c r="FQ205" s="206"/>
      <c r="FR205" s="206"/>
      <c r="FS205" s="206"/>
      <c r="FT205" s="206"/>
      <c r="FU205" s="206"/>
      <c r="FV205" s="206"/>
      <c r="FW205" s="206"/>
      <c r="FX205" s="206"/>
      <c r="FY205" s="206"/>
      <c r="FZ205" s="206"/>
      <c r="GA205" s="206"/>
      <c r="GB205" s="206"/>
      <c r="GC205" s="206"/>
      <c r="GD205" s="206"/>
      <c r="GE205" s="206"/>
      <c r="GF205" s="206"/>
      <c r="GG205" s="206"/>
      <c r="GH205" s="206"/>
      <c r="GI205" s="206"/>
      <c r="GJ205" s="206"/>
    </row>
    <row r="206" spans="1:192" ht="57" x14ac:dyDescent="0.2">
      <c r="B206" s="488" t="s">
        <v>317</v>
      </c>
      <c r="C206" s="488"/>
      <c r="D206" s="488"/>
      <c r="E206" s="488" t="s">
        <v>766</v>
      </c>
      <c r="F206" s="503"/>
      <c r="G206" s="502">
        <f>G208+G209+G207</f>
        <v>0</v>
      </c>
      <c r="H206" s="502">
        <f>H208+H209+H207</f>
        <v>338000</v>
      </c>
      <c r="I206" s="497">
        <f>G206+H206</f>
        <v>338000</v>
      </c>
      <c r="J206" s="219" t="b">
        <f>I206='dod3'!P209-'dod3'!E210</f>
        <v>1</v>
      </c>
      <c r="K206" s="219" t="b">
        <f>G206='dod3'!E209-'dod3'!E210</f>
        <v>1</v>
      </c>
      <c r="L206" s="219" t="b">
        <f>H206='dod3'!J209</f>
        <v>1</v>
      </c>
      <c r="AW206" s="206"/>
      <c r="AX206" s="206"/>
      <c r="AY206" s="206"/>
      <c r="AZ206" s="206"/>
      <c r="BA206" s="206"/>
      <c r="BB206" s="206"/>
      <c r="BC206" s="206"/>
      <c r="BD206" s="206"/>
      <c r="BE206" s="206"/>
      <c r="BF206" s="206"/>
      <c r="BG206" s="206"/>
      <c r="BH206" s="206"/>
      <c r="BI206" s="206"/>
      <c r="BJ206" s="206"/>
      <c r="BK206" s="206"/>
      <c r="BL206" s="206"/>
      <c r="BM206" s="206"/>
      <c r="BN206" s="206"/>
      <c r="BO206" s="206"/>
      <c r="BP206" s="206"/>
      <c r="BQ206" s="206"/>
      <c r="BR206" s="206"/>
      <c r="BS206" s="206"/>
      <c r="BT206" s="206"/>
      <c r="BU206" s="206"/>
      <c r="BV206" s="206"/>
      <c r="BW206" s="206"/>
      <c r="BX206" s="206"/>
      <c r="BY206" s="206"/>
      <c r="BZ206" s="206"/>
      <c r="CA206" s="206"/>
      <c r="CB206" s="206"/>
      <c r="CC206" s="206"/>
      <c r="CD206" s="206"/>
      <c r="CE206" s="206"/>
      <c r="CF206" s="206"/>
      <c r="CG206" s="206"/>
      <c r="CH206" s="206"/>
      <c r="CI206" s="206"/>
      <c r="CJ206" s="206"/>
      <c r="CK206" s="206"/>
      <c r="CL206" s="206"/>
      <c r="CM206" s="206"/>
      <c r="CN206" s="206"/>
      <c r="CO206" s="206"/>
      <c r="CP206" s="206"/>
      <c r="CQ206" s="206"/>
      <c r="CR206" s="206"/>
      <c r="CS206" s="206"/>
      <c r="CT206" s="206"/>
      <c r="CU206" s="206"/>
      <c r="CV206" s="206"/>
      <c r="CW206" s="206"/>
      <c r="CX206" s="206"/>
      <c r="CY206" s="206"/>
      <c r="CZ206" s="206"/>
      <c r="DA206" s="206"/>
      <c r="DB206" s="206"/>
      <c r="DC206" s="206"/>
      <c r="DD206" s="206"/>
      <c r="DE206" s="206"/>
      <c r="DF206" s="206"/>
      <c r="DG206" s="206"/>
      <c r="DH206" s="206"/>
      <c r="DI206" s="206"/>
      <c r="DJ206" s="206"/>
      <c r="DK206" s="206"/>
      <c r="DL206" s="206"/>
      <c r="DM206" s="206"/>
      <c r="DN206" s="206"/>
      <c r="DO206" s="206"/>
      <c r="DP206" s="206"/>
      <c r="DQ206" s="206"/>
      <c r="DR206" s="206"/>
      <c r="DS206" s="206"/>
      <c r="DT206" s="206"/>
      <c r="DU206" s="206"/>
      <c r="DV206" s="206"/>
      <c r="DW206" s="206"/>
      <c r="DX206" s="206"/>
      <c r="DY206" s="206"/>
      <c r="DZ206" s="206"/>
      <c r="EA206" s="206"/>
      <c r="EB206" s="206"/>
      <c r="EC206" s="206"/>
      <c r="ED206" s="206"/>
      <c r="EE206" s="206"/>
      <c r="EF206" s="206"/>
      <c r="EG206" s="206"/>
      <c r="EH206" s="206"/>
      <c r="EI206" s="206"/>
      <c r="EJ206" s="206"/>
      <c r="EK206" s="206"/>
      <c r="EL206" s="206"/>
      <c r="EM206" s="206"/>
      <c r="EN206" s="206"/>
      <c r="EO206" s="206"/>
      <c r="EP206" s="206"/>
      <c r="EQ206" s="206"/>
      <c r="ER206" s="206"/>
      <c r="ES206" s="206"/>
      <c r="ET206" s="206"/>
      <c r="EU206" s="206"/>
      <c r="EV206" s="206"/>
      <c r="EW206" s="206"/>
      <c r="EX206" s="206"/>
      <c r="EY206" s="206"/>
      <c r="EZ206" s="206"/>
      <c r="FA206" s="206"/>
      <c r="FB206" s="206"/>
      <c r="FC206" s="206"/>
      <c r="FD206" s="206"/>
      <c r="FE206" s="206"/>
      <c r="FF206" s="206"/>
      <c r="FG206" s="206"/>
      <c r="FH206" s="206"/>
      <c r="FI206" s="206"/>
      <c r="FJ206" s="206"/>
      <c r="FK206" s="206"/>
      <c r="FL206" s="206"/>
      <c r="FM206" s="206"/>
      <c r="FN206" s="206"/>
      <c r="FO206" s="206"/>
      <c r="FP206" s="206"/>
      <c r="FQ206" s="206"/>
      <c r="FR206" s="206"/>
      <c r="FS206" s="206"/>
      <c r="FT206" s="206"/>
      <c r="FU206" s="206"/>
      <c r="FV206" s="206"/>
      <c r="FW206" s="206"/>
      <c r="FX206" s="206"/>
      <c r="FY206" s="206"/>
      <c r="FZ206" s="206"/>
      <c r="GA206" s="206"/>
      <c r="GB206" s="206"/>
      <c r="GC206" s="206"/>
      <c r="GD206" s="206"/>
      <c r="GE206" s="206"/>
      <c r="GF206" s="206"/>
      <c r="GG206" s="206"/>
      <c r="GH206" s="206"/>
      <c r="GI206" s="206"/>
      <c r="GJ206" s="206"/>
    </row>
    <row r="207" spans="1:192" ht="45" x14ac:dyDescent="0.2">
      <c r="B207" s="453" t="s">
        <v>1031</v>
      </c>
      <c r="C207" s="453" t="s">
        <v>433</v>
      </c>
      <c r="D207" s="453" t="s">
        <v>430</v>
      </c>
      <c r="E207" s="453" t="s">
        <v>431</v>
      </c>
      <c r="F207" s="276" t="s">
        <v>13</v>
      </c>
      <c r="G207" s="454"/>
      <c r="H207" s="454">
        <f>40000-2000</f>
        <v>38000</v>
      </c>
      <c r="I207" s="277">
        <f>G207+H207</f>
        <v>38000</v>
      </c>
      <c r="J207" s="219"/>
      <c r="K207" s="219"/>
      <c r="L207" s="219"/>
      <c r="AW207" s="206"/>
      <c r="AX207" s="206"/>
      <c r="AY207" s="206"/>
      <c r="AZ207" s="206"/>
      <c r="BA207" s="206"/>
      <c r="BB207" s="206"/>
      <c r="BC207" s="206"/>
      <c r="BD207" s="206"/>
      <c r="BE207" s="206"/>
      <c r="BF207" s="206"/>
      <c r="BG207" s="206"/>
      <c r="BH207" s="206"/>
      <c r="BI207" s="206"/>
      <c r="BJ207" s="206"/>
      <c r="BK207" s="206"/>
      <c r="BL207" s="206"/>
      <c r="BM207" s="206"/>
      <c r="BN207" s="206"/>
      <c r="BO207" s="206"/>
      <c r="BP207" s="206"/>
      <c r="BQ207" s="206"/>
      <c r="BR207" s="206"/>
      <c r="BS207" s="206"/>
      <c r="BT207" s="206"/>
      <c r="BU207" s="206"/>
      <c r="BV207" s="206"/>
      <c r="BW207" s="206"/>
      <c r="BX207" s="206"/>
      <c r="BY207" s="206"/>
      <c r="BZ207" s="206"/>
      <c r="CA207" s="206"/>
      <c r="CB207" s="206"/>
      <c r="CC207" s="206"/>
      <c r="CD207" s="206"/>
      <c r="CE207" s="206"/>
      <c r="CF207" s="206"/>
      <c r="CG207" s="206"/>
      <c r="CH207" s="206"/>
      <c r="CI207" s="206"/>
      <c r="CJ207" s="206"/>
      <c r="CK207" s="206"/>
      <c r="CL207" s="206"/>
      <c r="CM207" s="206"/>
      <c r="CN207" s="206"/>
      <c r="CO207" s="206"/>
      <c r="CP207" s="206"/>
      <c r="CQ207" s="206"/>
      <c r="CR207" s="206"/>
      <c r="CS207" s="206"/>
      <c r="CT207" s="206"/>
      <c r="CU207" s="206"/>
      <c r="CV207" s="206"/>
      <c r="CW207" s="206"/>
      <c r="CX207" s="206"/>
      <c r="CY207" s="206"/>
      <c r="CZ207" s="206"/>
      <c r="DA207" s="206"/>
      <c r="DB207" s="206"/>
      <c r="DC207" s="206"/>
      <c r="DD207" s="206"/>
      <c r="DE207" s="206"/>
      <c r="DF207" s="206"/>
      <c r="DG207" s="206"/>
      <c r="DH207" s="206"/>
      <c r="DI207" s="206"/>
      <c r="DJ207" s="206"/>
      <c r="DK207" s="206"/>
      <c r="DL207" s="206"/>
      <c r="DM207" s="206"/>
      <c r="DN207" s="206"/>
      <c r="DO207" s="206"/>
      <c r="DP207" s="206"/>
      <c r="DQ207" s="206"/>
      <c r="DR207" s="206"/>
      <c r="DS207" s="206"/>
      <c r="DT207" s="206"/>
      <c r="DU207" s="206"/>
      <c r="DV207" s="206"/>
      <c r="DW207" s="206"/>
      <c r="DX207" s="206"/>
      <c r="DY207" s="206"/>
      <c r="DZ207" s="206"/>
      <c r="EA207" s="206"/>
      <c r="EB207" s="206"/>
      <c r="EC207" s="206"/>
      <c r="ED207" s="206"/>
      <c r="EE207" s="206"/>
      <c r="EF207" s="206"/>
      <c r="EG207" s="206"/>
      <c r="EH207" s="206"/>
      <c r="EI207" s="206"/>
      <c r="EJ207" s="206"/>
      <c r="EK207" s="206"/>
      <c r="EL207" s="206"/>
      <c r="EM207" s="206"/>
      <c r="EN207" s="206"/>
      <c r="EO207" s="206"/>
      <c r="EP207" s="206"/>
      <c r="EQ207" s="206"/>
      <c r="ER207" s="206"/>
      <c r="ES207" s="206"/>
      <c r="ET207" s="206"/>
      <c r="EU207" s="206"/>
      <c r="EV207" s="206"/>
      <c r="EW207" s="206"/>
      <c r="EX207" s="206"/>
      <c r="EY207" s="206"/>
      <c r="EZ207" s="206"/>
      <c r="FA207" s="206"/>
      <c r="FB207" s="206"/>
      <c r="FC207" s="206"/>
      <c r="FD207" s="206"/>
      <c r="FE207" s="206"/>
      <c r="FF207" s="206"/>
      <c r="FG207" s="206"/>
      <c r="FH207" s="206"/>
      <c r="FI207" s="206"/>
      <c r="FJ207" s="206"/>
      <c r="FK207" s="206"/>
      <c r="FL207" s="206"/>
      <c r="FM207" s="206"/>
      <c r="FN207" s="206"/>
      <c r="FO207" s="206"/>
      <c r="FP207" s="206"/>
      <c r="FQ207" s="206"/>
      <c r="FR207" s="206"/>
      <c r="FS207" s="206"/>
      <c r="FT207" s="206"/>
      <c r="FU207" s="206"/>
      <c r="FV207" s="206"/>
      <c r="FW207" s="206"/>
      <c r="FX207" s="206"/>
      <c r="FY207" s="206"/>
      <c r="FZ207" s="206"/>
      <c r="GA207" s="206"/>
      <c r="GB207" s="206"/>
      <c r="GC207" s="206"/>
      <c r="GD207" s="206"/>
      <c r="GE207" s="206"/>
      <c r="GF207" s="206"/>
      <c r="GG207" s="206"/>
      <c r="GH207" s="206"/>
      <c r="GI207" s="206"/>
      <c r="GJ207" s="206"/>
    </row>
    <row r="208" spans="1:192" ht="45" x14ac:dyDescent="0.2">
      <c r="B208" s="272" t="s">
        <v>577</v>
      </c>
      <c r="C208" s="272" t="s">
        <v>578</v>
      </c>
      <c r="D208" s="272" t="s">
        <v>579</v>
      </c>
      <c r="E208" s="272" t="s">
        <v>576</v>
      </c>
      <c r="F208" s="276" t="s">
        <v>596</v>
      </c>
      <c r="G208" s="277">
        <f>'dod3'!E211</f>
        <v>0</v>
      </c>
      <c r="H208" s="275">
        <f>'dod3'!J211</f>
        <v>248000</v>
      </c>
      <c r="I208" s="277">
        <f t="shared" ref="I208:I209" si="16">G208+H208</f>
        <v>248000</v>
      </c>
      <c r="J208" s="206"/>
      <c r="K208" s="206"/>
      <c r="L208" s="206"/>
      <c r="M208" s="206"/>
      <c r="N208" s="206"/>
      <c r="O208" s="206"/>
      <c r="P208" s="206"/>
      <c r="Q208" s="206"/>
      <c r="R208" s="206"/>
      <c r="S208" s="206"/>
      <c r="T208" s="206"/>
      <c r="U208" s="206"/>
      <c r="V208" s="206"/>
      <c r="W208" s="206"/>
      <c r="X208" s="206"/>
      <c r="Y208" s="206"/>
      <c r="Z208" s="206"/>
      <c r="AA208" s="206"/>
      <c r="AB208" s="206"/>
      <c r="AC208" s="206"/>
      <c r="AD208" s="206"/>
      <c r="AE208" s="206"/>
      <c r="AF208" s="206"/>
      <c r="AG208" s="206"/>
      <c r="AH208" s="206"/>
      <c r="AI208" s="206"/>
      <c r="AJ208" s="206"/>
      <c r="AK208" s="206"/>
      <c r="AL208" s="206"/>
      <c r="AM208" s="206"/>
      <c r="AN208" s="206"/>
      <c r="AO208" s="206"/>
      <c r="AP208" s="206"/>
      <c r="AQ208" s="206"/>
      <c r="AR208" s="206"/>
      <c r="AS208" s="206"/>
      <c r="AT208" s="206"/>
      <c r="AU208" s="206"/>
      <c r="AV208" s="206"/>
      <c r="AW208" s="206"/>
      <c r="AX208" s="206"/>
      <c r="AY208" s="206"/>
      <c r="AZ208" s="206"/>
      <c r="BA208" s="206"/>
      <c r="BB208" s="206"/>
      <c r="BC208" s="206"/>
      <c r="BD208" s="206"/>
      <c r="BE208" s="206"/>
      <c r="BF208" s="206"/>
      <c r="BG208" s="206"/>
      <c r="BH208" s="206"/>
      <c r="BI208" s="206"/>
      <c r="BJ208" s="206"/>
      <c r="BK208" s="206"/>
      <c r="BL208" s="206"/>
      <c r="BM208" s="206"/>
      <c r="BN208" s="206"/>
      <c r="BO208" s="206"/>
      <c r="BP208" s="206"/>
      <c r="BQ208" s="206"/>
      <c r="BR208" s="206"/>
      <c r="BS208" s="206"/>
      <c r="BT208" s="206"/>
      <c r="BU208" s="206"/>
      <c r="BV208" s="206"/>
      <c r="BW208" s="206"/>
      <c r="BX208" s="206"/>
      <c r="BY208" s="206"/>
      <c r="BZ208" s="206"/>
      <c r="CA208" s="206"/>
      <c r="CB208" s="206"/>
      <c r="CC208" s="206"/>
      <c r="CD208" s="206"/>
      <c r="CE208" s="206"/>
      <c r="CF208" s="206"/>
      <c r="CG208" s="206"/>
      <c r="CH208" s="206"/>
      <c r="CI208" s="206"/>
      <c r="CJ208" s="206"/>
      <c r="CK208" s="206"/>
      <c r="CL208" s="206"/>
      <c r="CM208" s="206"/>
      <c r="CN208" s="206"/>
      <c r="CO208" s="206"/>
      <c r="CP208" s="206"/>
      <c r="CQ208" s="206"/>
      <c r="CR208" s="206"/>
      <c r="CS208" s="206"/>
      <c r="CT208" s="206"/>
      <c r="CU208" s="206"/>
      <c r="CV208" s="206"/>
      <c r="CW208" s="206"/>
      <c r="CX208" s="206"/>
      <c r="CY208" s="206"/>
      <c r="CZ208" s="206"/>
      <c r="DA208" s="206"/>
      <c r="DB208" s="206"/>
      <c r="DC208" s="206"/>
      <c r="DD208" s="206"/>
      <c r="DE208" s="206"/>
      <c r="DF208" s="206"/>
      <c r="DG208" s="206"/>
      <c r="DH208" s="206"/>
      <c r="DI208" s="206"/>
      <c r="DJ208" s="206"/>
      <c r="DK208" s="206"/>
      <c r="DL208" s="206"/>
      <c r="DM208" s="206"/>
      <c r="DN208" s="206"/>
      <c r="DO208" s="206"/>
      <c r="DP208" s="206"/>
      <c r="DQ208" s="206"/>
      <c r="DR208" s="206"/>
      <c r="DS208" s="206"/>
      <c r="DT208" s="206"/>
      <c r="DU208" s="206"/>
      <c r="DV208" s="206"/>
      <c r="DW208" s="206"/>
      <c r="DX208" s="206"/>
      <c r="DY208" s="206"/>
      <c r="DZ208" s="206"/>
      <c r="EA208" s="206"/>
      <c r="EB208" s="206"/>
      <c r="EC208" s="206"/>
      <c r="ED208" s="206"/>
      <c r="EE208" s="206"/>
      <c r="EF208" s="206"/>
      <c r="EG208" s="206"/>
      <c r="EH208" s="206"/>
      <c r="EI208" s="206"/>
      <c r="EJ208" s="206"/>
      <c r="EK208" s="206"/>
      <c r="EL208" s="206"/>
      <c r="EM208" s="206"/>
      <c r="EN208" s="206"/>
      <c r="EO208" s="206"/>
      <c r="EP208" s="206"/>
      <c r="EQ208" s="206"/>
      <c r="ER208" s="206"/>
      <c r="ES208" s="206"/>
      <c r="ET208" s="206"/>
      <c r="EU208" s="206"/>
      <c r="EV208" s="206"/>
      <c r="EW208" s="206"/>
      <c r="EX208" s="206"/>
      <c r="EY208" s="206"/>
      <c r="EZ208" s="206"/>
      <c r="FA208" s="206"/>
      <c r="FB208" s="206"/>
      <c r="FC208" s="206"/>
      <c r="FD208" s="206"/>
      <c r="FE208" s="206"/>
      <c r="FF208" s="206"/>
      <c r="FG208" s="206"/>
      <c r="FH208" s="206"/>
      <c r="FI208" s="206"/>
      <c r="FJ208" s="206"/>
      <c r="FK208" s="206"/>
      <c r="FL208" s="206"/>
      <c r="FM208" s="206"/>
      <c r="FN208" s="206"/>
      <c r="FO208" s="206"/>
      <c r="FP208" s="206"/>
      <c r="FQ208" s="206"/>
      <c r="FR208" s="206"/>
      <c r="FS208" s="206"/>
      <c r="FT208" s="206"/>
      <c r="FU208" s="206"/>
      <c r="FV208" s="206"/>
      <c r="FW208" s="206"/>
      <c r="FX208" s="206"/>
      <c r="FY208" s="206"/>
      <c r="FZ208" s="206"/>
      <c r="GA208" s="206"/>
      <c r="GB208" s="206"/>
      <c r="GC208" s="206"/>
      <c r="GD208" s="206"/>
      <c r="GE208" s="206"/>
      <c r="GF208" s="206"/>
      <c r="GG208" s="206"/>
      <c r="GH208" s="206"/>
      <c r="GI208" s="206"/>
      <c r="GJ208" s="206"/>
    </row>
    <row r="209" spans="1:16384" ht="45" x14ac:dyDescent="0.2">
      <c r="B209" s="272" t="s">
        <v>838</v>
      </c>
      <c r="C209" s="272" t="s">
        <v>839</v>
      </c>
      <c r="D209" s="272" t="s">
        <v>324</v>
      </c>
      <c r="E209" s="272" t="s">
        <v>840</v>
      </c>
      <c r="F209" s="276" t="s">
        <v>596</v>
      </c>
      <c r="G209" s="277">
        <f>'dod3'!E212</f>
        <v>0</v>
      </c>
      <c r="H209" s="275">
        <f>'dod3'!J212</f>
        <v>52000</v>
      </c>
      <c r="I209" s="277">
        <f t="shared" si="16"/>
        <v>52000</v>
      </c>
      <c r="J209" s="206"/>
      <c r="K209" s="206"/>
      <c r="L209" s="206"/>
      <c r="M209" s="206"/>
      <c r="N209" s="206"/>
      <c r="O209" s="206"/>
      <c r="P209" s="206"/>
      <c r="Q209" s="206"/>
      <c r="R209" s="206"/>
      <c r="S209" s="206"/>
      <c r="T209" s="206"/>
      <c r="U209" s="206"/>
      <c r="V209" s="206"/>
      <c r="W209" s="206"/>
      <c r="X209" s="206"/>
      <c r="Y209" s="206"/>
      <c r="Z209" s="206"/>
      <c r="AA209" s="206"/>
      <c r="AB209" s="206"/>
      <c r="AC209" s="206"/>
      <c r="AD209" s="206"/>
      <c r="AE209" s="206"/>
      <c r="AF209" s="206"/>
      <c r="AG209" s="206"/>
      <c r="AH209" s="206"/>
      <c r="AI209" s="206"/>
      <c r="AJ209" s="206"/>
      <c r="AK209" s="206"/>
      <c r="AL209" s="206"/>
      <c r="AM209" s="206"/>
      <c r="AN209" s="206"/>
      <c r="AO209" s="206"/>
      <c r="AP209" s="206"/>
      <c r="AQ209" s="206"/>
      <c r="AR209" s="206"/>
      <c r="AS209" s="206"/>
      <c r="AT209" s="206"/>
      <c r="AU209" s="206"/>
      <c r="AV209" s="206"/>
      <c r="AW209" s="206"/>
      <c r="AX209" s="206"/>
      <c r="AY209" s="206"/>
      <c r="AZ209" s="206"/>
      <c r="BA209" s="206"/>
      <c r="BB209" s="206"/>
      <c r="BC209" s="206"/>
      <c r="BD209" s="206"/>
      <c r="BE209" s="206"/>
      <c r="BF209" s="206"/>
      <c r="BG209" s="206"/>
      <c r="BH209" s="206"/>
      <c r="BI209" s="206"/>
      <c r="BJ209" s="206"/>
      <c r="BK209" s="206"/>
      <c r="BL209" s="206"/>
      <c r="BM209" s="206"/>
      <c r="BN209" s="206"/>
      <c r="BO209" s="206"/>
      <c r="BP209" s="206"/>
      <c r="BQ209" s="206"/>
      <c r="BR209" s="206"/>
      <c r="BS209" s="206"/>
      <c r="BT209" s="206"/>
      <c r="BU209" s="206"/>
      <c r="BV209" s="206"/>
      <c r="BW209" s="206"/>
      <c r="BX209" s="206"/>
      <c r="BY209" s="206"/>
      <c r="BZ209" s="206"/>
      <c r="CA209" s="206"/>
      <c r="CB209" s="206"/>
      <c r="CC209" s="206"/>
      <c r="CD209" s="206"/>
      <c r="CE209" s="206"/>
      <c r="CF209" s="206"/>
      <c r="CG209" s="206"/>
      <c r="CH209" s="206"/>
      <c r="CI209" s="206"/>
      <c r="CJ209" s="206"/>
      <c r="CK209" s="206"/>
      <c r="CL209" s="206"/>
      <c r="CM209" s="206"/>
      <c r="CN209" s="206"/>
      <c r="CO209" s="206"/>
      <c r="CP209" s="206"/>
      <c r="CQ209" s="206"/>
      <c r="CR209" s="206"/>
      <c r="CS209" s="206"/>
      <c r="CT209" s="206"/>
      <c r="CU209" s="206"/>
      <c r="CV209" s="206"/>
      <c r="CW209" s="206"/>
      <c r="CX209" s="206"/>
      <c r="CY209" s="206"/>
      <c r="CZ209" s="206"/>
      <c r="DA209" s="206"/>
      <c r="DB209" s="206"/>
      <c r="DC209" s="206"/>
      <c r="DD209" s="206"/>
      <c r="DE209" s="206"/>
      <c r="DF209" s="206"/>
      <c r="DG209" s="206"/>
      <c r="DH209" s="206"/>
      <c r="DI209" s="206"/>
      <c r="DJ209" s="206"/>
      <c r="DK209" s="206"/>
      <c r="DL209" s="206"/>
      <c r="DM209" s="206"/>
      <c r="DN209" s="206"/>
      <c r="DO209" s="206"/>
      <c r="DP209" s="206"/>
      <c r="DQ209" s="206"/>
      <c r="DR209" s="206"/>
      <c r="DS209" s="206"/>
      <c r="DT209" s="206"/>
      <c r="DU209" s="206"/>
      <c r="DV209" s="206"/>
      <c r="DW209" s="206"/>
      <c r="DX209" s="206"/>
      <c r="DY209" s="206"/>
      <c r="DZ209" s="206"/>
      <c r="EA209" s="206"/>
      <c r="EB209" s="206"/>
      <c r="EC209" s="206"/>
      <c r="ED209" s="206"/>
      <c r="EE209" s="206"/>
      <c r="EF209" s="206"/>
      <c r="EG209" s="206"/>
      <c r="EH209" s="206"/>
      <c r="EI209" s="206"/>
      <c r="EJ209" s="206"/>
      <c r="EK209" s="206"/>
      <c r="EL209" s="206"/>
      <c r="EM209" s="206"/>
      <c r="EN209" s="206"/>
      <c r="EO209" s="206"/>
      <c r="EP209" s="206"/>
      <c r="EQ209" s="206"/>
      <c r="ER209" s="206"/>
      <c r="ES209" s="206"/>
      <c r="ET209" s="206"/>
      <c r="EU209" s="206"/>
      <c r="EV209" s="206"/>
      <c r="EW209" s="206"/>
      <c r="EX209" s="206"/>
      <c r="EY209" s="206"/>
      <c r="EZ209" s="206"/>
      <c r="FA209" s="206"/>
      <c r="FB209" s="206"/>
      <c r="FC209" s="206"/>
      <c r="FD209" s="206"/>
      <c r="FE209" s="206"/>
      <c r="FF209" s="206"/>
      <c r="FG209" s="206"/>
      <c r="FH209" s="206"/>
      <c r="FI209" s="206"/>
      <c r="FJ209" s="206"/>
      <c r="FK209" s="206"/>
      <c r="FL209" s="206"/>
      <c r="FM209" s="206"/>
      <c r="FN209" s="206"/>
      <c r="FO209" s="206"/>
      <c r="FP209" s="206"/>
      <c r="FQ209" s="206"/>
      <c r="FR209" s="206"/>
      <c r="FS209" s="206"/>
      <c r="FT209" s="206"/>
      <c r="FU209" s="206"/>
      <c r="FV209" s="206"/>
      <c r="FW209" s="206"/>
      <c r="FX209" s="206"/>
      <c r="FY209" s="206"/>
      <c r="FZ209" s="206"/>
      <c r="GA209" s="206"/>
      <c r="GB209" s="206"/>
      <c r="GC209" s="206"/>
      <c r="GD209" s="206"/>
      <c r="GE209" s="206"/>
      <c r="GF209" s="206"/>
      <c r="GG209" s="206"/>
      <c r="GH209" s="206"/>
      <c r="GI209" s="206"/>
      <c r="GJ209" s="206"/>
    </row>
    <row r="210" spans="1:16384" ht="30" x14ac:dyDescent="0.2">
      <c r="B210" s="484" t="s">
        <v>322</v>
      </c>
      <c r="C210" s="484"/>
      <c r="D210" s="484"/>
      <c r="E210" s="484" t="s">
        <v>74</v>
      </c>
      <c r="F210" s="562"/>
      <c r="G210" s="563">
        <f t="shared" ref="G210:I210" si="17">G211</f>
        <v>0</v>
      </c>
      <c r="H210" s="563">
        <f t="shared" si="17"/>
        <v>81000</v>
      </c>
      <c r="I210" s="564">
        <f t="shared" si="17"/>
        <v>81000</v>
      </c>
      <c r="J210" s="206"/>
      <c r="K210" s="206"/>
      <c r="L210" s="206"/>
      <c r="M210" s="206"/>
      <c r="N210" s="206"/>
      <c r="O210" s="206"/>
      <c r="P210" s="206"/>
      <c r="Q210" s="206"/>
      <c r="R210" s="206"/>
      <c r="S210" s="206"/>
      <c r="T210" s="206"/>
      <c r="U210" s="206"/>
      <c r="V210" s="206"/>
      <c r="W210" s="206"/>
      <c r="X210" s="206"/>
      <c r="Y210" s="206"/>
      <c r="Z210" s="206"/>
      <c r="AA210" s="206"/>
      <c r="AB210" s="206"/>
      <c r="AC210" s="206"/>
      <c r="AD210" s="206"/>
      <c r="AE210" s="206"/>
      <c r="AF210" s="206"/>
      <c r="AG210" s="206"/>
      <c r="AH210" s="206"/>
      <c r="AI210" s="206"/>
      <c r="AJ210" s="206"/>
      <c r="AK210" s="206"/>
      <c r="AL210" s="206"/>
      <c r="AM210" s="206"/>
      <c r="AN210" s="206"/>
      <c r="AO210" s="206"/>
      <c r="AP210" s="206"/>
      <c r="AQ210" s="206"/>
      <c r="AR210" s="206"/>
      <c r="AS210" s="206"/>
      <c r="AT210" s="206"/>
      <c r="AU210" s="206"/>
      <c r="AV210" s="206"/>
      <c r="AW210" s="206"/>
      <c r="AX210" s="206"/>
      <c r="AY210" s="206"/>
      <c r="AZ210" s="206"/>
      <c r="BA210" s="206"/>
      <c r="BB210" s="206"/>
      <c r="BC210" s="206"/>
      <c r="BD210" s="206"/>
      <c r="BE210" s="206"/>
      <c r="BF210" s="206"/>
      <c r="BG210" s="206"/>
      <c r="BH210" s="206"/>
      <c r="BI210" s="206"/>
      <c r="BJ210" s="206"/>
      <c r="BK210" s="206"/>
      <c r="BL210" s="206"/>
      <c r="BM210" s="206"/>
      <c r="BN210" s="206"/>
      <c r="BO210" s="206"/>
      <c r="BP210" s="206"/>
      <c r="BQ210" s="206"/>
      <c r="BR210" s="206"/>
      <c r="BS210" s="206"/>
      <c r="BT210" s="206"/>
      <c r="BU210" s="206"/>
      <c r="BV210" s="206"/>
      <c r="BW210" s="206"/>
      <c r="BX210" s="206"/>
      <c r="BY210" s="206"/>
      <c r="BZ210" s="206"/>
      <c r="CA210" s="206"/>
      <c r="CB210" s="206"/>
      <c r="CC210" s="206"/>
      <c r="CD210" s="206"/>
      <c r="CE210" s="206"/>
      <c r="CF210" s="206"/>
      <c r="CG210" s="206"/>
      <c r="CH210" s="206"/>
      <c r="CI210" s="206"/>
      <c r="CJ210" s="206"/>
      <c r="CK210" s="206"/>
      <c r="CL210" s="206"/>
      <c r="CM210" s="206"/>
      <c r="CN210" s="206"/>
      <c r="CO210" s="206"/>
      <c r="CP210" s="206"/>
      <c r="CQ210" s="206"/>
      <c r="CR210" s="206"/>
      <c r="CS210" s="206"/>
      <c r="CT210" s="206"/>
      <c r="CU210" s="206"/>
      <c r="CV210" s="206"/>
      <c r="CW210" s="206"/>
      <c r="CX210" s="206"/>
      <c r="CY210" s="206"/>
      <c r="CZ210" s="206"/>
      <c r="DA210" s="206"/>
      <c r="DB210" s="206"/>
      <c r="DC210" s="206"/>
      <c r="DD210" s="206"/>
      <c r="DE210" s="206"/>
      <c r="DF210" s="206"/>
      <c r="DG210" s="206"/>
      <c r="DH210" s="206"/>
      <c r="DI210" s="206"/>
      <c r="DJ210" s="206"/>
      <c r="DK210" s="206"/>
      <c r="DL210" s="206"/>
      <c r="DM210" s="206"/>
      <c r="DN210" s="206"/>
      <c r="DO210" s="206"/>
      <c r="DP210" s="206"/>
      <c r="DQ210" s="206"/>
      <c r="DR210" s="206"/>
      <c r="DS210" s="206"/>
      <c r="DT210" s="206"/>
      <c r="DU210" s="206"/>
      <c r="DV210" s="206"/>
      <c r="DW210" s="206"/>
      <c r="DX210" s="206"/>
      <c r="DY210" s="206"/>
      <c r="DZ210" s="206"/>
      <c r="EA210" s="206"/>
      <c r="EB210" s="206"/>
      <c r="EC210" s="206"/>
      <c r="ED210" s="206"/>
      <c r="EE210" s="206"/>
      <c r="EF210" s="206"/>
      <c r="EG210" s="206"/>
      <c r="EH210" s="206"/>
      <c r="EI210" s="206"/>
      <c r="EJ210" s="206"/>
      <c r="EK210" s="206"/>
      <c r="EL210" s="206"/>
      <c r="EM210" s="206"/>
      <c r="EN210" s="206"/>
      <c r="EO210" s="206"/>
      <c r="EP210" s="206"/>
      <c r="EQ210" s="206"/>
      <c r="ER210" s="206"/>
      <c r="ES210" s="206"/>
      <c r="ET210" s="206"/>
      <c r="EU210" s="206"/>
      <c r="EV210" s="206"/>
      <c r="EW210" s="206"/>
      <c r="EX210" s="206"/>
      <c r="EY210" s="206"/>
      <c r="EZ210" s="206"/>
      <c r="FA210" s="206"/>
      <c r="FB210" s="206"/>
      <c r="FC210" s="206"/>
      <c r="FD210" s="206"/>
      <c r="FE210" s="206"/>
      <c r="FF210" s="206"/>
      <c r="FG210" s="206"/>
      <c r="FH210" s="206"/>
      <c r="FI210" s="206"/>
      <c r="FJ210" s="206"/>
      <c r="FK210" s="206"/>
      <c r="FL210" s="206"/>
      <c r="FM210" s="206"/>
      <c r="FN210" s="206"/>
      <c r="FO210" s="206"/>
      <c r="FP210" s="206"/>
      <c r="FQ210" s="206"/>
      <c r="FR210" s="206"/>
      <c r="FS210" s="206"/>
      <c r="FT210" s="206"/>
      <c r="FU210" s="206"/>
      <c r="FV210" s="206"/>
      <c r="FW210" s="206"/>
      <c r="FX210" s="206"/>
      <c r="FY210" s="206"/>
      <c r="FZ210" s="206"/>
      <c r="GA210" s="206"/>
      <c r="GB210" s="206"/>
      <c r="GC210" s="206"/>
      <c r="GD210" s="206"/>
      <c r="GE210" s="206"/>
      <c r="GF210" s="206"/>
      <c r="GG210" s="206"/>
      <c r="GH210" s="206"/>
      <c r="GI210" s="206"/>
      <c r="GJ210" s="206"/>
    </row>
    <row r="211" spans="1:16384" ht="28.5" x14ac:dyDescent="0.2">
      <c r="B211" s="488" t="s">
        <v>323</v>
      </c>
      <c r="C211" s="488"/>
      <c r="D211" s="488"/>
      <c r="E211" s="488" t="s">
        <v>98</v>
      </c>
      <c r="F211" s="503"/>
      <c r="G211" s="502">
        <f>G212</f>
        <v>0</v>
      </c>
      <c r="H211" s="502">
        <f>H212</f>
        <v>81000</v>
      </c>
      <c r="I211" s="497">
        <f>G211+H211</f>
        <v>81000</v>
      </c>
      <c r="J211" s="458" t="b">
        <f>I211='dod3'!J214</f>
        <v>1</v>
      </c>
      <c r="K211" s="219" t="b">
        <f>G211='dod3'!F214-'dod3'!F215-'dod3'!F216-'dod3'!F217-'dod3'!F218</f>
        <v>0</v>
      </c>
      <c r="L211" s="219" t="b">
        <f>H211='dod3'!J214-'dod3'!J216-'dod3'!J217-'dod3'!J218</f>
        <v>1</v>
      </c>
      <c r="N211" s="206"/>
      <c r="O211" s="206"/>
      <c r="P211" s="206"/>
      <c r="Q211" s="206"/>
      <c r="R211" s="206"/>
      <c r="S211" s="206"/>
      <c r="T211" s="206"/>
      <c r="U211" s="206"/>
      <c r="V211" s="206"/>
      <c r="W211" s="206"/>
      <c r="X211" s="206"/>
      <c r="Y211" s="206"/>
      <c r="Z211" s="206"/>
      <c r="AA211" s="206"/>
      <c r="AB211" s="206"/>
      <c r="AC211" s="206"/>
      <c r="AD211" s="206"/>
      <c r="AE211" s="206"/>
      <c r="AF211" s="206"/>
      <c r="AG211" s="206"/>
      <c r="AH211" s="206"/>
      <c r="AI211" s="206"/>
      <c r="AJ211" s="206"/>
      <c r="AK211" s="206"/>
      <c r="AL211" s="206"/>
      <c r="AM211" s="206"/>
      <c r="AN211" s="206"/>
      <c r="AO211" s="206"/>
      <c r="AP211" s="206"/>
      <c r="AQ211" s="206"/>
      <c r="AR211" s="206"/>
      <c r="AS211" s="206"/>
      <c r="AT211" s="206"/>
      <c r="AU211" s="206"/>
      <c r="AV211" s="206"/>
      <c r="AW211" s="206"/>
      <c r="AX211" s="206"/>
      <c r="AY211" s="206"/>
      <c r="AZ211" s="206"/>
      <c r="BA211" s="206"/>
      <c r="BB211" s="206"/>
      <c r="BC211" s="206"/>
      <c r="BD211" s="206"/>
      <c r="BE211" s="206"/>
      <c r="BF211" s="206"/>
      <c r="BG211" s="206"/>
      <c r="BH211" s="206"/>
      <c r="BI211" s="206"/>
      <c r="BJ211" s="206"/>
      <c r="BK211" s="206"/>
      <c r="BL211" s="206"/>
      <c r="BM211" s="206"/>
      <c r="BN211" s="206"/>
      <c r="BO211" s="206"/>
      <c r="BP211" s="206"/>
      <c r="BQ211" s="206"/>
      <c r="BR211" s="206"/>
      <c r="BS211" s="206"/>
      <c r="BT211" s="206"/>
      <c r="BU211" s="206"/>
      <c r="BV211" s="206"/>
      <c r="BW211" s="206"/>
      <c r="BX211" s="206"/>
      <c r="BY211" s="206"/>
      <c r="BZ211" s="206"/>
      <c r="CA211" s="206"/>
      <c r="CB211" s="206"/>
      <c r="CC211" s="206"/>
      <c r="CD211" s="206"/>
      <c r="CE211" s="206"/>
      <c r="CF211" s="206"/>
      <c r="CG211" s="206"/>
      <c r="CH211" s="206"/>
      <c r="CI211" s="206"/>
      <c r="CJ211" s="206"/>
      <c r="CK211" s="206"/>
      <c r="CL211" s="206"/>
      <c r="CM211" s="206"/>
      <c r="CN211" s="206"/>
      <c r="CO211" s="206"/>
      <c r="CP211" s="206"/>
      <c r="CQ211" s="206"/>
      <c r="CR211" s="206"/>
      <c r="CS211" s="206"/>
      <c r="CT211" s="206"/>
      <c r="CU211" s="206"/>
      <c r="CV211" s="206"/>
      <c r="CW211" s="206"/>
      <c r="CX211" s="206"/>
      <c r="CY211" s="206"/>
      <c r="CZ211" s="206"/>
      <c r="DA211" s="206"/>
      <c r="DB211" s="206"/>
      <c r="DC211" s="206"/>
      <c r="DD211" s="206"/>
      <c r="DE211" s="206"/>
      <c r="DF211" s="206"/>
      <c r="DG211" s="206"/>
      <c r="DH211" s="206"/>
      <c r="DI211" s="206"/>
      <c r="DJ211" s="206"/>
      <c r="DK211" s="206"/>
      <c r="DL211" s="206"/>
      <c r="DM211" s="206"/>
      <c r="DN211" s="206"/>
      <c r="DO211" s="206"/>
      <c r="DP211" s="206"/>
      <c r="DQ211" s="206"/>
      <c r="DR211" s="206"/>
      <c r="DS211" s="206"/>
      <c r="DT211" s="206"/>
      <c r="DU211" s="206"/>
      <c r="DV211" s="206"/>
      <c r="DW211" s="206"/>
      <c r="DX211" s="206"/>
      <c r="DY211" s="206"/>
      <c r="DZ211" s="206"/>
      <c r="EA211" s="206"/>
      <c r="EB211" s="206"/>
      <c r="EC211" s="206"/>
      <c r="ED211" s="206"/>
      <c r="EE211" s="206"/>
      <c r="EF211" s="206"/>
      <c r="EG211" s="206"/>
      <c r="EH211" s="206"/>
      <c r="EI211" s="206"/>
      <c r="EJ211" s="206"/>
      <c r="EK211" s="206"/>
      <c r="EL211" s="206"/>
      <c r="EM211" s="206"/>
      <c r="EN211" s="206"/>
      <c r="EO211" s="206"/>
      <c r="EP211" s="206"/>
      <c r="EQ211" s="206"/>
      <c r="ER211" s="206"/>
      <c r="ES211" s="206"/>
      <c r="ET211" s="206"/>
      <c r="EU211" s="206"/>
      <c r="EV211" s="206"/>
      <c r="EW211" s="206"/>
      <c r="EX211" s="206"/>
      <c r="EY211" s="206"/>
      <c r="EZ211" s="206"/>
      <c r="FA211" s="206"/>
      <c r="FB211" s="206"/>
      <c r="FC211" s="206"/>
      <c r="FD211" s="206"/>
      <c r="FE211" s="206"/>
      <c r="FF211" s="206"/>
      <c r="FG211" s="206"/>
      <c r="FH211" s="206"/>
      <c r="FI211" s="206"/>
      <c r="FJ211" s="206"/>
      <c r="FK211" s="206"/>
      <c r="FL211" s="206"/>
      <c r="FM211" s="206"/>
      <c r="FN211" s="206"/>
      <c r="FO211" s="206"/>
      <c r="FP211" s="206"/>
      <c r="FQ211" s="206"/>
      <c r="FR211" s="206"/>
      <c r="FS211" s="206"/>
      <c r="FT211" s="206"/>
      <c r="FU211" s="206"/>
      <c r="FV211" s="206"/>
      <c r="FW211" s="206"/>
      <c r="FX211" s="206"/>
      <c r="FY211" s="206"/>
      <c r="FZ211" s="206"/>
      <c r="GA211" s="206"/>
      <c r="GB211" s="206"/>
      <c r="GC211" s="206"/>
      <c r="GD211" s="206"/>
      <c r="GE211" s="206"/>
      <c r="GF211" s="206"/>
      <c r="GG211" s="206"/>
      <c r="GH211" s="206"/>
      <c r="GI211" s="206"/>
      <c r="GJ211" s="206"/>
    </row>
    <row r="212" spans="1:16384" ht="45" x14ac:dyDescent="0.2">
      <c r="B212" s="453" t="s">
        <v>1031</v>
      </c>
      <c r="C212" s="453" t="s">
        <v>433</v>
      </c>
      <c r="D212" s="453" t="s">
        <v>430</v>
      </c>
      <c r="E212" s="453" t="s">
        <v>431</v>
      </c>
      <c r="F212" s="276" t="s">
        <v>13</v>
      </c>
      <c r="G212" s="454"/>
      <c r="H212" s="454">
        <f>79000+2000</f>
        <v>81000</v>
      </c>
      <c r="I212" s="277">
        <f>G212+H212</f>
        <v>81000</v>
      </c>
      <c r="J212" s="206"/>
      <c r="K212" s="206"/>
      <c r="L212" s="206"/>
      <c r="M212" s="206"/>
      <c r="N212" s="206"/>
      <c r="O212" s="206"/>
      <c r="P212" s="206"/>
      <c r="Q212" s="206"/>
      <c r="R212" s="206"/>
      <c r="S212" s="206"/>
      <c r="T212" s="206"/>
      <c r="U212" s="206"/>
      <c r="V212" s="206"/>
      <c r="W212" s="206"/>
      <c r="X212" s="206"/>
      <c r="Y212" s="206"/>
      <c r="Z212" s="206"/>
      <c r="AA212" s="206"/>
      <c r="AB212" s="206"/>
      <c r="AC212" s="206"/>
      <c r="AD212" s="206"/>
      <c r="AE212" s="206"/>
      <c r="AF212" s="206"/>
      <c r="AG212" s="206"/>
      <c r="AH212" s="206"/>
      <c r="AI212" s="206"/>
      <c r="AJ212" s="206"/>
      <c r="AK212" s="206"/>
      <c r="AL212" s="206"/>
      <c r="AM212" s="206"/>
      <c r="AN212" s="206"/>
      <c r="AO212" s="206"/>
      <c r="AP212" s="206"/>
      <c r="AQ212" s="206"/>
      <c r="AR212" s="206"/>
      <c r="AS212" s="206"/>
      <c r="AT212" s="206"/>
      <c r="AU212" s="206"/>
      <c r="AV212" s="206"/>
      <c r="AW212" s="206"/>
      <c r="AX212" s="206"/>
      <c r="AY212" s="206"/>
      <c r="AZ212" s="206"/>
      <c r="BA212" s="206"/>
      <c r="BB212" s="206"/>
      <c r="BC212" s="206"/>
      <c r="BD212" s="206"/>
      <c r="BE212" s="206"/>
      <c r="BF212" s="206"/>
      <c r="BG212" s="206"/>
      <c r="BH212" s="206"/>
      <c r="BI212" s="206"/>
      <c r="BJ212" s="206"/>
      <c r="BK212" s="206"/>
      <c r="BL212" s="206"/>
      <c r="BM212" s="206"/>
      <c r="BN212" s="206"/>
      <c r="BO212" s="206"/>
      <c r="BP212" s="206"/>
      <c r="BQ212" s="206"/>
      <c r="BR212" s="206"/>
      <c r="BS212" s="206"/>
      <c r="BT212" s="206"/>
      <c r="BU212" s="206"/>
      <c r="BV212" s="206"/>
      <c r="BW212" s="206"/>
      <c r="BX212" s="206"/>
      <c r="BY212" s="206"/>
      <c r="BZ212" s="206"/>
      <c r="CA212" s="206"/>
      <c r="CB212" s="206"/>
      <c r="CC212" s="206"/>
      <c r="CD212" s="206"/>
      <c r="CE212" s="206"/>
      <c r="CF212" s="206"/>
      <c r="CG212" s="206"/>
      <c r="CH212" s="206"/>
      <c r="CI212" s="206"/>
      <c r="CJ212" s="206"/>
      <c r="CK212" s="206"/>
      <c r="CL212" s="206"/>
      <c r="CM212" s="206"/>
      <c r="CN212" s="206"/>
      <c r="CO212" s="206"/>
      <c r="CP212" s="206"/>
      <c r="CQ212" s="206"/>
      <c r="CR212" s="206"/>
      <c r="CS212" s="206"/>
      <c r="CT212" s="206"/>
      <c r="CU212" s="206"/>
      <c r="CV212" s="206"/>
      <c r="CW212" s="206"/>
      <c r="CX212" s="206"/>
      <c r="CY212" s="206"/>
      <c r="CZ212" s="206"/>
      <c r="DA212" s="206"/>
      <c r="DB212" s="206"/>
      <c r="DC212" s="206"/>
      <c r="DD212" s="206"/>
      <c r="DE212" s="206"/>
      <c r="DF212" s="206"/>
      <c r="DG212" s="206"/>
      <c r="DH212" s="206"/>
      <c r="DI212" s="206"/>
      <c r="DJ212" s="206"/>
      <c r="DK212" s="206"/>
      <c r="DL212" s="206"/>
      <c r="DM212" s="206"/>
      <c r="DN212" s="206"/>
      <c r="DO212" s="206"/>
      <c r="DP212" s="206"/>
      <c r="DQ212" s="206"/>
      <c r="DR212" s="206"/>
      <c r="DS212" s="206"/>
      <c r="DT212" s="206"/>
      <c r="DU212" s="206"/>
      <c r="DV212" s="206"/>
      <c r="DW212" s="206"/>
      <c r="DX212" s="206"/>
      <c r="DY212" s="206"/>
      <c r="DZ212" s="206"/>
      <c r="EA212" s="206"/>
      <c r="EB212" s="206"/>
      <c r="EC212" s="206"/>
      <c r="ED212" s="206"/>
      <c r="EE212" s="206"/>
      <c r="EF212" s="206"/>
      <c r="EG212" s="206"/>
      <c r="EH212" s="206"/>
      <c r="EI212" s="206"/>
      <c r="EJ212" s="206"/>
      <c r="EK212" s="206"/>
      <c r="EL212" s="206"/>
      <c r="EM212" s="206"/>
      <c r="EN212" s="206"/>
      <c r="EO212" s="206"/>
      <c r="EP212" s="206"/>
      <c r="EQ212" s="206"/>
      <c r="ER212" s="206"/>
      <c r="ES212" s="206"/>
      <c r="ET212" s="206"/>
      <c r="EU212" s="206"/>
      <c r="EV212" s="206"/>
      <c r="EW212" s="206"/>
      <c r="EX212" s="206"/>
      <c r="EY212" s="206"/>
      <c r="EZ212" s="206"/>
      <c r="FA212" s="206"/>
      <c r="FB212" s="206"/>
      <c r="FC212" s="206"/>
      <c r="FD212" s="206"/>
      <c r="FE212" s="206"/>
      <c r="FF212" s="206"/>
      <c r="FG212" s="206"/>
      <c r="FH212" s="206"/>
      <c r="FI212" s="206"/>
      <c r="FJ212" s="206"/>
      <c r="FK212" s="206"/>
      <c r="FL212" s="206"/>
      <c r="FM212" s="206"/>
      <c r="FN212" s="206"/>
      <c r="FO212" s="206"/>
      <c r="FP212" s="206"/>
      <c r="FQ212" s="206"/>
      <c r="FR212" s="206"/>
      <c r="FS212" s="206"/>
      <c r="FT212" s="206"/>
      <c r="FU212" s="206"/>
      <c r="FV212" s="206"/>
      <c r="FW212" s="206"/>
      <c r="FX212" s="206"/>
      <c r="FY212" s="206"/>
      <c r="FZ212" s="206"/>
      <c r="GA212" s="206"/>
      <c r="GB212" s="206"/>
      <c r="GC212" s="206"/>
      <c r="GD212" s="206"/>
      <c r="GE212" s="206"/>
      <c r="GF212" s="206"/>
      <c r="GG212" s="206"/>
      <c r="GH212" s="206"/>
      <c r="GI212" s="206"/>
      <c r="GJ212" s="206"/>
    </row>
    <row r="213" spans="1:16384" ht="26.25" customHeight="1" x14ac:dyDescent="0.2">
      <c r="A213" s="29"/>
      <c r="B213" s="234"/>
      <c r="C213" s="234"/>
      <c r="D213" s="235"/>
      <c r="E213" s="236" t="s">
        <v>60</v>
      </c>
      <c r="F213" s="247"/>
      <c r="G213" s="239">
        <f>G5+G24+G126+G43+G61+G111+G152+G188+G205+G197+G184+G177+G210</f>
        <v>2568234862.8699999</v>
      </c>
      <c r="H213" s="239">
        <f>H5+H24+H126+H43+H61+H111+H152+H177+H184+H205+H197+H188+H210</f>
        <v>582328487.19999993</v>
      </c>
      <c r="I213" s="248">
        <f>G213+H213</f>
        <v>3150563350.0699997</v>
      </c>
      <c r="J213" s="464" t="b">
        <f>I213=I210+I205+I197+I188+I184+I177+I152+I126+I111+I61+I43+I24+I5</f>
        <v>1</v>
      </c>
      <c r="K213" s="206"/>
      <c r="L213" s="206"/>
      <c r="M213" s="206"/>
      <c r="N213" s="206"/>
      <c r="O213" s="206"/>
      <c r="P213" s="206"/>
      <c r="Q213" s="206"/>
      <c r="R213" s="206"/>
      <c r="S213" s="206"/>
      <c r="T213" s="206"/>
      <c r="U213" s="206"/>
      <c r="V213" s="206"/>
      <c r="W213" s="206"/>
      <c r="X213" s="206"/>
      <c r="Y213" s="206"/>
      <c r="Z213" s="206"/>
      <c r="AA213" s="206"/>
      <c r="AB213" s="206"/>
      <c r="AC213" s="206"/>
      <c r="AD213" s="206"/>
      <c r="AE213" s="206"/>
      <c r="AF213" s="206"/>
      <c r="AG213" s="206"/>
      <c r="AH213" s="206"/>
      <c r="AI213" s="206"/>
      <c r="AJ213" s="206"/>
      <c r="AK213" s="206"/>
      <c r="AL213" s="206"/>
      <c r="AM213" s="206"/>
      <c r="AN213" s="206"/>
      <c r="AO213" s="206"/>
      <c r="AP213" s="206"/>
      <c r="AQ213" s="206"/>
      <c r="AR213" s="206"/>
      <c r="AS213" s="206"/>
      <c r="AT213" s="206"/>
      <c r="AU213" s="206"/>
      <c r="AV213" s="206"/>
      <c r="AW213" s="206"/>
      <c r="AX213" s="206"/>
      <c r="AY213" s="206"/>
      <c r="AZ213" s="206"/>
      <c r="BA213" s="206"/>
      <c r="BB213" s="206"/>
      <c r="BC213" s="206"/>
      <c r="BD213" s="206"/>
      <c r="BE213" s="206"/>
      <c r="BF213" s="206"/>
      <c r="BG213" s="206"/>
      <c r="BH213" s="206"/>
      <c r="BI213" s="206"/>
      <c r="BJ213" s="206"/>
      <c r="BK213" s="206"/>
      <c r="BL213" s="206"/>
      <c r="BM213" s="206"/>
      <c r="BN213" s="206"/>
      <c r="BO213" s="206"/>
      <c r="BP213" s="206"/>
      <c r="BQ213" s="206"/>
      <c r="BR213" s="206"/>
      <c r="BS213" s="206"/>
      <c r="BT213" s="206"/>
      <c r="BU213" s="206"/>
      <c r="BV213" s="206"/>
      <c r="BW213" s="206"/>
      <c r="BX213" s="206"/>
      <c r="BY213" s="206"/>
      <c r="BZ213" s="206"/>
      <c r="CA213" s="206"/>
      <c r="CB213" s="206"/>
      <c r="CC213" s="206"/>
      <c r="CD213" s="206"/>
      <c r="CE213" s="206"/>
      <c r="CF213" s="206"/>
      <c r="CG213" s="206"/>
      <c r="CH213" s="206"/>
      <c r="CI213" s="206"/>
      <c r="CJ213" s="206"/>
      <c r="CK213" s="206"/>
      <c r="CL213" s="206"/>
      <c r="CM213" s="206"/>
      <c r="CN213" s="206"/>
      <c r="CO213" s="206"/>
      <c r="CP213" s="206"/>
      <c r="CQ213" s="206"/>
      <c r="CR213" s="206"/>
      <c r="CS213" s="206"/>
      <c r="CT213" s="206"/>
      <c r="CU213" s="206"/>
      <c r="CV213" s="206"/>
      <c r="CW213" s="206"/>
      <c r="CX213" s="206"/>
      <c r="CY213" s="206"/>
      <c r="CZ213" s="206"/>
      <c r="DA213" s="206"/>
      <c r="DB213" s="206"/>
      <c r="DC213" s="206"/>
      <c r="DD213" s="206"/>
      <c r="DE213" s="206"/>
      <c r="DF213" s="206"/>
      <c r="DG213" s="206"/>
      <c r="DH213" s="206"/>
      <c r="DI213" s="206"/>
      <c r="DJ213" s="206"/>
      <c r="DK213" s="206"/>
      <c r="DL213" s="206"/>
      <c r="DM213" s="206"/>
      <c r="DN213" s="206"/>
      <c r="DO213" s="206"/>
      <c r="DP213" s="206"/>
      <c r="DQ213" s="206"/>
      <c r="DR213" s="206"/>
      <c r="DS213" s="206"/>
      <c r="DT213" s="206"/>
      <c r="DU213" s="206"/>
      <c r="DV213" s="206"/>
      <c r="DW213" s="206"/>
      <c r="DX213" s="206"/>
      <c r="DY213" s="206"/>
      <c r="DZ213" s="206"/>
      <c r="EA213" s="206"/>
      <c r="EB213" s="206"/>
      <c r="EC213" s="206"/>
      <c r="ED213" s="206"/>
      <c r="EE213" s="206"/>
      <c r="EF213" s="206"/>
      <c r="EG213" s="206"/>
      <c r="EH213" s="206"/>
      <c r="EI213" s="206"/>
      <c r="EJ213" s="206"/>
      <c r="EK213" s="206"/>
      <c r="EL213" s="206"/>
      <c r="EM213" s="206"/>
      <c r="EN213" s="206"/>
      <c r="EO213" s="206"/>
      <c r="EP213" s="206"/>
      <c r="EQ213" s="206"/>
      <c r="ER213" s="206"/>
      <c r="ES213" s="206"/>
      <c r="ET213" s="206"/>
      <c r="EU213" s="206"/>
      <c r="EV213" s="206"/>
      <c r="EW213" s="206"/>
      <c r="EX213" s="206"/>
      <c r="EY213" s="206"/>
      <c r="EZ213" s="206"/>
      <c r="FA213" s="206"/>
      <c r="FB213" s="206"/>
      <c r="FC213" s="206"/>
      <c r="FD213" s="206"/>
      <c r="FE213" s="206"/>
      <c r="FF213" s="206"/>
      <c r="FG213" s="206"/>
      <c r="FH213" s="206"/>
      <c r="FI213" s="206"/>
      <c r="FJ213" s="206"/>
      <c r="FK213" s="206"/>
      <c r="FL213" s="206"/>
      <c r="FM213" s="206"/>
      <c r="FN213" s="206"/>
      <c r="FO213" s="206"/>
      <c r="FP213" s="206"/>
      <c r="FQ213" s="206"/>
      <c r="FR213" s="206"/>
      <c r="FS213" s="206"/>
      <c r="FT213" s="206"/>
      <c r="FU213" s="206"/>
      <c r="FV213" s="206"/>
      <c r="FW213" s="206"/>
      <c r="FX213" s="206"/>
      <c r="FY213" s="206"/>
      <c r="FZ213" s="206"/>
      <c r="GA213" s="206"/>
      <c r="GB213" s="206"/>
      <c r="GC213" s="206"/>
      <c r="GD213" s="206"/>
      <c r="GE213" s="206"/>
      <c r="GF213" s="206"/>
      <c r="GG213" s="206"/>
      <c r="GH213" s="206"/>
      <c r="GI213" s="206"/>
      <c r="GJ213" s="206"/>
    </row>
    <row r="214" spans="1:16384" ht="26.25" customHeight="1" x14ac:dyDescent="0.2">
      <c r="A214" s="632" t="s">
        <v>634</v>
      </c>
      <c r="B214" s="652"/>
      <c r="C214" s="652"/>
      <c r="D214" s="652"/>
      <c r="E214" s="652"/>
      <c r="F214" s="652"/>
      <c r="G214" s="652"/>
      <c r="H214" s="652"/>
      <c r="I214" s="652"/>
      <c r="J214" s="652"/>
      <c r="K214" s="652"/>
      <c r="L214" s="652"/>
      <c r="M214" s="652"/>
      <c r="N214" s="652"/>
      <c r="O214" s="652"/>
      <c r="P214" s="652"/>
      <c r="Q214" s="651"/>
      <c r="R214" s="652"/>
      <c r="S214" s="652"/>
      <c r="T214" s="652"/>
      <c r="U214" s="652"/>
      <c r="V214" s="652"/>
      <c r="W214" s="652"/>
      <c r="X214" s="652"/>
      <c r="Y214" s="652"/>
      <c r="Z214" s="652"/>
      <c r="AA214" s="652"/>
      <c r="AB214" s="652"/>
      <c r="AC214" s="652"/>
      <c r="AD214" s="652"/>
      <c r="AE214" s="652"/>
      <c r="AF214" s="652"/>
      <c r="AG214" s="651"/>
      <c r="AH214" s="652"/>
      <c r="AI214" s="652"/>
      <c r="AJ214" s="652"/>
      <c r="AK214" s="652"/>
      <c r="AL214" s="652"/>
      <c r="AM214" s="652"/>
      <c r="AN214" s="652"/>
      <c r="AO214" s="652"/>
      <c r="AP214" s="652"/>
      <c r="AQ214" s="652"/>
      <c r="AR214" s="652"/>
      <c r="AS214" s="652"/>
      <c r="AT214" s="652"/>
      <c r="AU214" s="652"/>
      <c r="AV214" s="652"/>
      <c r="AW214" s="651"/>
      <c r="AX214" s="652"/>
      <c r="AY214" s="652"/>
      <c r="AZ214" s="652"/>
      <c r="BA214" s="652"/>
      <c r="BB214" s="652"/>
      <c r="BC214" s="652"/>
      <c r="BD214" s="652"/>
      <c r="BE214" s="652"/>
      <c r="BF214" s="652"/>
      <c r="BG214" s="652"/>
      <c r="BH214" s="652"/>
      <c r="BI214" s="652"/>
      <c r="BJ214" s="652"/>
      <c r="BK214" s="652"/>
      <c r="BL214" s="652"/>
      <c r="BM214" s="651"/>
      <c r="BN214" s="652"/>
      <c r="BO214" s="652"/>
      <c r="BP214" s="652"/>
      <c r="BQ214" s="652"/>
      <c r="BR214" s="652"/>
      <c r="BS214" s="652"/>
      <c r="BT214" s="652"/>
      <c r="BU214" s="652"/>
      <c r="BV214" s="652"/>
      <c r="BW214" s="652"/>
      <c r="BX214" s="652"/>
      <c r="BY214" s="652"/>
      <c r="BZ214" s="652"/>
      <c r="CA214" s="652"/>
      <c r="CB214" s="652"/>
      <c r="CC214" s="651"/>
      <c r="CD214" s="652"/>
      <c r="CE214" s="652"/>
      <c r="CF214" s="652"/>
      <c r="CG214" s="652"/>
      <c r="CH214" s="652"/>
      <c r="CI214" s="652"/>
      <c r="CJ214" s="652"/>
      <c r="CK214" s="652"/>
      <c r="CL214" s="652"/>
      <c r="CM214" s="652"/>
      <c r="CN214" s="652"/>
      <c r="CO214" s="652"/>
      <c r="CP214" s="652"/>
      <c r="CQ214" s="652"/>
      <c r="CR214" s="652"/>
      <c r="CS214" s="651"/>
      <c r="CT214" s="652"/>
      <c r="CU214" s="652"/>
      <c r="CV214" s="652"/>
      <c r="CW214" s="652"/>
      <c r="CX214" s="652"/>
      <c r="CY214" s="652"/>
      <c r="CZ214" s="652"/>
      <c r="DA214" s="652"/>
      <c r="DB214" s="652"/>
      <c r="DC214" s="652"/>
      <c r="DD214" s="652"/>
      <c r="DE214" s="652"/>
      <c r="DF214" s="652"/>
      <c r="DG214" s="652"/>
      <c r="DH214" s="652"/>
      <c r="DI214" s="651"/>
      <c r="DJ214" s="652"/>
      <c r="DK214" s="652"/>
      <c r="DL214" s="652"/>
      <c r="DM214" s="652"/>
      <c r="DN214" s="652"/>
      <c r="DO214" s="652"/>
      <c r="DP214" s="652"/>
      <c r="DQ214" s="652"/>
      <c r="DR214" s="652"/>
      <c r="DS214" s="652"/>
      <c r="DT214" s="652"/>
      <c r="DU214" s="652"/>
      <c r="DV214" s="652"/>
      <c r="DW214" s="652"/>
      <c r="DX214" s="652"/>
      <c r="DY214" s="651"/>
      <c r="DZ214" s="652"/>
      <c r="EA214" s="652"/>
      <c r="EB214" s="652"/>
      <c r="EC214" s="652"/>
      <c r="ED214" s="652"/>
      <c r="EE214" s="652"/>
      <c r="EF214" s="652"/>
      <c r="EG214" s="652"/>
      <c r="EH214" s="652"/>
      <c r="EI214" s="652"/>
      <c r="EJ214" s="652"/>
      <c r="EK214" s="652"/>
      <c r="EL214" s="652"/>
      <c r="EM214" s="652"/>
      <c r="EN214" s="652"/>
      <c r="EO214" s="651"/>
      <c r="EP214" s="652"/>
      <c r="EQ214" s="652"/>
      <c r="ER214" s="652"/>
      <c r="ES214" s="652"/>
      <c r="ET214" s="652"/>
      <c r="EU214" s="652"/>
      <c r="EV214" s="652"/>
      <c r="EW214" s="652"/>
      <c r="EX214" s="652"/>
      <c r="EY214" s="652"/>
      <c r="EZ214" s="652"/>
      <c r="FA214" s="652"/>
      <c r="FB214" s="652"/>
      <c r="FC214" s="652"/>
      <c r="FD214" s="652"/>
      <c r="FE214" s="651"/>
      <c r="FF214" s="652"/>
      <c r="FG214" s="652"/>
      <c r="FH214" s="652"/>
      <c r="FI214" s="652"/>
      <c r="FJ214" s="652"/>
      <c r="FK214" s="652"/>
      <c r="FL214" s="652"/>
      <c r="FM214" s="652"/>
      <c r="FN214" s="652"/>
      <c r="FO214" s="652"/>
      <c r="FP214" s="652"/>
      <c r="FQ214" s="652"/>
      <c r="FR214" s="652"/>
      <c r="FS214" s="652"/>
      <c r="FT214" s="652"/>
      <c r="FU214" s="651"/>
      <c r="FV214" s="652"/>
      <c r="FW214" s="652"/>
      <c r="FX214" s="652"/>
      <c r="FY214" s="652"/>
      <c r="FZ214" s="652"/>
      <c r="GA214" s="652"/>
      <c r="GB214" s="652"/>
      <c r="GC214" s="652"/>
      <c r="GD214" s="652"/>
      <c r="GE214" s="652"/>
      <c r="GF214" s="652"/>
      <c r="GG214" s="652"/>
      <c r="GH214" s="652"/>
      <c r="GI214" s="652"/>
      <c r="GJ214" s="652"/>
      <c r="GK214" s="632" t="s">
        <v>634</v>
      </c>
      <c r="GL214" s="633"/>
      <c r="GM214" s="633"/>
      <c r="GN214" s="633"/>
      <c r="GO214" s="633"/>
      <c r="GP214" s="633"/>
      <c r="GQ214" s="633"/>
      <c r="GR214" s="633"/>
      <c r="GS214" s="633"/>
      <c r="GT214" s="633"/>
      <c r="GU214" s="633"/>
      <c r="GV214" s="633"/>
      <c r="GW214" s="633"/>
      <c r="GX214" s="633"/>
      <c r="GY214" s="633"/>
      <c r="GZ214" s="633"/>
      <c r="HA214" s="632" t="s">
        <v>634</v>
      </c>
      <c r="HB214" s="633"/>
      <c r="HC214" s="633"/>
      <c r="HD214" s="633"/>
      <c r="HE214" s="633"/>
      <c r="HF214" s="633"/>
      <c r="HG214" s="633"/>
      <c r="HH214" s="633"/>
      <c r="HI214" s="633"/>
      <c r="HJ214" s="633"/>
      <c r="HK214" s="633"/>
      <c r="HL214" s="633"/>
      <c r="HM214" s="633"/>
      <c r="HN214" s="633"/>
      <c r="HO214" s="633"/>
      <c r="HP214" s="633"/>
      <c r="HQ214" s="632" t="s">
        <v>634</v>
      </c>
      <c r="HR214" s="633"/>
      <c r="HS214" s="633"/>
      <c r="HT214" s="633"/>
      <c r="HU214" s="633"/>
      <c r="HV214" s="633"/>
      <c r="HW214" s="633"/>
      <c r="HX214" s="633"/>
      <c r="HY214" s="633"/>
      <c r="HZ214" s="633"/>
      <c r="IA214" s="633"/>
      <c r="IB214" s="633"/>
      <c r="IC214" s="633"/>
      <c r="ID214" s="633"/>
      <c r="IE214" s="633"/>
      <c r="IF214" s="633"/>
      <c r="IG214" s="632" t="s">
        <v>634</v>
      </c>
      <c r="IH214" s="633"/>
      <c r="II214" s="633"/>
      <c r="IJ214" s="633"/>
      <c r="IK214" s="633"/>
      <c r="IL214" s="633"/>
      <c r="IM214" s="633"/>
      <c r="IN214" s="633"/>
      <c r="IO214" s="633"/>
      <c r="IP214" s="633"/>
      <c r="IQ214" s="633"/>
      <c r="IR214" s="633"/>
      <c r="IS214" s="633"/>
      <c r="IT214" s="633"/>
      <c r="IU214" s="633"/>
      <c r="IV214" s="633"/>
      <c r="IW214" s="632" t="s">
        <v>634</v>
      </c>
      <c r="IX214" s="633"/>
      <c r="IY214" s="633"/>
      <c r="IZ214" s="633"/>
      <c r="JA214" s="633"/>
      <c r="JB214" s="633"/>
      <c r="JC214" s="633"/>
      <c r="JD214" s="633"/>
      <c r="JE214" s="633"/>
      <c r="JF214" s="633"/>
      <c r="JG214" s="633"/>
      <c r="JH214" s="633"/>
      <c r="JI214" s="633"/>
      <c r="JJ214" s="633"/>
      <c r="JK214" s="633"/>
      <c r="JL214" s="633"/>
      <c r="JM214" s="632" t="s">
        <v>634</v>
      </c>
      <c r="JN214" s="633"/>
      <c r="JO214" s="633"/>
      <c r="JP214" s="633"/>
      <c r="JQ214" s="633"/>
      <c r="JR214" s="633"/>
      <c r="JS214" s="633"/>
      <c r="JT214" s="633"/>
      <c r="JU214" s="633"/>
      <c r="JV214" s="633"/>
      <c r="JW214" s="633"/>
      <c r="JX214" s="633"/>
      <c r="JY214" s="633"/>
      <c r="JZ214" s="633"/>
      <c r="KA214" s="633"/>
      <c r="KB214" s="633"/>
      <c r="KC214" s="632" t="s">
        <v>634</v>
      </c>
      <c r="KD214" s="633"/>
      <c r="KE214" s="633"/>
      <c r="KF214" s="633"/>
      <c r="KG214" s="633"/>
      <c r="KH214" s="633"/>
      <c r="KI214" s="633"/>
      <c r="KJ214" s="633"/>
      <c r="KK214" s="633"/>
      <c r="KL214" s="633"/>
      <c r="KM214" s="633"/>
      <c r="KN214" s="633"/>
      <c r="KO214" s="633"/>
      <c r="KP214" s="633"/>
      <c r="KQ214" s="633"/>
      <c r="KR214" s="633"/>
      <c r="KS214" s="632" t="s">
        <v>634</v>
      </c>
      <c r="KT214" s="633"/>
      <c r="KU214" s="633"/>
      <c r="KV214" s="633"/>
      <c r="KW214" s="633"/>
      <c r="KX214" s="633"/>
      <c r="KY214" s="633"/>
      <c r="KZ214" s="633"/>
      <c r="LA214" s="633"/>
      <c r="LB214" s="633"/>
      <c r="LC214" s="633"/>
      <c r="LD214" s="633"/>
      <c r="LE214" s="633"/>
      <c r="LF214" s="633"/>
      <c r="LG214" s="633"/>
      <c r="LH214" s="633"/>
      <c r="LI214" s="632" t="s">
        <v>634</v>
      </c>
      <c r="LJ214" s="633"/>
      <c r="LK214" s="633"/>
      <c r="LL214" s="633"/>
      <c r="LM214" s="633"/>
      <c r="LN214" s="633"/>
      <c r="LO214" s="633"/>
      <c r="LP214" s="633"/>
      <c r="LQ214" s="633"/>
      <c r="LR214" s="633"/>
      <c r="LS214" s="633"/>
      <c r="LT214" s="633"/>
      <c r="LU214" s="633"/>
      <c r="LV214" s="633"/>
      <c r="LW214" s="633"/>
      <c r="LX214" s="633"/>
      <c r="LY214" s="632" t="s">
        <v>634</v>
      </c>
      <c r="LZ214" s="633"/>
      <c r="MA214" s="633"/>
      <c r="MB214" s="633"/>
      <c r="MC214" s="633"/>
      <c r="MD214" s="633"/>
      <c r="ME214" s="633"/>
      <c r="MF214" s="633"/>
      <c r="MG214" s="633"/>
      <c r="MH214" s="633"/>
      <c r="MI214" s="633"/>
      <c r="MJ214" s="633"/>
      <c r="MK214" s="633"/>
      <c r="ML214" s="633"/>
      <c r="MM214" s="633"/>
      <c r="MN214" s="633"/>
      <c r="MO214" s="632" t="s">
        <v>634</v>
      </c>
      <c r="MP214" s="633"/>
      <c r="MQ214" s="633"/>
      <c r="MR214" s="633"/>
      <c r="MS214" s="633"/>
      <c r="MT214" s="633"/>
      <c r="MU214" s="633"/>
      <c r="MV214" s="633"/>
      <c r="MW214" s="633"/>
      <c r="MX214" s="633"/>
      <c r="MY214" s="633"/>
      <c r="MZ214" s="633"/>
      <c r="NA214" s="633"/>
      <c r="NB214" s="633"/>
      <c r="NC214" s="633"/>
      <c r="ND214" s="633"/>
      <c r="NE214" s="632" t="s">
        <v>634</v>
      </c>
      <c r="NF214" s="633"/>
      <c r="NG214" s="633"/>
      <c r="NH214" s="633"/>
      <c r="NI214" s="633"/>
      <c r="NJ214" s="633"/>
      <c r="NK214" s="633"/>
      <c r="NL214" s="633"/>
      <c r="NM214" s="633"/>
      <c r="NN214" s="633"/>
      <c r="NO214" s="633"/>
      <c r="NP214" s="633"/>
      <c r="NQ214" s="633"/>
      <c r="NR214" s="633"/>
      <c r="NS214" s="633"/>
      <c r="NT214" s="633"/>
      <c r="NU214" s="632" t="s">
        <v>634</v>
      </c>
      <c r="NV214" s="633"/>
      <c r="NW214" s="633"/>
      <c r="NX214" s="633"/>
      <c r="NY214" s="633"/>
      <c r="NZ214" s="633"/>
      <c r="OA214" s="633"/>
      <c r="OB214" s="633"/>
      <c r="OC214" s="633"/>
      <c r="OD214" s="633"/>
      <c r="OE214" s="633"/>
      <c r="OF214" s="633"/>
      <c r="OG214" s="633"/>
      <c r="OH214" s="633"/>
      <c r="OI214" s="633"/>
      <c r="OJ214" s="633"/>
      <c r="OK214" s="632" t="s">
        <v>634</v>
      </c>
      <c r="OL214" s="633"/>
      <c r="OM214" s="633"/>
      <c r="ON214" s="633"/>
      <c r="OO214" s="633"/>
      <c r="OP214" s="633"/>
      <c r="OQ214" s="633"/>
      <c r="OR214" s="633"/>
      <c r="OS214" s="633"/>
      <c r="OT214" s="633"/>
      <c r="OU214" s="633"/>
      <c r="OV214" s="633"/>
      <c r="OW214" s="633"/>
      <c r="OX214" s="633"/>
      <c r="OY214" s="633"/>
      <c r="OZ214" s="633"/>
      <c r="PA214" s="632" t="s">
        <v>634</v>
      </c>
      <c r="PB214" s="633"/>
      <c r="PC214" s="633"/>
      <c r="PD214" s="633"/>
      <c r="PE214" s="633"/>
      <c r="PF214" s="633"/>
      <c r="PG214" s="633"/>
      <c r="PH214" s="633"/>
      <c r="PI214" s="633"/>
      <c r="PJ214" s="633"/>
      <c r="PK214" s="633"/>
      <c r="PL214" s="633"/>
      <c r="PM214" s="633"/>
      <c r="PN214" s="633"/>
      <c r="PO214" s="633"/>
      <c r="PP214" s="633"/>
      <c r="PQ214" s="632" t="s">
        <v>634</v>
      </c>
      <c r="PR214" s="633"/>
      <c r="PS214" s="633"/>
      <c r="PT214" s="633"/>
      <c r="PU214" s="633"/>
      <c r="PV214" s="633"/>
      <c r="PW214" s="633"/>
      <c r="PX214" s="633"/>
      <c r="PY214" s="633"/>
      <c r="PZ214" s="633"/>
      <c r="QA214" s="633"/>
      <c r="QB214" s="633"/>
      <c r="QC214" s="633"/>
      <c r="QD214" s="633"/>
      <c r="QE214" s="633"/>
      <c r="QF214" s="633"/>
      <c r="QG214" s="632" t="s">
        <v>634</v>
      </c>
      <c r="QH214" s="633"/>
      <c r="QI214" s="633"/>
      <c r="QJ214" s="633"/>
      <c r="QK214" s="633"/>
      <c r="QL214" s="633"/>
      <c r="QM214" s="633"/>
      <c r="QN214" s="633"/>
      <c r="QO214" s="633"/>
      <c r="QP214" s="633"/>
      <c r="QQ214" s="633"/>
      <c r="QR214" s="633"/>
      <c r="QS214" s="633"/>
      <c r="QT214" s="633"/>
      <c r="QU214" s="633"/>
      <c r="QV214" s="633"/>
      <c r="QW214" s="632" t="s">
        <v>634</v>
      </c>
      <c r="QX214" s="633"/>
      <c r="QY214" s="633"/>
      <c r="QZ214" s="633"/>
      <c r="RA214" s="633"/>
      <c r="RB214" s="633"/>
      <c r="RC214" s="633"/>
      <c r="RD214" s="633"/>
      <c r="RE214" s="633"/>
      <c r="RF214" s="633"/>
      <c r="RG214" s="633"/>
      <c r="RH214" s="633"/>
      <c r="RI214" s="633"/>
      <c r="RJ214" s="633"/>
      <c r="RK214" s="633"/>
      <c r="RL214" s="633"/>
      <c r="RM214" s="632" t="s">
        <v>634</v>
      </c>
      <c r="RN214" s="633"/>
      <c r="RO214" s="633"/>
      <c r="RP214" s="633"/>
      <c r="RQ214" s="633"/>
      <c r="RR214" s="633"/>
      <c r="RS214" s="633"/>
      <c r="RT214" s="633"/>
      <c r="RU214" s="633"/>
      <c r="RV214" s="633"/>
      <c r="RW214" s="633"/>
      <c r="RX214" s="633"/>
      <c r="RY214" s="633"/>
      <c r="RZ214" s="633"/>
      <c r="SA214" s="633"/>
      <c r="SB214" s="633"/>
      <c r="SC214" s="632" t="s">
        <v>634</v>
      </c>
      <c r="SD214" s="633"/>
      <c r="SE214" s="633"/>
      <c r="SF214" s="633"/>
      <c r="SG214" s="633"/>
      <c r="SH214" s="633"/>
      <c r="SI214" s="633"/>
      <c r="SJ214" s="633"/>
      <c r="SK214" s="633"/>
      <c r="SL214" s="633"/>
      <c r="SM214" s="633"/>
      <c r="SN214" s="633"/>
      <c r="SO214" s="633"/>
      <c r="SP214" s="633"/>
      <c r="SQ214" s="633"/>
      <c r="SR214" s="633"/>
      <c r="SS214" s="632" t="s">
        <v>634</v>
      </c>
      <c r="ST214" s="633"/>
      <c r="SU214" s="633"/>
      <c r="SV214" s="633"/>
      <c r="SW214" s="633"/>
      <c r="SX214" s="633"/>
      <c r="SY214" s="633"/>
      <c r="SZ214" s="633"/>
      <c r="TA214" s="633"/>
      <c r="TB214" s="633"/>
      <c r="TC214" s="633"/>
      <c r="TD214" s="633"/>
      <c r="TE214" s="633"/>
      <c r="TF214" s="633"/>
      <c r="TG214" s="633"/>
      <c r="TH214" s="633"/>
      <c r="TI214" s="632" t="s">
        <v>634</v>
      </c>
      <c r="TJ214" s="633"/>
      <c r="TK214" s="633"/>
      <c r="TL214" s="633"/>
      <c r="TM214" s="633"/>
      <c r="TN214" s="633"/>
      <c r="TO214" s="633"/>
      <c r="TP214" s="633"/>
      <c r="TQ214" s="633"/>
      <c r="TR214" s="633"/>
      <c r="TS214" s="633"/>
      <c r="TT214" s="633"/>
      <c r="TU214" s="633"/>
      <c r="TV214" s="633"/>
      <c r="TW214" s="633"/>
      <c r="TX214" s="633"/>
      <c r="TY214" s="632" t="s">
        <v>634</v>
      </c>
      <c r="TZ214" s="633"/>
      <c r="UA214" s="633"/>
      <c r="UB214" s="633"/>
      <c r="UC214" s="633"/>
      <c r="UD214" s="633"/>
      <c r="UE214" s="633"/>
      <c r="UF214" s="633"/>
      <c r="UG214" s="633"/>
      <c r="UH214" s="633"/>
      <c r="UI214" s="633"/>
      <c r="UJ214" s="633"/>
      <c r="UK214" s="633"/>
      <c r="UL214" s="633"/>
      <c r="UM214" s="633"/>
      <c r="UN214" s="633"/>
      <c r="UO214" s="632" t="s">
        <v>634</v>
      </c>
      <c r="UP214" s="633"/>
      <c r="UQ214" s="633"/>
      <c r="UR214" s="633"/>
      <c r="US214" s="633"/>
      <c r="UT214" s="633"/>
      <c r="UU214" s="633"/>
      <c r="UV214" s="633"/>
      <c r="UW214" s="633"/>
      <c r="UX214" s="633"/>
      <c r="UY214" s="633"/>
      <c r="UZ214" s="633"/>
      <c r="VA214" s="633"/>
      <c r="VB214" s="633"/>
      <c r="VC214" s="633"/>
      <c r="VD214" s="633"/>
      <c r="VE214" s="632" t="s">
        <v>634</v>
      </c>
      <c r="VF214" s="633"/>
      <c r="VG214" s="633"/>
      <c r="VH214" s="633"/>
      <c r="VI214" s="633"/>
      <c r="VJ214" s="633"/>
      <c r="VK214" s="633"/>
      <c r="VL214" s="633"/>
      <c r="VM214" s="633"/>
      <c r="VN214" s="633"/>
      <c r="VO214" s="633"/>
      <c r="VP214" s="633"/>
      <c r="VQ214" s="633"/>
      <c r="VR214" s="633"/>
      <c r="VS214" s="633"/>
      <c r="VT214" s="633"/>
      <c r="VU214" s="632" t="s">
        <v>634</v>
      </c>
      <c r="VV214" s="633"/>
      <c r="VW214" s="633"/>
      <c r="VX214" s="633"/>
      <c r="VY214" s="633"/>
      <c r="VZ214" s="633"/>
      <c r="WA214" s="633"/>
      <c r="WB214" s="633"/>
      <c r="WC214" s="633"/>
      <c r="WD214" s="633"/>
      <c r="WE214" s="633"/>
      <c r="WF214" s="633"/>
      <c r="WG214" s="633"/>
      <c r="WH214" s="633"/>
      <c r="WI214" s="633"/>
      <c r="WJ214" s="633"/>
      <c r="WK214" s="632" t="s">
        <v>634</v>
      </c>
      <c r="WL214" s="633"/>
      <c r="WM214" s="633"/>
      <c r="WN214" s="633"/>
      <c r="WO214" s="633"/>
      <c r="WP214" s="633"/>
      <c r="WQ214" s="633"/>
      <c r="WR214" s="633"/>
      <c r="WS214" s="633"/>
      <c r="WT214" s="633"/>
      <c r="WU214" s="633"/>
      <c r="WV214" s="633"/>
      <c r="WW214" s="633"/>
      <c r="WX214" s="633"/>
      <c r="WY214" s="633"/>
      <c r="WZ214" s="633"/>
      <c r="XA214" s="632" t="s">
        <v>634</v>
      </c>
      <c r="XB214" s="633"/>
      <c r="XC214" s="633"/>
      <c r="XD214" s="633"/>
      <c r="XE214" s="633"/>
      <c r="XF214" s="633"/>
      <c r="XG214" s="633"/>
      <c r="XH214" s="633"/>
      <c r="XI214" s="633"/>
      <c r="XJ214" s="633"/>
      <c r="XK214" s="633"/>
      <c r="XL214" s="633"/>
      <c r="XM214" s="633"/>
      <c r="XN214" s="633"/>
      <c r="XO214" s="633"/>
      <c r="XP214" s="633"/>
      <c r="XQ214" s="632" t="s">
        <v>634</v>
      </c>
      <c r="XR214" s="633"/>
      <c r="XS214" s="633"/>
      <c r="XT214" s="633"/>
      <c r="XU214" s="633"/>
      <c r="XV214" s="633"/>
      <c r="XW214" s="633"/>
      <c r="XX214" s="633"/>
      <c r="XY214" s="633"/>
      <c r="XZ214" s="633"/>
      <c r="YA214" s="633"/>
      <c r="YB214" s="633"/>
      <c r="YC214" s="633"/>
      <c r="YD214" s="633"/>
      <c r="YE214" s="633"/>
      <c r="YF214" s="633"/>
      <c r="YG214" s="632" t="s">
        <v>634</v>
      </c>
      <c r="YH214" s="633"/>
      <c r="YI214" s="633"/>
      <c r="YJ214" s="633"/>
      <c r="YK214" s="633"/>
      <c r="YL214" s="633"/>
      <c r="YM214" s="633"/>
      <c r="YN214" s="633"/>
      <c r="YO214" s="633"/>
      <c r="YP214" s="633"/>
      <c r="YQ214" s="633"/>
      <c r="YR214" s="633"/>
      <c r="YS214" s="633"/>
      <c r="YT214" s="633"/>
      <c r="YU214" s="633"/>
      <c r="YV214" s="633"/>
      <c r="YW214" s="632" t="s">
        <v>634</v>
      </c>
      <c r="YX214" s="633"/>
      <c r="YY214" s="633"/>
      <c r="YZ214" s="633"/>
      <c r="ZA214" s="633"/>
      <c r="ZB214" s="633"/>
      <c r="ZC214" s="633"/>
      <c r="ZD214" s="633"/>
      <c r="ZE214" s="633"/>
      <c r="ZF214" s="633"/>
      <c r="ZG214" s="633"/>
      <c r="ZH214" s="633"/>
      <c r="ZI214" s="633"/>
      <c r="ZJ214" s="633"/>
      <c r="ZK214" s="633"/>
      <c r="ZL214" s="633"/>
      <c r="ZM214" s="632" t="s">
        <v>634</v>
      </c>
      <c r="ZN214" s="633"/>
      <c r="ZO214" s="633"/>
      <c r="ZP214" s="633"/>
      <c r="ZQ214" s="633"/>
      <c r="ZR214" s="633"/>
      <c r="ZS214" s="633"/>
      <c r="ZT214" s="633"/>
      <c r="ZU214" s="633"/>
      <c r="ZV214" s="633"/>
      <c r="ZW214" s="633"/>
      <c r="ZX214" s="633"/>
      <c r="ZY214" s="633"/>
      <c r="ZZ214" s="633"/>
      <c r="AAA214" s="633"/>
      <c r="AAB214" s="633"/>
      <c r="AAC214" s="632" t="s">
        <v>634</v>
      </c>
      <c r="AAD214" s="633"/>
      <c r="AAE214" s="633"/>
      <c r="AAF214" s="633"/>
      <c r="AAG214" s="633"/>
      <c r="AAH214" s="633"/>
      <c r="AAI214" s="633"/>
      <c r="AAJ214" s="633"/>
      <c r="AAK214" s="633"/>
      <c r="AAL214" s="633"/>
      <c r="AAM214" s="633"/>
      <c r="AAN214" s="633"/>
      <c r="AAO214" s="633"/>
      <c r="AAP214" s="633"/>
      <c r="AAQ214" s="633"/>
      <c r="AAR214" s="633"/>
      <c r="AAS214" s="632" t="s">
        <v>634</v>
      </c>
      <c r="AAT214" s="633"/>
      <c r="AAU214" s="633"/>
      <c r="AAV214" s="633"/>
      <c r="AAW214" s="633"/>
      <c r="AAX214" s="633"/>
      <c r="AAY214" s="633"/>
      <c r="AAZ214" s="633"/>
      <c r="ABA214" s="633"/>
      <c r="ABB214" s="633"/>
      <c r="ABC214" s="633"/>
      <c r="ABD214" s="633"/>
      <c r="ABE214" s="633"/>
      <c r="ABF214" s="633"/>
      <c r="ABG214" s="633"/>
      <c r="ABH214" s="633"/>
      <c r="ABI214" s="632" t="s">
        <v>634</v>
      </c>
      <c r="ABJ214" s="633"/>
      <c r="ABK214" s="633"/>
      <c r="ABL214" s="633"/>
      <c r="ABM214" s="633"/>
      <c r="ABN214" s="633"/>
      <c r="ABO214" s="633"/>
      <c r="ABP214" s="633"/>
      <c r="ABQ214" s="633"/>
      <c r="ABR214" s="633"/>
      <c r="ABS214" s="633"/>
      <c r="ABT214" s="633"/>
      <c r="ABU214" s="633"/>
      <c r="ABV214" s="633"/>
      <c r="ABW214" s="633"/>
      <c r="ABX214" s="633"/>
      <c r="ABY214" s="632" t="s">
        <v>634</v>
      </c>
      <c r="ABZ214" s="633"/>
      <c r="ACA214" s="633"/>
      <c r="ACB214" s="633"/>
      <c r="ACC214" s="633"/>
      <c r="ACD214" s="633"/>
      <c r="ACE214" s="633"/>
      <c r="ACF214" s="633"/>
      <c r="ACG214" s="633"/>
      <c r="ACH214" s="633"/>
      <c r="ACI214" s="633"/>
      <c r="ACJ214" s="633"/>
      <c r="ACK214" s="633"/>
      <c r="ACL214" s="633"/>
      <c r="ACM214" s="633"/>
      <c r="ACN214" s="633"/>
      <c r="ACO214" s="632" t="s">
        <v>634</v>
      </c>
      <c r="ACP214" s="633"/>
      <c r="ACQ214" s="633"/>
      <c r="ACR214" s="633"/>
      <c r="ACS214" s="633"/>
      <c r="ACT214" s="633"/>
      <c r="ACU214" s="633"/>
      <c r="ACV214" s="633"/>
      <c r="ACW214" s="633"/>
      <c r="ACX214" s="633"/>
      <c r="ACY214" s="633"/>
      <c r="ACZ214" s="633"/>
      <c r="ADA214" s="633"/>
      <c r="ADB214" s="633"/>
      <c r="ADC214" s="633"/>
      <c r="ADD214" s="633"/>
      <c r="ADE214" s="632" t="s">
        <v>634</v>
      </c>
      <c r="ADF214" s="633"/>
      <c r="ADG214" s="633"/>
      <c r="ADH214" s="633"/>
      <c r="ADI214" s="633"/>
      <c r="ADJ214" s="633"/>
      <c r="ADK214" s="633"/>
      <c r="ADL214" s="633"/>
      <c r="ADM214" s="633"/>
      <c r="ADN214" s="633"/>
      <c r="ADO214" s="633"/>
      <c r="ADP214" s="633"/>
      <c r="ADQ214" s="633"/>
      <c r="ADR214" s="633"/>
      <c r="ADS214" s="633"/>
      <c r="ADT214" s="633"/>
      <c r="ADU214" s="632" t="s">
        <v>634</v>
      </c>
      <c r="ADV214" s="633"/>
      <c r="ADW214" s="633"/>
      <c r="ADX214" s="633"/>
      <c r="ADY214" s="633"/>
      <c r="ADZ214" s="633"/>
      <c r="AEA214" s="633"/>
      <c r="AEB214" s="633"/>
      <c r="AEC214" s="633"/>
      <c r="AED214" s="633"/>
      <c r="AEE214" s="633"/>
      <c r="AEF214" s="633"/>
      <c r="AEG214" s="633"/>
      <c r="AEH214" s="633"/>
      <c r="AEI214" s="633"/>
      <c r="AEJ214" s="633"/>
      <c r="AEK214" s="632" t="s">
        <v>634</v>
      </c>
      <c r="AEL214" s="633"/>
      <c r="AEM214" s="633"/>
      <c r="AEN214" s="633"/>
      <c r="AEO214" s="633"/>
      <c r="AEP214" s="633"/>
      <c r="AEQ214" s="633"/>
      <c r="AER214" s="633"/>
      <c r="AES214" s="633"/>
      <c r="AET214" s="633"/>
      <c r="AEU214" s="633"/>
      <c r="AEV214" s="633"/>
      <c r="AEW214" s="633"/>
      <c r="AEX214" s="633"/>
      <c r="AEY214" s="633"/>
      <c r="AEZ214" s="633"/>
      <c r="AFA214" s="632" t="s">
        <v>634</v>
      </c>
      <c r="AFB214" s="633"/>
      <c r="AFC214" s="633"/>
      <c r="AFD214" s="633"/>
      <c r="AFE214" s="633"/>
      <c r="AFF214" s="633"/>
      <c r="AFG214" s="633"/>
      <c r="AFH214" s="633"/>
      <c r="AFI214" s="633"/>
      <c r="AFJ214" s="633"/>
      <c r="AFK214" s="633"/>
      <c r="AFL214" s="633"/>
      <c r="AFM214" s="633"/>
      <c r="AFN214" s="633"/>
      <c r="AFO214" s="633"/>
      <c r="AFP214" s="633"/>
      <c r="AFQ214" s="632" t="s">
        <v>634</v>
      </c>
      <c r="AFR214" s="633"/>
      <c r="AFS214" s="633"/>
      <c r="AFT214" s="633"/>
      <c r="AFU214" s="633"/>
      <c r="AFV214" s="633"/>
      <c r="AFW214" s="633"/>
      <c r="AFX214" s="633"/>
      <c r="AFY214" s="633"/>
      <c r="AFZ214" s="633"/>
      <c r="AGA214" s="633"/>
      <c r="AGB214" s="633"/>
      <c r="AGC214" s="633"/>
      <c r="AGD214" s="633"/>
      <c r="AGE214" s="633"/>
      <c r="AGF214" s="633"/>
      <c r="AGG214" s="632" t="s">
        <v>634</v>
      </c>
      <c r="AGH214" s="633"/>
      <c r="AGI214" s="633"/>
      <c r="AGJ214" s="633"/>
      <c r="AGK214" s="633"/>
      <c r="AGL214" s="633"/>
      <c r="AGM214" s="633"/>
      <c r="AGN214" s="633"/>
      <c r="AGO214" s="633"/>
      <c r="AGP214" s="633"/>
      <c r="AGQ214" s="633"/>
      <c r="AGR214" s="633"/>
      <c r="AGS214" s="633"/>
      <c r="AGT214" s="633"/>
      <c r="AGU214" s="633"/>
      <c r="AGV214" s="633"/>
      <c r="AGW214" s="632" t="s">
        <v>634</v>
      </c>
      <c r="AGX214" s="633"/>
      <c r="AGY214" s="633"/>
      <c r="AGZ214" s="633"/>
      <c r="AHA214" s="633"/>
      <c r="AHB214" s="633"/>
      <c r="AHC214" s="633"/>
      <c r="AHD214" s="633"/>
      <c r="AHE214" s="633"/>
      <c r="AHF214" s="633"/>
      <c r="AHG214" s="633"/>
      <c r="AHH214" s="633"/>
      <c r="AHI214" s="633"/>
      <c r="AHJ214" s="633"/>
      <c r="AHK214" s="633"/>
      <c r="AHL214" s="633"/>
      <c r="AHM214" s="632" t="s">
        <v>634</v>
      </c>
      <c r="AHN214" s="633"/>
      <c r="AHO214" s="633"/>
      <c r="AHP214" s="633"/>
      <c r="AHQ214" s="633"/>
      <c r="AHR214" s="633"/>
      <c r="AHS214" s="633"/>
      <c r="AHT214" s="633"/>
      <c r="AHU214" s="633"/>
      <c r="AHV214" s="633"/>
      <c r="AHW214" s="633"/>
      <c r="AHX214" s="633"/>
      <c r="AHY214" s="633"/>
      <c r="AHZ214" s="633"/>
      <c r="AIA214" s="633"/>
      <c r="AIB214" s="633"/>
      <c r="AIC214" s="632" t="s">
        <v>634</v>
      </c>
      <c r="AID214" s="633"/>
      <c r="AIE214" s="633"/>
      <c r="AIF214" s="633"/>
      <c r="AIG214" s="633"/>
      <c r="AIH214" s="633"/>
      <c r="AII214" s="633"/>
      <c r="AIJ214" s="633"/>
      <c r="AIK214" s="633"/>
      <c r="AIL214" s="633"/>
      <c r="AIM214" s="633"/>
      <c r="AIN214" s="633"/>
      <c r="AIO214" s="633"/>
      <c r="AIP214" s="633"/>
      <c r="AIQ214" s="633"/>
      <c r="AIR214" s="633"/>
      <c r="AIS214" s="632" t="s">
        <v>634</v>
      </c>
      <c r="AIT214" s="633"/>
      <c r="AIU214" s="633"/>
      <c r="AIV214" s="633"/>
      <c r="AIW214" s="633"/>
      <c r="AIX214" s="633"/>
      <c r="AIY214" s="633"/>
      <c r="AIZ214" s="633"/>
      <c r="AJA214" s="633"/>
      <c r="AJB214" s="633"/>
      <c r="AJC214" s="633"/>
      <c r="AJD214" s="633"/>
      <c r="AJE214" s="633"/>
      <c r="AJF214" s="633"/>
      <c r="AJG214" s="633"/>
      <c r="AJH214" s="633"/>
      <c r="AJI214" s="632" t="s">
        <v>634</v>
      </c>
      <c r="AJJ214" s="633"/>
      <c r="AJK214" s="633"/>
      <c r="AJL214" s="633"/>
      <c r="AJM214" s="633"/>
      <c r="AJN214" s="633"/>
      <c r="AJO214" s="633"/>
      <c r="AJP214" s="633"/>
      <c r="AJQ214" s="633"/>
      <c r="AJR214" s="633"/>
      <c r="AJS214" s="633"/>
      <c r="AJT214" s="633"/>
      <c r="AJU214" s="633"/>
      <c r="AJV214" s="633"/>
      <c r="AJW214" s="633"/>
      <c r="AJX214" s="633"/>
      <c r="AJY214" s="632" t="s">
        <v>634</v>
      </c>
      <c r="AJZ214" s="633"/>
      <c r="AKA214" s="633"/>
      <c r="AKB214" s="633"/>
      <c r="AKC214" s="633"/>
      <c r="AKD214" s="633"/>
      <c r="AKE214" s="633"/>
      <c r="AKF214" s="633"/>
      <c r="AKG214" s="633"/>
      <c r="AKH214" s="633"/>
      <c r="AKI214" s="633"/>
      <c r="AKJ214" s="633"/>
      <c r="AKK214" s="633"/>
      <c r="AKL214" s="633"/>
      <c r="AKM214" s="633"/>
      <c r="AKN214" s="633"/>
      <c r="AKO214" s="632" t="s">
        <v>634</v>
      </c>
      <c r="AKP214" s="633"/>
      <c r="AKQ214" s="633"/>
      <c r="AKR214" s="633"/>
      <c r="AKS214" s="633"/>
      <c r="AKT214" s="633"/>
      <c r="AKU214" s="633"/>
      <c r="AKV214" s="633"/>
      <c r="AKW214" s="633"/>
      <c r="AKX214" s="633"/>
      <c r="AKY214" s="633"/>
      <c r="AKZ214" s="633"/>
      <c r="ALA214" s="633"/>
      <c r="ALB214" s="633"/>
      <c r="ALC214" s="633"/>
      <c r="ALD214" s="633"/>
      <c r="ALE214" s="632" t="s">
        <v>634</v>
      </c>
      <c r="ALF214" s="633"/>
      <c r="ALG214" s="633"/>
      <c r="ALH214" s="633"/>
      <c r="ALI214" s="633"/>
      <c r="ALJ214" s="633"/>
      <c r="ALK214" s="633"/>
      <c r="ALL214" s="633"/>
      <c r="ALM214" s="633"/>
      <c r="ALN214" s="633"/>
      <c r="ALO214" s="633"/>
      <c r="ALP214" s="633"/>
      <c r="ALQ214" s="633"/>
      <c r="ALR214" s="633"/>
      <c r="ALS214" s="633"/>
      <c r="ALT214" s="633"/>
      <c r="ALU214" s="632" t="s">
        <v>634</v>
      </c>
      <c r="ALV214" s="633"/>
      <c r="ALW214" s="633"/>
      <c r="ALX214" s="633"/>
      <c r="ALY214" s="633"/>
      <c r="ALZ214" s="633"/>
      <c r="AMA214" s="633"/>
      <c r="AMB214" s="633"/>
      <c r="AMC214" s="633"/>
      <c r="AMD214" s="633"/>
      <c r="AME214" s="633"/>
      <c r="AMF214" s="633"/>
      <c r="AMG214" s="633"/>
      <c r="AMH214" s="633"/>
      <c r="AMI214" s="633"/>
      <c r="AMJ214" s="633"/>
      <c r="AMK214" s="632" t="s">
        <v>634</v>
      </c>
      <c r="AML214" s="633"/>
      <c r="AMM214" s="633"/>
      <c r="AMN214" s="633"/>
      <c r="AMO214" s="633"/>
      <c r="AMP214" s="633"/>
      <c r="AMQ214" s="633"/>
      <c r="AMR214" s="633"/>
      <c r="AMS214" s="633"/>
      <c r="AMT214" s="633"/>
      <c r="AMU214" s="633"/>
      <c r="AMV214" s="633"/>
      <c r="AMW214" s="633"/>
      <c r="AMX214" s="633"/>
      <c r="AMY214" s="633"/>
      <c r="AMZ214" s="633"/>
      <c r="ANA214" s="632" t="s">
        <v>634</v>
      </c>
      <c r="ANB214" s="633"/>
      <c r="ANC214" s="633"/>
      <c r="AND214" s="633"/>
      <c r="ANE214" s="633"/>
      <c r="ANF214" s="633"/>
      <c r="ANG214" s="633"/>
      <c r="ANH214" s="633"/>
      <c r="ANI214" s="633"/>
      <c r="ANJ214" s="633"/>
      <c r="ANK214" s="633"/>
      <c r="ANL214" s="633"/>
      <c r="ANM214" s="633"/>
      <c r="ANN214" s="633"/>
      <c r="ANO214" s="633"/>
      <c r="ANP214" s="633"/>
      <c r="ANQ214" s="632" t="s">
        <v>634</v>
      </c>
      <c r="ANR214" s="633"/>
      <c r="ANS214" s="633"/>
      <c r="ANT214" s="633"/>
      <c r="ANU214" s="633"/>
      <c r="ANV214" s="633"/>
      <c r="ANW214" s="633"/>
      <c r="ANX214" s="633"/>
      <c r="ANY214" s="633"/>
      <c r="ANZ214" s="633"/>
      <c r="AOA214" s="633"/>
      <c r="AOB214" s="633"/>
      <c r="AOC214" s="633"/>
      <c r="AOD214" s="633"/>
      <c r="AOE214" s="633"/>
      <c r="AOF214" s="633"/>
      <c r="AOG214" s="632" t="s">
        <v>634</v>
      </c>
      <c r="AOH214" s="633"/>
      <c r="AOI214" s="633"/>
      <c r="AOJ214" s="633"/>
      <c r="AOK214" s="633"/>
      <c r="AOL214" s="633"/>
      <c r="AOM214" s="633"/>
      <c r="AON214" s="633"/>
      <c r="AOO214" s="633"/>
      <c r="AOP214" s="633"/>
      <c r="AOQ214" s="633"/>
      <c r="AOR214" s="633"/>
      <c r="AOS214" s="633"/>
      <c r="AOT214" s="633"/>
      <c r="AOU214" s="633"/>
      <c r="AOV214" s="633"/>
      <c r="AOW214" s="632" t="s">
        <v>634</v>
      </c>
      <c r="AOX214" s="633"/>
      <c r="AOY214" s="633"/>
      <c r="AOZ214" s="633"/>
      <c r="APA214" s="633"/>
      <c r="APB214" s="633"/>
      <c r="APC214" s="633"/>
      <c r="APD214" s="633"/>
      <c r="APE214" s="633"/>
      <c r="APF214" s="633"/>
      <c r="APG214" s="633"/>
      <c r="APH214" s="633"/>
      <c r="API214" s="633"/>
      <c r="APJ214" s="633"/>
      <c r="APK214" s="633"/>
      <c r="APL214" s="633"/>
      <c r="APM214" s="632" t="s">
        <v>634</v>
      </c>
      <c r="APN214" s="633"/>
      <c r="APO214" s="633"/>
      <c r="APP214" s="633"/>
      <c r="APQ214" s="633"/>
      <c r="APR214" s="633"/>
      <c r="APS214" s="633"/>
      <c r="APT214" s="633"/>
      <c r="APU214" s="633"/>
      <c r="APV214" s="633"/>
      <c r="APW214" s="633"/>
      <c r="APX214" s="633"/>
      <c r="APY214" s="633"/>
      <c r="APZ214" s="633"/>
      <c r="AQA214" s="633"/>
      <c r="AQB214" s="633"/>
      <c r="AQC214" s="632" t="s">
        <v>634</v>
      </c>
      <c r="AQD214" s="633"/>
      <c r="AQE214" s="633"/>
      <c r="AQF214" s="633"/>
      <c r="AQG214" s="633"/>
      <c r="AQH214" s="633"/>
      <c r="AQI214" s="633"/>
      <c r="AQJ214" s="633"/>
      <c r="AQK214" s="633"/>
      <c r="AQL214" s="633"/>
      <c r="AQM214" s="633"/>
      <c r="AQN214" s="633"/>
      <c r="AQO214" s="633"/>
      <c r="AQP214" s="633"/>
      <c r="AQQ214" s="633"/>
      <c r="AQR214" s="633"/>
      <c r="AQS214" s="632" t="s">
        <v>634</v>
      </c>
      <c r="AQT214" s="633"/>
      <c r="AQU214" s="633"/>
      <c r="AQV214" s="633"/>
      <c r="AQW214" s="633"/>
      <c r="AQX214" s="633"/>
      <c r="AQY214" s="633"/>
      <c r="AQZ214" s="633"/>
      <c r="ARA214" s="633"/>
      <c r="ARB214" s="633"/>
      <c r="ARC214" s="633"/>
      <c r="ARD214" s="633"/>
      <c r="ARE214" s="633"/>
      <c r="ARF214" s="633"/>
      <c r="ARG214" s="633"/>
      <c r="ARH214" s="633"/>
      <c r="ARI214" s="632" t="s">
        <v>634</v>
      </c>
      <c r="ARJ214" s="633"/>
      <c r="ARK214" s="633"/>
      <c r="ARL214" s="633"/>
      <c r="ARM214" s="633"/>
      <c r="ARN214" s="633"/>
      <c r="ARO214" s="633"/>
      <c r="ARP214" s="633"/>
      <c r="ARQ214" s="633"/>
      <c r="ARR214" s="633"/>
      <c r="ARS214" s="633"/>
      <c r="ART214" s="633"/>
      <c r="ARU214" s="633"/>
      <c r="ARV214" s="633"/>
      <c r="ARW214" s="633"/>
      <c r="ARX214" s="633"/>
      <c r="ARY214" s="632" t="s">
        <v>634</v>
      </c>
      <c r="ARZ214" s="633"/>
      <c r="ASA214" s="633"/>
      <c r="ASB214" s="633"/>
      <c r="ASC214" s="633"/>
      <c r="ASD214" s="633"/>
      <c r="ASE214" s="633"/>
      <c r="ASF214" s="633"/>
      <c r="ASG214" s="633"/>
      <c r="ASH214" s="633"/>
      <c r="ASI214" s="633"/>
      <c r="ASJ214" s="633"/>
      <c r="ASK214" s="633"/>
      <c r="ASL214" s="633"/>
      <c r="ASM214" s="633"/>
      <c r="ASN214" s="633"/>
      <c r="ASO214" s="632" t="s">
        <v>634</v>
      </c>
      <c r="ASP214" s="633"/>
      <c r="ASQ214" s="633"/>
      <c r="ASR214" s="633"/>
      <c r="ASS214" s="633"/>
      <c r="AST214" s="633"/>
      <c r="ASU214" s="633"/>
      <c r="ASV214" s="633"/>
      <c r="ASW214" s="633"/>
      <c r="ASX214" s="633"/>
      <c r="ASY214" s="633"/>
      <c r="ASZ214" s="633"/>
      <c r="ATA214" s="633"/>
      <c r="ATB214" s="633"/>
      <c r="ATC214" s="633"/>
      <c r="ATD214" s="633"/>
      <c r="ATE214" s="632" t="s">
        <v>634</v>
      </c>
      <c r="ATF214" s="633"/>
      <c r="ATG214" s="633"/>
      <c r="ATH214" s="633"/>
      <c r="ATI214" s="633"/>
      <c r="ATJ214" s="633"/>
      <c r="ATK214" s="633"/>
      <c r="ATL214" s="633"/>
      <c r="ATM214" s="633"/>
      <c r="ATN214" s="633"/>
      <c r="ATO214" s="633"/>
      <c r="ATP214" s="633"/>
      <c r="ATQ214" s="633"/>
      <c r="ATR214" s="633"/>
      <c r="ATS214" s="633"/>
      <c r="ATT214" s="633"/>
      <c r="ATU214" s="632" t="s">
        <v>634</v>
      </c>
      <c r="ATV214" s="633"/>
      <c r="ATW214" s="633"/>
      <c r="ATX214" s="633"/>
      <c r="ATY214" s="633"/>
      <c r="ATZ214" s="633"/>
      <c r="AUA214" s="633"/>
      <c r="AUB214" s="633"/>
      <c r="AUC214" s="633"/>
      <c r="AUD214" s="633"/>
      <c r="AUE214" s="633"/>
      <c r="AUF214" s="633"/>
      <c r="AUG214" s="633"/>
      <c r="AUH214" s="633"/>
      <c r="AUI214" s="633"/>
      <c r="AUJ214" s="633"/>
      <c r="AUK214" s="632" t="s">
        <v>634</v>
      </c>
      <c r="AUL214" s="633"/>
      <c r="AUM214" s="633"/>
      <c r="AUN214" s="633"/>
      <c r="AUO214" s="633"/>
      <c r="AUP214" s="633"/>
      <c r="AUQ214" s="633"/>
      <c r="AUR214" s="633"/>
      <c r="AUS214" s="633"/>
      <c r="AUT214" s="633"/>
      <c r="AUU214" s="633"/>
      <c r="AUV214" s="633"/>
      <c r="AUW214" s="633"/>
      <c r="AUX214" s="633"/>
      <c r="AUY214" s="633"/>
      <c r="AUZ214" s="633"/>
      <c r="AVA214" s="632" t="s">
        <v>634</v>
      </c>
      <c r="AVB214" s="633"/>
      <c r="AVC214" s="633"/>
      <c r="AVD214" s="633"/>
      <c r="AVE214" s="633"/>
      <c r="AVF214" s="633"/>
      <c r="AVG214" s="633"/>
      <c r="AVH214" s="633"/>
      <c r="AVI214" s="633"/>
      <c r="AVJ214" s="633"/>
      <c r="AVK214" s="633"/>
      <c r="AVL214" s="633"/>
      <c r="AVM214" s="633"/>
      <c r="AVN214" s="633"/>
      <c r="AVO214" s="633"/>
      <c r="AVP214" s="633"/>
      <c r="AVQ214" s="632" t="s">
        <v>634</v>
      </c>
      <c r="AVR214" s="633"/>
      <c r="AVS214" s="633"/>
      <c r="AVT214" s="633"/>
      <c r="AVU214" s="633"/>
      <c r="AVV214" s="633"/>
      <c r="AVW214" s="633"/>
      <c r="AVX214" s="633"/>
      <c r="AVY214" s="633"/>
      <c r="AVZ214" s="633"/>
      <c r="AWA214" s="633"/>
      <c r="AWB214" s="633"/>
      <c r="AWC214" s="633"/>
      <c r="AWD214" s="633"/>
      <c r="AWE214" s="633"/>
      <c r="AWF214" s="633"/>
      <c r="AWG214" s="632" t="s">
        <v>634</v>
      </c>
      <c r="AWH214" s="633"/>
      <c r="AWI214" s="633"/>
      <c r="AWJ214" s="633"/>
      <c r="AWK214" s="633"/>
      <c r="AWL214" s="633"/>
      <c r="AWM214" s="633"/>
      <c r="AWN214" s="633"/>
      <c r="AWO214" s="633"/>
      <c r="AWP214" s="633"/>
      <c r="AWQ214" s="633"/>
      <c r="AWR214" s="633"/>
      <c r="AWS214" s="633"/>
      <c r="AWT214" s="633"/>
      <c r="AWU214" s="633"/>
      <c r="AWV214" s="633"/>
      <c r="AWW214" s="632" t="s">
        <v>634</v>
      </c>
      <c r="AWX214" s="633"/>
      <c r="AWY214" s="633"/>
      <c r="AWZ214" s="633"/>
      <c r="AXA214" s="633"/>
      <c r="AXB214" s="633"/>
      <c r="AXC214" s="633"/>
      <c r="AXD214" s="633"/>
      <c r="AXE214" s="633"/>
      <c r="AXF214" s="633"/>
      <c r="AXG214" s="633"/>
      <c r="AXH214" s="633"/>
      <c r="AXI214" s="633"/>
      <c r="AXJ214" s="633"/>
      <c r="AXK214" s="633"/>
      <c r="AXL214" s="633"/>
      <c r="AXM214" s="632" t="s">
        <v>634</v>
      </c>
      <c r="AXN214" s="633"/>
      <c r="AXO214" s="633"/>
      <c r="AXP214" s="633"/>
      <c r="AXQ214" s="633"/>
      <c r="AXR214" s="633"/>
      <c r="AXS214" s="633"/>
      <c r="AXT214" s="633"/>
      <c r="AXU214" s="633"/>
      <c r="AXV214" s="633"/>
      <c r="AXW214" s="633"/>
      <c r="AXX214" s="633"/>
      <c r="AXY214" s="633"/>
      <c r="AXZ214" s="633"/>
      <c r="AYA214" s="633"/>
      <c r="AYB214" s="633"/>
      <c r="AYC214" s="632" t="s">
        <v>634</v>
      </c>
      <c r="AYD214" s="633"/>
      <c r="AYE214" s="633"/>
      <c r="AYF214" s="633"/>
      <c r="AYG214" s="633"/>
      <c r="AYH214" s="633"/>
      <c r="AYI214" s="633"/>
      <c r="AYJ214" s="633"/>
      <c r="AYK214" s="633"/>
      <c r="AYL214" s="633"/>
      <c r="AYM214" s="633"/>
      <c r="AYN214" s="633"/>
      <c r="AYO214" s="633"/>
      <c r="AYP214" s="633"/>
      <c r="AYQ214" s="633"/>
      <c r="AYR214" s="633"/>
      <c r="AYS214" s="632" t="s">
        <v>634</v>
      </c>
      <c r="AYT214" s="633"/>
      <c r="AYU214" s="633"/>
      <c r="AYV214" s="633"/>
      <c r="AYW214" s="633"/>
      <c r="AYX214" s="633"/>
      <c r="AYY214" s="633"/>
      <c r="AYZ214" s="633"/>
      <c r="AZA214" s="633"/>
      <c r="AZB214" s="633"/>
      <c r="AZC214" s="633"/>
      <c r="AZD214" s="633"/>
      <c r="AZE214" s="633"/>
      <c r="AZF214" s="633"/>
      <c r="AZG214" s="633"/>
      <c r="AZH214" s="633"/>
      <c r="AZI214" s="632" t="s">
        <v>634</v>
      </c>
      <c r="AZJ214" s="633"/>
      <c r="AZK214" s="633"/>
      <c r="AZL214" s="633"/>
      <c r="AZM214" s="633"/>
      <c r="AZN214" s="633"/>
      <c r="AZO214" s="633"/>
      <c r="AZP214" s="633"/>
      <c r="AZQ214" s="633"/>
      <c r="AZR214" s="633"/>
      <c r="AZS214" s="633"/>
      <c r="AZT214" s="633"/>
      <c r="AZU214" s="633"/>
      <c r="AZV214" s="633"/>
      <c r="AZW214" s="633"/>
      <c r="AZX214" s="633"/>
      <c r="AZY214" s="632" t="s">
        <v>634</v>
      </c>
      <c r="AZZ214" s="633"/>
      <c r="BAA214" s="633"/>
      <c r="BAB214" s="633"/>
      <c r="BAC214" s="633"/>
      <c r="BAD214" s="633"/>
      <c r="BAE214" s="633"/>
      <c r="BAF214" s="633"/>
      <c r="BAG214" s="633"/>
      <c r="BAH214" s="633"/>
      <c r="BAI214" s="633"/>
      <c r="BAJ214" s="633"/>
      <c r="BAK214" s="633"/>
      <c r="BAL214" s="633"/>
      <c r="BAM214" s="633"/>
      <c r="BAN214" s="633"/>
      <c r="BAO214" s="632" t="s">
        <v>634</v>
      </c>
      <c r="BAP214" s="633"/>
      <c r="BAQ214" s="633"/>
      <c r="BAR214" s="633"/>
      <c r="BAS214" s="633"/>
      <c r="BAT214" s="633"/>
      <c r="BAU214" s="633"/>
      <c r="BAV214" s="633"/>
      <c r="BAW214" s="633"/>
      <c r="BAX214" s="633"/>
      <c r="BAY214" s="633"/>
      <c r="BAZ214" s="633"/>
      <c r="BBA214" s="633"/>
      <c r="BBB214" s="633"/>
      <c r="BBC214" s="633"/>
      <c r="BBD214" s="633"/>
      <c r="BBE214" s="632" t="s">
        <v>634</v>
      </c>
      <c r="BBF214" s="633"/>
      <c r="BBG214" s="633"/>
      <c r="BBH214" s="633"/>
      <c r="BBI214" s="633"/>
      <c r="BBJ214" s="633"/>
      <c r="BBK214" s="633"/>
      <c r="BBL214" s="633"/>
      <c r="BBM214" s="633"/>
      <c r="BBN214" s="633"/>
      <c r="BBO214" s="633"/>
      <c r="BBP214" s="633"/>
      <c r="BBQ214" s="633"/>
      <c r="BBR214" s="633"/>
      <c r="BBS214" s="633"/>
      <c r="BBT214" s="633"/>
      <c r="BBU214" s="632" t="s">
        <v>634</v>
      </c>
      <c r="BBV214" s="633"/>
      <c r="BBW214" s="633"/>
      <c r="BBX214" s="633"/>
      <c r="BBY214" s="633"/>
      <c r="BBZ214" s="633"/>
      <c r="BCA214" s="633"/>
      <c r="BCB214" s="633"/>
      <c r="BCC214" s="633"/>
      <c r="BCD214" s="633"/>
      <c r="BCE214" s="633"/>
      <c r="BCF214" s="633"/>
      <c r="BCG214" s="633"/>
      <c r="BCH214" s="633"/>
      <c r="BCI214" s="633"/>
      <c r="BCJ214" s="633"/>
      <c r="BCK214" s="632" t="s">
        <v>634</v>
      </c>
      <c r="BCL214" s="633"/>
      <c r="BCM214" s="633"/>
      <c r="BCN214" s="633"/>
      <c r="BCO214" s="633"/>
      <c r="BCP214" s="633"/>
      <c r="BCQ214" s="633"/>
      <c r="BCR214" s="633"/>
      <c r="BCS214" s="633"/>
      <c r="BCT214" s="633"/>
      <c r="BCU214" s="633"/>
      <c r="BCV214" s="633"/>
      <c r="BCW214" s="633"/>
      <c r="BCX214" s="633"/>
      <c r="BCY214" s="633"/>
      <c r="BCZ214" s="633"/>
      <c r="BDA214" s="632" t="s">
        <v>634</v>
      </c>
      <c r="BDB214" s="633"/>
      <c r="BDC214" s="633"/>
      <c r="BDD214" s="633"/>
      <c r="BDE214" s="633"/>
      <c r="BDF214" s="633"/>
      <c r="BDG214" s="633"/>
      <c r="BDH214" s="633"/>
      <c r="BDI214" s="633"/>
      <c r="BDJ214" s="633"/>
      <c r="BDK214" s="633"/>
      <c r="BDL214" s="633"/>
      <c r="BDM214" s="633"/>
      <c r="BDN214" s="633"/>
      <c r="BDO214" s="633"/>
      <c r="BDP214" s="633"/>
      <c r="BDQ214" s="632" t="s">
        <v>634</v>
      </c>
      <c r="BDR214" s="633"/>
      <c r="BDS214" s="633"/>
      <c r="BDT214" s="633"/>
      <c r="BDU214" s="633"/>
      <c r="BDV214" s="633"/>
      <c r="BDW214" s="633"/>
      <c r="BDX214" s="633"/>
      <c r="BDY214" s="633"/>
      <c r="BDZ214" s="633"/>
      <c r="BEA214" s="633"/>
      <c r="BEB214" s="633"/>
      <c r="BEC214" s="633"/>
      <c r="BED214" s="633"/>
      <c r="BEE214" s="633"/>
      <c r="BEF214" s="633"/>
      <c r="BEG214" s="632" t="s">
        <v>634</v>
      </c>
      <c r="BEH214" s="633"/>
      <c r="BEI214" s="633"/>
      <c r="BEJ214" s="633"/>
      <c r="BEK214" s="633"/>
      <c r="BEL214" s="633"/>
      <c r="BEM214" s="633"/>
      <c r="BEN214" s="633"/>
      <c r="BEO214" s="633"/>
      <c r="BEP214" s="633"/>
      <c r="BEQ214" s="633"/>
      <c r="BER214" s="633"/>
      <c r="BES214" s="633"/>
      <c r="BET214" s="633"/>
      <c r="BEU214" s="633"/>
      <c r="BEV214" s="633"/>
      <c r="BEW214" s="632" t="s">
        <v>634</v>
      </c>
      <c r="BEX214" s="633"/>
      <c r="BEY214" s="633"/>
      <c r="BEZ214" s="633"/>
      <c r="BFA214" s="633"/>
      <c r="BFB214" s="633"/>
      <c r="BFC214" s="633"/>
      <c r="BFD214" s="633"/>
      <c r="BFE214" s="633"/>
      <c r="BFF214" s="633"/>
      <c r="BFG214" s="633"/>
      <c r="BFH214" s="633"/>
      <c r="BFI214" s="633"/>
      <c r="BFJ214" s="633"/>
      <c r="BFK214" s="633"/>
      <c r="BFL214" s="633"/>
      <c r="BFM214" s="632" t="s">
        <v>634</v>
      </c>
      <c r="BFN214" s="633"/>
      <c r="BFO214" s="633"/>
      <c r="BFP214" s="633"/>
      <c r="BFQ214" s="633"/>
      <c r="BFR214" s="633"/>
      <c r="BFS214" s="633"/>
      <c r="BFT214" s="633"/>
      <c r="BFU214" s="633"/>
      <c r="BFV214" s="633"/>
      <c r="BFW214" s="633"/>
      <c r="BFX214" s="633"/>
      <c r="BFY214" s="633"/>
      <c r="BFZ214" s="633"/>
      <c r="BGA214" s="633"/>
      <c r="BGB214" s="633"/>
      <c r="BGC214" s="632" t="s">
        <v>634</v>
      </c>
      <c r="BGD214" s="633"/>
      <c r="BGE214" s="633"/>
      <c r="BGF214" s="633"/>
      <c r="BGG214" s="633"/>
      <c r="BGH214" s="633"/>
      <c r="BGI214" s="633"/>
      <c r="BGJ214" s="633"/>
      <c r="BGK214" s="633"/>
      <c r="BGL214" s="633"/>
      <c r="BGM214" s="633"/>
      <c r="BGN214" s="633"/>
      <c r="BGO214" s="633"/>
      <c r="BGP214" s="633"/>
      <c r="BGQ214" s="633"/>
      <c r="BGR214" s="633"/>
      <c r="BGS214" s="632" t="s">
        <v>634</v>
      </c>
      <c r="BGT214" s="633"/>
      <c r="BGU214" s="633"/>
      <c r="BGV214" s="633"/>
      <c r="BGW214" s="633"/>
      <c r="BGX214" s="633"/>
      <c r="BGY214" s="633"/>
      <c r="BGZ214" s="633"/>
      <c r="BHA214" s="633"/>
      <c r="BHB214" s="633"/>
      <c r="BHC214" s="633"/>
      <c r="BHD214" s="633"/>
      <c r="BHE214" s="633"/>
      <c r="BHF214" s="633"/>
      <c r="BHG214" s="633"/>
      <c r="BHH214" s="633"/>
      <c r="BHI214" s="632" t="s">
        <v>634</v>
      </c>
      <c r="BHJ214" s="633"/>
      <c r="BHK214" s="633"/>
      <c r="BHL214" s="633"/>
      <c r="BHM214" s="633"/>
      <c r="BHN214" s="633"/>
      <c r="BHO214" s="633"/>
      <c r="BHP214" s="633"/>
      <c r="BHQ214" s="633"/>
      <c r="BHR214" s="633"/>
      <c r="BHS214" s="633"/>
      <c r="BHT214" s="633"/>
      <c r="BHU214" s="633"/>
      <c r="BHV214" s="633"/>
      <c r="BHW214" s="633"/>
      <c r="BHX214" s="633"/>
      <c r="BHY214" s="632" t="s">
        <v>634</v>
      </c>
      <c r="BHZ214" s="633"/>
      <c r="BIA214" s="633"/>
      <c r="BIB214" s="633"/>
      <c r="BIC214" s="633"/>
      <c r="BID214" s="633"/>
      <c r="BIE214" s="633"/>
      <c r="BIF214" s="633"/>
      <c r="BIG214" s="633"/>
      <c r="BIH214" s="633"/>
      <c r="BII214" s="633"/>
      <c r="BIJ214" s="633"/>
      <c r="BIK214" s="633"/>
      <c r="BIL214" s="633"/>
      <c r="BIM214" s="633"/>
      <c r="BIN214" s="633"/>
      <c r="BIO214" s="632" t="s">
        <v>634</v>
      </c>
      <c r="BIP214" s="633"/>
      <c r="BIQ214" s="633"/>
      <c r="BIR214" s="633"/>
      <c r="BIS214" s="633"/>
      <c r="BIT214" s="633"/>
      <c r="BIU214" s="633"/>
      <c r="BIV214" s="633"/>
      <c r="BIW214" s="633"/>
      <c r="BIX214" s="633"/>
      <c r="BIY214" s="633"/>
      <c r="BIZ214" s="633"/>
      <c r="BJA214" s="633"/>
      <c r="BJB214" s="633"/>
      <c r="BJC214" s="633"/>
      <c r="BJD214" s="633"/>
      <c r="BJE214" s="632" t="s">
        <v>634</v>
      </c>
      <c r="BJF214" s="633"/>
      <c r="BJG214" s="633"/>
      <c r="BJH214" s="633"/>
      <c r="BJI214" s="633"/>
      <c r="BJJ214" s="633"/>
      <c r="BJK214" s="633"/>
      <c r="BJL214" s="633"/>
      <c r="BJM214" s="633"/>
      <c r="BJN214" s="633"/>
      <c r="BJO214" s="633"/>
      <c r="BJP214" s="633"/>
      <c r="BJQ214" s="633"/>
      <c r="BJR214" s="633"/>
      <c r="BJS214" s="633"/>
      <c r="BJT214" s="633"/>
      <c r="BJU214" s="632" t="s">
        <v>634</v>
      </c>
      <c r="BJV214" s="633"/>
      <c r="BJW214" s="633"/>
      <c r="BJX214" s="633"/>
      <c r="BJY214" s="633"/>
      <c r="BJZ214" s="633"/>
      <c r="BKA214" s="633"/>
      <c r="BKB214" s="633"/>
      <c r="BKC214" s="633"/>
      <c r="BKD214" s="633"/>
      <c r="BKE214" s="633"/>
      <c r="BKF214" s="633"/>
      <c r="BKG214" s="633"/>
      <c r="BKH214" s="633"/>
      <c r="BKI214" s="633"/>
      <c r="BKJ214" s="633"/>
      <c r="BKK214" s="632" t="s">
        <v>634</v>
      </c>
      <c r="BKL214" s="633"/>
      <c r="BKM214" s="633"/>
      <c r="BKN214" s="633"/>
      <c r="BKO214" s="633"/>
      <c r="BKP214" s="633"/>
      <c r="BKQ214" s="633"/>
      <c r="BKR214" s="633"/>
      <c r="BKS214" s="633"/>
      <c r="BKT214" s="633"/>
      <c r="BKU214" s="633"/>
      <c r="BKV214" s="633"/>
      <c r="BKW214" s="633"/>
      <c r="BKX214" s="633"/>
      <c r="BKY214" s="633"/>
      <c r="BKZ214" s="633"/>
      <c r="BLA214" s="632" t="s">
        <v>634</v>
      </c>
      <c r="BLB214" s="633"/>
      <c r="BLC214" s="633"/>
      <c r="BLD214" s="633"/>
      <c r="BLE214" s="633"/>
      <c r="BLF214" s="633"/>
      <c r="BLG214" s="633"/>
      <c r="BLH214" s="633"/>
      <c r="BLI214" s="633"/>
      <c r="BLJ214" s="633"/>
      <c r="BLK214" s="633"/>
      <c r="BLL214" s="633"/>
      <c r="BLM214" s="633"/>
      <c r="BLN214" s="633"/>
      <c r="BLO214" s="633"/>
      <c r="BLP214" s="633"/>
      <c r="BLQ214" s="632" t="s">
        <v>634</v>
      </c>
      <c r="BLR214" s="633"/>
      <c r="BLS214" s="633"/>
      <c r="BLT214" s="633"/>
      <c r="BLU214" s="633"/>
      <c r="BLV214" s="633"/>
      <c r="BLW214" s="633"/>
      <c r="BLX214" s="633"/>
      <c r="BLY214" s="633"/>
      <c r="BLZ214" s="633"/>
      <c r="BMA214" s="633"/>
      <c r="BMB214" s="633"/>
      <c r="BMC214" s="633"/>
      <c r="BMD214" s="633"/>
      <c r="BME214" s="633"/>
      <c r="BMF214" s="633"/>
      <c r="BMG214" s="632" t="s">
        <v>634</v>
      </c>
      <c r="BMH214" s="633"/>
      <c r="BMI214" s="633"/>
      <c r="BMJ214" s="633"/>
      <c r="BMK214" s="633"/>
      <c r="BML214" s="633"/>
      <c r="BMM214" s="633"/>
      <c r="BMN214" s="633"/>
      <c r="BMO214" s="633"/>
      <c r="BMP214" s="633"/>
      <c r="BMQ214" s="633"/>
      <c r="BMR214" s="633"/>
      <c r="BMS214" s="633"/>
      <c r="BMT214" s="633"/>
      <c r="BMU214" s="633"/>
      <c r="BMV214" s="633"/>
      <c r="BMW214" s="632" t="s">
        <v>634</v>
      </c>
      <c r="BMX214" s="633"/>
      <c r="BMY214" s="633"/>
      <c r="BMZ214" s="633"/>
      <c r="BNA214" s="633"/>
      <c r="BNB214" s="633"/>
      <c r="BNC214" s="633"/>
      <c r="BND214" s="633"/>
      <c r="BNE214" s="633"/>
      <c r="BNF214" s="633"/>
      <c r="BNG214" s="633"/>
      <c r="BNH214" s="633"/>
      <c r="BNI214" s="633"/>
      <c r="BNJ214" s="633"/>
      <c r="BNK214" s="633"/>
      <c r="BNL214" s="633"/>
      <c r="BNM214" s="632" t="s">
        <v>634</v>
      </c>
      <c r="BNN214" s="633"/>
      <c r="BNO214" s="633"/>
      <c r="BNP214" s="633"/>
      <c r="BNQ214" s="633"/>
      <c r="BNR214" s="633"/>
      <c r="BNS214" s="633"/>
      <c r="BNT214" s="633"/>
      <c r="BNU214" s="633"/>
      <c r="BNV214" s="633"/>
      <c r="BNW214" s="633"/>
      <c r="BNX214" s="633"/>
      <c r="BNY214" s="633"/>
      <c r="BNZ214" s="633"/>
      <c r="BOA214" s="633"/>
      <c r="BOB214" s="633"/>
      <c r="BOC214" s="632" t="s">
        <v>634</v>
      </c>
      <c r="BOD214" s="633"/>
      <c r="BOE214" s="633"/>
      <c r="BOF214" s="633"/>
      <c r="BOG214" s="633"/>
      <c r="BOH214" s="633"/>
      <c r="BOI214" s="633"/>
      <c r="BOJ214" s="633"/>
      <c r="BOK214" s="633"/>
      <c r="BOL214" s="633"/>
      <c r="BOM214" s="633"/>
      <c r="BON214" s="633"/>
      <c r="BOO214" s="633"/>
      <c r="BOP214" s="633"/>
      <c r="BOQ214" s="633"/>
      <c r="BOR214" s="633"/>
      <c r="BOS214" s="632" t="s">
        <v>634</v>
      </c>
      <c r="BOT214" s="633"/>
      <c r="BOU214" s="633"/>
      <c r="BOV214" s="633"/>
      <c r="BOW214" s="633"/>
      <c r="BOX214" s="633"/>
      <c r="BOY214" s="633"/>
      <c r="BOZ214" s="633"/>
      <c r="BPA214" s="633"/>
      <c r="BPB214" s="633"/>
      <c r="BPC214" s="633"/>
      <c r="BPD214" s="633"/>
      <c r="BPE214" s="633"/>
      <c r="BPF214" s="633"/>
      <c r="BPG214" s="633"/>
      <c r="BPH214" s="633"/>
      <c r="BPI214" s="632" t="s">
        <v>634</v>
      </c>
      <c r="BPJ214" s="633"/>
      <c r="BPK214" s="633"/>
      <c r="BPL214" s="633"/>
      <c r="BPM214" s="633"/>
      <c r="BPN214" s="633"/>
      <c r="BPO214" s="633"/>
      <c r="BPP214" s="633"/>
      <c r="BPQ214" s="633"/>
      <c r="BPR214" s="633"/>
      <c r="BPS214" s="633"/>
      <c r="BPT214" s="633"/>
      <c r="BPU214" s="633"/>
      <c r="BPV214" s="633"/>
      <c r="BPW214" s="633"/>
      <c r="BPX214" s="633"/>
      <c r="BPY214" s="632" t="s">
        <v>634</v>
      </c>
      <c r="BPZ214" s="633"/>
      <c r="BQA214" s="633"/>
      <c r="BQB214" s="633"/>
      <c r="BQC214" s="633"/>
      <c r="BQD214" s="633"/>
      <c r="BQE214" s="633"/>
      <c r="BQF214" s="633"/>
      <c r="BQG214" s="633"/>
      <c r="BQH214" s="633"/>
      <c r="BQI214" s="633"/>
      <c r="BQJ214" s="633"/>
      <c r="BQK214" s="633"/>
      <c r="BQL214" s="633"/>
      <c r="BQM214" s="633"/>
      <c r="BQN214" s="633"/>
      <c r="BQO214" s="632" t="s">
        <v>634</v>
      </c>
      <c r="BQP214" s="633"/>
      <c r="BQQ214" s="633"/>
      <c r="BQR214" s="633"/>
      <c r="BQS214" s="633"/>
      <c r="BQT214" s="633"/>
      <c r="BQU214" s="633"/>
      <c r="BQV214" s="633"/>
      <c r="BQW214" s="633"/>
      <c r="BQX214" s="633"/>
      <c r="BQY214" s="633"/>
      <c r="BQZ214" s="633"/>
      <c r="BRA214" s="633"/>
      <c r="BRB214" s="633"/>
      <c r="BRC214" s="633"/>
      <c r="BRD214" s="633"/>
      <c r="BRE214" s="632" t="s">
        <v>634</v>
      </c>
      <c r="BRF214" s="633"/>
      <c r="BRG214" s="633"/>
      <c r="BRH214" s="633"/>
      <c r="BRI214" s="633"/>
      <c r="BRJ214" s="633"/>
      <c r="BRK214" s="633"/>
      <c r="BRL214" s="633"/>
      <c r="BRM214" s="633"/>
      <c r="BRN214" s="633"/>
      <c r="BRO214" s="633"/>
      <c r="BRP214" s="633"/>
      <c r="BRQ214" s="633"/>
      <c r="BRR214" s="633"/>
      <c r="BRS214" s="633"/>
      <c r="BRT214" s="633"/>
      <c r="BRU214" s="632" t="s">
        <v>634</v>
      </c>
      <c r="BRV214" s="633"/>
      <c r="BRW214" s="633"/>
      <c r="BRX214" s="633"/>
      <c r="BRY214" s="633"/>
      <c r="BRZ214" s="633"/>
      <c r="BSA214" s="633"/>
      <c r="BSB214" s="633"/>
      <c r="BSC214" s="633"/>
      <c r="BSD214" s="633"/>
      <c r="BSE214" s="633"/>
      <c r="BSF214" s="633"/>
      <c r="BSG214" s="633"/>
      <c r="BSH214" s="633"/>
      <c r="BSI214" s="633"/>
      <c r="BSJ214" s="633"/>
      <c r="BSK214" s="632" t="s">
        <v>634</v>
      </c>
      <c r="BSL214" s="633"/>
      <c r="BSM214" s="633"/>
      <c r="BSN214" s="633"/>
      <c r="BSO214" s="633"/>
      <c r="BSP214" s="633"/>
      <c r="BSQ214" s="633"/>
      <c r="BSR214" s="633"/>
      <c r="BSS214" s="633"/>
      <c r="BST214" s="633"/>
      <c r="BSU214" s="633"/>
      <c r="BSV214" s="633"/>
      <c r="BSW214" s="633"/>
      <c r="BSX214" s="633"/>
      <c r="BSY214" s="633"/>
      <c r="BSZ214" s="633"/>
      <c r="BTA214" s="632" t="s">
        <v>634</v>
      </c>
      <c r="BTB214" s="633"/>
      <c r="BTC214" s="633"/>
      <c r="BTD214" s="633"/>
      <c r="BTE214" s="633"/>
      <c r="BTF214" s="633"/>
      <c r="BTG214" s="633"/>
      <c r="BTH214" s="633"/>
      <c r="BTI214" s="633"/>
      <c r="BTJ214" s="633"/>
      <c r="BTK214" s="633"/>
      <c r="BTL214" s="633"/>
      <c r="BTM214" s="633"/>
      <c r="BTN214" s="633"/>
      <c r="BTO214" s="633"/>
      <c r="BTP214" s="633"/>
      <c r="BTQ214" s="632" t="s">
        <v>634</v>
      </c>
      <c r="BTR214" s="633"/>
      <c r="BTS214" s="633"/>
      <c r="BTT214" s="633"/>
      <c r="BTU214" s="633"/>
      <c r="BTV214" s="633"/>
      <c r="BTW214" s="633"/>
      <c r="BTX214" s="633"/>
      <c r="BTY214" s="633"/>
      <c r="BTZ214" s="633"/>
      <c r="BUA214" s="633"/>
      <c r="BUB214" s="633"/>
      <c r="BUC214" s="633"/>
      <c r="BUD214" s="633"/>
      <c r="BUE214" s="633"/>
      <c r="BUF214" s="633"/>
      <c r="BUG214" s="632" t="s">
        <v>634</v>
      </c>
      <c r="BUH214" s="633"/>
      <c r="BUI214" s="633"/>
      <c r="BUJ214" s="633"/>
      <c r="BUK214" s="633"/>
      <c r="BUL214" s="633"/>
      <c r="BUM214" s="633"/>
      <c r="BUN214" s="633"/>
      <c r="BUO214" s="633"/>
      <c r="BUP214" s="633"/>
      <c r="BUQ214" s="633"/>
      <c r="BUR214" s="633"/>
      <c r="BUS214" s="633"/>
      <c r="BUT214" s="633"/>
      <c r="BUU214" s="633"/>
      <c r="BUV214" s="633"/>
      <c r="BUW214" s="632" t="s">
        <v>634</v>
      </c>
      <c r="BUX214" s="633"/>
      <c r="BUY214" s="633"/>
      <c r="BUZ214" s="633"/>
      <c r="BVA214" s="633"/>
      <c r="BVB214" s="633"/>
      <c r="BVC214" s="633"/>
      <c r="BVD214" s="633"/>
      <c r="BVE214" s="633"/>
      <c r="BVF214" s="633"/>
      <c r="BVG214" s="633"/>
      <c r="BVH214" s="633"/>
      <c r="BVI214" s="633"/>
      <c r="BVJ214" s="633"/>
      <c r="BVK214" s="633"/>
      <c r="BVL214" s="633"/>
      <c r="BVM214" s="632" t="s">
        <v>634</v>
      </c>
      <c r="BVN214" s="633"/>
      <c r="BVO214" s="633"/>
      <c r="BVP214" s="633"/>
      <c r="BVQ214" s="633"/>
      <c r="BVR214" s="633"/>
      <c r="BVS214" s="633"/>
      <c r="BVT214" s="633"/>
      <c r="BVU214" s="633"/>
      <c r="BVV214" s="633"/>
      <c r="BVW214" s="633"/>
      <c r="BVX214" s="633"/>
      <c r="BVY214" s="633"/>
      <c r="BVZ214" s="633"/>
      <c r="BWA214" s="633"/>
      <c r="BWB214" s="633"/>
      <c r="BWC214" s="632" t="s">
        <v>634</v>
      </c>
      <c r="BWD214" s="633"/>
      <c r="BWE214" s="633"/>
      <c r="BWF214" s="633"/>
      <c r="BWG214" s="633"/>
      <c r="BWH214" s="633"/>
      <c r="BWI214" s="633"/>
      <c r="BWJ214" s="633"/>
      <c r="BWK214" s="633"/>
      <c r="BWL214" s="633"/>
      <c r="BWM214" s="633"/>
      <c r="BWN214" s="633"/>
      <c r="BWO214" s="633"/>
      <c r="BWP214" s="633"/>
      <c r="BWQ214" s="633"/>
      <c r="BWR214" s="633"/>
      <c r="BWS214" s="632" t="s">
        <v>634</v>
      </c>
      <c r="BWT214" s="633"/>
      <c r="BWU214" s="633"/>
      <c r="BWV214" s="633"/>
      <c r="BWW214" s="633"/>
      <c r="BWX214" s="633"/>
      <c r="BWY214" s="633"/>
      <c r="BWZ214" s="633"/>
      <c r="BXA214" s="633"/>
      <c r="BXB214" s="633"/>
      <c r="BXC214" s="633"/>
      <c r="BXD214" s="633"/>
      <c r="BXE214" s="633"/>
      <c r="BXF214" s="633"/>
      <c r="BXG214" s="633"/>
      <c r="BXH214" s="633"/>
      <c r="BXI214" s="632" t="s">
        <v>634</v>
      </c>
      <c r="BXJ214" s="633"/>
      <c r="BXK214" s="633"/>
      <c r="BXL214" s="633"/>
      <c r="BXM214" s="633"/>
      <c r="BXN214" s="633"/>
      <c r="BXO214" s="633"/>
      <c r="BXP214" s="633"/>
      <c r="BXQ214" s="633"/>
      <c r="BXR214" s="633"/>
      <c r="BXS214" s="633"/>
      <c r="BXT214" s="633"/>
      <c r="BXU214" s="633"/>
      <c r="BXV214" s="633"/>
      <c r="BXW214" s="633"/>
      <c r="BXX214" s="633"/>
      <c r="BXY214" s="632" t="s">
        <v>634</v>
      </c>
      <c r="BXZ214" s="633"/>
      <c r="BYA214" s="633"/>
      <c r="BYB214" s="633"/>
      <c r="BYC214" s="633"/>
      <c r="BYD214" s="633"/>
      <c r="BYE214" s="633"/>
      <c r="BYF214" s="633"/>
      <c r="BYG214" s="633"/>
      <c r="BYH214" s="633"/>
      <c r="BYI214" s="633"/>
      <c r="BYJ214" s="633"/>
      <c r="BYK214" s="633"/>
      <c r="BYL214" s="633"/>
      <c r="BYM214" s="633"/>
      <c r="BYN214" s="633"/>
      <c r="BYO214" s="632" t="s">
        <v>634</v>
      </c>
      <c r="BYP214" s="633"/>
      <c r="BYQ214" s="633"/>
      <c r="BYR214" s="633"/>
      <c r="BYS214" s="633"/>
      <c r="BYT214" s="633"/>
      <c r="BYU214" s="633"/>
      <c r="BYV214" s="633"/>
      <c r="BYW214" s="633"/>
      <c r="BYX214" s="633"/>
      <c r="BYY214" s="633"/>
      <c r="BYZ214" s="633"/>
      <c r="BZA214" s="633"/>
      <c r="BZB214" s="633"/>
      <c r="BZC214" s="633"/>
      <c r="BZD214" s="633"/>
      <c r="BZE214" s="632" t="s">
        <v>634</v>
      </c>
      <c r="BZF214" s="633"/>
      <c r="BZG214" s="633"/>
      <c r="BZH214" s="633"/>
      <c r="BZI214" s="633"/>
      <c r="BZJ214" s="633"/>
      <c r="BZK214" s="633"/>
      <c r="BZL214" s="633"/>
      <c r="BZM214" s="633"/>
      <c r="BZN214" s="633"/>
      <c r="BZO214" s="633"/>
      <c r="BZP214" s="633"/>
      <c r="BZQ214" s="633"/>
      <c r="BZR214" s="633"/>
      <c r="BZS214" s="633"/>
      <c r="BZT214" s="633"/>
      <c r="BZU214" s="632" t="s">
        <v>634</v>
      </c>
      <c r="BZV214" s="633"/>
      <c r="BZW214" s="633"/>
      <c r="BZX214" s="633"/>
      <c r="BZY214" s="633"/>
      <c r="BZZ214" s="633"/>
      <c r="CAA214" s="633"/>
      <c r="CAB214" s="633"/>
      <c r="CAC214" s="633"/>
      <c r="CAD214" s="633"/>
      <c r="CAE214" s="633"/>
      <c r="CAF214" s="633"/>
      <c r="CAG214" s="633"/>
      <c r="CAH214" s="633"/>
      <c r="CAI214" s="633"/>
      <c r="CAJ214" s="633"/>
      <c r="CAK214" s="632" t="s">
        <v>634</v>
      </c>
      <c r="CAL214" s="633"/>
      <c r="CAM214" s="633"/>
      <c r="CAN214" s="633"/>
      <c r="CAO214" s="633"/>
      <c r="CAP214" s="633"/>
      <c r="CAQ214" s="633"/>
      <c r="CAR214" s="633"/>
      <c r="CAS214" s="633"/>
      <c r="CAT214" s="633"/>
      <c r="CAU214" s="633"/>
      <c r="CAV214" s="633"/>
      <c r="CAW214" s="633"/>
      <c r="CAX214" s="633"/>
      <c r="CAY214" s="633"/>
      <c r="CAZ214" s="633"/>
      <c r="CBA214" s="632" t="s">
        <v>634</v>
      </c>
      <c r="CBB214" s="633"/>
      <c r="CBC214" s="633"/>
      <c r="CBD214" s="633"/>
      <c r="CBE214" s="633"/>
      <c r="CBF214" s="633"/>
      <c r="CBG214" s="633"/>
      <c r="CBH214" s="633"/>
      <c r="CBI214" s="633"/>
      <c r="CBJ214" s="633"/>
      <c r="CBK214" s="633"/>
      <c r="CBL214" s="633"/>
      <c r="CBM214" s="633"/>
      <c r="CBN214" s="633"/>
      <c r="CBO214" s="633"/>
      <c r="CBP214" s="633"/>
      <c r="CBQ214" s="632" t="s">
        <v>634</v>
      </c>
      <c r="CBR214" s="633"/>
      <c r="CBS214" s="633"/>
      <c r="CBT214" s="633"/>
      <c r="CBU214" s="633"/>
      <c r="CBV214" s="633"/>
      <c r="CBW214" s="633"/>
      <c r="CBX214" s="633"/>
      <c r="CBY214" s="633"/>
      <c r="CBZ214" s="633"/>
      <c r="CCA214" s="633"/>
      <c r="CCB214" s="633"/>
      <c r="CCC214" s="633"/>
      <c r="CCD214" s="633"/>
      <c r="CCE214" s="633"/>
      <c r="CCF214" s="633"/>
      <c r="CCG214" s="632" t="s">
        <v>634</v>
      </c>
      <c r="CCH214" s="633"/>
      <c r="CCI214" s="633"/>
      <c r="CCJ214" s="633"/>
      <c r="CCK214" s="633"/>
      <c r="CCL214" s="633"/>
      <c r="CCM214" s="633"/>
      <c r="CCN214" s="633"/>
      <c r="CCO214" s="633"/>
      <c r="CCP214" s="633"/>
      <c r="CCQ214" s="633"/>
      <c r="CCR214" s="633"/>
      <c r="CCS214" s="633"/>
      <c r="CCT214" s="633"/>
      <c r="CCU214" s="633"/>
      <c r="CCV214" s="633"/>
      <c r="CCW214" s="632" t="s">
        <v>634</v>
      </c>
      <c r="CCX214" s="633"/>
      <c r="CCY214" s="633"/>
      <c r="CCZ214" s="633"/>
      <c r="CDA214" s="633"/>
      <c r="CDB214" s="633"/>
      <c r="CDC214" s="633"/>
      <c r="CDD214" s="633"/>
      <c r="CDE214" s="633"/>
      <c r="CDF214" s="633"/>
      <c r="CDG214" s="633"/>
      <c r="CDH214" s="633"/>
      <c r="CDI214" s="633"/>
      <c r="CDJ214" s="633"/>
      <c r="CDK214" s="633"/>
      <c r="CDL214" s="633"/>
      <c r="CDM214" s="632" t="s">
        <v>634</v>
      </c>
      <c r="CDN214" s="633"/>
      <c r="CDO214" s="633"/>
      <c r="CDP214" s="633"/>
      <c r="CDQ214" s="633"/>
      <c r="CDR214" s="633"/>
      <c r="CDS214" s="633"/>
      <c r="CDT214" s="633"/>
      <c r="CDU214" s="633"/>
      <c r="CDV214" s="633"/>
      <c r="CDW214" s="633"/>
      <c r="CDX214" s="633"/>
      <c r="CDY214" s="633"/>
      <c r="CDZ214" s="633"/>
      <c r="CEA214" s="633"/>
      <c r="CEB214" s="633"/>
      <c r="CEC214" s="632" t="s">
        <v>634</v>
      </c>
      <c r="CED214" s="633"/>
      <c r="CEE214" s="633"/>
      <c r="CEF214" s="633"/>
      <c r="CEG214" s="633"/>
      <c r="CEH214" s="633"/>
      <c r="CEI214" s="633"/>
      <c r="CEJ214" s="633"/>
      <c r="CEK214" s="633"/>
      <c r="CEL214" s="633"/>
      <c r="CEM214" s="633"/>
      <c r="CEN214" s="633"/>
      <c r="CEO214" s="633"/>
      <c r="CEP214" s="633"/>
      <c r="CEQ214" s="633"/>
      <c r="CER214" s="633"/>
      <c r="CES214" s="632" t="s">
        <v>634</v>
      </c>
      <c r="CET214" s="633"/>
      <c r="CEU214" s="633"/>
      <c r="CEV214" s="633"/>
      <c r="CEW214" s="633"/>
      <c r="CEX214" s="633"/>
      <c r="CEY214" s="633"/>
      <c r="CEZ214" s="633"/>
      <c r="CFA214" s="633"/>
      <c r="CFB214" s="633"/>
      <c r="CFC214" s="633"/>
      <c r="CFD214" s="633"/>
      <c r="CFE214" s="633"/>
      <c r="CFF214" s="633"/>
      <c r="CFG214" s="633"/>
      <c r="CFH214" s="633"/>
      <c r="CFI214" s="632" t="s">
        <v>634</v>
      </c>
      <c r="CFJ214" s="633"/>
      <c r="CFK214" s="633"/>
      <c r="CFL214" s="633"/>
      <c r="CFM214" s="633"/>
      <c r="CFN214" s="633"/>
      <c r="CFO214" s="633"/>
      <c r="CFP214" s="633"/>
      <c r="CFQ214" s="633"/>
      <c r="CFR214" s="633"/>
      <c r="CFS214" s="633"/>
      <c r="CFT214" s="633"/>
      <c r="CFU214" s="633"/>
      <c r="CFV214" s="633"/>
      <c r="CFW214" s="633"/>
      <c r="CFX214" s="633"/>
      <c r="CFY214" s="632" t="s">
        <v>634</v>
      </c>
      <c r="CFZ214" s="633"/>
      <c r="CGA214" s="633"/>
      <c r="CGB214" s="633"/>
      <c r="CGC214" s="633"/>
      <c r="CGD214" s="633"/>
      <c r="CGE214" s="633"/>
      <c r="CGF214" s="633"/>
      <c r="CGG214" s="633"/>
      <c r="CGH214" s="633"/>
      <c r="CGI214" s="633"/>
      <c r="CGJ214" s="633"/>
      <c r="CGK214" s="633"/>
      <c r="CGL214" s="633"/>
      <c r="CGM214" s="633"/>
      <c r="CGN214" s="633"/>
      <c r="CGO214" s="632" t="s">
        <v>634</v>
      </c>
      <c r="CGP214" s="633"/>
      <c r="CGQ214" s="633"/>
      <c r="CGR214" s="633"/>
      <c r="CGS214" s="633"/>
      <c r="CGT214" s="633"/>
      <c r="CGU214" s="633"/>
      <c r="CGV214" s="633"/>
      <c r="CGW214" s="633"/>
      <c r="CGX214" s="633"/>
      <c r="CGY214" s="633"/>
      <c r="CGZ214" s="633"/>
      <c r="CHA214" s="633"/>
      <c r="CHB214" s="633"/>
      <c r="CHC214" s="633"/>
      <c r="CHD214" s="633"/>
      <c r="CHE214" s="632" t="s">
        <v>634</v>
      </c>
      <c r="CHF214" s="633"/>
      <c r="CHG214" s="633"/>
      <c r="CHH214" s="633"/>
      <c r="CHI214" s="633"/>
      <c r="CHJ214" s="633"/>
      <c r="CHK214" s="633"/>
      <c r="CHL214" s="633"/>
      <c r="CHM214" s="633"/>
      <c r="CHN214" s="633"/>
      <c r="CHO214" s="633"/>
      <c r="CHP214" s="633"/>
      <c r="CHQ214" s="633"/>
      <c r="CHR214" s="633"/>
      <c r="CHS214" s="633"/>
      <c r="CHT214" s="633"/>
      <c r="CHU214" s="632" t="s">
        <v>634</v>
      </c>
      <c r="CHV214" s="633"/>
      <c r="CHW214" s="633"/>
      <c r="CHX214" s="633"/>
      <c r="CHY214" s="633"/>
      <c r="CHZ214" s="633"/>
      <c r="CIA214" s="633"/>
      <c r="CIB214" s="633"/>
      <c r="CIC214" s="633"/>
      <c r="CID214" s="633"/>
      <c r="CIE214" s="633"/>
      <c r="CIF214" s="633"/>
      <c r="CIG214" s="633"/>
      <c r="CIH214" s="633"/>
      <c r="CII214" s="633"/>
      <c r="CIJ214" s="633"/>
      <c r="CIK214" s="632" t="s">
        <v>634</v>
      </c>
      <c r="CIL214" s="633"/>
      <c r="CIM214" s="633"/>
      <c r="CIN214" s="633"/>
      <c r="CIO214" s="633"/>
      <c r="CIP214" s="633"/>
      <c r="CIQ214" s="633"/>
      <c r="CIR214" s="633"/>
      <c r="CIS214" s="633"/>
      <c r="CIT214" s="633"/>
      <c r="CIU214" s="633"/>
      <c r="CIV214" s="633"/>
      <c r="CIW214" s="633"/>
      <c r="CIX214" s="633"/>
      <c r="CIY214" s="633"/>
      <c r="CIZ214" s="633"/>
      <c r="CJA214" s="632" t="s">
        <v>634</v>
      </c>
      <c r="CJB214" s="633"/>
      <c r="CJC214" s="633"/>
      <c r="CJD214" s="633"/>
      <c r="CJE214" s="633"/>
      <c r="CJF214" s="633"/>
      <c r="CJG214" s="633"/>
      <c r="CJH214" s="633"/>
      <c r="CJI214" s="633"/>
      <c r="CJJ214" s="633"/>
      <c r="CJK214" s="633"/>
      <c r="CJL214" s="633"/>
      <c r="CJM214" s="633"/>
      <c r="CJN214" s="633"/>
      <c r="CJO214" s="633"/>
      <c r="CJP214" s="633"/>
      <c r="CJQ214" s="632" t="s">
        <v>634</v>
      </c>
      <c r="CJR214" s="633"/>
      <c r="CJS214" s="633"/>
      <c r="CJT214" s="633"/>
      <c r="CJU214" s="633"/>
      <c r="CJV214" s="633"/>
      <c r="CJW214" s="633"/>
      <c r="CJX214" s="633"/>
      <c r="CJY214" s="633"/>
      <c r="CJZ214" s="633"/>
      <c r="CKA214" s="633"/>
      <c r="CKB214" s="633"/>
      <c r="CKC214" s="633"/>
      <c r="CKD214" s="633"/>
      <c r="CKE214" s="633"/>
      <c r="CKF214" s="633"/>
      <c r="CKG214" s="632" t="s">
        <v>634</v>
      </c>
      <c r="CKH214" s="633"/>
      <c r="CKI214" s="633"/>
      <c r="CKJ214" s="633"/>
      <c r="CKK214" s="633"/>
      <c r="CKL214" s="633"/>
      <c r="CKM214" s="633"/>
      <c r="CKN214" s="633"/>
      <c r="CKO214" s="633"/>
      <c r="CKP214" s="633"/>
      <c r="CKQ214" s="633"/>
      <c r="CKR214" s="633"/>
      <c r="CKS214" s="633"/>
      <c r="CKT214" s="633"/>
      <c r="CKU214" s="633"/>
      <c r="CKV214" s="633"/>
      <c r="CKW214" s="632" t="s">
        <v>634</v>
      </c>
      <c r="CKX214" s="633"/>
      <c r="CKY214" s="633"/>
      <c r="CKZ214" s="633"/>
      <c r="CLA214" s="633"/>
      <c r="CLB214" s="633"/>
      <c r="CLC214" s="633"/>
      <c r="CLD214" s="633"/>
      <c r="CLE214" s="633"/>
      <c r="CLF214" s="633"/>
      <c r="CLG214" s="633"/>
      <c r="CLH214" s="633"/>
      <c r="CLI214" s="633"/>
      <c r="CLJ214" s="633"/>
      <c r="CLK214" s="633"/>
      <c r="CLL214" s="633"/>
      <c r="CLM214" s="632" t="s">
        <v>634</v>
      </c>
      <c r="CLN214" s="633"/>
      <c r="CLO214" s="633"/>
      <c r="CLP214" s="633"/>
      <c r="CLQ214" s="633"/>
      <c r="CLR214" s="633"/>
      <c r="CLS214" s="633"/>
      <c r="CLT214" s="633"/>
      <c r="CLU214" s="633"/>
      <c r="CLV214" s="633"/>
      <c r="CLW214" s="633"/>
      <c r="CLX214" s="633"/>
      <c r="CLY214" s="633"/>
      <c r="CLZ214" s="633"/>
      <c r="CMA214" s="633"/>
      <c r="CMB214" s="633"/>
      <c r="CMC214" s="632" t="s">
        <v>634</v>
      </c>
      <c r="CMD214" s="633"/>
      <c r="CME214" s="633"/>
      <c r="CMF214" s="633"/>
      <c r="CMG214" s="633"/>
      <c r="CMH214" s="633"/>
      <c r="CMI214" s="633"/>
      <c r="CMJ214" s="633"/>
      <c r="CMK214" s="633"/>
      <c r="CML214" s="633"/>
      <c r="CMM214" s="633"/>
      <c r="CMN214" s="633"/>
      <c r="CMO214" s="633"/>
      <c r="CMP214" s="633"/>
      <c r="CMQ214" s="633"/>
      <c r="CMR214" s="633"/>
      <c r="CMS214" s="632" t="s">
        <v>634</v>
      </c>
      <c r="CMT214" s="633"/>
      <c r="CMU214" s="633"/>
      <c r="CMV214" s="633"/>
      <c r="CMW214" s="633"/>
      <c r="CMX214" s="633"/>
      <c r="CMY214" s="633"/>
      <c r="CMZ214" s="633"/>
      <c r="CNA214" s="633"/>
      <c r="CNB214" s="633"/>
      <c r="CNC214" s="633"/>
      <c r="CND214" s="633"/>
      <c r="CNE214" s="633"/>
      <c r="CNF214" s="633"/>
      <c r="CNG214" s="633"/>
      <c r="CNH214" s="633"/>
      <c r="CNI214" s="632" t="s">
        <v>634</v>
      </c>
      <c r="CNJ214" s="633"/>
      <c r="CNK214" s="633"/>
      <c r="CNL214" s="633"/>
      <c r="CNM214" s="633"/>
      <c r="CNN214" s="633"/>
      <c r="CNO214" s="633"/>
      <c r="CNP214" s="633"/>
      <c r="CNQ214" s="633"/>
      <c r="CNR214" s="633"/>
      <c r="CNS214" s="633"/>
      <c r="CNT214" s="633"/>
      <c r="CNU214" s="633"/>
      <c r="CNV214" s="633"/>
      <c r="CNW214" s="633"/>
      <c r="CNX214" s="633"/>
      <c r="CNY214" s="632" t="s">
        <v>634</v>
      </c>
      <c r="CNZ214" s="633"/>
      <c r="COA214" s="633"/>
      <c r="COB214" s="633"/>
      <c r="COC214" s="633"/>
      <c r="COD214" s="633"/>
      <c r="COE214" s="633"/>
      <c r="COF214" s="633"/>
      <c r="COG214" s="633"/>
      <c r="COH214" s="633"/>
      <c r="COI214" s="633"/>
      <c r="COJ214" s="633"/>
      <c r="COK214" s="633"/>
      <c r="COL214" s="633"/>
      <c r="COM214" s="633"/>
      <c r="CON214" s="633"/>
      <c r="COO214" s="632" t="s">
        <v>634</v>
      </c>
      <c r="COP214" s="633"/>
      <c r="COQ214" s="633"/>
      <c r="COR214" s="633"/>
      <c r="COS214" s="633"/>
      <c r="COT214" s="633"/>
      <c r="COU214" s="633"/>
      <c r="COV214" s="633"/>
      <c r="COW214" s="633"/>
      <c r="COX214" s="633"/>
      <c r="COY214" s="633"/>
      <c r="COZ214" s="633"/>
      <c r="CPA214" s="633"/>
      <c r="CPB214" s="633"/>
      <c r="CPC214" s="633"/>
      <c r="CPD214" s="633"/>
      <c r="CPE214" s="632" t="s">
        <v>634</v>
      </c>
      <c r="CPF214" s="633"/>
      <c r="CPG214" s="633"/>
      <c r="CPH214" s="633"/>
      <c r="CPI214" s="633"/>
      <c r="CPJ214" s="633"/>
      <c r="CPK214" s="633"/>
      <c r="CPL214" s="633"/>
      <c r="CPM214" s="633"/>
      <c r="CPN214" s="633"/>
      <c r="CPO214" s="633"/>
      <c r="CPP214" s="633"/>
      <c r="CPQ214" s="633"/>
      <c r="CPR214" s="633"/>
      <c r="CPS214" s="633"/>
      <c r="CPT214" s="633"/>
      <c r="CPU214" s="632" t="s">
        <v>634</v>
      </c>
      <c r="CPV214" s="633"/>
      <c r="CPW214" s="633"/>
      <c r="CPX214" s="633"/>
      <c r="CPY214" s="633"/>
      <c r="CPZ214" s="633"/>
      <c r="CQA214" s="633"/>
      <c r="CQB214" s="633"/>
      <c r="CQC214" s="633"/>
      <c r="CQD214" s="633"/>
      <c r="CQE214" s="633"/>
      <c r="CQF214" s="633"/>
      <c r="CQG214" s="633"/>
      <c r="CQH214" s="633"/>
      <c r="CQI214" s="633"/>
      <c r="CQJ214" s="633"/>
      <c r="CQK214" s="632" t="s">
        <v>634</v>
      </c>
      <c r="CQL214" s="633"/>
      <c r="CQM214" s="633"/>
      <c r="CQN214" s="633"/>
      <c r="CQO214" s="633"/>
      <c r="CQP214" s="633"/>
      <c r="CQQ214" s="633"/>
      <c r="CQR214" s="633"/>
      <c r="CQS214" s="633"/>
      <c r="CQT214" s="633"/>
      <c r="CQU214" s="633"/>
      <c r="CQV214" s="633"/>
      <c r="CQW214" s="633"/>
      <c r="CQX214" s="633"/>
      <c r="CQY214" s="633"/>
      <c r="CQZ214" s="633"/>
      <c r="CRA214" s="632" t="s">
        <v>634</v>
      </c>
      <c r="CRB214" s="633"/>
      <c r="CRC214" s="633"/>
      <c r="CRD214" s="633"/>
      <c r="CRE214" s="633"/>
      <c r="CRF214" s="633"/>
      <c r="CRG214" s="633"/>
      <c r="CRH214" s="633"/>
      <c r="CRI214" s="633"/>
      <c r="CRJ214" s="633"/>
      <c r="CRK214" s="633"/>
      <c r="CRL214" s="633"/>
      <c r="CRM214" s="633"/>
      <c r="CRN214" s="633"/>
      <c r="CRO214" s="633"/>
      <c r="CRP214" s="633"/>
      <c r="CRQ214" s="632" t="s">
        <v>634</v>
      </c>
      <c r="CRR214" s="633"/>
      <c r="CRS214" s="633"/>
      <c r="CRT214" s="633"/>
      <c r="CRU214" s="633"/>
      <c r="CRV214" s="633"/>
      <c r="CRW214" s="633"/>
      <c r="CRX214" s="633"/>
      <c r="CRY214" s="633"/>
      <c r="CRZ214" s="633"/>
      <c r="CSA214" s="633"/>
      <c r="CSB214" s="633"/>
      <c r="CSC214" s="633"/>
      <c r="CSD214" s="633"/>
      <c r="CSE214" s="633"/>
      <c r="CSF214" s="633"/>
      <c r="CSG214" s="632" t="s">
        <v>634</v>
      </c>
      <c r="CSH214" s="633"/>
      <c r="CSI214" s="633"/>
      <c r="CSJ214" s="633"/>
      <c r="CSK214" s="633"/>
      <c r="CSL214" s="633"/>
      <c r="CSM214" s="633"/>
      <c r="CSN214" s="633"/>
      <c r="CSO214" s="633"/>
      <c r="CSP214" s="633"/>
      <c r="CSQ214" s="633"/>
      <c r="CSR214" s="633"/>
      <c r="CSS214" s="633"/>
      <c r="CST214" s="633"/>
      <c r="CSU214" s="633"/>
      <c r="CSV214" s="633"/>
      <c r="CSW214" s="632" t="s">
        <v>634</v>
      </c>
      <c r="CSX214" s="633"/>
      <c r="CSY214" s="633"/>
      <c r="CSZ214" s="633"/>
      <c r="CTA214" s="633"/>
      <c r="CTB214" s="633"/>
      <c r="CTC214" s="633"/>
      <c r="CTD214" s="633"/>
      <c r="CTE214" s="633"/>
      <c r="CTF214" s="633"/>
      <c r="CTG214" s="633"/>
      <c r="CTH214" s="633"/>
      <c r="CTI214" s="633"/>
      <c r="CTJ214" s="633"/>
      <c r="CTK214" s="633"/>
      <c r="CTL214" s="633"/>
      <c r="CTM214" s="632" t="s">
        <v>634</v>
      </c>
      <c r="CTN214" s="633"/>
      <c r="CTO214" s="633"/>
      <c r="CTP214" s="633"/>
      <c r="CTQ214" s="633"/>
      <c r="CTR214" s="633"/>
      <c r="CTS214" s="633"/>
      <c r="CTT214" s="633"/>
      <c r="CTU214" s="633"/>
      <c r="CTV214" s="633"/>
      <c r="CTW214" s="633"/>
      <c r="CTX214" s="633"/>
      <c r="CTY214" s="633"/>
      <c r="CTZ214" s="633"/>
      <c r="CUA214" s="633"/>
      <c r="CUB214" s="633"/>
      <c r="CUC214" s="632" t="s">
        <v>634</v>
      </c>
      <c r="CUD214" s="633"/>
      <c r="CUE214" s="633"/>
      <c r="CUF214" s="633"/>
      <c r="CUG214" s="633"/>
      <c r="CUH214" s="633"/>
      <c r="CUI214" s="633"/>
      <c r="CUJ214" s="633"/>
      <c r="CUK214" s="633"/>
      <c r="CUL214" s="633"/>
      <c r="CUM214" s="633"/>
      <c r="CUN214" s="633"/>
      <c r="CUO214" s="633"/>
      <c r="CUP214" s="633"/>
      <c r="CUQ214" s="633"/>
      <c r="CUR214" s="633"/>
      <c r="CUS214" s="632" t="s">
        <v>634</v>
      </c>
      <c r="CUT214" s="633"/>
      <c r="CUU214" s="633"/>
      <c r="CUV214" s="633"/>
      <c r="CUW214" s="633"/>
      <c r="CUX214" s="633"/>
      <c r="CUY214" s="633"/>
      <c r="CUZ214" s="633"/>
      <c r="CVA214" s="633"/>
      <c r="CVB214" s="633"/>
      <c r="CVC214" s="633"/>
      <c r="CVD214" s="633"/>
      <c r="CVE214" s="633"/>
      <c r="CVF214" s="633"/>
      <c r="CVG214" s="633"/>
      <c r="CVH214" s="633"/>
      <c r="CVI214" s="632" t="s">
        <v>634</v>
      </c>
      <c r="CVJ214" s="633"/>
      <c r="CVK214" s="633"/>
      <c r="CVL214" s="633"/>
      <c r="CVM214" s="633"/>
      <c r="CVN214" s="633"/>
      <c r="CVO214" s="633"/>
      <c r="CVP214" s="633"/>
      <c r="CVQ214" s="633"/>
      <c r="CVR214" s="633"/>
      <c r="CVS214" s="633"/>
      <c r="CVT214" s="633"/>
      <c r="CVU214" s="633"/>
      <c r="CVV214" s="633"/>
      <c r="CVW214" s="633"/>
      <c r="CVX214" s="633"/>
      <c r="CVY214" s="632" t="s">
        <v>634</v>
      </c>
      <c r="CVZ214" s="633"/>
      <c r="CWA214" s="633"/>
      <c r="CWB214" s="633"/>
      <c r="CWC214" s="633"/>
      <c r="CWD214" s="633"/>
      <c r="CWE214" s="633"/>
      <c r="CWF214" s="633"/>
      <c r="CWG214" s="633"/>
      <c r="CWH214" s="633"/>
      <c r="CWI214" s="633"/>
      <c r="CWJ214" s="633"/>
      <c r="CWK214" s="633"/>
      <c r="CWL214" s="633"/>
      <c r="CWM214" s="633"/>
      <c r="CWN214" s="633"/>
      <c r="CWO214" s="632" t="s">
        <v>634</v>
      </c>
      <c r="CWP214" s="633"/>
      <c r="CWQ214" s="633"/>
      <c r="CWR214" s="633"/>
      <c r="CWS214" s="633"/>
      <c r="CWT214" s="633"/>
      <c r="CWU214" s="633"/>
      <c r="CWV214" s="633"/>
      <c r="CWW214" s="633"/>
      <c r="CWX214" s="633"/>
      <c r="CWY214" s="633"/>
      <c r="CWZ214" s="633"/>
      <c r="CXA214" s="633"/>
      <c r="CXB214" s="633"/>
      <c r="CXC214" s="633"/>
      <c r="CXD214" s="633"/>
      <c r="CXE214" s="632" t="s">
        <v>634</v>
      </c>
      <c r="CXF214" s="633"/>
      <c r="CXG214" s="633"/>
      <c r="CXH214" s="633"/>
      <c r="CXI214" s="633"/>
      <c r="CXJ214" s="633"/>
      <c r="CXK214" s="633"/>
      <c r="CXL214" s="633"/>
      <c r="CXM214" s="633"/>
      <c r="CXN214" s="633"/>
      <c r="CXO214" s="633"/>
      <c r="CXP214" s="633"/>
      <c r="CXQ214" s="633"/>
      <c r="CXR214" s="633"/>
      <c r="CXS214" s="633"/>
      <c r="CXT214" s="633"/>
      <c r="CXU214" s="632" t="s">
        <v>634</v>
      </c>
      <c r="CXV214" s="633"/>
      <c r="CXW214" s="633"/>
      <c r="CXX214" s="633"/>
      <c r="CXY214" s="633"/>
      <c r="CXZ214" s="633"/>
      <c r="CYA214" s="633"/>
      <c r="CYB214" s="633"/>
      <c r="CYC214" s="633"/>
      <c r="CYD214" s="633"/>
      <c r="CYE214" s="633"/>
      <c r="CYF214" s="633"/>
      <c r="CYG214" s="633"/>
      <c r="CYH214" s="633"/>
      <c r="CYI214" s="633"/>
      <c r="CYJ214" s="633"/>
      <c r="CYK214" s="632" t="s">
        <v>634</v>
      </c>
      <c r="CYL214" s="633"/>
      <c r="CYM214" s="633"/>
      <c r="CYN214" s="633"/>
      <c r="CYO214" s="633"/>
      <c r="CYP214" s="633"/>
      <c r="CYQ214" s="633"/>
      <c r="CYR214" s="633"/>
      <c r="CYS214" s="633"/>
      <c r="CYT214" s="633"/>
      <c r="CYU214" s="633"/>
      <c r="CYV214" s="633"/>
      <c r="CYW214" s="633"/>
      <c r="CYX214" s="633"/>
      <c r="CYY214" s="633"/>
      <c r="CYZ214" s="633"/>
      <c r="CZA214" s="632" t="s">
        <v>634</v>
      </c>
      <c r="CZB214" s="633"/>
      <c r="CZC214" s="633"/>
      <c r="CZD214" s="633"/>
      <c r="CZE214" s="633"/>
      <c r="CZF214" s="633"/>
      <c r="CZG214" s="633"/>
      <c r="CZH214" s="633"/>
      <c r="CZI214" s="633"/>
      <c r="CZJ214" s="633"/>
      <c r="CZK214" s="633"/>
      <c r="CZL214" s="633"/>
      <c r="CZM214" s="633"/>
      <c r="CZN214" s="633"/>
      <c r="CZO214" s="633"/>
      <c r="CZP214" s="633"/>
      <c r="CZQ214" s="632" t="s">
        <v>634</v>
      </c>
      <c r="CZR214" s="633"/>
      <c r="CZS214" s="633"/>
      <c r="CZT214" s="633"/>
      <c r="CZU214" s="633"/>
      <c r="CZV214" s="633"/>
      <c r="CZW214" s="633"/>
      <c r="CZX214" s="633"/>
      <c r="CZY214" s="633"/>
      <c r="CZZ214" s="633"/>
      <c r="DAA214" s="633"/>
      <c r="DAB214" s="633"/>
      <c r="DAC214" s="633"/>
      <c r="DAD214" s="633"/>
      <c r="DAE214" s="633"/>
      <c r="DAF214" s="633"/>
      <c r="DAG214" s="632" t="s">
        <v>634</v>
      </c>
      <c r="DAH214" s="633"/>
      <c r="DAI214" s="633"/>
      <c r="DAJ214" s="633"/>
      <c r="DAK214" s="633"/>
      <c r="DAL214" s="633"/>
      <c r="DAM214" s="633"/>
      <c r="DAN214" s="633"/>
      <c r="DAO214" s="633"/>
      <c r="DAP214" s="633"/>
      <c r="DAQ214" s="633"/>
      <c r="DAR214" s="633"/>
      <c r="DAS214" s="633"/>
      <c r="DAT214" s="633"/>
      <c r="DAU214" s="633"/>
      <c r="DAV214" s="633"/>
      <c r="DAW214" s="632" t="s">
        <v>634</v>
      </c>
      <c r="DAX214" s="633"/>
      <c r="DAY214" s="633"/>
      <c r="DAZ214" s="633"/>
      <c r="DBA214" s="633"/>
      <c r="DBB214" s="633"/>
      <c r="DBC214" s="633"/>
      <c r="DBD214" s="633"/>
      <c r="DBE214" s="633"/>
      <c r="DBF214" s="633"/>
      <c r="DBG214" s="633"/>
      <c r="DBH214" s="633"/>
      <c r="DBI214" s="633"/>
      <c r="DBJ214" s="633"/>
      <c r="DBK214" s="633"/>
      <c r="DBL214" s="633"/>
      <c r="DBM214" s="632" t="s">
        <v>634</v>
      </c>
      <c r="DBN214" s="633"/>
      <c r="DBO214" s="633"/>
      <c r="DBP214" s="633"/>
      <c r="DBQ214" s="633"/>
      <c r="DBR214" s="633"/>
      <c r="DBS214" s="633"/>
      <c r="DBT214" s="633"/>
      <c r="DBU214" s="633"/>
      <c r="DBV214" s="633"/>
      <c r="DBW214" s="633"/>
      <c r="DBX214" s="633"/>
      <c r="DBY214" s="633"/>
      <c r="DBZ214" s="633"/>
      <c r="DCA214" s="633"/>
      <c r="DCB214" s="633"/>
      <c r="DCC214" s="632" t="s">
        <v>634</v>
      </c>
      <c r="DCD214" s="633"/>
      <c r="DCE214" s="633"/>
      <c r="DCF214" s="633"/>
      <c r="DCG214" s="633"/>
      <c r="DCH214" s="633"/>
      <c r="DCI214" s="633"/>
      <c r="DCJ214" s="633"/>
      <c r="DCK214" s="633"/>
      <c r="DCL214" s="633"/>
      <c r="DCM214" s="633"/>
      <c r="DCN214" s="633"/>
      <c r="DCO214" s="633"/>
      <c r="DCP214" s="633"/>
      <c r="DCQ214" s="633"/>
      <c r="DCR214" s="633"/>
      <c r="DCS214" s="632" t="s">
        <v>634</v>
      </c>
      <c r="DCT214" s="633"/>
      <c r="DCU214" s="633"/>
      <c r="DCV214" s="633"/>
      <c r="DCW214" s="633"/>
      <c r="DCX214" s="633"/>
      <c r="DCY214" s="633"/>
      <c r="DCZ214" s="633"/>
      <c r="DDA214" s="633"/>
      <c r="DDB214" s="633"/>
      <c r="DDC214" s="633"/>
      <c r="DDD214" s="633"/>
      <c r="DDE214" s="633"/>
      <c r="DDF214" s="633"/>
      <c r="DDG214" s="633"/>
      <c r="DDH214" s="633"/>
      <c r="DDI214" s="632" t="s">
        <v>634</v>
      </c>
      <c r="DDJ214" s="633"/>
      <c r="DDK214" s="633"/>
      <c r="DDL214" s="633"/>
      <c r="DDM214" s="633"/>
      <c r="DDN214" s="633"/>
      <c r="DDO214" s="633"/>
      <c r="DDP214" s="633"/>
      <c r="DDQ214" s="633"/>
      <c r="DDR214" s="633"/>
      <c r="DDS214" s="633"/>
      <c r="DDT214" s="633"/>
      <c r="DDU214" s="633"/>
      <c r="DDV214" s="633"/>
      <c r="DDW214" s="633"/>
      <c r="DDX214" s="633"/>
      <c r="DDY214" s="632" t="s">
        <v>634</v>
      </c>
      <c r="DDZ214" s="633"/>
      <c r="DEA214" s="633"/>
      <c r="DEB214" s="633"/>
      <c r="DEC214" s="633"/>
      <c r="DED214" s="633"/>
      <c r="DEE214" s="633"/>
      <c r="DEF214" s="633"/>
      <c r="DEG214" s="633"/>
      <c r="DEH214" s="633"/>
      <c r="DEI214" s="633"/>
      <c r="DEJ214" s="633"/>
      <c r="DEK214" s="633"/>
      <c r="DEL214" s="633"/>
      <c r="DEM214" s="633"/>
      <c r="DEN214" s="633"/>
      <c r="DEO214" s="632" t="s">
        <v>634</v>
      </c>
      <c r="DEP214" s="633"/>
      <c r="DEQ214" s="633"/>
      <c r="DER214" s="633"/>
      <c r="DES214" s="633"/>
      <c r="DET214" s="633"/>
      <c r="DEU214" s="633"/>
      <c r="DEV214" s="633"/>
      <c r="DEW214" s="633"/>
      <c r="DEX214" s="633"/>
      <c r="DEY214" s="633"/>
      <c r="DEZ214" s="633"/>
      <c r="DFA214" s="633"/>
      <c r="DFB214" s="633"/>
      <c r="DFC214" s="633"/>
      <c r="DFD214" s="633"/>
      <c r="DFE214" s="632" t="s">
        <v>634</v>
      </c>
      <c r="DFF214" s="633"/>
      <c r="DFG214" s="633"/>
      <c r="DFH214" s="633"/>
      <c r="DFI214" s="633"/>
      <c r="DFJ214" s="633"/>
      <c r="DFK214" s="633"/>
      <c r="DFL214" s="633"/>
      <c r="DFM214" s="633"/>
      <c r="DFN214" s="633"/>
      <c r="DFO214" s="633"/>
      <c r="DFP214" s="633"/>
      <c r="DFQ214" s="633"/>
      <c r="DFR214" s="633"/>
      <c r="DFS214" s="633"/>
      <c r="DFT214" s="633"/>
      <c r="DFU214" s="632" t="s">
        <v>634</v>
      </c>
      <c r="DFV214" s="633"/>
      <c r="DFW214" s="633"/>
      <c r="DFX214" s="633"/>
      <c r="DFY214" s="633"/>
      <c r="DFZ214" s="633"/>
      <c r="DGA214" s="633"/>
      <c r="DGB214" s="633"/>
      <c r="DGC214" s="633"/>
      <c r="DGD214" s="633"/>
      <c r="DGE214" s="633"/>
      <c r="DGF214" s="633"/>
      <c r="DGG214" s="633"/>
      <c r="DGH214" s="633"/>
      <c r="DGI214" s="633"/>
      <c r="DGJ214" s="633"/>
      <c r="DGK214" s="632" t="s">
        <v>634</v>
      </c>
      <c r="DGL214" s="633"/>
      <c r="DGM214" s="633"/>
      <c r="DGN214" s="633"/>
      <c r="DGO214" s="633"/>
      <c r="DGP214" s="633"/>
      <c r="DGQ214" s="633"/>
      <c r="DGR214" s="633"/>
      <c r="DGS214" s="633"/>
      <c r="DGT214" s="633"/>
      <c r="DGU214" s="633"/>
      <c r="DGV214" s="633"/>
      <c r="DGW214" s="633"/>
      <c r="DGX214" s="633"/>
      <c r="DGY214" s="633"/>
      <c r="DGZ214" s="633"/>
      <c r="DHA214" s="632" t="s">
        <v>634</v>
      </c>
      <c r="DHB214" s="633"/>
      <c r="DHC214" s="633"/>
      <c r="DHD214" s="633"/>
      <c r="DHE214" s="633"/>
      <c r="DHF214" s="633"/>
      <c r="DHG214" s="633"/>
      <c r="DHH214" s="633"/>
      <c r="DHI214" s="633"/>
      <c r="DHJ214" s="633"/>
      <c r="DHK214" s="633"/>
      <c r="DHL214" s="633"/>
      <c r="DHM214" s="633"/>
      <c r="DHN214" s="633"/>
      <c r="DHO214" s="633"/>
      <c r="DHP214" s="633"/>
      <c r="DHQ214" s="632" t="s">
        <v>634</v>
      </c>
      <c r="DHR214" s="633"/>
      <c r="DHS214" s="633"/>
      <c r="DHT214" s="633"/>
      <c r="DHU214" s="633"/>
      <c r="DHV214" s="633"/>
      <c r="DHW214" s="633"/>
      <c r="DHX214" s="633"/>
      <c r="DHY214" s="633"/>
      <c r="DHZ214" s="633"/>
      <c r="DIA214" s="633"/>
      <c r="DIB214" s="633"/>
      <c r="DIC214" s="633"/>
      <c r="DID214" s="633"/>
      <c r="DIE214" s="633"/>
      <c r="DIF214" s="633"/>
      <c r="DIG214" s="632" t="s">
        <v>634</v>
      </c>
      <c r="DIH214" s="633"/>
      <c r="DII214" s="633"/>
      <c r="DIJ214" s="633"/>
      <c r="DIK214" s="633"/>
      <c r="DIL214" s="633"/>
      <c r="DIM214" s="633"/>
      <c r="DIN214" s="633"/>
      <c r="DIO214" s="633"/>
      <c r="DIP214" s="633"/>
      <c r="DIQ214" s="633"/>
      <c r="DIR214" s="633"/>
      <c r="DIS214" s="633"/>
      <c r="DIT214" s="633"/>
      <c r="DIU214" s="633"/>
      <c r="DIV214" s="633"/>
      <c r="DIW214" s="632" t="s">
        <v>634</v>
      </c>
      <c r="DIX214" s="633"/>
      <c r="DIY214" s="633"/>
      <c r="DIZ214" s="633"/>
      <c r="DJA214" s="633"/>
      <c r="DJB214" s="633"/>
      <c r="DJC214" s="633"/>
      <c r="DJD214" s="633"/>
      <c r="DJE214" s="633"/>
      <c r="DJF214" s="633"/>
      <c r="DJG214" s="633"/>
      <c r="DJH214" s="633"/>
      <c r="DJI214" s="633"/>
      <c r="DJJ214" s="633"/>
      <c r="DJK214" s="633"/>
      <c r="DJL214" s="633"/>
      <c r="DJM214" s="632" t="s">
        <v>634</v>
      </c>
      <c r="DJN214" s="633"/>
      <c r="DJO214" s="633"/>
      <c r="DJP214" s="633"/>
      <c r="DJQ214" s="633"/>
      <c r="DJR214" s="633"/>
      <c r="DJS214" s="633"/>
      <c r="DJT214" s="633"/>
      <c r="DJU214" s="633"/>
      <c r="DJV214" s="633"/>
      <c r="DJW214" s="633"/>
      <c r="DJX214" s="633"/>
      <c r="DJY214" s="633"/>
      <c r="DJZ214" s="633"/>
      <c r="DKA214" s="633"/>
      <c r="DKB214" s="633"/>
      <c r="DKC214" s="632" t="s">
        <v>634</v>
      </c>
      <c r="DKD214" s="633"/>
      <c r="DKE214" s="633"/>
      <c r="DKF214" s="633"/>
      <c r="DKG214" s="633"/>
      <c r="DKH214" s="633"/>
      <c r="DKI214" s="633"/>
      <c r="DKJ214" s="633"/>
      <c r="DKK214" s="633"/>
      <c r="DKL214" s="633"/>
      <c r="DKM214" s="633"/>
      <c r="DKN214" s="633"/>
      <c r="DKO214" s="633"/>
      <c r="DKP214" s="633"/>
      <c r="DKQ214" s="633"/>
      <c r="DKR214" s="633"/>
      <c r="DKS214" s="632" t="s">
        <v>634</v>
      </c>
      <c r="DKT214" s="633"/>
      <c r="DKU214" s="633"/>
      <c r="DKV214" s="633"/>
      <c r="DKW214" s="633"/>
      <c r="DKX214" s="633"/>
      <c r="DKY214" s="633"/>
      <c r="DKZ214" s="633"/>
      <c r="DLA214" s="633"/>
      <c r="DLB214" s="633"/>
      <c r="DLC214" s="633"/>
      <c r="DLD214" s="633"/>
      <c r="DLE214" s="633"/>
      <c r="DLF214" s="633"/>
      <c r="DLG214" s="633"/>
      <c r="DLH214" s="633"/>
      <c r="DLI214" s="632" t="s">
        <v>634</v>
      </c>
      <c r="DLJ214" s="633"/>
      <c r="DLK214" s="633"/>
      <c r="DLL214" s="633"/>
      <c r="DLM214" s="633"/>
      <c r="DLN214" s="633"/>
      <c r="DLO214" s="633"/>
      <c r="DLP214" s="633"/>
      <c r="DLQ214" s="633"/>
      <c r="DLR214" s="633"/>
      <c r="DLS214" s="633"/>
      <c r="DLT214" s="633"/>
      <c r="DLU214" s="633"/>
      <c r="DLV214" s="633"/>
      <c r="DLW214" s="633"/>
      <c r="DLX214" s="633"/>
      <c r="DLY214" s="632" t="s">
        <v>634</v>
      </c>
      <c r="DLZ214" s="633"/>
      <c r="DMA214" s="633"/>
      <c r="DMB214" s="633"/>
      <c r="DMC214" s="633"/>
      <c r="DMD214" s="633"/>
      <c r="DME214" s="633"/>
      <c r="DMF214" s="633"/>
      <c r="DMG214" s="633"/>
      <c r="DMH214" s="633"/>
      <c r="DMI214" s="633"/>
      <c r="DMJ214" s="633"/>
      <c r="DMK214" s="633"/>
      <c r="DML214" s="633"/>
      <c r="DMM214" s="633"/>
      <c r="DMN214" s="633"/>
      <c r="DMO214" s="632" t="s">
        <v>634</v>
      </c>
      <c r="DMP214" s="633"/>
      <c r="DMQ214" s="633"/>
      <c r="DMR214" s="633"/>
      <c r="DMS214" s="633"/>
      <c r="DMT214" s="633"/>
      <c r="DMU214" s="633"/>
      <c r="DMV214" s="633"/>
      <c r="DMW214" s="633"/>
      <c r="DMX214" s="633"/>
      <c r="DMY214" s="633"/>
      <c r="DMZ214" s="633"/>
      <c r="DNA214" s="633"/>
      <c r="DNB214" s="633"/>
      <c r="DNC214" s="633"/>
      <c r="DND214" s="633"/>
      <c r="DNE214" s="632" t="s">
        <v>634</v>
      </c>
      <c r="DNF214" s="633"/>
      <c r="DNG214" s="633"/>
      <c r="DNH214" s="633"/>
      <c r="DNI214" s="633"/>
      <c r="DNJ214" s="633"/>
      <c r="DNK214" s="633"/>
      <c r="DNL214" s="633"/>
      <c r="DNM214" s="633"/>
      <c r="DNN214" s="633"/>
      <c r="DNO214" s="633"/>
      <c r="DNP214" s="633"/>
      <c r="DNQ214" s="633"/>
      <c r="DNR214" s="633"/>
      <c r="DNS214" s="633"/>
      <c r="DNT214" s="633"/>
      <c r="DNU214" s="632" t="s">
        <v>634</v>
      </c>
      <c r="DNV214" s="633"/>
      <c r="DNW214" s="633"/>
      <c r="DNX214" s="633"/>
      <c r="DNY214" s="633"/>
      <c r="DNZ214" s="633"/>
      <c r="DOA214" s="633"/>
      <c r="DOB214" s="633"/>
      <c r="DOC214" s="633"/>
      <c r="DOD214" s="633"/>
      <c r="DOE214" s="633"/>
      <c r="DOF214" s="633"/>
      <c r="DOG214" s="633"/>
      <c r="DOH214" s="633"/>
      <c r="DOI214" s="633"/>
      <c r="DOJ214" s="633"/>
      <c r="DOK214" s="632" t="s">
        <v>634</v>
      </c>
      <c r="DOL214" s="633"/>
      <c r="DOM214" s="633"/>
      <c r="DON214" s="633"/>
      <c r="DOO214" s="633"/>
      <c r="DOP214" s="633"/>
      <c r="DOQ214" s="633"/>
      <c r="DOR214" s="633"/>
      <c r="DOS214" s="633"/>
      <c r="DOT214" s="633"/>
      <c r="DOU214" s="633"/>
      <c r="DOV214" s="633"/>
      <c r="DOW214" s="633"/>
      <c r="DOX214" s="633"/>
      <c r="DOY214" s="633"/>
      <c r="DOZ214" s="633"/>
      <c r="DPA214" s="632" t="s">
        <v>634</v>
      </c>
      <c r="DPB214" s="633"/>
      <c r="DPC214" s="633"/>
      <c r="DPD214" s="633"/>
      <c r="DPE214" s="633"/>
      <c r="DPF214" s="633"/>
      <c r="DPG214" s="633"/>
      <c r="DPH214" s="633"/>
      <c r="DPI214" s="633"/>
      <c r="DPJ214" s="633"/>
      <c r="DPK214" s="633"/>
      <c r="DPL214" s="633"/>
      <c r="DPM214" s="633"/>
      <c r="DPN214" s="633"/>
      <c r="DPO214" s="633"/>
      <c r="DPP214" s="633"/>
      <c r="DPQ214" s="632" t="s">
        <v>634</v>
      </c>
      <c r="DPR214" s="633"/>
      <c r="DPS214" s="633"/>
      <c r="DPT214" s="633"/>
      <c r="DPU214" s="633"/>
      <c r="DPV214" s="633"/>
      <c r="DPW214" s="633"/>
      <c r="DPX214" s="633"/>
      <c r="DPY214" s="633"/>
      <c r="DPZ214" s="633"/>
      <c r="DQA214" s="633"/>
      <c r="DQB214" s="633"/>
      <c r="DQC214" s="633"/>
      <c r="DQD214" s="633"/>
      <c r="DQE214" s="633"/>
      <c r="DQF214" s="633"/>
      <c r="DQG214" s="632" t="s">
        <v>634</v>
      </c>
      <c r="DQH214" s="633"/>
      <c r="DQI214" s="633"/>
      <c r="DQJ214" s="633"/>
      <c r="DQK214" s="633"/>
      <c r="DQL214" s="633"/>
      <c r="DQM214" s="633"/>
      <c r="DQN214" s="633"/>
      <c r="DQO214" s="633"/>
      <c r="DQP214" s="633"/>
      <c r="DQQ214" s="633"/>
      <c r="DQR214" s="633"/>
      <c r="DQS214" s="633"/>
      <c r="DQT214" s="633"/>
      <c r="DQU214" s="633"/>
      <c r="DQV214" s="633"/>
      <c r="DQW214" s="632" t="s">
        <v>634</v>
      </c>
      <c r="DQX214" s="633"/>
      <c r="DQY214" s="633"/>
      <c r="DQZ214" s="633"/>
      <c r="DRA214" s="633"/>
      <c r="DRB214" s="633"/>
      <c r="DRC214" s="633"/>
      <c r="DRD214" s="633"/>
      <c r="DRE214" s="633"/>
      <c r="DRF214" s="633"/>
      <c r="DRG214" s="633"/>
      <c r="DRH214" s="633"/>
      <c r="DRI214" s="633"/>
      <c r="DRJ214" s="633"/>
      <c r="DRK214" s="633"/>
      <c r="DRL214" s="633"/>
      <c r="DRM214" s="632" t="s">
        <v>634</v>
      </c>
      <c r="DRN214" s="633"/>
      <c r="DRO214" s="633"/>
      <c r="DRP214" s="633"/>
      <c r="DRQ214" s="633"/>
      <c r="DRR214" s="633"/>
      <c r="DRS214" s="633"/>
      <c r="DRT214" s="633"/>
      <c r="DRU214" s="633"/>
      <c r="DRV214" s="633"/>
      <c r="DRW214" s="633"/>
      <c r="DRX214" s="633"/>
      <c r="DRY214" s="633"/>
      <c r="DRZ214" s="633"/>
      <c r="DSA214" s="633"/>
      <c r="DSB214" s="633"/>
      <c r="DSC214" s="632" t="s">
        <v>634</v>
      </c>
      <c r="DSD214" s="633"/>
      <c r="DSE214" s="633"/>
      <c r="DSF214" s="633"/>
      <c r="DSG214" s="633"/>
      <c r="DSH214" s="633"/>
      <c r="DSI214" s="633"/>
      <c r="DSJ214" s="633"/>
      <c r="DSK214" s="633"/>
      <c r="DSL214" s="633"/>
      <c r="DSM214" s="633"/>
      <c r="DSN214" s="633"/>
      <c r="DSO214" s="633"/>
      <c r="DSP214" s="633"/>
      <c r="DSQ214" s="633"/>
      <c r="DSR214" s="633"/>
      <c r="DSS214" s="632" t="s">
        <v>634</v>
      </c>
      <c r="DST214" s="633"/>
      <c r="DSU214" s="633"/>
      <c r="DSV214" s="633"/>
      <c r="DSW214" s="633"/>
      <c r="DSX214" s="633"/>
      <c r="DSY214" s="633"/>
      <c r="DSZ214" s="633"/>
      <c r="DTA214" s="633"/>
      <c r="DTB214" s="633"/>
      <c r="DTC214" s="633"/>
      <c r="DTD214" s="633"/>
      <c r="DTE214" s="633"/>
      <c r="DTF214" s="633"/>
      <c r="DTG214" s="633"/>
      <c r="DTH214" s="633"/>
      <c r="DTI214" s="632" t="s">
        <v>634</v>
      </c>
      <c r="DTJ214" s="633"/>
      <c r="DTK214" s="633"/>
      <c r="DTL214" s="633"/>
      <c r="DTM214" s="633"/>
      <c r="DTN214" s="633"/>
      <c r="DTO214" s="633"/>
      <c r="DTP214" s="633"/>
      <c r="DTQ214" s="633"/>
      <c r="DTR214" s="633"/>
      <c r="DTS214" s="633"/>
      <c r="DTT214" s="633"/>
      <c r="DTU214" s="633"/>
      <c r="DTV214" s="633"/>
      <c r="DTW214" s="633"/>
      <c r="DTX214" s="633"/>
      <c r="DTY214" s="632" t="s">
        <v>634</v>
      </c>
      <c r="DTZ214" s="633"/>
      <c r="DUA214" s="633"/>
      <c r="DUB214" s="633"/>
      <c r="DUC214" s="633"/>
      <c r="DUD214" s="633"/>
      <c r="DUE214" s="633"/>
      <c r="DUF214" s="633"/>
      <c r="DUG214" s="633"/>
      <c r="DUH214" s="633"/>
      <c r="DUI214" s="633"/>
      <c r="DUJ214" s="633"/>
      <c r="DUK214" s="633"/>
      <c r="DUL214" s="633"/>
      <c r="DUM214" s="633"/>
      <c r="DUN214" s="633"/>
      <c r="DUO214" s="632" t="s">
        <v>634</v>
      </c>
      <c r="DUP214" s="633"/>
      <c r="DUQ214" s="633"/>
      <c r="DUR214" s="633"/>
      <c r="DUS214" s="633"/>
      <c r="DUT214" s="633"/>
      <c r="DUU214" s="633"/>
      <c r="DUV214" s="633"/>
      <c r="DUW214" s="633"/>
      <c r="DUX214" s="633"/>
      <c r="DUY214" s="633"/>
      <c r="DUZ214" s="633"/>
      <c r="DVA214" s="633"/>
      <c r="DVB214" s="633"/>
      <c r="DVC214" s="633"/>
      <c r="DVD214" s="633"/>
      <c r="DVE214" s="632" t="s">
        <v>634</v>
      </c>
      <c r="DVF214" s="633"/>
      <c r="DVG214" s="633"/>
      <c r="DVH214" s="633"/>
      <c r="DVI214" s="633"/>
      <c r="DVJ214" s="633"/>
      <c r="DVK214" s="633"/>
      <c r="DVL214" s="633"/>
      <c r="DVM214" s="633"/>
      <c r="DVN214" s="633"/>
      <c r="DVO214" s="633"/>
      <c r="DVP214" s="633"/>
      <c r="DVQ214" s="633"/>
      <c r="DVR214" s="633"/>
      <c r="DVS214" s="633"/>
      <c r="DVT214" s="633"/>
      <c r="DVU214" s="632" t="s">
        <v>634</v>
      </c>
      <c r="DVV214" s="633"/>
      <c r="DVW214" s="633"/>
      <c r="DVX214" s="633"/>
      <c r="DVY214" s="633"/>
      <c r="DVZ214" s="633"/>
      <c r="DWA214" s="633"/>
      <c r="DWB214" s="633"/>
      <c r="DWC214" s="633"/>
      <c r="DWD214" s="633"/>
      <c r="DWE214" s="633"/>
      <c r="DWF214" s="633"/>
      <c r="DWG214" s="633"/>
      <c r="DWH214" s="633"/>
      <c r="DWI214" s="633"/>
      <c r="DWJ214" s="633"/>
      <c r="DWK214" s="632" t="s">
        <v>634</v>
      </c>
      <c r="DWL214" s="633"/>
      <c r="DWM214" s="633"/>
      <c r="DWN214" s="633"/>
      <c r="DWO214" s="633"/>
      <c r="DWP214" s="633"/>
      <c r="DWQ214" s="633"/>
      <c r="DWR214" s="633"/>
      <c r="DWS214" s="633"/>
      <c r="DWT214" s="633"/>
      <c r="DWU214" s="633"/>
      <c r="DWV214" s="633"/>
      <c r="DWW214" s="633"/>
      <c r="DWX214" s="633"/>
      <c r="DWY214" s="633"/>
      <c r="DWZ214" s="633"/>
      <c r="DXA214" s="632" t="s">
        <v>634</v>
      </c>
      <c r="DXB214" s="633"/>
      <c r="DXC214" s="633"/>
      <c r="DXD214" s="633"/>
      <c r="DXE214" s="633"/>
      <c r="DXF214" s="633"/>
      <c r="DXG214" s="633"/>
      <c r="DXH214" s="633"/>
      <c r="DXI214" s="633"/>
      <c r="DXJ214" s="633"/>
      <c r="DXK214" s="633"/>
      <c r="DXL214" s="633"/>
      <c r="DXM214" s="633"/>
      <c r="DXN214" s="633"/>
      <c r="DXO214" s="633"/>
      <c r="DXP214" s="633"/>
      <c r="DXQ214" s="632" t="s">
        <v>634</v>
      </c>
      <c r="DXR214" s="633"/>
      <c r="DXS214" s="633"/>
      <c r="DXT214" s="633"/>
      <c r="DXU214" s="633"/>
      <c r="DXV214" s="633"/>
      <c r="DXW214" s="633"/>
      <c r="DXX214" s="633"/>
      <c r="DXY214" s="633"/>
      <c r="DXZ214" s="633"/>
      <c r="DYA214" s="633"/>
      <c r="DYB214" s="633"/>
      <c r="DYC214" s="633"/>
      <c r="DYD214" s="633"/>
      <c r="DYE214" s="633"/>
      <c r="DYF214" s="633"/>
      <c r="DYG214" s="632" t="s">
        <v>634</v>
      </c>
      <c r="DYH214" s="633"/>
      <c r="DYI214" s="633"/>
      <c r="DYJ214" s="633"/>
      <c r="DYK214" s="633"/>
      <c r="DYL214" s="633"/>
      <c r="DYM214" s="633"/>
      <c r="DYN214" s="633"/>
      <c r="DYO214" s="633"/>
      <c r="DYP214" s="633"/>
      <c r="DYQ214" s="633"/>
      <c r="DYR214" s="633"/>
      <c r="DYS214" s="633"/>
      <c r="DYT214" s="633"/>
      <c r="DYU214" s="633"/>
      <c r="DYV214" s="633"/>
      <c r="DYW214" s="632" t="s">
        <v>634</v>
      </c>
      <c r="DYX214" s="633"/>
      <c r="DYY214" s="633"/>
      <c r="DYZ214" s="633"/>
      <c r="DZA214" s="633"/>
      <c r="DZB214" s="633"/>
      <c r="DZC214" s="633"/>
      <c r="DZD214" s="633"/>
      <c r="DZE214" s="633"/>
      <c r="DZF214" s="633"/>
      <c r="DZG214" s="633"/>
      <c r="DZH214" s="633"/>
      <c r="DZI214" s="633"/>
      <c r="DZJ214" s="633"/>
      <c r="DZK214" s="633"/>
      <c r="DZL214" s="633"/>
      <c r="DZM214" s="632" t="s">
        <v>634</v>
      </c>
      <c r="DZN214" s="633"/>
      <c r="DZO214" s="633"/>
      <c r="DZP214" s="633"/>
      <c r="DZQ214" s="633"/>
      <c r="DZR214" s="633"/>
      <c r="DZS214" s="633"/>
      <c r="DZT214" s="633"/>
      <c r="DZU214" s="633"/>
      <c r="DZV214" s="633"/>
      <c r="DZW214" s="633"/>
      <c r="DZX214" s="633"/>
      <c r="DZY214" s="633"/>
      <c r="DZZ214" s="633"/>
      <c r="EAA214" s="633"/>
      <c r="EAB214" s="633"/>
      <c r="EAC214" s="632" t="s">
        <v>634</v>
      </c>
      <c r="EAD214" s="633"/>
      <c r="EAE214" s="633"/>
      <c r="EAF214" s="633"/>
      <c r="EAG214" s="633"/>
      <c r="EAH214" s="633"/>
      <c r="EAI214" s="633"/>
      <c r="EAJ214" s="633"/>
      <c r="EAK214" s="633"/>
      <c r="EAL214" s="633"/>
      <c r="EAM214" s="633"/>
      <c r="EAN214" s="633"/>
      <c r="EAO214" s="633"/>
      <c r="EAP214" s="633"/>
      <c r="EAQ214" s="633"/>
      <c r="EAR214" s="633"/>
      <c r="EAS214" s="632" t="s">
        <v>634</v>
      </c>
      <c r="EAT214" s="633"/>
      <c r="EAU214" s="633"/>
      <c r="EAV214" s="633"/>
      <c r="EAW214" s="633"/>
      <c r="EAX214" s="633"/>
      <c r="EAY214" s="633"/>
      <c r="EAZ214" s="633"/>
      <c r="EBA214" s="633"/>
      <c r="EBB214" s="633"/>
      <c r="EBC214" s="633"/>
      <c r="EBD214" s="633"/>
      <c r="EBE214" s="633"/>
      <c r="EBF214" s="633"/>
      <c r="EBG214" s="633"/>
      <c r="EBH214" s="633"/>
      <c r="EBI214" s="632" t="s">
        <v>634</v>
      </c>
      <c r="EBJ214" s="633"/>
      <c r="EBK214" s="633"/>
      <c r="EBL214" s="633"/>
      <c r="EBM214" s="633"/>
      <c r="EBN214" s="633"/>
      <c r="EBO214" s="633"/>
      <c r="EBP214" s="633"/>
      <c r="EBQ214" s="633"/>
      <c r="EBR214" s="633"/>
      <c r="EBS214" s="633"/>
      <c r="EBT214" s="633"/>
      <c r="EBU214" s="633"/>
      <c r="EBV214" s="633"/>
      <c r="EBW214" s="633"/>
      <c r="EBX214" s="633"/>
      <c r="EBY214" s="632" t="s">
        <v>634</v>
      </c>
      <c r="EBZ214" s="633"/>
      <c r="ECA214" s="633"/>
      <c r="ECB214" s="633"/>
      <c r="ECC214" s="633"/>
      <c r="ECD214" s="633"/>
      <c r="ECE214" s="633"/>
      <c r="ECF214" s="633"/>
      <c r="ECG214" s="633"/>
      <c r="ECH214" s="633"/>
      <c r="ECI214" s="633"/>
      <c r="ECJ214" s="633"/>
      <c r="ECK214" s="633"/>
      <c r="ECL214" s="633"/>
      <c r="ECM214" s="633"/>
      <c r="ECN214" s="633"/>
      <c r="ECO214" s="632" t="s">
        <v>634</v>
      </c>
      <c r="ECP214" s="633"/>
      <c r="ECQ214" s="633"/>
      <c r="ECR214" s="633"/>
      <c r="ECS214" s="633"/>
      <c r="ECT214" s="633"/>
      <c r="ECU214" s="633"/>
      <c r="ECV214" s="633"/>
      <c r="ECW214" s="633"/>
      <c r="ECX214" s="633"/>
      <c r="ECY214" s="633"/>
      <c r="ECZ214" s="633"/>
      <c r="EDA214" s="633"/>
      <c r="EDB214" s="633"/>
      <c r="EDC214" s="633"/>
      <c r="EDD214" s="633"/>
      <c r="EDE214" s="632" t="s">
        <v>634</v>
      </c>
      <c r="EDF214" s="633"/>
      <c r="EDG214" s="633"/>
      <c r="EDH214" s="633"/>
      <c r="EDI214" s="633"/>
      <c r="EDJ214" s="633"/>
      <c r="EDK214" s="633"/>
      <c r="EDL214" s="633"/>
      <c r="EDM214" s="633"/>
      <c r="EDN214" s="633"/>
      <c r="EDO214" s="633"/>
      <c r="EDP214" s="633"/>
      <c r="EDQ214" s="633"/>
      <c r="EDR214" s="633"/>
      <c r="EDS214" s="633"/>
      <c r="EDT214" s="633"/>
      <c r="EDU214" s="632" t="s">
        <v>634</v>
      </c>
      <c r="EDV214" s="633"/>
      <c r="EDW214" s="633"/>
      <c r="EDX214" s="633"/>
      <c r="EDY214" s="633"/>
      <c r="EDZ214" s="633"/>
      <c r="EEA214" s="633"/>
      <c r="EEB214" s="633"/>
      <c r="EEC214" s="633"/>
      <c r="EED214" s="633"/>
      <c r="EEE214" s="633"/>
      <c r="EEF214" s="633"/>
      <c r="EEG214" s="633"/>
      <c r="EEH214" s="633"/>
      <c r="EEI214" s="633"/>
      <c r="EEJ214" s="633"/>
      <c r="EEK214" s="632" t="s">
        <v>634</v>
      </c>
      <c r="EEL214" s="633"/>
      <c r="EEM214" s="633"/>
      <c r="EEN214" s="633"/>
      <c r="EEO214" s="633"/>
      <c r="EEP214" s="633"/>
      <c r="EEQ214" s="633"/>
      <c r="EER214" s="633"/>
      <c r="EES214" s="633"/>
      <c r="EET214" s="633"/>
      <c r="EEU214" s="633"/>
      <c r="EEV214" s="633"/>
      <c r="EEW214" s="633"/>
      <c r="EEX214" s="633"/>
      <c r="EEY214" s="633"/>
      <c r="EEZ214" s="633"/>
      <c r="EFA214" s="632" t="s">
        <v>634</v>
      </c>
      <c r="EFB214" s="633"/>
      <c r="EFC214" s="633"/>
      <c r="EFD214" s="633"/>
      <c r="EFE214" s="633"/>
      <c r="EFF214" s="633"/>
      <c r="EFG214" s="633"/>
      <c r="EFH214" s="633"/>
      <c r="EFI214" s="633"/>
      <c r="EFJ214" s="633"/>
      <c r="EFK214" s="633"/>
      <c r="EFL214" s="633"/>
      <c r="EFM214" s="633"/>
      <c r="EFN214" s="633"/>
      <c r="EFO214" s="633"/>
      <c r="EFP214" s="633"/>
      <c r="EFQ214" s="632" t="s">
        <v>634</v>
      </c>
      <c r="EFR214" s="633"/>
      <c r="EFS214" s="633"/>
      <c r="EFT214" s="633"/>
      <c r="EFU214" s="633"/>
      <c r="EFV214" s="633"/>
      <c r="EFW214" s="633"/>
      <c r="EFX214" s="633"/>
      <c r="EFY214" s="633"/>
      <c r="EFZ214" s="633"/>
      <c r="EGA214" s="633"/>
      <c r="EGB214" s="633"/>
      <c r="EGC214" s="633"/>
      <c r="EGD214" s="633"/>
      <c r="EGE214" s="633"/>
      <c r="EGF214" s="633"/>
      <c r="EGG214" s="632" t="s">
        <v>634</v>
      </c>
      <c r="EGH214" s="633"/>
      <c r="EGI214" s="633"/>
      <c r="EGJ214" s="633"/>
      <c r="EGK214" s="633"/>
      <c r="EGL214" s="633"/>
      <c r="EGM214" s="633"/>
      <c r="EGN214" s="633"/>
      <c r="EGO214" s="633"/>
      <c r="EGP214" s="633"/>
      <c r="EGQ214" s="633"/>
      <c r="EGR214" s="633"/>
      <c r="EGS214" s="633"/>
      <c r="EGT214" s="633"/>
      <c r="EGU214" s="633"/>
      <c r="EGV214" s="633"/>
      <c r="EGW214" s="632" t="s">
        <v>634</v>
      </c>
      <c r="EGX214" s="633"/>
      <c r="EGY214" s="633"/>
      <c r="EGZ214" s="633"/>
      <c r="EHA214" s="633"/>
      <c r="EHB214" s="633"/>
      <c r="EHC214" s="633"/>
      <c r="EHD214" s="633"/>
      <c r="EHE214" s="633"/>
      <c r="EHF214" s="633"/>
      <c r="EHG214" s="633"/>
      <c r="EHH214" s="633"/>
      <c r="EHI214" s="633"/>
      <c r="EHJ214" s="633"/>
      <c r="EHK214" s="633"/>
      <c r="EHL214" s="633"/>
      <c r="EHM214" s="632" t="s">
        <v>634</v>
      </c>
      <c r="EHN214" s="633"/>
      <c r="EHO214" s="633"/>
      <c r="EHP214" s="633"/>
      <c r="EHQ214" s="633"/>
      <c r="EHR214" s="633"/>
      <c r="EHS214" s="633"/>
      <c r="EHT214" s="633"/>
      <c r="EHU214" s="633"/>
      <c r="EHV214" s="633"/>
      <c r="EHW214" s="633"/>
      <c r="EHX214" s="633"/>
      <c r="EHY214" s="633"/>
      <c r="EHZ214" s="633"/>
      <c r="EIA214" s="633"/>
      <c r="EIB214" s="633"/>
      <c r="EIC214" s="632" t="s">
        <v>634</v>
      </c>
      <c r="EID214" s="633"/>
      <c r="EIE214" s="633"/>
      <c r="EIF214" s="633"/>
      <c r="EIG214" s="633"/>
      <c r="EIH214" s="633"/>
      <c r="EII214" s="633"/>
      <c r="EIJ214" s="633"/>
      <c r="EIK214" s="633"/>
      <c r="EIL214" s="633"/>
      <c r="EIM214" s="633"/>
      <c r="EIN214" s="633"/>
      <c r="EIO214" s="633"/>
      <c r="EIP214" s="633"/>
      <c r="EIQ214" s="633"/>
      <c r="EIR214" s="633"/>
      <c r="EIS214" s="632" t="s">
        <v>634</v>
      </c>
      <c r="EIT214" s="633"/>
      <c r="EIU214" s="633"/>
      <c r="EIV214" s="633"/>
      <c r="EIW214" s="633"/>
      <c r="EIX214" s="633"/>
      <c r="EIY214" s="633"/>
      <c r="EIZ214" s="633"/>
      <c r="EJA214" s="633"/>
      <c r="EJB214" s="633"/>
      <c r="EJC214" s="633"/>
      <c r="EJD214" s="633"/>
      <c r="EJE214" s="633"/>
      <c r="EJF214" s="633"/>
      <c r="EJG214" s="633"/>
      <c r="EJH214" s="633"/>
      <c r="EJI214" s="632" t="s">
        <v>634</v>
      </c>
      <c r="EJJ214" s="633"/>
      <c r="EJK214" s="633"/>
      <c r="EJL214" s="633"/>
      <c r="EJM214" s="633"/>
      <c r="EJN214" s="633"/>
      <c r="EJO214" s="633"/>
      <c r="EJP214" s="633"/>
      <c r="EJQ214" s="633"/>
      <c r="EJR214" s="633"/>
      <c r="EJS214" s="633"/>
      <c r="EJT214" s="633"/>
      <c r="EJU214" s="633"/>
      <c r="EJV214" s="633"/>
      <c r="EJW214" s="633"/>
      <c r="EJX214" s="633"/>
      <c r="EJY214" s="632" t="s">
        <v>634</v>
      </c>
      <c r="EJZ214" s="633"/>
      <c r="EKA214" s="633"/>
      <c r="EKB214" s="633"/>
      <c r="EKC214" s="633"/>
      <c r="EKD214" s="633"/>
      <c r="EKE214" s="633"/>
      <c r="EKF214" s="633"/>
      <c r="EKG214" s="633"/>
      <c r="EKH214" s="633"/>
      <c r="EKI214" s="633"/>
      <c r="EKJ214" s="633"/>
      <c r="EKK214" s="633"/>
      <c r="EKL214" s="633"/>
      <c r="EKM214" s="633"/>
      <c r="EKN214" s="633"/>
      <c r="EKO214" s="632" t="s">
        <v>634</v>
      </c>
      <c r="EKP214" s="633"/>
      <c r="EKQ214" s="633"/>
      <c r="EKR214" s="633"/>
      <c r="EKS214" s="633"/>
      <c r="EKT214" s="633"/>
      <c r="EKU214" s="633"/>
      <c r="EKV214" s="633"/>
      <c r="EKW214" s="633"/>
      <c r="EKX214" s="633"/>
      <c r="EKY214" s="633"/>
      <c r="EKZ214" s="633"/>
      <c r="ELA214" s="633"/>
      <c r="ELB214" s="633"/>
      <c r="ELC214" s="633"/>
      <c r="ELD214" s="633"/>
      <c r="ELE214" s="632" t="s">
        <v>634</v>
      </c>
      <c r="ELF214" s="633"/>
      <c r="ELG214" s="633"/>
      <c r="ELH214" s="633"/>
      <c r="ELI214" s="633"/>
      <c r="ELJ214" s="633"/>
      <c r="ELK214" s="633"/>
      <c r="ELL214" s="633"/>
      <c r="ELM214" s="633"/>
      <c r="ELN214" s="633"/>
      <c r="ELO214" s="633"/>
      <c r="ELP214" s="633"/>
      <c r="ELQ214" s="633"/>
      <c r="ELR214" s="633"/>
      <c r="ELS214" s="633"/>
      <c r="ELT214" s="633"/>
      <c r="ELU214" s="632" t="s">
        <v>634</v>
      </c>
      <c r="ELV214" s="633"/>
      <c r="ELW214" s="633"/>
      <c r="ELX214" s="633"/>
      <c r="ELY214" s="633"/>
      <c r="ELZ214" s="633"/>
      <c r="EMA214" s="633"/>
      <c r="EMB214" s="633"/>
      <c r="EMC214" s="633"/>
      <c r="EMD214" s="633"/>
      <c r="EME214" s="633"/>
      <c r="EMF214" s="633"/>
      <c r="EMG214" s="633"/>
      <c r="EMH214" s="633"/>
      <c r="EMI214" s="633"/>
      <c r="EMJ214" s="633"/>
      <c r="EMK214" s="632" t="s">
        <v>634</v>
      </c>
      <c r="EML214" s="633"/>
      <c r="EMM214" s="633"/>
      <c r="EMN214" s="633"/>
      <c r="EMO214" s="633"/>
      <c r="EMP214" s="633"/>
      <c r="EMQ214" s="633"/>
      <c r="EMR214" s="633"/>
      <c r="EMS214" s="633"/>
      <c r="EMT214" s="633"/>
      <c r="EMU214" s="633"/>
      <c r="EMV214" s="633"/>
      <c r="EMW214" s="633"/>
      <c r="EMX214" s="633"/>
      <c r="EMY214" s="633"/>
      <c r="EMZ214" s="633"/>
      <c r="ENA214" s="632" t="s">
        <v>634</v>
      </c>
      <c r="ENB214" s="633"/>
      <c r="ENC214" s="633"/>
      <c r="END214" s="633"/>
      <c r="ENE214" s="633"/>
      <c r="ENF214" s="633"/>
      <c r="ENG214" s="633"/>
      <c r="ENH214" s="633"/>
      <c r="ENI214" s="633"/>
      <c r="ENJ214" s="633"/>
      <c r="ENK214" s="633"/>
      <c r="ENL214" s="633"/>
      <c r="ENM214" s="633"/>
      <c r="ENN214" s="633"/>
      <c r="ENO214" s="633"/>
      <c r="ENP214" s="633"/>
      <c r="ENQ214" s="632" t="s">
        <v>634</v>
      </c>
      <c r="ENR214" s="633"/>
      <c r="ENS214" s="633"/>
      <c r="ENT214" s="633"/>
      <c r="ENU214" s="633"/>
      <c r="ENV214" s="633"/>
      <c r="ENW214" s="633"/>
      <c r="ENX214" s="633"/>
      <c r="ENY214" s="633"/>
      <c r="ENZ214" s="633"/>
      <c r="EOA214" s="633"/>
      <c r="EOB214" s="633"/>
      <c r="EOC214" s="633"/>
      <c r="EOD214" s="633"/>
      <c r="EOE214" s="633"/>
      <c r="EOF214" s="633"/>
      <c r="EOG214" s="632" t="s">
        <v>634</v>
      </c>
      <c r="EOH214" s="633"/>
      <c r="EOI214" s="633"/>
      <c r="EOJ214" s="633"/>
      <c r="EOK214" s="633"/>
      <c r="EOL214" s="633"/>
      <c r="EOM214" s="633"/>
      <c r="EON214" s="633"/>
      <c r="EOO214" s="633"/>
      <c r="EOP214" s="633"/>
      <c r="EOQ214" s="633"/>
      <c r="EOR214" s="633"/>
      <c r="EOS214" s="633"/>
      <c r="EOT214" s="633"/>
      <c r="EOU214" s="633"/>
      <c r="EOV214" s="633"/>
      <c r="EOW214" s="632" t="s">
        <v>634</v>
      </c>
      <c r="EOX214" s="633"/>
      <c r="EOY214" s="633"/>
      <c r="EOZ214" s="633"/>
      <c r="EPA214" s="633"/>
      <c r="EPB214" s="633"/>
      <c r="EPC214" s="633"/>
      <c r="EPD214" s="633"/>
      <c r="EPE214" s="633"/>
      <c r="EPF214" s="633"/>
      <c r="EPG214" s="633"/>
      <c r="EPH214" s="633"/>
      <c r="EPI214" s="633"/>
      <c r="EPJ214" s="633"/>
      <c r="EPK214" s="633"/>
      <c r="EPL214" s="633"/>
      <c r="EPM214" s="632" t="s">
        <v>634</v>
      </c>
      <c r="EPN214" s="633"/>
      <c r="EPO214" s="633"/>
      <c r="EPP214" s="633"/>
      <c r="EPQ214" s="633"/>
      <c r="EPR214" s="633"/>
      <c r="EPS214" s="633"/>
      <c r="EPT214" s="633"/>
      <c r="EPU214" s="633"/>
      <c r="EPV214" s="633"/>
      <c r="EPW214" s="633"/>
      <c r="EPX214" s="633"/>
      <c r="EPY214" s="633"/>
      <c r="EPZ214" s="633"/>
      <c r="EQA214" s="633"/>
      <c r="EQB214" s="633"/>
      <c r="EQC214" s="632" t="s">
        <v>634</v>
      </c>
      <c r="EQD214" s="633"/>
      <c r="EQE214" s="633"/>
      <c r="EQF214" s="633"/>
      <c r="EQG214" s="633"/>
      <c r="EQH214" s="633"/>
      <c r="EQI214" s="633"/>
      <c r="EQJ214" s="633"/>
      <c r="EQK214" s="633"/>
      <c r="EQL214" s="633"/>
      <c r="EQM214" s="633"/>
      <c r="EQN214" s="633"/>
      <c r="EQO214" s="633"/>
      <c r="EQP214" s="633"/>
      <c r="EQQ214" s="633"/>
      <c r="EQR214" s="633"/>
      <c r="EQS214" s="632" t="s">
        <v>634</v>
      </c>
      <c r="EQT214" s="633"/>
      <c r="EQU214" s="633"/>
      <c r="EQV214" s="633"/>
      <c r="EQW214" s="633"/>
      <c r="EQX214" s="633"/>
      <c r="EQY214" s="633"/>
      <c r="EQZ214" s="633"/>
      <c r="ERA214" s="633"/>
      <c r="ERB214" s="633"/>
      <c r="ERC214" s="633"/>
      <c r="ERD214" s="633"/>
      <c r="ERE214" s="633"/>
      <c r="ERF214" s="633"/>
      <c r="ERG214" s="633"/>
      <c r="ERH214" s="633"/>
      <c r="ERI214" s="632" t="s">
        <v>634</v>
      </c>
      <c r="ERJ214" s="633"/>
      <c r="ERK214" s="633"/>
      <c r="ERL214" s="633"/>
      <c r="ERM214" s="633"/>
      <c r="ERN214" s="633"/>
      <c r="ERO214" s="633"/>
      <c r="ERP214" s="633"/>
      <c r="ERQ214" s="633"/>
      <c r="ERR214" s="633"/>
      <c r="ERS214" s="633"/>
      <c r="ERT214" s="633"/>
      <c r="ERU214" s="633"/>
      <c r="ERV214" s="633"/>
      <c r="ERW214" s="633"/>
      <c r="ERX214" s="633"/>
      <c r="ERY214" s="632" t="s">
        <v>634</v>
      </c>
      <c r="ERZ214" s="633"/>
      <c r="ESA214" s="633"/>
      <c r="ESB214" s="633"/>
      <c r="ESC214" s="633"/>
      <c r="ESD214" s="633"/>
      <c r="ESE214" s="633"/>
      <c r="ESF214" s="633"/>
      <c r="ESG214" s="633"/>
      <c r="ESH214" s="633"/>
      <c r="ESI214" s="633"/>
      <c r="ESJ214" s="633"/>
      <c r="ESK214" s="633"/>
      <c r="ESL214" s="633"/>
      <c r="ESM214" s="633"/>
      <c r="ESN214" s="633"/>
      <c r="ESO214" s="632" t="s">
        <v>634</v>
      </c>
      <c r="ESP214" s="633"/>
      <c r="ESQ214" s="633"/>
      <c r="ESR214" s="633"/>
      <c r="ESS214" s="633"/>
      <c r="EST214" s="633"/>
      <c r="ESU214" s="633"/>
      <c r="ESV214" s="633"/>
      <c r="ESW214" s="633"/>
      <c r="ESX214" s="633"/>
      <c r="ESY214" s="633"/>
      <c r="ESZ214" s="633"/>
      <c r="ETA214" s="633"/>
      <c r="ETB214" s="633"/>
      <c r="ETC214" s="633"/>
      <c r="ETD214" s="633"/>
      <c r="ETE214" s="632" t="s">
        <v>634</v>
      </c>
      <c r="ETF214" s="633"/>
      <c r="ETG214" s="633"/>
      <c r="ETH214" s="633"/>
      <c r="ETI214" s="633"/>
      <c r="ETJ214" s="633"/>
      <c r="ETK214" s="633"/>
      <c r="ETL214" s="633"/>
      <c r="ETM214" s="633"/>
      <c r="ETN214" s="633"/>
      <c r="ETO214" s="633"/>
      <c r="ETP214" s="633"/>
      <c r="ETQ214" s="633"/>
      <c r="ETR214" s="633"/>
      <c r="ETS214" s="633"/>
      <c r="ETT214" s="633"/>
      <c r="ETU214" s="632" t="s">
        <v>634</v>
      </c>
      <c r="ETV214" s="633"/>
      <c r="ETW214" s="633"/>
      <c r="ETX214" s="633"/>
      <c r="ETY214" s="633"/>
      <c r="ETZ214" s="633"/>
      <c r="EUA214" s="633"/>
      <c r="EUB214" s="633"/>
      <c r="EUC214" s="633"/>
      <c r="EUD214" s="633"/>
      <c r="EUE214" s="633"/>
      <c r="EUF214" s="633"/>
      <c r="EUG214" s="633"/>
      <c r="EUH214" s="633"/>
      <c r="EUI214" s="633"/>
      <c r="EUJ214" s="633"/>
      <c r="EUK214" s="632" t="s">
        <v>634</v>
      </c>
      <c r="EUL214" s="633"/>
      <c r="EUM214" s="633"/>
      <c r="EUN214" s="633"/>
      <c r="EUO214" s="633"/>
      <c r="EUP214" s="633"/>
      <c r="EUQ214" s="633"/>
      <c r="EUR214" s="633"/>
      <c r="EUS214" s="633"/>
      <c r="EUT214" s="633"/>
      <c r="EUU214" s="633"/>
      <c r="EUV214" s="633"/>
      <c r="EUW214" s="633"/>
      <c r="EUX214" s="633"/>
      <c r="EUY214" s="633"/>
      <c r="EUZ214" s="633"/>
      <c r="EVA214" s="632" t="s">
        <v>634</v>
      </c>
      <c r="EVB214" s="633"/>
      <c r="EVC214" s="633"/>
      <c r="EVD214" s="633"/>
      <c r="EVE214" s="633"/>
      <c r="EVF214" s="633"/>
      <c r="EVG214" s="633"/>
      <c r="EVH214" s="633"/>
      <c r="EVI214" s="633"/>
      <c r="EVJ214" s="633"/>
      <c r="EVK214" s="633"/>
      <c r="EVL214" s="633"/>
      <c r="EVM214" s="633"/>
      <c r="EVN214" s="633"/>
      <c r="EVO214" s="633"/>
      <c r="EVP214" s="633"/>
      <c r="EVQ214" s="632" t="s">
        <v>634</v>
      </c>
      <c r="EVR214" s="633"/>
      <c r="EVS214" s="633"/>
      <c r="EVT214" s="633"/>
      <c r="EVU214" s="633"/>
      <c r="EVV214" s="633"/>
      <c r="EVW214" s="633"/>
      <c r="EVX214" s="633"/>
      <c r="EVY214" s="633"/>
      <c r="EVZ214" s="633"/>
      <c r="EWA214" s="633"/>
      <c r="EWB214" s="633"/>
      <c r="EWC214" s="633"/>
      <c r="EWD214" s="633"/>
      <c r="EWE214" s="633"/>
      <c r="EWF214" s="633"/>
      <c r="EWG214" s="632" t="s">
        <v>634</v>
      </c>
      <c r="EWH214" s="633"/>
      <c r="EWI214" s="633"/>
      <c r="EWJ214" s="633"/>
      <c r="EWK214" s="633"/>
      <c r="EWL214" s="633"/>
      <c r="EWM214" s="633"/>
      <c r="EWN214" s="633"/>
      <c r="EWO214" s="633"/>
      <c r="EWP214" s="633"/>
      <c r="EWQ214" s="633"/>
      <c r="EWR214" s="633"/>
      <c r="EWS214" s="633"/>
      <c r="EWT214" s="633"/>
      <c r="EWU214" s="633"/>
      <c r="EWV214" s="633"/>
      <c r="EWW214" s="632" t="s">
        <v>634</v>
      </c>
      <c r="EWX214" s="633"/>
      <c r="EWY214" s="633"/>
      <c r="EWZ214" s="633"/>
      <c r="EXA214" s="633"/>
      <c r="EXB214" s="633"/>
      <c r="EXC214" s="633"/>
      <c r="EXD214" s="633"/>
      <c r="EXE214" s="633"/>
      <c r="EXF214" s="633"/>
      <c r="EXG214" s="633"/>
      <c r="EXH214" s="633"/>
      <c r="EXI214" s="633"/>
      <c r="EXJ214" s="633"/>
      <c r="EXK214" s="633"/>
      <c r="EXL214" s="633"/>
      <c r="EXM214" s="632" t="s">
        <v>634</v>
      </c>
      <c r="EXN214" s="633"/>
      <c r="EXO214" s="633"/>
      <c r="EXP214" s="633"/>
      <c r="EXQ214" s="633"/>
      <c r="EXR214" s="633"/>
      <c r="EXS214" s="633"/>
      <c r="EXT214" s="633"/>
      <c r="EXU214" s="633"/>
      <c r="EXV214" s="633"/>
      <c r="EXW214" s="633"/>
      <c r="EXX214" s="633"/>
      <c r="EXY214" s="633"/>
      <c r="EXZ214" s="633"/>
      <c r="EYA214" s="633"/>
      <c r="EYB214" s="633"/>
      <c r="EYC214" s="632" t="s">
        <v>634</v>
      </c>
      <c r="EYD214" s="633"/>
      <c r="EYE214" s="633"/>
      <c r="EYF214" s="633"/>
      <c r="EYG214" s="633"/>
      <c r="EYH214" s="633"/>
      <c r="EYI214" s="633"/>
      <c r="EYJ214" s="633"/>
      <c r="EYK214" s="633"/>
      <c r="EYL214" s="633"/>
      <c r="EYM214" s="633"/>
      <c r="EYN214" s="633"/>
      <c r="EYO214" s="633"/>
      <c r="EYP214" s="633"/>
      <c r="EYQ214" s="633"/>
      <c r="EYR214" s="633"/>
      <c r="EYS214" s="632" t="s">
        <v>634</v>
      </c>
      <c r="EYT214" s="633"/>
      <c r="EYU214" s="633"/>
      <c r="EYV214" s="633"/>
      <c r="EYW214" s="633"/>
      <c r="EYX214" s="633"/>
      <c r="EYY214" s="633"/>
      <c r="EYZ214" s="633"/>
      <c r="EZA214" s="633"/>
      <c r="EZB214" s="633"/>
      <c r="EZC214" s="633"/>
      <c r="EZD214" s="633"/>
      <c r="EZE214" s="633"/>
      <c r="EZF214" s="633"/>
      <c r="EZG214" s="633"/>
      <c r="EZH214" s="633"/>
      <c r="EZI214" s="632" t="s">
        <v>634</v>
      </c>
      <c r="EZJ214" s="633"/>
      <c r="EZK214" s="633"/>
      <c r="EZL214" s="633"/>
      <c r="EZM214" s="633"/>
      <c r="EZN214" s="633"/>
      <c r="EZO214" s="633"/>
      <c r="EZP214" s="633"/>
      <c r="EZQ214" s="633"/>
      <c r="EZR214" s="633"/>
      <c r="EZS214" s="633"/>
      <c r="EZT214" s="633"/>
      <c r="EZU214" s="633"/>
      <c r="EZV214" s="633"/>
      <c r="EZW214" s="633"/>
      <c r="EZX214" s="633"/>
      <c r="EZY214" s="632" t="s">
        <v>634</v>
      </c>
      <c r="EZZ214" s="633"/>
      <c r="FAA214" s="633"/>
      <c r="FAB214" s="633"/>
      <c r="FAC214" s="633"/>
      <c r="FAD214" s="633"/>
      <c r="FAE214" s="633"/>
      <c r="FAF214" s="633"/>
      <c r="FAG214" s="633"/>
      <c r="FAH214" s="633"/>
      <c r="FAI214" s="633"/>
      <c r="FAJ214" s="633"/>
      <c r="FAK214" s="633"/>
      <c r="FAL214" s="633"/>
      <c r="FAM214" s="633"/>
      <c r="FAN214" s="633"/>
      <c r="FAO214" s="632" t="s">
        <v>634</v>
      </c>
      <c r="FAP214" s="633"/>
      <c r="FAQ214" s="633"/>
      <c r="FAR214" s="633"/>
      <c r="FAS214" s="633"/>
      <c r="FAT214" s="633"/>
      <c r="FAU214" s="633"/>
      <c r="FAV214" s="633"/>
      <c r="FAW214" s="633"/>
      <c r="FAX214" s="633"/>
      <c r="FAY214" s="633"/>
      <c r="FAZ214" s="633"/>
      <c r="FBA214" s="633"/>
      <c r="FBB214" s="633"/>
      <c r="FBC214" s="633"/>
      <c r="FBD214" s="633"/>
      <c r="FBE214" s="632" t="s">
        <v>634</v>
      </c>
      <c r="FBF214" s="633"/>
      <c r="FBG214" s="633"/>
      <c r="FBH214" s="633"/>
      <c r="FBI214" s="633"/>
      <c r="FBJ214" s="633"/>
      <c r="FBK214" s="633"/>
      <c r="FBL214" s="633"/>
      <c r="FBM214" s="633"/>
      <c r="FBN214" s="633"/>
      <c r="FBO214" s="633"/>
      <c r="FBP214" s="633"/>
      <c r="FBQ214" s="633"/>
      <c r="FBR214" s="633"/>
      <c r="FBS214" s="633"/>
      <c r="FBT214" s="633"/>
      <c r="FBU214" s="632" t="s">
        <v>634</v>
      </c>
      <c r="FBV214" s="633"/>
      <c r="FBW214" s="633"/>
      <c r="FBX214" s="633"/>
      <c r="FBY214" s="633"/>
      <c r="FBZ214" s="633"/>
      <c r="FCA214" s="633"/>
      <c r="FCB214" s="633"/>
      <c r="FCC214" s="633"/>
      <c r="FCD214" s="633"/>
      <c r="FCE214" s="633"/>
      <c r="FCF214" s="633"/>
      <c r="FCG214" s="633"/>
      <c r="FCH214" s="633"/>
      <c r="FCI214" s="633"/>
      <c r="FCJ214" s="633"/>
      <c r="FCK214" s="632" t="s">
        <v>634</v>
      </c>
      <c r="FCL214" s="633"/>
      <c r="FCM214" s="633"/>
      <c r="FCN214" s="633"/>
      <c r="FCO214" s="633"/>
      <c r="FCP214" s="633"/>
      <c r="FCQ214" s="633"/>
      <c r="FCR214" s="633"/>
      <c r="FCS214" s="633"/>
      <c r="FCT214" s="633"/>
      <c r="FCU214" s="633"/>
      <c r="FCV214" s="633"/>
      <c r="FCW214" s="633"/>
      <c r="FCX214" s="633"/>
      <c r="FCY214" s="633"/>
      <c r="FCZ214" s="633"/>
      <c r="FDA214" s="632" t="s">
        <v>634</v>
      </c>
      <c r="FDB214" s="633"/>
      <c r="FDC214" s="633"/>
      <c r="FDD214" s="633"/>
      <c r="FDE214" s="633"/>
      <c r="FDF214" s="633"/>
      <c r="FDG214" s="633"/>
      <c r="FDH214" s="633"/>
      <c r="FDI214" s="633"/>
      <c r="FDJ214" s="633"/>
      <c r="FDK214" s="633"/>
      <c r="FDL214" s="633"/>
      <c r="FDM214" s="633"/>
      <c r="FDN214" s="633"/>
      <c r="FDO214" s="633"/>
      <c r="FDP214" s="633"/>
      <c r="FDQ214" s="632" t="s">
        <v>634</v>
      </c>
      <c r="FDR214" s="633"/>
      <c r="FDS214" s="633"/>
      <c r="FDT214" s="633"/>
      <c r="FDU214" s="633"/>
      <c r="FDV214" s="633"/>
      <c r="FDW214" s="633"/>
      <c r="FDX214" s="633"/>
      <c r="FDY214" s="633"/>
      <c r="FDZ214" s="633"/>
      <c r="FEA214" s="633"/>
      <c r="FEB214" s="633"/>
      <c r="FEC214" s="633"/>
      <c r="FED214" s="633"/>
      <c r="FEE214" s="633"/>
      <c r="FEF214" s="633"/>
      <c r="FEG214" s="632" t="s">
        <v>634</v>
      </c>
      <c r="FEH214" s="633"/>
      <c r="FEI214" s="633"/>
      <c r="FEJ214" s="633"/>
      <c r="FEK214" s="633"/>
      <c r="FEL214" s="633"/>
      <c r="FEM214" s="633"/>
      <c r="FEN214" s="633"/>
      <c r="FEO214" s="633"/>
      <c r="FEP214" s="633"/>
      <c r="FEQ214" s="633"/>
      <c r="FER214" s="633"/>
      <c r="FES214" s="633"/>
      <c r="FET214" s="633"/>
      <c r="FEU214" s="633"/>
      <c r="FEV214" s="633"/>
      <c r="FEW214" s="632" t="s">
        <v>634</v>
      </c>
      <c r="FEX214" s="633"/>
      <c r="FEY214" s="633"/>
      <c r="FEZ214" s="633"/>
      <c r="FFA214" s="633"/>
      <c r="FFB214" s="633"/>
      <c r="FFC214" s="633"/>
      <c r="FFD214" s="633"/>
      <c r="FFE214" s="633"/>
      <c r="FFF214" s="633"/>
      <c r="FFG214" s="633"/>
      <c r="FFH214" s="633"/>
      <c r="FFI214" s="633"/>
      <c r="FFJ214" s="633"/>
      <c r="FFK214" s="633"/>
      <c r="FFL214" s="633"/>
      <c r="FFM214" s="632" t="s">
        <v>634</v>
      </c>
      <c r="FFN214" s="633"/>
      <c r="FFO214" s="633"/>
      <c r="FFP214" s="633"/>
      <c r="FFQ214" s="633"/>
      <c r="FFR214" s="633"/>
      <c r="FFS214" s="633"/>
      <c r="FFT214" s="633"/>
      <c r="FFU214" s="633"/>
      <c r="FFV214" s="633"/>
      <c r="FFW214" s="633"/>
      <c r="FFX214" s="633"/>
      <c r="FFY214" s="633"/>
      <c r="FFZ214" s="633"/>
      <c r="FGA214" s="633"/>
      <c r="FGB214" s="633"/>
      <c r="FGC214" s="632" t="s">
        <v>634</v>
      </c>
      <c r="FGD214" s="633"/>
      <c r="FGE214" s="633"/>
      <c r="FGF214" s="633"/>
      <c r="FGG214" s="633"/>
      <c r="FGH214" s="633"/>
      <c r="FGI214" s="633"/>
      <c r="FGJ214" s="633"/>
      <c r="FGK214" s="633"/>
      <c r="FGL214" s="633"/>
      <c r="FGM214" s="633"/>
      <c r="FGN214" s="633"/>
      <c r="FGO214" s="633"/>
      <c r="FGP214" s="633"/>
      <c r="FGQ214" s="633"/>
      <c r="FGR214" s="633"/>
      <c r="FGS214" s="632" t="s">
        <v>634</v>
      </c>
      <c r="FGT214" s="633"/>
      <c r="FGU214" s="633"/>
      <c r="FGV214" s="633"/>
      <c r="FGW214" s="633"/>
      <c r="FGX214" s="633"/>
      <c r="FGY214" s="633"/>
      <c r="FGZ214" s="633"/>
      <c r="FHA214" s="633"/>
      <c r="FHB214" s="633"/>
      <c r="FHC214" s="633"/>
      <c r="FHD214" s="633"/>
      <c r="FHE214" s="633"/>
      <c r="FHF214" s="633"/>
      <c r="FHG214" s="633"/>
      <c r="FHH214" s="633"/>
      <c r="FHI214" s="632" t="s">
        <v>634</v>
      </c>
      <c r="FHJ214" s="633"/>
      <c r="FHK214" s="633"/>
      <c r="FHL214" s="633"/>
      <c r="FHM214" s="633"/>
      <c r="FHN214" s="633"/>
      <c r="FHO214" s="633"/>
      <c r="FHP214" s="633"/>
      <c r="FHQ214" s="633"/>
      <c r="FHR214" s="633"/>
      <c r="FHS214" s="633"/>
      <c r="FHT214" s="633"/>
      <c r="FHU214" s="633"/>
      <c r="FHV214" s="633"/>
      <c r="FHW214" s="633"/>
      <c r="FHX214" s="633"/>
      <c r="FHY214" s="632" t="s">
        <v>634</v>
      </c>
      <c r="FHZ214" s="633"/>
      <c r="FIA214" s="633"/>
      <c r="FIB214" s="633"/>
      <c r="FIC214" s="633"/>
      <c r="FID214" s="633"/>
      <c r="FIE214" s="633"/>
      <c r="FIF214" s="633"/>
      <c r="FIG214" s="633"/>
      <c r="FIH214" s="633"/>
      <c r="FII214" s="633"/>
      <c r="FIJ214" s="633"/>
      <c r="FIK214" s="633"/>
      <c r="FIL214" s="633"/>
      <c r="FIM214" s="633"/>
      <c r="FIN214" s="633"/>
      <c r="FIO214" s="632" t="s">
        <v>634</v>
      </c>
      <c r="FIP214" s="633"/>
      <c r="FIQ214" s="633"/>
      <c r="FIR214" s="633"/>
      <c r="FIS214" s="633"/>
      <c r="FIT214" s="633"/>
      <c r="FIU214" s="633"/>
      <c r="FIV214" s="633"/>
      <c r="FIW214" s="633"/>
      <c r="FIX214" s="633"/>
      <c r="FIY214" s="633"/>
      <c r="FIZ214" s="633"/>
      <c r="FJA214" s="633"/>
      <c r="FJB214" s="633"/>
      <c r="FJC214" s="633"/>
      <c r="FJD214" s="633"/>
      <c r="FJE214" s="632" t="s">
        <v>634</v>
      </c>
      <c r="FJF214" s="633"/>
      <c r="FJG214" s="633"/>
      <c r="FJH214" s="633"/>
      <c r="FJI214" s="633"/>
      <c r="FJJ214" s="633"/>
      <c r="FJK214" s="633"/>
      <c r="FJL214" s="633"/>
      <c r="FJM214" s="633"/>
      <c r="FJN214" s="633"/>
      <c r="FJO214" s="633"/>
      <c r="FJP214" s="633"/>
      <c r="FJQ214" s="633"/>
      <c r="FJR214" s="633"/>
      <c r="FJS214" s="633"/>
      <c r="FJT214" s="633"/>
      <c r="FJU214" s="632" t="s">
        <v>634</v>
      </c>
      <c r="FJV214" s="633"/>
      <c r="FJW214" s="633"/>
      <c r="FJX214" s="633"/>
      <c r="FJY214" s="633"/>
      <c r="FJZ214" s="633"/>
      <c r="FKA214" s="633"/>
      <c r="FKB214" s="633"/>
      <c r="FKC214" s="633"/>
      <c r="FKD214" s="633"/>
      <c r="FKE214" s="633"/>
      <c r="FKF214" s="633"/>
      <c r="FKG214" s="633"/>
      <c r="FKH214" s="633"/>
      <c r="FKI214" s="633"/>
      <c r="FKJ214" s="633"/>
      <c r="FKK214" s="632" t="s">
        <v>634</v>
      </c>
      <c r="FKL214" s="633"/>
      <c r="FKM214" s="633"/>
      <c r="FKN214" s="633"/>
      <c r="FKO214" s="633"/>
      <c r="FKP214" s="633"/>
      <c r="FKQ214" s="633"/>
      <c r="FKR214" s="633"/>
      <c r="FKS214" s="633"/>
      <c r="FKT214" s="633"/>
      <c r="FKU214" s="633"/>
      <c r="FKV214" s="633"/>
      <c r="FKW214" s="633"/>
      <c r="FKX214" s="633"/>
      <c r="FKY214" s="633"/>
      <c r="FKZ214" s="633"/>
      <c r="FLA214" s="632" t="s">
        <v>634</v>
      </c>
      <c r="FLB214" s="633"/>
      <c r="FLC214" s="633"/>
      <c r="FLD214" s="633"/>
      <c r="FLE214" s="633"/>
      <c r="FLF214" s="633"/>
      <c r="FLG214" s="633"/>
      <c r="FLH214" s="633"/>
      <c r="FLI214" s="633"/>
      <c r="FLJ214" s="633"/>
      <c r="FLK214" s="633"/>
      <c r="FLL214" s="633"/>
      <c r="FLM214" s="633"/>
      <c r="FLN214" s="633"/>
      <c r="FLO214" s="633"/>
      <c r="FLP214" s="633"/>
      <c r="FLQ214" s="632" t="s">
        <v>634</v>
      </c>
      <c r="FLR214" s="633"/>
      <c r="FLS214" s="633"/>
      <c r="FLT214" s="633"/>
      <c r="FLU214" s="633"/>
      <c r="FLV214" s="633"/>
      <c r="FLW214" s="633"/>
      <c r="FLX214" s="633"/>
      <c r="FLY214" s="633"/>
      <c r="FLZ214" s="633"/>
      <c r="FMA214" s="633"/>
      <c r="FMB214" s="633"/>
      <c r="FMC214" s="633"/>
      <c r="FMD214" s="633"/>
      <c r="FME214" s="633"/>
      <c r="FMF214" s="633"/>
      <c r="FMG214" s="632" t="s">
        <v>634</v>
      </c>
      <c r="FMH214" s="633"/>
      <c r="FMI214" s="633"/>
      <c r="FMJ214" s="633"/>
      <c r="FMK214" s="633"/>
      <c r="FML214" s="633"/>
      <c r="FMM214" s="633"/>
      <c r="FMN214" s="633"/>
      <c r="FMO214" s="633"/>
      <c r="FMP214" s="633"/>
      <c r="FMQ214" s="633"/>
      <c r="FMR214" s="633"/>
      <c r="FMS214" s="633"/>
      <c r="FMT214" s="633"/>
      <c r="FMU214" s="633"/>
      <c r="FMV214" s="633"/>
      <c r="FMW214" s="632" t="s">
        <v>634</v>
      </c>
      <c r="FMX214" s="633"/>
      <c r="FMY214" s="633"/>
      <c r="FMZ214" s="633"/>
      <c r="FNA214" s="633"/>
      <c r="FNB214" s="633"/>
      <c r="FNC214" s="633"/>
      <c r="FND214" s="633"/>
      <c r="FNE214" s="633"/>
      <c r="FNF214" s="633"/>
      <c r="FNG214" s="633"/>
      <c r="FNH214" s="633"/>
      <c r="FNI214" s="633"/>
      <c r="FNJ214" s="633"/>
      <c r="FNK214" s="633"/>
      <c r="FNL214" s="633"/>
      <c r="FNM214" s="632" t="s">
        <v>634</v>
      </c>
      <c r="FNN214" s="633"/>
      <c r="FNO214" s="633"/>
      <c r="FNP214" s="633"/>
      <c r="FNQ214" s="633"/>
      <c r="FNR214" s="633"/>
      <c r="FNS214" s="633"/>
      <c r="FNT214" s="633"/>
      <c r="FNU214" s="633"/>
      <c r="FNV214" s="633"/>
      <c r="FNW214" s="633"/>
      <c r="FNX214" s="633"/>
      <c r="FNY214" s="633"/>
      <c r="FNZ214" s="633"/>
      <c r="FOA214" s="633"/>
      <c r="FOB214" s="633"/>
      <c r="FOC214" s="632" t="s">
        <v>634</v>
      </c>
      <c r="FOD214" s="633"/>
      <c r="FOE214" s="633"/>
      <c r="FOF214" s="633"/>
      <c r="FOG214" s="633"/>
      <c r="FOH214" s="633"/>
      <c r="FOI214" s="633"/>
      <c r="FOJ214" s="633"/>
      <c r="FOK214" s="633"/>
      <c r="FOL214" s="633"/>
      <c r="FOM214" s="633"/>
      <c r="FON214" s="633"/>
      <c r="FOO214" s="633"/>
      <c r="FOP214" s="633"/>
      <c r="FOQ214" s="633"/>
      <c r="FOR214" s="633"/>
      <c r="FOS214" s="632" t="s">
        <v>634</v>
      </c>
      <c r="FOT214" s="633"/>
      <c r="FOU214" s="633"/>
      <c r="FOV214" s="633"/>
      <c r="FOW214" s="633"/>
      <c r="FOX214" s="633"/>
      <c r="FOY214" s="633"/>
      <c r="FOZ214" s="633"/>
      <c r="FPA214" s="633"/>
      <c r="FPB214" s="633"/>
      <c r="FPC214" s="633"/>
      <c r="FPD214" s="633"/>
      <c r="FPE214" s="633"/>
      <c r="FPF214" s="633"/>
      <c r="FPG214" s="633"/>
      <c r="FPH214" s="633"/>
      <c r="FPI214" s="632" t="s">
        <v>634</v>
      </c>
      <c r="FPJ214" s="633"/>
      <c r="FPK214" s="633"/>
      <c r="FPL214" s="633"/>
      <c r="FPM214" s="633"/>
      <c r="FPN214" s="633"/>
      <c r="FPO214" s="633"/>
      <c r="FPP214" s="633"/>
      <c r="FPQ214" s="633"/>
      <c r="FPR214" s="633"/>
      <c r="FPS214" s="633"/>
      <c r="FPT214" s="633"/>
      <c r="FPU214" s="633"/>
      <c r="FPV214" s="633"/>
      <c r="FPW214" s="633"/>
      <c r="FPX214" s="633"/>
      <c r="FPY214" s="632" t="s">
        <v>634</v>
      </c>
      <c r="FPZ214" s="633"/>
      <c r="FQA214" s="633"/>
      <c r="FQB214" s="633"/>
      <c r="FQC214" s="633"/>
      <c r="FQD214" s="633"/>
      <c r="FQE214" s="633"/>
      <c r="FQF214" s="633"/>
      <c r="FQG214" s="633"/>
      <c r="FQH214" s="633"/>
      <c r="FQI214" s="633"/>
      <c r="FQJ214" s="633"/>
      <c r="FQK214" s="633"/>
      <c r="FQL214" s="633"/>
      <c r="FQM214" s="633"/>
      <c r="FQN214" s="633"/>
      <c r="FQO214" s="632" t="s">
        <v>634</v>
      </c>
      <c r="FQP214" s="633"/>
      <c r="FQQ214" s="633"/>
      <c r="FQR214" s="633"/>
      <c r="FQS214" s="633"/>
      <c r="FQT214" s="633"/>
      <c r="FQU214" s="633"/>
      <c r="FQV214" s="633"/>
      <c r="FQW214" s="633"/>
      <c r="FQX214" s="633"/>
      <c r="FQY214" s="633"/>
      <c r="FQZ214" s="633"/>
      <c r="FRA214" s="633"/>
      <c r="FRB214" s="633"/>
      <c r="FRC214" s="633"/>
      <c r="FRD214" s="633"/>
      <c r="FRE214" s="632" t="s">
        <v>634</v>
      </c>
      <c r="FRF214" s="633"/>
      <c r="FRG214" s="633"/>
      <c r="FRH214" s="633"/>
      <c r="FRI214" s="633"/>
      <c r="FRJ214" s="633"/>
      <c r="FRK214" s="633"/>
      <c r="FRL214" s="633"/>
      <c r="FRM214" s="633"/>
      <c r="FRN214" s="633"/>
      <c r="FRO214" s="633"/>
      <c r="FRP214" s="633"/>
      <c r="FRQ214" s="633"/>
      <c r="FRR214" s="633"/>
      <c r="FRS214" s="633"/>
      <c r="FRT214" s="633"/>
      <c r="FRU214" s="632" t="s">
        <v>634</v>
      </c>
      <c r="FRV214" s="633"/>
      <c r="FRW214" s="633"/>
      <c r="FRX214" s="633"/>
      <c r="FRY214" s="633"/>
      <c r="FRZ214" s="633"/>
      <c r="FSA214" s="633"/>
      <c r="FSB214" s="633"/>
      <c r="FSC214" s="633"/>
      <c r="FSD214" s="633"/>
      <c r="FSE214" s="633"/>
      <c r="FSF214" s="633"/>
      <c r="FSG214" s="633"/>
      <c r="FSH214" s="633"/>
      <c r="FSI214" s="633"/>
      <c r="FSJ214" s="633"/>
      <c r="FSK214" s="632" t="s">
        <v>634</v>
      </c>
      <c r="FSL214" s="633"/>
      <c r="FSM214" s="633"/>
      <c r="FSN214" s="633"/>
      <c r="FSO214" s="633"/>
      <c r="FSP214" s="633"/>
      <c r="FSQ214" s="633"/>
      <c r="FSR214" s="633"/>
      <c r="FSS214" s="633"/>
      <c r="FST214" s="633"/>
      <c r="FSU214" s="633"/>
      <c r="FSV214" s="633"/>
      <c r="FSW214" s="633"/>
      <c r="FSX214" s="633"/>
      <c r="FSY214" s="633"/>
      <c r="FSZ214" s="633"/>
      <c r="FTA214" s="632" t="s">
        <v>634</v>
      </c>
      <c r="FTB214" s="633"/>
      <c r="FTC214" s="633"/>
      <c r="FTD214" s="633"/>
      <c r="FTE214" s="633"/>
      <c r="FTF214" s="633"/>
      <c r="FTG214" s="633"/>
      <c r="FTH214" s="633"/>
      <c r="FTI214" s="633"/>
      <c r="FTJ214" s="633"/>
      <c r="FTK214" s="633"/>
      <c r="FTL214" s="633"/>
      <c r="FTM214" s="633"/>
      <c r="FTN214" s="633"/>
      <c r="FTO214" s="633"/>
      <c r="FTP214" s="633"/>
      <c r="FTQ214" s="632" t="s">
        <v>634</v>
      </c>
      <c r="FTR214" s="633"/>
      <c r="FTS214" s="633"/>
      <c r="FTT214" s="633"/>
      <c r="FTU214" s="633"/>
      <c r="FTV214" s="633"/>
      <c r="FTW214" s="633"/>
      <c r="FTX214" s="633"/>
      <c r="FTY214" s="633"/>
      <c r="FTZ214" s="633"/>
      <c r="FUA214" s="633"/>
      <c r="FUB214" s="633"/>
      <c r="FUC214" s="633"/>
      <c r="FUD214" s="633"/>
      <c r="FUE214" s="633"/>
      <c r="FUF214" s="633"/>
      <c r="FUG214" s="632" t="s">
        <v>634</v>
      </c>
      <c r="FUH214" s="633"/>
      <c r="FUI214" s="633"/>
      <c r="FUJ214" s="633"/>
      <c r="FUK214" s="633"/>
      <c r="FUL214" s="633"/>
      <c r="FUM214" s="633"/>
      <c r="FUN214" s="633"/>
      <c r="FUO214" s="633"/>
      <c r="FUP214" s="633"/>
      <c r="FUQ214" s="633"/>
      <c r="FUR214" s="633"/>
      <c r="FUS214" s="633"/>
      <c r="FUT214" s="633"/>
      <c r="FUU214" s="633"/>
      <c r="FUV214" s="633"/>
      <c r="FUW214" s="632" t="s">
        <v>634</v>
      </c>
      <c r="FUX214" s="633"/>
      <c r="FUY214" s="633"/>
      <c r="FUZ214" s="633"/>
      <c r="FVA214" s="633"/>
      <c r="FVB214" s="633"/>
      <c r="FVC214" s="633"/>
      <c r="FVD214" s="633"/>
      <c r="FVE214" s="633"/>
      <c r="FVF214" s="633"/>
      <c r="FVG214" s="633"/>
      <c r="FVH214" s="633"/>
      <c r="FVI214" s="633"/>
      <c r="FVJ214" s="633"/>
      <c r="FVK214" s="633"/>
      <c r="FVL214" s="633"/>
      <c r="FVM214" s="632" t="s">
        <v>634</v>
      </c>
      <c r="FVN214" s="633"/>
      <c r="FVO214" s="633"/>
      <c r="FVP214" s="633"/>
      <c r="FVQ214" s="633"/>
      <c r="FVR214" s="633"/>
      <c r="FVS214" s="633"/>
      <c r="FVT214" s="633"/>
      <c r="FVU214" s="633"/>
      <c r="FVV214" s="633"/>
      <c r="FVW214" s="633"/>
      <c r="FVX214" s="633"/>
      <c r="FVY214" s="633"/>
      <c r="FVZ214" s="633"/>
      <c r="FWA214" s="633"/>
      <c r="FWB214" s="633"/>
      <c r="FWC214" s="632" t="s">
        <v>634</v>
      </c>
      <c r="FWD214" s="633"/>
      <c r="FWE214" s="633"/>
      <c r="FWF214" s="633"/>
      <c r="FWG214" s="633"/>
      <c r="FWH214" s="633"/>
      <c r="FWI214" s="633"/>
      <c r="FWJ214" s="633"/>
      <c r="FWK214" s="633"/>
      <c r="FWL214" s="633"/>
      <c r="FWM214" s="633"/>
      <c r="FWN214" s="633"/>
      <c r="FWO214" s="633"/>
      <c r="FWP214" s="633"/>
      <c r="FWQ214" s="633"/>
      <c r="FWR214" s="633"/>
      <c r="FWS214" s="632" t="s">
        <v>634</v>
      </c>
      <c r="FWT214" s="633"/>
      <c r="FWU214" s="633"/>
      <c r="FWV214" s="633"/>
      <c r="FWW214" s="633"/>
      <c r="FWX214" s="633"/>
      <c r="FWY214" s="633"/>
      <c r="FWZ214" s="633"/>
      <c r="FXA214" s="633"/>
      <c r="FXB214" s="633"/>
      <c r="FXC214" s="633"/>
      <c r="FXD214" s="633"/>
      <c r="FXE214" s="633"/>
      <c r="FXF214" s="633"/>
      <c r="FXG214" s="633"/>
      <c r="FXH214" s="633"/>
      <c r="FXI214" s="632" t="s">
        <v>634</v>
      </c>
      <c r="FXJ214" s="633"/>
      <c r="FXK214" s="633"/>
      <c r="FXL214" s="633"/>
      <c r="FXM214" s="633"/>
      <c r="FXN214" s="633"/>
      <c r="FXO214" s="633"/>
      <c r="FXP214" s="633"/>
      <c r="FXQ214" s="633"/>
      <c r="FXR214" s="633"/>
      <c r="FXS214" s="633"/>
      <c r="FXT214" s="633"/>
      <c r="FXU214" s="633"/>
      <c r="FXV214" s="633"/>
      <c r="FXW214" s="633"/>
      <c r="FXX214" s="633"/>
      <c r="FXY214" s="632" t="s">
        <v>634</v>
      </c>
      <c r="FXZ214" s="633"/>
      <c r="FYA214" s="633"/>
      <c r="FYB214" s="633"/>
      <c r="FYC214" s="633"/>
      <c r="FYD214" s="633"/>
      <c r="FYE214" s="633"/>
      <c r="FYF214" s="633"/>
      <c r="FYG214" s="633"/>
      <c r="FYH214" s="633"/>
      <c r="FYI214" s="633"/>
      <c r="FYJ214" s="633"/>
      <c r="FYK214" s="633"/>
      <c r="FYL214" s="633"/>
      <c r="FYM214" s="633"/>
      <c r="FYN214" s="633"/>
      <c r="FYO214" s="632" t="s">
        <v>634</v>
      </c>
      <c r="FYP214" s="633"/>
      <c r="FYQ214" s="633"/>
      <c r="FYR214" s="633"/>
      <c r="FYS214" s="633"/>
      <c r="FYT214" s="633"/>
      <c r="FYU214" s="633"/>
      <c r="FYV214" s="633"/>
      <c r="FYW214" s="633"/>
      <c r="FYX214" s="633"/>
      <c r="FYY214" s="633"/>
      <c r="FYZ214" s="633"/>
      <c r="FZA214" s="633"/>
      <c r="FZB214" s="633"/>
      <c r="FZC214" s="633"/>
      <c r="FZD214" s="633"/>
      <c r="FZE214" s="632" t="s">
        <v>634</v>
      </c>
      <c r="FZF214" s="633"/>
      <c r="FZG214" s="633"/>
      <c r="FZH214" s="633"/>
      <c r="FZI214" s="633"/>
      <c r="FZJ214" s="633"/>
      <c r="FZK214" s="633"/>
      <c r="FZL214" s="633"/>
      <c r="FZM214" s="633"/>
      <c r="FZN214" s="633"/>
      <c r="FZO214" s="633"/>
      <c r="FZP214" s="633"/>
      <c r="FZQ214" s="633"/>
      <c r="FZR214" s="633"/>
      <c r="FZS214" s="633"/>
      <c r="FZT214" s="633"/>
      <c r="FZU214" s="632" t="s">
        <v>634</v>
      </c>
      <c r="FZV214" s="633"/>
      <c r="FZW214" s="633"/>
      <c r="FZX214" s="633"/>
      <c r="FZY214" s="633"/>
      <c r="FZZ214" s="633"/>
      <c r="GAA214" s="633"/>
      <c r="GAB214" s="633"/>
      <c r="GAC214" s="633"/>
      <c r="GAD214" s="633"/>
      <c r="GAE214" s="633"/>
      <c r="GAF214" s="633"/>
      <c r="GAG214" s="633"/>
      <c r="GAH214" s="633"/>
      <c r="GAI214" s="633"/>
      <c r="GAJ214" s="633"/>
      <c r="GAK214" s="632" t="s">
        <v>634</v>
      </c>
      <c r="GAL214" s="633"/>
      <c r="GAM214" s="633"/>
      <c r="GAN214" s="633"/>
      <c r="GAO214" s="633"/>
      <c r="GAP214" s="633"/>
      <c r="GAQ214" s="633"/>
      <c r="GAR214" s="633"/>
      <c r="GAS214" s="633"/>
      <c r="GAT214" s="633"/>
      <c r="GAU214" s="633"/>
      <c r="GAV214" s="633"/>
      <c r="GAW214" s="633"/>
      <c r="GAX214" s="633"/>
      <c r="GAY214" s="633"/>
      <c r="GAZ214" s="633"/>
      <c r="GBA214" s="632" t="s">
        <v>634</v>
      </c>
      <c r="GBB214" s="633"/>
      <c r="GBC214" s="633"/>
      <c r="GBD214" s="633"/>
      <c r="GBE214" s="633"/>
      <c r="GBF214" s="633"/>
      <c r="GBG214" s="633"/>
      <c r="GBH214" s="633"/>
      <c r="GBI214" s="633"/>
      <c r="GBJ214" s="633"/>
      <c r="GBK214" s="633"/>
      <c r="GBL214" s="633"/>
      <c r="GBM214" s="633"/>
      <c r="GBN214" s="633"/>
      <c r="GBO214" s="633"/>
      <c r="GBP214" s="633"/>
      <c r="GBQ214" s="632" t="s">
        <v>634</v>
      </c>
      <c r="GBR214" s="633"/>
      <c r="GBS214" s="633"/>
      <c r="GBT214" s="633"/>
      <c r="GBU214" s="633"/>
      <c r="GBV214" s="633"/>
      <c r="GBW214" s="633"/>
      <c r="GBX214" s="633"/>
      <c r="GBY214" s="633"/>
      <c r="GBZ214" s="633"/>
      <c r="GCA214" s="633"/>
      <c r="GCB214" s="633"/>
      <c r="GCC214" s="633"/>
      <c r="GCD214" s="633"/>
      <c r="GCE214" s="633"/>
      <c r="GCF214" s="633"/>
      <c r="GCG214" s="632" t="s">
        <v>634</v>
      </c>
      <c r="GCH214" s="633"/>
      <c r="GCI214" s="633"/>
      <c r="GCJ214" s="633"/>
      <c r="GCK214" s="633"/>
      <c r="GCL214" s="633"/>
      <c r="GCM214" s="633"/>
      <c r="GCN214" s="633"/>
      <c r="GCO214" s="633"/>
      <c r="GCP214" s="633"/>
      <c r="GCQ214" s="633"/>
      <c r="GCR214" s="633"/>
      <c r="GCS214" s="633"/>
      <c r="GCT214" s="633"/>
      <c r="GCU214" s="633"/>
      <c r="GCV214" s="633"/>
      <c r="GCW214" s="632" t="s">
        <v>634</v>
      </c>
      <c r="GCX214" s="633"/>
      <c r="GCY214" s="633"/>
      <c r="GCZ214" s="633"/>
      <c r="GDA214" s="633"/>
      <c r="GDB214" s="633"/>
      <c r="GDC214" s="633"/>
      <c r="GDD214" s="633"/>
      <c r="GDE214" s="633"/>
      <c r="GDF214" s="633"/>
      <c r="GDG214" s="633"/>
      <c r="GDH214" s="633"/>
      <c r="GDI214" s="633"/>
      <c r="GDJ214" s="633"/>
      <c r="GDK214" s="633"/>
      <c r="GDL214" s="633"/>
      <c r="GDM214" s="632" t="s">
        <v>634</v>
      </c>
      <c r="GDN214" s="633"/>
      <c r="GDO214" s="633"/>
      <c r="GDP214" s="633"/>
      <c r="GDQ214" s="633"/>
      <c r="GDR214" s="633"/>
      <c r="GDS214" s="633"/>
      <c r="GDT214" s="633"/>
      <c r="GDU214" s="633"/>
      <c r="GDV214" s="633"/>
      <c r="GDW214" s="633"/>
      <c r="GDX214" s="633"/>
      <c r="GDY214" s="633"/>
      <c r="GDZ214" s="633"/>
      <c r="GEA214" s="633"/>
      <c r="GEB214" s="633"/>
      <c r="GEC214" s="632" t="s">
        <v>634</v>
      </c>
      <c r="GED214" s="633"/>
      <c r="GEE214" s="633"/>
      <c r="GEF214" s="633"/>
      <c r="GEG214" s="633"/>
      <c r="GEH214" s="633"/>
      <c r="GEI214" s="633"/>
      <c r="GEJ214" s="633"/>
      <c r="GEK214" s="633"/>
      <c r="GEL214" s="633"/>
      <c r="GEM214" s="633"/>
      <c r="GEN214" s="633"/>
      <c r="GEO214" s="633"/>
      <c r="GEP214" s="633"/>
      <c r="GEQ214" s="633"/>
      <c r="GER214" s="633"/>
      <c r="GES214" s="632" t="s">
        <v>634</v>
      </c>
      <c r="GET214" s="633"/>
      <c r="GEU214" s="633"/>
      <c r="GEV214" s="633"/>
      <c r="GEW214" s="633"/>
      <c r="GEX214" s="633"/>
      <c r="GEY214" s="633"/>
      <c r="GEZ214" s="633"/>
      <c r="GFA214" s="633"/>
      <c r="GFB214" s="633"/>
      <c r="GFC214" s="633"/>
      <c r="GFD214" s="633"/>
      <c r="GFE214" s="633"/>
      <c r="GFF214" s="633"/>
      <c r="GFG214" s="633"/>
      <c r="GFH214" s="633"/>
      <c r="GFI214" s="632" t="s">
        <v>634</v>
      </c>
      <c r="GFJ214" s="633"/>
      <c r="GFK214" s="633"/>
      <c r="GFL214" s="633"/>
      <c r="GFM214" s="633"/>
      <c r="GFN214" s="633"/>
      <c r="GFO214" s="633"/>
      <c r="GFP214" s="633"/>
      <c r="GFQ214" s="633"/>
      <c r="GFR214" s="633"/>
      <c r="GFS214" s="633"/>
      <c r="GFT214" s="633"/>
      <c r="GFU214" s="633"/>
      <c r="GFV214" s="633"/>
      <c r="GFW214" s="633"/>
      <c r="GFX214" s="633"/>
      <c r="GFY214" s="632" t="s">
        <v>634</v>
      </c>
      <c r="GFZ214" s="633"/>
      <c r="GGA214" s="633"/>
      <c r="GGB214" s="633"/>
      <c r="GGC214" s="633"/>
      <c r="GGD214" s="633"/>
      <c r="GGE214" s="633"/>
      <c r="GGF214" s="633"/>
      <c r="GGG214" s="633"/>
      <c r="GGH214" s="633"/>
      <c r="GGI214" s="633"/>
      <c r="GGJ214" s="633"/>
      <c r="GGK214" s="633"/>
      <c r="GGL214" s="633"/>
      <c r="GGM214" s="633"/>
      <c r="GGN214" s="633"/>
      <c r="GGO214" s="632" t="s">
        <v>634</v>
      </c>
      <c r="GGP214" s="633"/>
      <c r="GGQ214" s="633"/>
      <c r="GGR214" s="633"/>
      <c r="GGS214" s="633"/>
      <c r="GGT214" s="633"/>
      <c r="GGU214" s="633"/>
      <c r="GGV214" s="633"/>
      <c r="GGW214" s="633"/>
      <c r="GGX214" s="633"/>
      <c r="GGY214" s="633"/>
      <c r="GGZ214" s="633"/>
      <c r="GHA214" s="633"/>
      <c r="GHB214" s="633"/>
      <c r="GHC214" s="633"/>
      <c r="GHD214" s="633"/>
      <c r="GHE214" s="632" t="s">
        <v>634</v>
      </c>
      <c r="GHF214" s="633"/>
      <c r="GHG214" s="633"/>
      <c r="GHH214" s="633"/>
      <c r="GHI214" s="633"/>
      <c r="GHJ214" s="633"/>
      <c r="GHK214" s="633"/>
      <c r="GHL214" s="633"/>
      <c r="GHM214" s="633"/>
      <c r="GHN214" s="633"/>
      <c r="GHO214" s="633"/>
      <c r="GHP214" s="633"/>
      <c r="GHQ214" s="633"/>
      <c r="GHR214" s="633"/>
      <c r="GHS214" s="633"/>
      <c r="GHT214" s="633"/>
      <c r="GHU214" s="632" t="s">
        <v>634</v>
      </c>
      <c r="GHV214" s="633"/>
      <c r="GHW214" s="633"/>
      <c r="GHX214" s="633"/>
      <c r="GHY214" s="633"/>
      <c r="GHZ214" s="633"/>
      <c r="GIA214" s="633"/>
      <c r="GIB214" s="633"/>
      <c r="GIC214" s="633"/>
      <c r="GID214" s="633"/>
      <c r="GIE214" s="633"/>
      <c r="GIF214" s="633"/>
      <c r="GIG214" s="633"/>
      <c r="GIH214" s="633"/>
      <c r="GII214" s="633"/>
      <c r="GIJ214" s="633"/>
      <c r="GIK214" s="632" t="s">
        <v>634</v>
      </c>
      <c r="GIL214" s="633"/>
      <c r="GIM214" s="633"/>
      <c r="GIN214" s="633"/>
      <c r="GIO214" s="633"/>
      <c r="GIP214" s="633"/>
      <c r="GIQ214" s="633"/>
      <c r="GIR214" s="633"/>
      <c r="GIS214" s="633"/>
      <c r="GIT214" s="633"/>
      <c r="GIU214" s="633"/>
      <c r="GIV214" s="633"/>
      <c r="GIW214" s="633"/>
      <c r="GIX214" s="633"/>
      <c r="GIY214" s="633"/>
      <c r="GIZ214" s="633"/>
      <c r="GJA214" s="632" t="s">
        <v>634</v>
      </c>
      <c r="GJB214" s="633"/>
      <c r="GJC214" s="633"/>
      <c r="GJD214" s="633"/>
      <c r="GJE214" s="633"/>
      <c r="GJF214" s="633"/>
      <c r="GJG214" s="633"/>
      <c r="GJH214" s="633"/>
      <c r="GJI214" s="633"/>
      <c r="GJJ214" s="633"/>
      <c r="GJK214" s="633"/>
      <c r="GJL214" s="633"/>
      <c r="GJM214" s="633"/>
      <c r="GJN214" s="633"/>
      <c r="GJO214" s="633"/>
      <c r="GJP214" s="633"/>
      <c r="GJQ214" s="632" t="s">
        <v>634</v>
      </c>
      <c r="GJR214" s="633"/>
      <c r="GJS214" s="633"/>
      <c r="GJT214" s="633"/>
      <c r="GJU214" s="633"/>
      <c r="GJV214" s="633"/>
      <c r="GJW214" s="633"/>
      <c r="GJX214" s="633"/>
      <c r="GJY214" s="633"/>
      <c r="GJZ214" s="633"/>
      <c r="GKA214" s="633"/>
      <c r="GKB214" s="633"/>
      <c r="GKC214" s="633"/>
      <c r="GKD214" s="633"/>
      <c r="GKE214" s="633"/>
      <c r="GKF214" s="633"/>
      <c r="GKG214" s="632" t="s">
        <v>634</v>
      </c>
      <c r="GKH214" s="633"/>
      <c r="GKI214" s="633"/>
      <c r="GKJ214" s="633"/>
      <c r="GKK214" s="633"/>
      <c r="GKL214" s="633"/>
      <c r="GKM214" s="633"/>
      <c r="GKN214" s="633"/>
      <c r="GKO214" s="633"/>
      <c r="GKP214" s="633"/>
      <c r="GKQ214" s="633"/>
      <c r="GKR214" s="633"/>
      <c r="GKS214" s="633"/>
      <c r="GKT214" s="633"/>
      <c r="GKU214" s="633"/>
      <c r="GKV214" s="633"/>
      <c r="GKW214" s="632" t="s">
        <v>634</v>
      </c>
      <c r="GKX214" s="633"/>
      <c r="GKY214" s="633"/>
      <c r="GKZ214" s="633"/>
      <c r="GLA214" s="633"/>
      <c r="GLB214" s="633"/>
      <c r="GLC214" s="633"/>
      <c r="GLD214" s="633"/>
      <c r="GLE214" s="633"/>
      <c r="GLF214" s="633"/>
      <c r="GLG214" s="633"/>
      <c r="GLH214" s="633"/>
      <c r="GLI214" s="633"/>
      <c r="GLJ214" s="633"/>
      <c r="GLK214" s="633"/>
      <c r="GLL214" s="633"/>
      <c r="GLM214" s="632" t="s">
        <v>634</v>
      </c>
      <c r="GLN214" s="633"/>
      <c r="GLO214" s="633"/>
      <c r="GLP214" s="633"/>
      <c r="GLQ214" s="633"/>
      <c r="GLR214" s="633"/>
      <c r="GLS214" s="633"/>
      <c r="GLT214" s="633"/>
      <c r="GLU214" s="633"/>
      <c r="GLV214" s="633"/>
      <c r="GLW214" s="633"/>
      <c r="GLX214" s="633"/>
      <c r="GLY214" s="633"/>
      <c r="GLZ214" s="633"/>
      <c r="GMA214" s="633"/>
      <c r="GMB214" s="633"/>
      <c r="GMC214" s="632" t="s">
        <v>634</v>
      </c>
      <c r="GMD214" s="633"/>
      <c r="GME214" s="633"/>
      <c r="GMF214" s="633"/>
      <c r="GMG214" s="633"/>
      <c r="GMH214" s="633"/>
      <c r="GMI214" s="633"/>
      <c r="GMJ214" s="633"/>
      <c r="GMK214" s="633"/>
      <c r="GML214" s="633"/>
      <c r="GMM214" s="633"/>
      <c r="GMN214" s="633"/>
      <c r="GMO214" s="633"/>
      <c r="GMP214" s="633"/>
      <c r="GMQ214" s="633"/>
      <c r="GMR214" s="633"/>
      <c r="GMS214" s="632" t="s">
        <v>634</v>
      </c>
      <c r="GMT214" s="633"/>
      <c r="GMU214" s="633"/>
      <c r="GMV214" s="633"/>
      <c r="GMW214" s="633"/>
      <c r="GMX214" s="633"/>
      <c r="GMY214" s="633"/>
      <c r="GMZ214" s="633"/>
      <c r="GNA214" s="633"/>
      <c r="GNB214" s="633"/>
      <c r="GNC214" s="633"/>
      <c r="GND214" s="633"/>
      <c r="GNE214" s="633"/>
      <c r="GNF214" s="633"/>
      <c r="GNG214" s="633"/>
      <c r="GNH214" s="633"/>
      <c r="GNI214" s="632" t="s">
        <v>634</v>
      </c>
      <c r="GNJ214" s="633"/>
      <c r="GNK214" s="633"/>
      <c r="GNL214" s="633"/>
      <c r="GNM214" s="633"/>
      <c r="GNN214" s="633"/>
      <c r="GNO214" s="633"/>
      <c r="GNP214" s="633"/>
      <c r="GNQ214" s="633"/>
      <c r="GNR214" s="633"/>
      <c r="GNS214" s="633"/>
      <c r="GNT214" s="633"/>
      <c r="GNU214" s="633"/>
      <c r="GNV214" s="633"/>
      <c r="GNW214" s="633"/>
      <c r="GNX214" s="633"/>
      <c r="GNY214" s="632" t="s">
        <v>634</v>
      </c>
      <c r="GNZ214" s="633"/>
      <c r="GOA214" s="633"/>
      <c r="GOB214" s="633"/>
      <c r="GOC214" s="633"/>
      <c r="GOD214" s="633"/>
      <c r="GOE214" s="633"/>
      <c r="GOF214" s="633"/>
      <c r="GOG214" s="633"/>
      <c r="GOH214" s="633"/>
      <c r="GOI214" s="633"/>
      <c r="GOJ214" s="633"/>
      <c r="GOK214" s="633"/>
      <c r="GOL214" s="633"/>
      <c r="GOM214" s="633"/>
      <c r="GON214" s="633"/>
      <c r="GOO214" s="632" t="s">
        <v>634</v>
      </c>
      <c r="GOP214" s="633"/>
      <c r="GOQ214" s="633"/>
      <c r="GOR214" s="633"/>
      <c r="GOS214" s="633"/>
      <c r="GOT214" s="633"/>
      <c r="GOU214" s="633"/>
      <c r="GOV214" s="633"/>
      <c r="GOW214" s="633"/>
      <c r="GOX214" s="633"/>
      <c r="GOY214" s="633"/>
      <c r="GOZ214" s="633"/>
      <c r="GPA214" s="633"/>
      <c r="GPB214" s="633"/>
      <c r="GPC214" s="633"/>
      <c r="GPD214" s="633"/>
      <c r="GPE214" s="632" t="s">
        <v>634</v>
      </c>
      <c r="GPF214" s="633"/>
      <c r="GPG214" s="633"/>
      <c r="GPH214" s="633"/>
      <c r="GPI214" s="633"/>
      <c r="GPJ214" s="633"/>
      <c r="GPK214" s="633"/>
      <c r="GPL214" s="633"/>
      <c r="GPM214" s="633"/>
      <c r="GPN214" s="633"/>
      <c r="GPO214" s="633"/>
      <c r="GPP214" s="633"/>
      <c r="GPQ214" s="633"/>
      <c r="GPR214" s="633"/>
      <c r="GPS214" s="633"/>
      <c r="GPT214" s="633"/>
      <c r="GPU214" s="632" t="s">
        <v>634</v>
      </c>
      <c r="GPV214" s="633"/>
      <c r="GPW214" s="633"/>
      <c r="GPX214" s="633"/>
      <c r="GPY214" s="633"/>
      <c r="GPZ214" s="633"/>
      <c r="GQA214" s="633"/>
      <c r="GQB214" s="633"/>
      <c r="GQC214" s="633"/>
      <c r="GQD214" s="633"/>
      <c r="GQE214" s="633"/>
      <c r="GQF214" s="633"/>
      <c r="GQG214" s="633"/>
      <c r="GQH214" s="633"/>
      <c r="GQI214" s="633"/>
      <c r="GQJ214" s="633"/>
      <c r="GQK214" s="632" t="s">
        <v>634</v>
      </c>
      <c r="GQL214" s="633"/>
      <c r="GQM214" s="633"/>
      <c r="GQN214" s="633"/>
      <c r="GQO214" s="633"/>
      <c r="GQP214" s="633"/>
      <c r="GQQ214" s="633"/>
      <c r="GQR214" s="633"/>
      <c r="GQS214" s="633"/>
      <c r="GQT214" s="633"/>
      <c r="GQU214" s="633"/>
      <c r="GQV214" s="633"/>
      <c r="GQW214" s="633"/>
      <c r="GQX214" s="633"/>
      <c r="GQY214" s="633"/>
      <c r="GQZ214" s="633"/>
      <c r="GRA214" s="632" t="s">
        <v>634</v>
      </c>
      <c r="GRB214" s="633"/>
      <c r="GRC214" s="633"/>
      <c r="GRD214" s="633"/>
      <c r="GRE214" s="633"/>
      <c r="GRF214" s="633"/>
      <c r="GRG214" s="633"/>
      <c r="GRH214" s="633"/>
      <c r="GRI214" s="633"/>
      <c r="GRJ214" s="633"/>
      <c r="GRK214" s="633"/>
      <c r="GRL214" s="633"/>
      <c r="GRM214" s="633"/>
      <c r="GRN214" s="633"/>
      <c r="GRO214" s="633"/>
      <c r="GRP214" s="633"/>
      <c r="GRQ214" s="632" t="s">
        <v>634</v>
      </c>
      <c r="GRR214" s="633"/>
      <c r="GRS214" s="633"/>
      <c r="GRT214" s="633"/>
      <c r="GRU214" s="633"/>
      <c r="GRV214" s="633"/>
      <c r="GRW214" s="633"/>
      <c r="GRX214" s="633"/>
      <c r="GRY214" s="633"/>
      <c r="GRZ214" s="633"/>
      <c r="GSA214" s="633"/>
      <c r="GSB214" s="633"/>
      <c r="GSC214" s="633"/>
      <c r="GSD214" s="633"/>
      <c r="GSE214" s="633"/>
      <c r="GSF214" s="633"/>
      <c r="GSG214" s="632" t="s">
        <v>634</v>
      </c>
      <c r="GSH214" s="633"/>
      <c r="GSI214" s="633"/>
      <c r="GSJ214" s="633"/>
      <c r="GSK214" s="633"/>
      <c r="GSL214" s="633"/>
      <c r="GSM214" s="633"/>
      <c r="GSN214" s="633"/>
      <c r="GSO214" s="633"/>
      <c r="GSP214" s="633"/>
      <c r="GSQ214" s="633"/>
      <c r="GSR214" s="633"/>
      <c r="GSS214" s="633"/>
      <c r="GST214" s="633"/>
      <c r="GSU214" s="633"/>
      <c r="GSV214" s="633"/>
      <c r="GSW214" s="632" t="s">
        <v>634</v>
      </c>
      <c r="GSX214" s="633"/>
      <c r="GSY214" s="633"/>
      <c r="GSZ214" s="633"/>
      <c r="GTA214" s="633"/>
      <c r="GTB214" s="633"/>
      <c r="GTC214" s="633"/>
      <c r="GTD214" s="633"/>
      <c r="GTE214" s="633"/>
      <c r="GTF214" s="633"/>
      <c r="GTG214" s="633"/>
      <c r="GTH214" s="633"/>
      <c r="GTI214" s="633"/>
      <c r="GTJ214" s="633"/>
      <c r="GTK214" s="633"/>
      <c r="GTL214" s="633"/>
      <c r="GTM214" s="632" t="s">
        <v>634</v>
      </c>
      <c r="GTN214" s="633"/>
      <c r="GTO214" s="633"/>
      <c r="GTP214" s="633"/>
      <c r="GTQ214" s="633"/>
      <c r="GTR214" s="633"/>
      <c r="GTS214" s="633"/>
      <c r="GTT214" s="633"/>
      <c r="GTU214" s="633"/>
      <c r="GTV214" s="633"/>
      <c r="GTW214" s="633"/>
      <c r="GTX214" s="633"/>
      <c r="GTY214" s="633"/>
      <c r="GTZ214" s="633"/>
      <c r="GUA214" s="633"/>
      <c r="GUB214" s="633"/>
      <c r="GUC214" s="632" t="s">
        <v>634</v>
      </c>
      <c r="GUD214" s="633"/>
      <c r="GUE214" s="633"/>
      <c r="GUF214" s="633"/>
      <c r="GUG214" s="633"/>
      <c r="GUH214" s="633"/>
      <c r="GUI214" s="633"/>
      <c r="GUJ214" s="633"/>
      <c r="GUK214" s="633"/>
      <c r="GUL214" s="633"/>
      <c r="GUM214" s="633"/>
      <c r="GUN214" s="633"/>
      <c r="GUO214" s="633"/>
      <c r="GUP214" s="633"/>
      <c r="GUQ214" s="633"/>
      <c r="GUR214" s="633"/>
      <c r="GUS214" s="632" t="s">
        <v>634</v>
      </c>
      <c r="GUT214" s="633"/>
      <c r="GUU214" s="633"/>
      <c r="GUV214" s="633"/>
      <c r="GUW214" s="633"/>
      <c r="GUX214" s="633"/>
      <c r="GUY214" s="633"/>
      <c r="GUZ214" s="633"/>
      <c r="GVA214" s="633"/>
      <c r="GVB214" s="633"/>
      <c r="GVC214" s="633"/>
      <c r="GVD214" s="633"/>
      <c r="GVE214" s="633"/>
      <c r="GVF214" s="633"/>
      <c r="GVG214" s="633"/>
      <c r="GVH214" s="633"/>
      <c r="GVI214" s="632" t="s">
        <v>634</v>
      </c>
      <c r="GVJ214" s="633"/>
      <c r="GVK214" s="633"/>
      <c r="GVL214" s="633"/>
      <c r="GVM214" s="633"/>
      <c r="GVN214" s="633"/>
      <c r="GVO214" s="633"/>
      <c r="GVP214" s="633"/>
      <c r="GVQ214" s="633"/>
      <c r="GVR214" s="633"/>
      <c r="GVS214" s="633"/>
      <c r="GVT214" s="633"/>
      <c r="GVU214" s="633"/>
      <c r="GVV214" s="633"/>
      <c r="GVW214" s="633"/>
      <c r="GVX214" s="633"/>
      <c r="GVY214" s="632" t="s">
        <v>634</v>
      </c>
      <c r="GVZ214" s="633"/>
      <c r="GWA214" s="633"/>
      <c r="GWB214" s="633"/>
      <c r="GWC214" s="633"/>
      <c r="GWD214" s="633"/>
      <c r="GWE214" s="633"/>
      <c r="GWF214" s="633"/>
      <c r="GWG214" s="633"/>
      <c r="GWH214" s="633"/>
      <c r="GWI214" s="633"/>
      <c r="GWJ214" s="633"/>
      <c r="GWK214" s="633"/>
      <c r="GWL214" s="633"/>
      <c r="GWM214" s="633"/>
      <c r="GWN214" s="633"/>
      <c r="GWO214" s="632" t="s">
        <v>634</v>
      </c>
      <c r="GWP214" s="633"/>
      <c r="GWQ214" s="633"/>
      <c r="GWR214" s="633"/>
      <c r="GWS214" s="633"/>
      <c r="GWT214" s="633"/>
      <c r="GWU214" s="633"/>
      <c r="GWV214" s="633"/>
      <c r="GWW214" s="633"/>
      <c r="GWX214" s="633"/>
      <c r="GWY214" s="633"/>
      <c r="GWZ214" s="633"/>
      <c r="GXA214" s="633"/>
      <c r="GXB214" s="633"/>
      <c r="GXC214" s="633"/>
      <c r="GXD214" s="633"/>
      <c r="GXE214" s="632" t="s">
        <v>634</v>
      </c>
      <c r="GXF214" s="633"/>
      <c r="GXG214" s="633"/>
      <c r="GXH214" s="633"/>
      <c r="GXI214" s="633"/>
      <c r="GXJ214" s="633"/>
      <c r="GXK214" s="633"/>
      <c r="GXL214" s="633"/>
      <c r="GXM214" s="633"/>
      <c r="GXN214" s="633"/>
      <c r="GXO214" s="633"/>
      <c r="GXP214" s="633"/>
      <c r="GXQ214" s="633"/>
      <c r="GXR214" s="633"/>
      <c r="GXS214" s="633"/>
      <c r="GXT214" s="633"/>
      <c r="GXU214" s="632" t="s">
        <v>634</v>
      </c>
      <c r="GXV214" s="633"/>
      <c r="GXW214" s="633"/>
      <c r="GXX214" s="633"/>
      <c r="GXY214" s="633"/>
      <c r="GXZ214" s="633"/>
      <c r="GYA214" s="633"/>
      <c r="GYB214" s="633"/>
      <c r="GYC214" s="633"/>
      <c r="GYD214" s="633"/>
      <c r="GYE214" s="633"/>
      <c r="GYF214" s="633"/>
      <c r="GYG214" s="633"/>
      <c r="GYH214" s="633"/>
      <c r="GYI214" s="633"/>
      <c r="GYJ214" s="633"/>
      <c r="GYK214" s="632" t="s">
        <v>634</v>
      </c>
      <c r="GYL214" s="633"/>
      <c r="GYM214" s="633"/>
      <c r="GYN214" s="633"/>
      <c r="GYO214" s="633"/>
      <c r="GYP214" s="633"/>
      <c r="GYQ214" s="633"/>
      <c r="GYR214" s="633"/>
      <c r="GYS214" s="633"/>
      <c r="GYT214" s="633"/>
      <c r="GYU214" s="633"/>
      <c r="GYV214" s="633"/>
      <c r="GYW214" s="633"/>
      <c r="GYX214" s="633"/>
      <c r="GYY214" s="633"/>
      <c r="GYZ214" s="633"/>
      <c r="GZA214" s="632" t="s">
        <v>634</v>
      </c>
      <c r="GZB214" s="633"/>
      <c r="GZC214" s="633"/>
      <c r="GZD214" s="633"/>
      <c r="GZE214" s="633"/>
      <c r="GZF214" s="633"/>
      <c r="GZG214" s="633"/>
      <c r="GZH214" s="633"/>
      <c r="GZI214" s="633"/>
      <c r="GZJ214" s="633"/>
      <c r="GZK214" s="633"/>
      <c r="GZL214" s="633"/>
      <c r="GZM214" s="633"/>
      <c r="GZN214" s="633"/>
      <c r="GZO214" s="633"/>
      <c r="GZP214" s="633"/>
      <c r="GZQ214" s="632" t="s">
        <v>634</v>
      </c>
      <c r="GZR214" s="633"/>
      <c r="GZS214" s="633"/>
      <c r="GZT214" s="633"/>
      <c r="GZU214" s="633"/>
      <c r="GZV214" s="633"/>
      <c r="GZW214" s="633"/>
      <c r="GZX214" s="633"/>
      <c r="GZY214" s="633"/>
      <c r="GZZ214" s="633"/>
      <c r="HAA214" s="633"/>
      <c r="HAB214" s="633"/>
      <c r="HAC214" s="633"/>
      <c r="HAD214" s="633"/>
      <c r="HAE214" s="633"/>
      <c r="HAF214" s="633"/>
      <c r="HAG214" s="632" t="s">
        <v>634</v>
      </c>
      <c r="HAH214" s="633"/>
      <c r="HAI214" s="633"/>
      <c r="HAJ214" s="633"/>
      <c r="HAK214" s="633"/>
      <c r="HAL214" s="633"/>
      <c r="HAM214" s="633"/>
      <c r="HAN214" s="633"/>
      <c r="HAO214" s="633"/>
      <c r="HAP214" s="633"/>
      <c r="HAQ214" s="633"/>
      <c r="HAR214" s="633"/>
      <c r="HAS214" s="633"/>
      <c r="HAT214" s="633"/>
      <c r="HAU214" s="633"/>
      <c r="HAV214" s="633"/>
      <c r="HAW214" s="632" t="s">
        <v>634</v>
      </c>
      <c r="HAX214" s="633"/>
      <c r="HAY214" s="633"/>
      <c r="HAZ214" s="633"/>
      <c r="HBA214" s="633"/>
      <c r="HBB214" s="633"/>
      <c r="HBC214" s="633"/>
      <c r="HBD214" s="633"/>
      <c r="HBE214" s="633"/>
      <c r="HBF214" s="633"/>
      <c r="HBG214" s="633"/>
      <c r="HBH214" s="633"/>
      <c r="HBI214" s="633"/>
      <c r="HBJ214" s="633"/>
      <c r="HBK214" s="633"/>
      <c r="HBL214" s="633"/>
      <c r="HBM214" s="632" t="s">
        <v>634</v>
      </c>
      <c r="HBN214" s="633"/>
      <c r="HBO214" s="633"/>
      <c r="HBP214" s="633"/>
      <c r="HBQ214" s="633"/>
      <c r="HBR214" s="633"/>
      <c r="HBS214" s="633"/>
      <c r="HBT214" s="633"/>
      <c r="HBU214" s="633"/>
      <c r="HBV214" s="633"/>
      <c r="HBW214" s="633"/>
      <c r="HBX214" s="633"/>
      <c r="HBY214" s="633"/>
      <c r="HBZ214" s="633"/>
      <c r="HCA214" s="633"/>
      <c r="HCB214" s="633"/>
      <c r="HCC214" s="632" t="s">
        <v>634</v>
      </c>
      <c r="HCD214" s="633"/>
      <c r="HCE214" s="633"/>
      <c r="HCF214" s="633"/>
      <c r="HCG214" s="633"/>
      <c r="HCH214" s="633"/>
      <c r="HCI214" s="633"/>
      <c r="HCJ214" s="633"/>
      <c r="HCK214" s="633"/>
      <c r="HCL214" s="633"/>
      <c r="HCM214" s="633"/>
      <c r="HCN214" s="633"/>
      <c r="HCO214" s="633"/>
      <c r="HCP214" s="633"/>
      <c r="HCQ214" s="633"/>
      <c r="HCR214" s="633"/>
      <c r="HCS214" s="632" t="s">
        <v>634</v>
      </c>
      <c r="HCT214" s="633"/>
      <c r="HCU214" s="633"/>
      <c r="HCV214" s="633"/>
      <c r="HCW214" s="633"/>
      <c r="HCX214" s="633"/>
      <c r="HCY214" s="633"/>
      <c r="HCZ214" s="633"/>
      <c r="HDA214" s="633"/>
      <c r="HDB214" s="633"/>
      <c r="HDC214" s="633"/>
      <c r="HDD214" s="633"/>
      <c r="HDE214" s="633"/>
      <c r="HDF214" s="633"/>
      <c r="HDG214" s="633"/>
      <c r="HDH214" s="633"/>
      <c r="HDI214" s="632" t="s">
        <v>634</v>
      </c>
      <c r="HDJ214" s="633"/>
      <c r="HDK214" s="633"/>
      <c r="HDL214" s="633"/>
      <c r="HDM214" s="633"/>
      <c r="HDN214" s="633"/>
      <c r="HDO214" s="633"/>
      <c r="HDP214" s="633"/>
      <c r="HDQ214" s="633"/>
      <c r="HDR214" s="633"/>
      <c r="HDS214" s="633"/>
      <c r="HDT214" s="633"/>
      <c r="HDU214" s="633"/>
      <c r="HDV214" s="633"/>
      <c r="HDW214" s="633"/>
      <c r="HDX214" s="633"/>
      <c r="HDY214" s="632" t="s">
        <v>634</v>
      </c>
      <c r="HDZ214" s="633"/>
      <c r="HEA214" s="633"/>
      <c r="HEB214" s="633"/>
      <c r="HEC214" s="633"/>
      <c r="HED214" s="633"/>
      <c r="HEE214" s="633"/>
      <c r="HEF214" s="633"/>
      <c r="HEG214" s="633"/>
      <c r="HEH214" s="633"/>
      <c r="HEI214" s="633"/>
      <c r="HEJ214" s="633"/>
      <c r="HEK214" s="633"/>
      <c r="HEL214" s="633"/>
      <c r="HEM214" s="633"/>
      <c r="HEN214" s="633"/>
      <c r="HEO214" s="632" t="s">
        <v>634</v>
      </c>
      <c r="HEP214" s="633"/>
      <c r="HEQ214" s="633"/>
      <c r="HER214" s="633"/>
      <c r="HES214" s="633"/>
      <c r="HET214" s="633"/>
      <c r="HEU214" s="633"/>
      <c r="HEV214" s="633"/>
      <c r="HEW214" s="633"/>
      <c r="HEX214" s="633"/>
      <c r="HEY214" s="633"/>
      <c r="HEZ214" s="633"/>
      <c r="HFA214" s="633"/>
      <c r="HFB214" s="633"/>
      <c r="HFC214" s="633"/>
      <c r="HFD214" s="633"/>
      <c r="HFE214" s="632" t="s">
        <v>634</v>
      </c>
      <c r="HFF214" s="633"/>
      <c r="HFG214" s="633"/>
      <c r="HFH214" s="633"/>
      <c r="HFI214" s="633"/>
      <c r="HFJ214" s="633"/>
      <c r="HFK214" s="633"/>
      <c r="HFL214" s="633"/>
      <c r="HFM214" s="633"/>
      <c r="HFN214" s="633"/>
      <c r="HFO214" s="633"/>
      <c r="HFP214" s="633"/>
      <c r="HFQ214" s="633"/>
      <c r="HFR214" s="633"/>
      <c r="HFS214" s="633"/>
      <c r="HFT214" s="633"/>
      <c r="HFU214" s="632" t="s">
        <v>634</v>
      </c>
      <c r="HFV214" s="633"/>
      <c r="HFW214" s="633"/>
      <c r="HFX214" s="633"/>
      <c r="HFY214" s="633"/>
      <c r="HFZ214" s="633"/>
      <c r="HGA214" s="633"/>
      <c r="HGB214" s="633"/>
      <c r="HGC214" s="633"/>
      <c r="HGD214" s="633"/>
      <c r="HGE214" s="633"/>
      <c r="HGF214" s="633"/>
      <c r="HGG214" s="633"/>
      <c r="HGH214" s="633"/>
      <c r="HGI214" s="633"/>
      <c r="HGJ214" s="633"/>
      <c r="HGK214" s="632" t="s">
        <v>634</v>
      </c>
      <c r="HGL214" s="633"/>
      <c r="HGM214" s="633"/>
      <c r="HGN214" s="633"/>
      <c r="HGO214" s="633"/>
      <c r="HGP214" s="633"/>
      <c r="HGQ214" s="633"/>
      <c r="HGR214" s="633"/>
      <c r="HGS214" s="633"/>
      <c r="HGT214" s="633"/>
      <c r="HGU214" s="633"/>
      <c r="HGV214" s="633"/>
      <c r="HGW214" s="633"/>
      <c r="HGX214" s="633"/>
      <c r="HGY214" s="633"/>
      <c r="HGZ214" s="633"/>
      <c r="HHA214" s="632" t="s">
        <v>634</v>
      </c>
      <c r="HHB214" s="633"/>
      <c r="HHC214" s="633"/>
      <c r="HHD214" s="633"/>
      <c r="HHE214" s="633"/>
      <c r="HHF214" s="633"/>
      <c r="HHG214" s="633"/>
      <c r="HHH214" s="633"/>
      <c r="HHI214" s="633"/>
      <c r="HHJ214" s="633"/>
      <c r="HHK214" s="633"/>
      <c r="HHL214" s="633"/>
      <c r="HHM214" s="633"/>
      <c r="HHN214" s="633"/>
      <c r="HHO214" s="633"/>
      <c r="HHP214" s="633"/>
      <c r="HHQ214" s="632" t="s">
        <v>634</v>
      </c>
      <c r="HHR214" s="633"/>
      <c r="HHS214" s="633"/>
      <c r="HHT214" s="633"/>
      <c r="HHU214" s="633"/>
      <c r="HHV214" s="633"/>
      <c r="HHW214" s="633"/>
      <c r="HHX214" s="633"/>
      <c r="HHY214" s="633"/>
      <c r="HHZ214" s="633"/>
      <c r="HIA214" s="633"/>
      <c r="HIB214" s="633"/>
      <c r="HIC214" s="633"/>
      <c r="HID214" s="633"/>
      <c r="HIE214" s="633"/>
      <c r="HIF214" s="633"/>
      <c r="HIG214" s="632" t="s">
        <v>634</v>
      </c>
      <c r="HIH214" s="633"/>
      <c r="HII214" s="633"/>
      <c r="HIJ214" s="633"/>
      <c r="HIK214" s="633"/>
      <c r="HIL214" s="633"/>
      <c r="HIM214" s="633"/>
      <c r="HIN214" s="633"/>
      <c r="HIO214" s="633"/>
      <c r="HIP214" s="633"/>
      <c r="HIQ214" s="633"/>
      <c r="HIR214" s="633"/>
      <c r="HIS214" s="633"/>
      <c r="HIT214" s="633"/>
      <c r="HIU214" s="633"/>
      <c r="HIV214" s="633"/>
      <c r="HIW214" s="632" t="s">
        <v>634</v>
      </c>
      <c r="HIX214" s="633"/>
      <c r="HIY214" s="633"/>
      <c r="HIZ214" s="633"/>
      <c r="HJA214" s="633"/>
      <c r="HJB214" s="633"/>
      <c r="HJC214" s="633"/>
      <c r="HJD214" s="633"/>
      <c r="HJE214" s="633"/>
      <c r="HJF214" s="633"/>
      <c r="HJG214" s="633"/>
      <c r="HJH214" s="633"/>
      <c r="HJI214" s="633"/>
      <c r="HJJ214" s="633"/>
      <c r="HJK214" s="633"/>
      <c r="HJL214" s="633"/>
      <c r="HJM214" s="632" t="s">
        <v>634</v>
      </c>
      <c r="HJN214" s="633"/>
      <c r="HJO214" s="633"/>
      <c r="HJP214" s="633"/>
      <c r="HJQ214" s="633"/>
      <c r="HJR214" s="633"/>
      <c r="HJS214" s="633"/>
      <c r="HJT214" s="633"/>
      <c r="HJU214" s="633"/>
      <c r="HJV214" s="633"/>
      <c r="HJW214" s="633"/>
      <c r="HJX214" s="633"/>
      <c r="HJY214" s="633"/>
      <c r="HJZ214" s="633"/>
      <c r="HKA214" s="633"/>
      <c r="HKB214" s="633"/>
      <c r="HKC214" s="632" t="s">
        <v>634</v>
      </c>
      <c r="HKD214" s="633"/>
      <c r="HKE214" s="633"/>
      <c r="HKF214" s="633"/>
      <c r="HKG214" s="633"/>
      <c r="HKH214" s="633"/>
      <c r="HKI214" s="633"/>
      <c r="HKJ214" s="633"/>
      <c r="HKK214" s="633"/>
      <c r="HKL214" s="633"/>
      <c r="HKM214" s="633"/>
      <c r="HKN214" s="633"/>
      <c r="HKO214" s="633"/>
      <c r="HKP214" s="633"/>
      <c r="HKQ214" s="633"/>
      <c r="HKR214" s="633"/>
      <c r="HKS214" s="632" t="s">
        <v>634</v>
      </c>
      <c r="HKT214" s="633"/>
      <c r="HKU214" s="633"/>
      <c r="HKV214" s="633"/>
      <c r="HKW214" s="633"/>
      <c r="HKX214" s="633"/>
      <c r="HKY214" s="633"/>
      <c r="HKZ214" s="633"/>
      <c r="HLA214" s="633"/>
      <c r="HLB214" s="633"/>
      <c r="HLC214" s="633"/>
      <c r="HLD214" s="633"/>
      <c r="HLE214" s="633"/>
      <c r="HLF214" s="633"/>
      <c r="HLG214" s="633"/>
      <c r="HLH214" s="633"/>
      <c r="HLI214" s="632" t="s">
        <v>634</v>
      </c>
      <c r="HLJ214" s="633"/>
      <c r="HLK214" s="633"/>
      <c r="HLL214" s="633"/>
      <c r="HLM214" s="633"/>
      <c r="HLN214" s="633"/>
      <c r="HLO214" s="633"/>
      <c r="HLP214" s="633"/>
      <c r="HLQ214" s="633"/>
      <c r="HLR214" s="633"/>
      <c r="HLS214" s="633"/>
      <c r="HLT214" s="633"/>
      <c r="HLU214" s="633"/>
      <c r="HLV214" s="633"/>
      <c r="HLW214" s="633"/>
      <c r="HLX214" s="633"/>
      <c r="HLY214" s="632" t="s">
        <v>634</v>
      </c>
      <c r="HLZ214" s="633"/>
      <c r="HMA214" s="633"/>
      <c r="HMB214" s="633"/>
      <c r="HMC214" s="633"/>
      <c r="HMD214" s="633"/>
      <c r="HME214" s="633"/>
      <c r="HMF214" s="633"/>
      <c r="HMG214" s="633"/>
      <c r="HMH214" s="633"/>
      <c r="HMI214" s="633"/>
      <c r="HMJ214" s="633"/>
      <c r="HMK214" s="633"/>
      <c r="HML214" s="633"/>
      <c r="HMM214" s="633"/>
      <c r="HMN214" s="633"/>
      <c r="HMO214" s="632" t="s">
        <v>634</v>
      </c>
      <c r="HMP214" s="633"/>
      <c r="HMQ214" s="633"/>
      <c r="HMR214" s="633"/>
      <c r="HMS214" s="633"/>
      <c r="HMT214" s="633"/>
      <c r="HMU214" s="633"/>
      <c r="HMV214" s="633"/>
      <c r="HMW214" s="633"/>
      <c r="HMX214" s="633"/>
      <c r="HMY214" s="633"/>
      <c r="HMZ214" s="633"/>
      <c r="HNA214" s="633"/>
      <c r="HNB214" s="633"/>
      <c r="HNC214" s="633"/>
      <c r="HND214" s="633"/>
      <c r="HNE214" s="632" t="s">
        <v>634</v>
      </c>
      <c r="HNF214" s="633"/>
      <c r="HNG214" s="633"/>
      <c r="HNH214" s="633"/>
      <c r="HNI214" s="633"/>
      <c r="HNJ214" s="633"/>
      <c r="HNK214" s="633"/>
      <c r="HNL214" s="633"/>
      <c r="HNM214" s="633"/>
      <c r="HNN214" s="633"/>
      <c r="HNO214" s="633"/>
      <c r="HNP214" s="633"/>
      <c r="HNQ214" s="633"/>
      <c r="HNR214" s="633"/>
      <c r="HNS214" s="633"/>
      <c r="HNT214" s="633"/>
      <c r="HNU214" s="632" t="s">
        <v>634</v>
      </c>
      <c r="HNV214" s="633"/>
      <c r="HNW214" s="633"/>
      <c r="HNX214" s="633"/>
      <c r="HNY214" s="633"/>
      <c r="HNZ214" s="633"/>
      <c r="HOA214" s="633"/>
      <c r="HOB214" s="633"/>
      <c r="HOC214" s="633"/>
      <c r="HOD214" s="633"/>
      <c r="HOE214" s="633"/>
      <c r="HOF214" s="633"/>
      <c r="HOG214" s="633"/>
      <c r="HOH214" s="633"/>
      <c r="HOI214" s="633"/>
      <c r="HOJ214" s="633"/>
      <c r="HOK214" s="632" t="s">
        <v>634</v>
      </c>
      <c r="HOL214" s="633"/>
      <c r="HOM214" s="633"/>
      <c r="HON214" s="633"/>
      <c r="HOO214" s="633"/>
      <c r="HOP214" s="633"/>
      <c r="HOQ214" s="633"/>
      <c r="HOR214" s="633"/>
      <c r="HOS214" s="633"/>
      <c r="HOT214" s="633"/>
      <c r="HOU214" s="633"/>
      <c r="HOV214" s="633"/>
      <c r="HOW214" s="633"/>
      <c r="HOX214" s="633"/>
      <c r="HOY214" s="633"/>
      <c r="HOZ214" s="633"/>
      <c r="HPA214" s="632" t="s">
        <v>634</v>
      </c>
      <c r="HPB214" s="633"/>
      <c r="HPC214" s="633"/>
      <c r="HPD214" s="633"/>
      <c r="HPE214" s="633"/>
      <c r="HPF214" s="633"/>
      <c r="HPG214" s="633"/>
      <c r="HPH214" s="633"/>
      <c r="HPI214" s="633"/>
      <c r="HPJ214" s="633"/>
      <c r="HPK214" s="633"/>
      <c r="HPL214" s="633"/>
      <c r="HPM214" s="633"/>
      <c r="HPN214" s="633"/>
      <c r="HPO214" s="633"/>
      <c r="HPP214" s="633"/>
      <c r="HPQ214" s="632" t="s">
        <v>634</v>
      </c>
      <c r="HPR214" s="633"/>
      <c r="HPS214" s="633"/>
      <c r="HPT214" s="633"/>
      <c r="HPU214" s="633"/>
      <c r="HPV214" s="633"/>
      <c r="HPW214" s="633"/>
      <c r="HPX214" s="633"/>
      <c r="HPY214" s="633"/>
      <c r="HPZ214" s="633"/>
      <c r="HQA214" s="633"/>
      <c r="HQB214" s="633"/>
      <c r="HQC214" s="633"/>
      <c r="HQD214" s="633"/>
      <c r="HQE214" s="633"/>
      <c r="HQF214" s="633"/>
      <c r="HQG214" s="632" t="s">
        <v>634</v>
      </c>
      <c r="HQH214" s="633"/>
      <c r="HQI214" s="633"/>
      <c r="HQJ214" s="633"/>
      <c r="HQK214" s="633"/>
      <c r="HQL214" s="633"/>
      <c r="HQM214" s="633"/>
      <c r="HQN214" s="633"/>
      <c r="HQO214" s="633"/>
      <c r="HQP214" s="633"/>
      <c r="HQQ214" s="633"/>
      <c r="HQR214" s="633"/>
      <c r="HQS214" s="633"/>
      <c r="HQT214" s="633"/>
      <c r="HQU214" s="633"/>
      <c r="HQV214" s="633"/>
      <c r="HQW214" s="632" t="s">
        <v>634</v>
      </c>
      <c r="HQX214" s="633"/>
      <c r="HQY214" s="633"/>
      <c r="HQZ214" s="633"/>
      <c r="HRA214" s="633"/>
      <c r="HRB214" s="633"/>
      <c r="HRC214" s="633"/>
      <c r="HRD214" s="633"/>
      <c r="HRE214" s="633"/>
      <c r="HRF214" s="633"/>
      <c r="HRG214" s="633"/>
      <c r="HRH214" s="633"/>
      <c r="HRI214" s="633"/>
      <c r="HRJ214" s="633"/>
      <c r="HRK214" s="633"/>
      <c r="HRL214" s="633"/>
      <c r="HRM214" s="632" t="s">
        <v>634</v>
      </c>
      <c r="HRN214" s="633"/>
      <c r="HRO214" s="633"/>
      <c r="HRP214" s="633"/>
      <c r="HRQ214" s="633"/>
      <c r="HRR214" s="633"/>
      <c r="HRS214" s="633"/>
      <c r="HRT214" s="633"/>
      <c r="HRU214" s="633"/>
      <c r="HRV214" s="633"/>
      <c r="HRW214" s="633"/>
      <c r="HRX214" s="633"/>
      <c r="HRY214" s="633"/>
      <c r="HRZ214" s="633"/>
      <c r="HSA214" s="633"/>
      <c r="HSB214" s="633"/>
      <c r="HSC214" s="632" t="s">
        <v>634</v>
      </c>
      <c r="HSD214" s="633"/>
      <c r="HSE214" s="633"/>
      <c r="HSF214" s="633"/>
      <c r="HSG214" s="633"/>
      <c r="HSH214" s="633"/>
      <c r="HSI214" s="633"/>
      <c r="HSJ214" s="633"/>
      <c r="HSK214" s="633"/>
      <c r="HSL214" s="633"/>
      <c r="HSM214" s="633"/>
      <c r="HSN214" s="633"/>
      <c r="HSO214" s="633"/>
      <c r="HSP214" s="633"/>
      <c r="HSQ214" s="633"/>
      <c r="HSR214" s="633"/>
      <c r="HSS214" s="632" t="s">
        <v>634</v>
      </c>
      <c r="HST214" s="633"/>
      <c r="HSU214" s="633"/>
      <c r="HSV214" s="633"/>
      <c r="HSW214" s="633"/>
      <c r="HSX214" s="633"/>
      <c r="HSY214" s="633"/>
      <c r="HSZ214" s="633"/>
      <c r="HTA214" s="633"/>
      <c r="HTB214" s="633"/>
      <c r="HTC214" s="633"/>
      <c r="HTD214" s="633"/>
      <c r="HTE214" s="633"/>
      <c r="HTF214" s="633"/>
      <c r="HTG214" s="633"/>
      <c r="HTH214" s="633"/>
      <c r="HTI214" s="632" t="s">
        <v>634</v>
      </c>
      <c r="HTJ214" s="633"/>
      <c r="HTK214" s="633"/>
      <c r="HTL214" s="633"/>
      <c r="HTM214" s="633"/>
      <c r="HTN214" s="633"/>
      <c r="HTO214" s="633"/>
      <c r="HTP214" s="633"/>
      <c r="HTQ214" s="633"/>
      <c r="HTR214" s="633"/>
      <c r="HTS214" s="633"/>
      <c r="HTT214" s="633"/>
      <c r="HTU214" s="633"/>
      <c r="HTV214" s="633"/>
      <c r="HTW214" s="633"/>
      <c r="HTX214" s="633"/>
      <c r="HTY214" s="632" t="s">
        <v>634</v>
      </c>
      <c r="HTZ214" s="633"/>
      <c r="HUA214" s="633"/>
      <c r="HUB214" s="633"/>
      <c r="HUC214" s="633"/>
      <c r="HUD214" s="633"/>
      <c r="HUE214" s="633"/>
      <c r="HUF214" s="633"/>
      <c r="HUG214" s="633"/>
      <c r="HUH214" s="633"/>
      <c r="HUI214" s="633"/>
      <c r="HUJ214" s="633"/>
      <c r="HUK214" s="633"/>
      <c r="HUL214" s="633"/>
      <c r="HUM214" s="633"/>
      <c r="HUN214" s="633"/>
      <c r="HUO214" s="632" t="s">
        <v>634</v>
      </c>
      <c r="HUP214" s="633"/>
      <c r="HUQ214" s="633"/>
      <c r="HUR214" s="633"/>
      <c r="HUS214" s="633"/>
      <c r="HUT214" s="633"/>
      <c r="HUU214" s="633"/>
      <c r="HUV214" s="633"/>
      <c r="HUW214" s="633"/>
      <c r="HUX214" s="633"/>
      <c r="HUY214" s="633"/>
      <c r="HUZ214" s="633"/>
      <c r="HVA214" s="633"/>
      <c r="HVB214" s="633"/>
      <c r="HVC214" s="633"/>
      <c r="HVD214" s="633"/>
      <c r="HVE214" s="632" t="s">
        <v>634</v>
      </c>
      <c r="HVF214" s="633"/>
      <c r="HVG214" s="633"/>
      <c r="HVH214" s="633"/>
      <c r="HVI214" s="633"/>
      <c r="HVJ214" s="633"/>
      <c r="HVK214" s="633"/>
      <c r="HVL214" s="633"/>
      <c r="HVM214" s="633"/>
      <c r="HVN214" s="633"/>
      <c r="HVO214" s="633"/>
      <c r="HVP214" s="633"/>
      <c r="HVQ214" s="633"/>
      <c r="HVR214" s="633"/>
      <c r="HVS214" s="633"/>
      <c r="HVT214" s="633"/>
      <c r="HVU214" s="632" t="s">
        <v>634</v>
      </c>
      <c r="HVV214" s="633"/>
      <c r="HVW214" s="633"/>
      <c r="HVX214" s="633"/>
      <c r="HVY214" s="633"/>
      <c r="HVZ214" s="633"/>
      <c r="HWA214" s="633"/>
      <c r="HWB214" s="633"/>
      <c r="HWC214" s="633"/>
      <c r="HWD214" s="633"/>
      <c r="HWE214" s="633"/>
      <c r="HWF214" s="633"/>
      <c r="HWG214" s="633"/>
      <c r="HWH214" s="633"/>
      <c r="HWI214" s="633"/>
      <c r="HWJ214" s="633"/>
      <c r="HWK214" s="632" t="s">
        <v>634</v>
      </c>
      <c r="HWL214" s="633"/>
      <c r="HWM214" s="633"/>
      <c r="HWN214" s="633"/>
      <c r="HWO214" s="633"/>
      <c r="HWP214" s="633"/>
      <c r="HWQ214" s="633"/>
      <c r="HWR214" s="633"/>
      <c r="HWS214" s="633"/>
      <c r="HWT214" s="633"/>
      <c r="HWU214" s="633"/>
      <c r="HWV214" s="633"/>
      <c r="HWW214" s="633"/>
      <c r="HWX214" s="633"/>
      <c r="HWY214" s="633"/>
      <c r="HWZ214" s="633"/>
      <c r="HXA214" s="632" t="s">
        <v>634</v>
      </c>
      <c r="HXB214" s="633"/>
      <c r="HXC214" s="633"/>
      <c r="HXD214" s="633"/>
      <c r="HXE214" s="633"/>
      <c r="HXF214" s="633"/>
      <c r="HXG214" s="633"/>
      <c r="HXH214" s="633"/>
      <c r="HXI214" s="633"/>
      <c r="HXJ214" s="633"/>
      <c r="HXK214" s="633"/>
      <c r="HXL214" s="633"/>
      <c r="HXM214" s="633"/>
      <c r="HXN214" s="633"/>
      <c r="HXO214" s="633"/>
      <c r="HXP214" s="633"/>
      <c r="HXQ214" s="632" t="s">
        <v>634</v>
      </c>
      <c r="HXR214" s="633"/>
      <c r="HXS214" s="633"/>
      <c r="HXT214" s="633"/>
      <c r="HXU214" s="633"/>
      <c r="HXV214" s="633"/>
      <c r="HXW214" s="633"/>
      <c r="HXX214" s="633"/>
      <c r="HXY214" s="633"/>
      <c r="HXZ214" s="633"/>
      <c r="HYA214" s="633"/>
      <c r="HYB214" s="633"/>
      <c r="HYC214" s="633"/>
      <c r="HYD214" s="633"/>
      <c r="HYE214" s="633"/>
      <c r="HYF214" s="633"/>
      <c r="HYG214" s="632" t="s">
        <v>634</v>
      </c>
      <c r="HYH214" s="633"/>
      <c r="HYI214" s="633"/>
      <c r="HYJ214" s="633"/>
      <c r="HYK214" s="633"/>
      <c r="HYL214" s="633"/>
      <c r="HYM214" s="633"/>
      <c r="HYN214" s="633"/>
      <c r="HYO214" s="633"/>
      <c r="HYP214" s="633"/>
      <c r="HYQ214" s="633"/>
      <c r="HYR214" s="633"/>
      <c r="HYS214" s="633"/>
      <c r="HYT214" s="633"/>
      <c r="HYU214" s="633"/>
      <c r="HYV214" s="633"/>
      <c r="HYW214" s="632" t="s">
        <v>634</v>
      </c>
      <c r="HYX214" s="633"/>
      <c r="HYY214" s="633"/>
      <c r="HYZ214" s="633"/>
      <c r="HZA214" s="633"/>
      <c r="HZB214" s="633"/>
      <c r="HZC214" s="633"/>
      <c r="HZD214" s="633"/>
      <c r="HZE214" s="633"/>
      <c r="HZF214" s="633"/>
      <c r="HZG214" s="633"/>
      <c r="HZH214" s="633"/>
      <c r="HZI214" s="633"/>
      <c r="HZJ214" s="633"/>
      <c r="HZK214" s="633"/>
      <c r="HZL214" s="633"/>
      <c r="HZM214" s="632" t="s">
        <v>634</v>
      </c>
      <c r="HZN214" s="633"/>
      <c r="HZO214" s="633"/>
      <c r="HZP214" s="633"/>
      <c r="HZQ214" s="633"/>
      <c r="HZR214" s="633"/>
      <c r="HZS214" s="633"/>
      <c r="HZT214" s="633"/>
      <c r="HZU214" s="633"/>
      <c r="HZV214" s="633"/>
      <c r="HZW214" s="633"/>
      <c r="HZX214" s="633"/>
      <c r="HZY214" s="633"/>
      <c r="HZZ214" s="633"/>
      <c r="IAA214" s="633"/>
      <c r="IAB214" s="633"/>
      <c r="IAC214" s="632" t="s">
        <v>634</v>
      </c>
      <c r="IAD214" s="633"/>
      <c r="IAE214" s="633"/>
      <c r="IAF214" s="633"/>
      <c r="IAG214" s="633"/>
      <c r="IAH214" s="633"/>
      <c r="IAI214" s="633"/>
      <c r="IAJ214" s="633"/>
      <c r="IAK214" s="633"/>
      <c r="IAL214" s="633"/>
      <c r="IAM214" s="633"/>
      <c r="IAN214" s="633"/>
      <c r="IAO214" s="633"/>
      <c r="IAP214" s="633"/>
      <c r="IAQ214" s="633"/>
      <c r="IAR214" s="633"/>
      <c r="IAS214" s="632" t="s">
        <v>634</v>
      </c>
      <c r="IAT214" s="633"/>
      <c r="IAU214" s="633"/>
      <c r="IAV214" s="633"/>
      <c r="IAW214" s="633"/>
      <c r="IAX214" s="633"/>
      <c r="IAY214" s="633"/>
      <c r="IAZ214" s="633"/>
      <c r="IBA214" s="633"/>
      <c r="IBB214" s="633"/>
      <c r="IBC214" s="633"/>
      <c r="IBD214" s="633"/>
      <c r="IBE214" s="633"/>
      <c r="IBF214" s="633"/>
      <c r="IBG214" s="633"/>
      <c r="IBH214" s="633"/>
      <c r="IBI214" s="632" t="s">
        <v>634</v>
      </c>
      <c r="IBJ214" s="633"/>
      <c r="IBK214" s="633"/>
      <c r="IBL214" s="633"/>
      <c r="IBM214" s="633"/>
      <c r="IBN214" s="633"/>
      <c r="IBO214" s="633"/>
      <c r="IBP214" s="633"/>
      <c r="IBQ214" s="633"/>
      <c r="IBR214" s="633"/>
      <c r="IBS214" s="633"/>
      <c r="IBT214" s="633"/>
      <c r="IBU214" s="633"/>
      <c r="IBV214" s="633"/>
      <c r="IBW214" s="633"/>
      <c r="IBX214" s="633"/>
      <c r="IBY214" s="632" t="s">
        <v>634</v>
      </c>
      <c r="IBZ214" s="633"/>
      <c r="ICA214" s="633"/>
      <c r="ICB214" s="633"/>
      <c r="ICC214" s="633"/>
      <c r="ICD214" s="633"/>
      <c r="ICE214" s="633"/>
      <c r="ICF214" s="633"/>
      <c r="ICG214" s="633"/>
      <c r="ICH214" s="633"/>
      <c r="ICI214" s="633"/>
      <c r="ICJ214" s="633"/>
      <c r="ICK214" s="633"/>
      <c r="ICL214" s="633"/>
      <c r="ICM214" s="633"/>
      <c r="ICN214" s="633"/>
      <c r="ICO214" s="632" t="s">
        <v>634</v>
      </c>
      <c r="ICP214" s="633"/>
      <c r="ICQ214" s="633"/>
      <c r="ICR214" s="633"/>
      <c r="ICS214" s="633"/>
      <c r="ICT214" s="633"/>
      <c r="ICU214" s="633"/>
      <c r="ICV214" s="633"/>
      <c r="ICW214" s="633"/>
      <c r="ICX214" s="633"/>
      <c r="ICY214" s="633"/>
      <c r="ICZ214" s="633"/>
      <c r="IDA214" s="633"/>
      <c r="IDB214" s="633"/>
      <c r="IDC214" s="633"/>
      <c r="IDD214" s="633"/>
      <c r="IDE214" s="632" t="s">
        <v>634</v>
      </c>
      <c r="IDF214" s="633"/>
      <c r="IDG214" s="633"/>
      <c r="IDH214" s="633"/>
      <c r="IDI214" s="633"/>
      <c r="IDJ214" s="633"/>
      <c r="IDK214" s="633"/>
      <c r="IDL214" s="633"/>
      <c r="IDM214" s="633"/>
      <c r="IDN214" s="633"/>
      <c r="IDO214" s="633"/>
      <c r="IDP214" s="633"/>
      <c r="IDQ214" s="633"/>
      <c r="IDR214" s="633"/>
      <c r="IDS214" s="633"/>
      <c r="IDT214" s="633"/>
      <c r="IDU214" s="632" t="s">
        <v>634</v>
      </c>
      <c r="IDV214" s="633"/>
      <c r="IDW214" s="633"/>
      <c r="IDX214" s="633"/>
      <c r="IDY214" s="633"/>
      <c r="IDZ214" s="633"/>
      <c r="IEA214" s="633"/>
      <c r="IEB214" s="633"/>
      <c r="IEC214" s="633"/>
      <c r="IED214" s="633"/>
      <c r="IEE214" s="633"/>
      <c r="IEF214" s="633"/>
      <c r="IEG214" s="633"/>
      <c r="IEH214" s="633"/>
      <c r="IEI214" s="633"/>
      <c r="IEJ214" s="633"/>
      <c r="IEK214" s="632" t="s">
        <v>634</v>
      </c>
      <c r="IEL214" s="633"/>
      <c r="IEM214" s="633"/>
      <c r="IEN214" s="633"/>
      <c r="IEO214" s="633"/>
      <c r="IEP214" s="633"/>
      <c r="IEQ214" s="633"/>
      <c r="IER214" s="633"/>
      <c r="IES214" s="633"/>
      <c r="IET214" s="633"/>
      <c r="IEU214" s="633"/>
      <c r="IEV214" s="633"/>
      <c r="IEW214" s="633"/>
      <c r="IEX214" s="633"/>
      <c r="IEY214" s="633"/>
      <c r="IEZ214" s="633"/>
      <c r="IFA214" s="632" t="s">
        <v>634</v>
      </c>
      <c r="IFB214" s="633"/>
      <c r="IFC214" s="633"/>
      <c r="IFD214" s="633"/>
      <c r="IFE214" s="633"/>
      <c r="IFF214" s="633"/>
      <c r="IFG214" s="633"/>
      <c r="IFH214" s="633"/>
      <c r="IFI214" s="633"/>
      <c r="IFJ214" s="633"/>
      <c r="IFK214" s="633"/>
      <c r="IFL214" s="633"/>
      <c r="IFM214" s="633"/>
      <c r="IFN214" s="633"/>
      <c r="IFO214" s="633"/>
      <c r="IFP214" s="633"/>
      <c r="IFQ214" s="632" t="s">
        <v>634</v>
      </c>
      <c r="IFR214" s="633"/>
      <c r="IFS214" s="633"/>
      <c r="IFT214" s="633"/>
      <c r="IFU214" s="633"/>
      <c r="IFV214" s="633"/>
      <c r="IFW214" s="633"/>
      <c r="IFX214" s="633"/>
      <c r="IFY214" s="633"/>
      <c r="IFZ214" s="633"/>
      <c r="IGA214" s="633"/>
      <c r="IGB214" s="633"/>
      <c r="IGC214" s="633"/>
      <c r="IGD214" s="633"/>
      <c r="IGE214" s="633"/>
      <c r="IGF214" s="633"/>
      <c r="IGG214" s="632" t="s">
        <v>634</v>
      </c>
      <c r="IGH214" s="633"/>
      <c r="IGI214" s="633"/>
      <c r="IGJ214" s="633"/>
      <c r="IGK214" s="633"/>
      <c r="IGL214" s="633"/>
      <c r="IGM214" s="633"/>
      <c r="IGN214" s="633"/>
      <c r="IGO214" s="633"/>
      <c r="IGP214" s="633"/>
      <c r="IGQ214" s="633"/>
      <c r="IGR214" s="633"/>
      <c r="IGS214" s="633"/>
      <c r="IGT214" s="633"/>
      <c r="IGU214" s="633"/>
      <c r="IGV214" s="633"/>
      <c r="IGW214" s="632" t="s">
        <v>634</v>
      </c>
      <c r="IGX214" s="633"/>
      <c r="IGY214" s="633"/>
      <c r="IGZ214" s="633"/>
      <c r="IHA214" s="633"/>
      <c r="IHB214" s="633"/>
      <c r="IHC214" s="633"/>
      <c r="IHD214" s="633"/>
      <c r="IHE214" s="633"/>
      <c r="IHF214" s="633"/>
      <c r="IHG214" s="633"/>
      <c r="IHH214" s="633"/>
      <c r="IHI214" s="633"/>
      <c r="IHJ214" s="633"/>
      <c r="IHK214" s="633"/>
      <c r="IHL214" s="633"/>
      <c r="IHM214" s="632" t="s">
        <v>634</v>
      </c>
      <c r="IHN214" s="633"/>
      <c r="IHO214" s="633"/>
      <c r="IHP214" s="633"/>
      <c r="IHQ214" s="633"/>
      <c r="IHR214" s="633"/>
      <c r="IHS214" s="633"/>
      <c r="IHT214" s="633"/>
      <c r="IHU214" s="633"/>
      <c r="IHV214" s="633"/>
      <c r="IHW214" s="633"/>
      <c r="IHX214" s="633"/>
      <c r="IHY214" s="633"/>
      <c r="IHZ214" s="633"/>
      <c r="IIA214" s="633"/>
      <c r="IIB214" s="633"/>
      <c r="IIC214" s="632" t="s">
        <v>634</v>
      </c>
      <c r="IID214" s="633"/>
      <c r="IIE214" s="633"/>
      <c r="IIF214" s="633"/>
      <c r="IIG214" s="633"/>
      <c r="IIH214" s="633"/>
      <c r="III214" s="633"/>
      <c r="IIJ214" s="633"/>
      <c r="IIK214" s="633"/>
      <c r="IIL214" s="633"/>
      <c r="IIM214" s="633"/>
      <c r="IIN214" s="633"/>
      <c r="IIO214" s="633"/>
      <c r="IIP214" s="633"/>
      <c r="IIQ214" s="633"/>
      <c r="IIR214" s="633"/>
      <c r="IIS214" s="632" t="s">
        <v>634</v>
      </c>
      <c r="IIT214" s="633"/>
      <c r="IIU214" s="633"/>
      <c r="IIV214" s="633"/>
      <c r="IIW214" s="633"/>
      <c r="IIX214" s="633"/>
      <c r="IIY214" s="633"/>
      <c r="IIZ214" s="633"/>
      <c r="IJA214" s="633"/>
      <c r="IJB214" s="633"/>
      <c r="IJC214" s="633"/>
      <c r="IJD214" s="633"/>
      <c r="IJE214" s="633"/>
      <c r="IJF214" s="633"/>
      <c r="IJG214" s="633"/>
      <c r="IJH214" s="633"/>
      <c r="IJI214" s="632" t="s">
        <v>634</v>
      </c>
      <c r="IJJ214" s="633"/>
      <c r="IJK214" s="633"/>
      <c r="IJL214" s="633"/>
      <c r="IJM214" s="633"/>
      <c r="IJN214" s="633"/>
      <c r="IJO214" s="633"/>
      <c r="IJP214" s="633"/>
      <c r="IJQ214" s="633"/>
      <c r="IJR214" s="633"/>
      <c r="IJS214" s="633"/>
      <c r="IJT214" s="633"/>
      <c r="IJU214" s="633"/>
      <c r="IJV214" s="633"/>
      <c r="IJW214" s="633"/>
      <c r="IJX214" s="633"/>
      <c r="IJY214" s="632" t="s">
        <v>634</v>
      </c>
      <c r="IJZ214" s="633"/>
      <c r="IKA214" s="633"/>
      <c r="IKB214" s="633"/>
      <c r="IKC214" s="633"/>
      <c r="IKD214" s="633"/>
      <c r="IKE214" s="633"/>
      <c r="IKF214" s="633"/>
      <c r="IKG214" s="633"/>
      <c r="IKH214" s="633"/>
      <c r="IKI214" s="633"/>
      <c r="IKJ214" s="633"/>
      <c r="IKK214" s="633"/>
      <c r="IKL214" s="633"/>
      <c r="IKM214" s="633"/>
      <c r="IKN214" s="633"/>
      <c r="IKO214" s="632" t="s">
        <v>634</v>
      </c>
      <c r="IKP214" s="633"/>
      <c r="IKQ214" s="633"/>
      <c r="IKR214" s="633"/>
      <c r="IKS214" s="633"/>
      <c r="IKT214" s="633"/>
      <c r="IKU214" s="633"/>
      <c r="IKV214" s="633"/>
      <c r="IKW214" s="633"/>
      <c r="IKX214" s="633"/>
      <c r="IKY214" s="633"/>
      <c r="IKZ214" s="633"/>
      <c r="ILA214" s="633"/>
      <c r="ILB214" s="633"/>
      <c r="ILC214" s="633"/>
      <c r="ILD214" s="633"/>
      <c r="ILE214" s="632" t="s">
        <v>634</v>
      </c>
      <c r="ILF214" s="633"/>
      <c r="ILG214" s="633"/>
      <c r="ILH214" s="633"/>
      <c r="ILI214" s="633"/>
      <c r="ILJ214" s="633"/>
      <c r="ILK214" s="633"/>
      <c r="ILL214" s="633"/>
      <c r="ILM214" s="633"/>
      <c r="ILN214" s="633"/>
      <c r="ILO214" s="633"/>
      <c r="ILP214" s="633"/>
      <c r="ILQ214" s="633"/>
      <c r="ILR214" s="633"/>
      <c r="ILS214" s="633"/>
      <c r="ILT214" s="633"/>
      <c r="ILU214" s="632" t="s">
        <v>634</v>
      </c>
      <c r="ILV214" s="633"/>
      <c r="ILW214" s="633"/>
      <c r="ILX214" s="633"/>
      <c r="ILY214" s="633"/>
      <c r="ILZ214" s="633"/>
      <c r="IMA214" s="633"/>
      <c r="IMB214" s="633"/>
      <c r="IMC214" s="633"/>
      <c r="IMD214" s="633"/>
      <c r="IME214" s="633"/>
      <c r="IMF214" s="633"/>
      <c r="IMG214" s="633"/>
      <c r="IMH214" s="633"/>
      <c r="IMI214" s="633"/>
      <c r="IMJ214" s="633"/>
      <c r="IMK214" s="632" t="s">
        <v>634</v>
      </c>
      <c r="IML214" s="633"/>
      <c r="IMM214" s="633"/>
      <c r="IMN214" s="633"/>
      <c r="IMO214" s="633"/>
      <c r="IMP214" s="633"/>
      <c r="IMQ214" s="633"/>
      <c r="IMR214" s="633"/>
      <c r="IMS214" s="633"/>
      <c r="IMT214" s="633"/>
      <c r="IMU214" s="633"/>
      <c r="IMV214" s="633"/>
      <c r="IMW214" s="633"/>
      <c r="IMX214" s="633"/>
      <c r="IMY214" s="633"/>
      <c r="IMZ214" s="633"/>
      <c r="INA214" s="632" t="s">
        <v>634</v>
      </c>
      <c r="INB214" s="633"/>
      <c r="INC214" s="633"/>
      <c r="IND214" s="633"/>
      <c r="INE214" s="633"/>
      <c r="INF214" s="633"/>
      <c r="ING214" s="633"/>
      <c r="INH214" s="633"/>
      <c r="INI214" s="633"/>
      <c r="INJ214" s="633"/>
      <c r="INK214" s="633"/>
      <c r="INL214" s="633"/>
      <c r="INM214" s="633"/>
      <c r="INN214" s="633"/>
      <c r="INO214" s="633"/>
      <c r="INP214" s="633"/>
      <c r="INQ214" s="632" t="s">
        <v>634</v>
      </c>
      <c r="INR214" s="633"/>
      <c r="INS214" s="633"/>
      <c r="INT214" s="633"/>
      <c r="INU214" s="633"/>
      <c r="INV214" s="633"/>
      <c r="INW214" s="633"/>
      <c r="INX214" s="633"/>
      <c r="INY214" s="633"/>
      <c r="INZ214" s="633"/>
      <c r="IOA214" s="633"/>
      <c r="IOB214" s="633"/>
      <c r="IOC214" s="633"/>
      <c r="IOD214" s="633"/>
      <c r="IOE214" s="633"/>
      <c r="IOF214" s="633"/>
      <c r="IOG214" s="632" t="s">
        <v>634</v>
      </c>
      <c r="IOH214" s="633"/>
      <c r="IOI214" s="633"/>
      <c r="IOJ214" s="633"/>
      <c r="IOK214" s="633"/>
      <c r="IOL214" s="633"/>
      <c r="IOM214" s="633"/>
      <c r="ION214" s="633"/>
      <c r="IOO214" s="633"/>
      <c r="IOP214" s="633"/>
      <c r="IOQ214" s="633"/>
      <c r="IOR214" s="633"/>
      <c r="IOS214" s="633"/>
      <c r="IOT214" s="633"/>
      <c r="IOU214" s="633"/>
      <c r="IOV214" s="633"/>
      <c r="IOW214" s="632" t="s">
        <v>634</v>
      </c>
      <c r="IOX214" s="633"/>
      <c r="IOY214" s="633"/>
      <c r="IOZ214" s="633"/>
      <c r="IPA214" s="633"/>
      <c r="IPB214" s="633"/>
      <c r="IPC214" s="633"/>
      <c r="IPD214" s="633"/>
      <c r="IPE214" s="633"/>
      <c r="IPF214" s="633"/>
      <c r="IPG214" s="633"/>
      <c r="IPH214" s="633"/>
      <c r="IPI214" s="633"/>
      <c r="IPJ214" s="633"/>
      <c r="IPK214" s="633"/>
      <c r="IPL214" s="633"/>
      <c r="IPM214" s="632" t="s">
        <v>634</v>
      </c>
      <c r="IPN214" s="633"/>
      <c r="IPO214" s="633"/>
      <c r="IPP214" s="633"/>
      <c r="IPQ214" s="633"/>
      <c r="IPR214" s="633"/>
      <c r="IPS214" s="633"/>
      <c r="IPT214" s="633"/>
      <c r="IPU214" s="633"/>
      <c r="IPV214" s="633"/>
      <c r="IPW214" s="633"/>
      <c r="IPX214" s="633"/>
      <c r="IPY214" s="633"/>
      <c r="IPZ214" s="633"/>
      <c r="IQA214" s="633"/>
      <c r="IQB214" s="633"/>
      <c r="IQC214" s="632" t="s">
        <v>634</v>
      </c>
      <c r="IQD214" s="633"/>
      <c r="IQE214" s="633"/>
      <c r="IQF214" s="633"/>
      <c r="IQG214" s="633"/>
      <c r="IQH214" s="633"/>
      <c r="IQI214" s="633"/>
      <c r="IQJ214" s="633"/>
      <c r="IQK214" s="633"/>
      <c r="IQL214" s="633"/>
      <c r="IQM214" s="633"/>
      <c r="IQN214" s="633"/>
      <c r="IQO214" s="633"/>
      <c r="IQP214" s="633"/>
      <c r="IQQ214" s="633"/>
      <c r="IQR214" s="633"/>
      <c r="IQS214" s="632" t="s">
        <v>634</v>
      </c>
      <c r="IQT214" s="633"/>
      <c r="IQU214" s="633"/>
      <c r="IQV214" s="633"/>
      <c r="IQW214" s="633"/>
      <c r="IQX214" s="633"/>
      <c r="IQY214" s="633"/>
      <c r="IQZ214" s="633"/>
      <c r="IRA214" s="633"/>
      <c r="IRB214" s="633"/>
      <c r="IRC214" s="633"/>
      <c r="IRD214" s="633"/>
      <c r="IRE214" s="633"/>
      <c r="IRF214" s="633"/>
      <c r="IRG214" s="633"/>
      <c r="IRH214" s="633"/>
      <c r="IRI214" s="632" t="s">
        <v>634</v>
      </c>
      <c r="IRJ214" s="633"/>
      <c r="IRK214" s="633"/>
      <c r="IRL214" s="633"/>
      <c r="IRM214" s="633"/>
      <c r="IRN214" s="633"/>
      <c r="IRO214" s="633"/>
      <c r="IRP214" s="633"/>
      <c r="IRQ214" s="633"/>
      <c r="IRR214" s="633"/>
      <c r="IRS214" s="633"/>
      <c r="IRT214" s="633"/>
      <c r="IRU214" s="633"/>
      <c r="IRV214" s="633"/>
      <c r="IRW214" s="633"/>
      <c r="IRX214" s="633"/>
      <c r="IRY214" s="632" t="s">
        <v>634</v>
      </c>
      <c r="IRZ214" s="633"/>
      <c r="ISA214" s="633"/>
      <c r="ISB214" s="633"/>
      <c r="ISC214" s="633"/>
      <c r="ISD214" s="633"/>
      <c r="ISE214" s="633"/>
      <c r="ISF214" s="633"/>
      <c r="ISG214" s="633"/>
      <c r="ISH214" s="633"/>
      <c r="ISI214" s="633"/>
      <c r="ISJ214" s="633"/>
      <c r="ISK214" s="633"/>
      <c r="ISL214" s="633"/>
      <c r="ISM214" s="633"/>
      <c r="ISN214" s="633"/>
      <c r="ISO214" s="632" t="s">
        <v>634</v>
      </c>
      <c r="ISP214" s="633"/>
      <c r="ISQ214" s="633"/>
      <c r="ISR214" s="633"/>
      <c r="ISS214" s="633"/>
      <c r="IST214" s="633"/>
      <c r="ISU214" s="633"/>
      <c r="ISV214" s="633"/>
      <c r="ISW214" s="633"/>
      <c r="ISX214" s="633"/>
      <c r="ISY214" s="633"/>
      <c r="ISZ214" s="633"/>
      <c r="ITA214" s="633"/>
      <c r="ITB214" s="633"/>
      <c r="ITC214" s="633"/>
      <c r="ITD214" s="633"/>
      <c r="ITE214" s="632" t="s">
        <v>634</v>
      </c>
      <c r="ITF214" s="633"/>
      <c r="ITG214" s="633"/>
      <c r="ITH214" s="633"/>
      <c r="ITI214" s="633"/>
      <c r="ITJ214" s="633"/>
      <c r="ITK214" s="633"/>
      <c r="ITL214" s="633"/>
      <c r="ITM214" s="633"/>
      <c r="ITN214" s="633"/>
      <c r="ITO214" s="633"/>
      <c r="ITP214" s="633"/>
      <c r="ITQ214" s="633"/>
      <c r="ITR214" s="633"/>
      <c r="ITS214" s="633"/>
      <c r="ITT214" s="633"/>
      <c r="ITU214" s="632" t="s">
        <v>634</v>
      </c>
      <c r="ITV214" s="633"/>
      <c r="ITW214" s="633"/>
      <c r="ITX214" s="633"/>
      <c r="ITY214" s="633"/>
      <c r="ITZ214" s="633"/>
      <c r="IUA214" s="633"/>
      <c r="IUB214" s="633"/>
      <c r="IUC214" s="633"/>
      <c r="IUD214" s="633"/>
      <c r="IUE214" s="633"/>
      <c r="IUF214" s="633"/>
      <c r="IUG214" s="633"/>
      <c r="IUH214" s="633"/>
      <c r="IUI214" s="633"/>
      <c r="IUJ214" s="633"/>
      <c r="IUK214" s="632" t="s">
        <v>634</v>
      </c>
      <c r="IUL214" s="633"/>
      <c r="IUM214" s="633"/>
      <c r="IUN214" s="633"/>
      <c r="IUO214" s="633"/>
      <c r="IUP214" s="633"/>
      <c r="IUQ214" s="633"/>
      <c r="IUR214" s="633"/>
      <c r="IUS214" s="633"/>
      <c r="IUT214" s="633"/>
      <c r="IUU214" s="633"/>
      <c r="IUV214" s="633"/>
      <c r="IUW214" s="633"/>
      <c r="IUX214" s="633"/>
      <c r="IUY214" s="633"/>
      <c r="IUZ214" s="633"/>
      <c r="IVA214" s="632" t="s">
        <v>634</v>
      </c>
      <c r="IVB214" s="633"/>
      <c r="IVC214" s="633"/>
      <c r="IVD214" s="633"/>
      <c r="IVE214" s="633"/>
      <c r="IVF214" s="633"/>
      <c r="IVG214" s="633"/>
      <c r="IVH214" s="633"/>
      <c r="IVI214" s="633"/>
      <c r="IVJ214" s="633"/>
      <c r="IVK214" s="633"/>
      <c r="IVL214" s="633"/>
      <c r="IVM214" s="633"/>
      <c r="IVN214" s="633"/>
      <c r="IVO214" s="633"/>
      <c r="IVP214" s="633"/>
      <c r="IVQ214" s="632" t="s">
        <v>634</v>
      </c>
      <c r="IVR214" s="633"/>
      <c r="IVS214" s="633"/>
      <c r="IVT214" s="633"/>
      <c r="IVU214" s="633"/>
      <c r="IVV214" s="633"/>
      <c r="IVW214" s="633"/>
      <c r="IVX214" s="633"/>
      <c r="IVY214" s="633"/>
      <c r="IVZ214" s="633"/>
      <c r="IWA214" s="633"/>
      <c r="IWB214" s="633"/>
      <c r="IWC214" s="633"/>
      <c r="IWD214" s="633"/>
      <c r="IWE214" s="633"/>
      <c r="IWF214" s="633"/>
      <c r="IWG214" s="632" t="s">
        <v>634</v>
      </c>
      <c r="IWH214" s="633"/>
      <c r="IWI214" s="633"/>
      <c r="IWJ214" s="633"/>
      <c r="IWK214" s="633"/>
      <c r="IWL214" s="633"/>
      <c r="IWM214" s="633"/>
      <c r="IWN214" s="633"/>
      <c r="IWO214" s="633"/>
      <c r="IWP214" s="633"/>
      <c r="IWQ214" s="633"/>
      <c r="IWR214" s="633"/>
      <c r="IWS214" s="633"/>
      <c r="IWT214" s="633"/>
      <c r="IWU214" s="633"/>
      <c r="IWV214" s="633"/>
      <c r="IWW214" s="632" t="s">
        <v>634</v>
      </c>
      <c r="IWX214" s="633"/>
      <c r="IWY214" s="633"/>
      <c r="IWZ214" s="633"/>
      <c r="IXA214" s="633"/>
      <c r="IXB214" s="633"/>
      <c r="IXC214" s="633"/>
      <c r="IXD214" s="633"/>
      <c r="IXE214" s="633"/>
      <c r="IXF214" s="633"/>
      <c r="IXG214" s="633"/>
      <c r="IXH214" s="633"/>
      <c r="IXI214" s="633"/>
      <c r="IXJ214" s="633"/>
      <c r="IXK214" s="633"/>
      <c r="IXL214" s="633"/>
      <c r="IXM214" s="632" t="s">
        <v>634</v>
      </c>
      <c r="IXN214" s="633"/>
      <c r="IXO214" s="633"/>
      <c r="IXP214" s="633"/>
      <c r="IXQ214" s="633"/>
      <c r="IXR214" s="633"/>
      <c r="IXS214" s="633"/>
      <c r="IXT214" s="633"/>
      <c r="IXU214" s="633"/>
      <c r="IXV214" s="633"/>
      <c r="IXW214" s="633"/>
      <c r="IXX214" s="633"/>
      <c r="IXY214" s="633"/>
      <c r="IXZ214" s="633"/>
      <c r="IYA214" s="633"/>
      <c r="IYB214" s="633"/>
      <c r="IYC214" s="632" t="s">
        <v>634</v>
      </c>
      <c r="IYD214" s="633"/>
      <c r="IYE214" s="633"/>
      <c r="IYF214" s="633"/>
      <c r="IYG214" s="633"/>
      <c r="IYH214" s="633"/>
      <c r="IYI214" s="633"/>
      <c r="IYJ214" s="633"/>
      <c r="IYK214" s="633"/>
      <c r="IYL214" s="633"/>
      <c r="IYM214" s="633"/>
      <c r="IYN214" s="633"/>
      <c r="IYO214" s="633"/>
      <c r="IYP214" s="633"/>
      <c r="IYQ214" s="633"/>
      <c r="IYR214" s="633"/>
      <c r="IYS214" s="632" t="s">
        <v>634</v>
      </c>
      <c r="IYT214" s="633"/>
      <c r="IYU214" s="633"/>
      <c r="IYV214" s="633"/>
      <c r="IYW214" s="633"/>
      <c r="IYX214" s="633"/>
      <c r="IYY214" s="633"/>
      <c r="IYZ214" s="633"/>
      <c r="IZA214" s="633"/>
      <c r="IZB214" s="633"/>
      <c r="IZC214" s="633"/>
      <c r="IZD214" s="633"/>
      <c r="IZE214" s="633"/>
      <c r="IZF214" s="633"/>
      <c r="IZG214" s="633"/>
      <c r="IZH214" s="633"/>
      <c r="IZI214" s="632" t="s">
        <v>634</v>
      </c>
      <c r="IZJ214" s="633"/>
      <c r="IZK214" s="633"/>
      <c r="IZL214" s="633"/>
      <c r="IZM214" s="633"/>
      <c r="IZN214" s="633"/>
      <c r="IZO214" s="633"/>
      <c r="IZP214" s="633"/>
      <c r="IZQ214" s="633"/>
      <c r="IZR214" s="633"/>
      <c r="IZS214" s="633"/>
      <c r="IZT214" s="633"/>
      <c r="IZU214" s="633"/>
      <c r="IZV214" s="633"/>
      <c r="IZW214" s="633"/>
      <c r="IZX214" s="633"/>
      <c r="IZY214" s="632" t="s">
        <v>634</v>
      </c>
      <c r="IZZ214" s="633"/>
      <c r="JAA214" s="633"/>
      <c r="JAB214" s="633"/>
      <c r="JAC214" s="633"/>
      <c r="JAD214" s="633"/>
      <c r="JAE214" s="633"/>
      <c r="JAF214" s="633"/>
      <c r="JAG214" s="633"/>
      <c r="JAH214" s="633"/>
      <c r="JAI214" s="633"/>
      <c r="JAJ214" s="633"/>
      <c r="JAK214" s="633"/>
      <c r="JAL214" s="633"/>
      <c r="JAM214" s="633"/>
      <c r="JAN214" s="633"/>
      <c r="JAO214" s="632" t="s">
        <v>634</v>
      </c>
      <c r="JAP214" s="633"/>
      <c r="JAQ214" s="633"/>
      <c r="JAR214" s="633"/>
      <c r="JAS214" s="633"/>
      <c r="JAT214" s="633"/>
      <c r="JAU214" s="633"/>
      <c r="JAV214" s="633"/>
      <c r="JAW214" s="633"/>
      <c r="JAX214" s="633"/>
      <c r="JAY214" s="633"/>
      <c r="JAZ214" s="633"/>
      <c r="JBA214" s="633"/>
      <c r="JBB214" s="633"/>
      <c r="JBC214" s="633"/>
      <c r="JBD214" s="633"/>
      <c r="JBE214" s="632" t="s">
        <v>634</v>
      </c>
      <c r="JBF214" s="633"/>
      <c r="JBG214" s="633"/>
      <c r="JBH214" s="633"/>
      <c r="JBI214" s="633"/>
      <c r="JBJ214" s="633"/>
      <c r="JBK214" s="633"/>
      <c r="JBL214" s="633"/>
      <c r="JBM214" s="633"/>
      <c r="JBN214" s="633"/>
      <c r="JBO214" s="633"/>
      <c r="JBP214" s="633"/>
      <c r="JBQ214" s="633"/>
      <c r="JBR214" s="633"/>
      <c r="JBS214" s="633"/>
      <c r="JBT214" s="633"/>
      <c r="JBU214" s="632" t="s">
        <v>634</v>
      </c>
      <c r="JBV214" s="633"/>
      <c r="JBW214" s="633"/>
      <c r="JBX214" s="633"/>
      <c r="JBY214" s="633"/>
      <c r="JBZ214" s="633"/>
      <c r="JCA214" s="633"/>
      <c r="JCB214" s="633"/>
      <c r="JCC214" s="633"/>
      <c r="JCD214" s="633"/>
      <c r="JCE214" s="633"/>
      <c r="JCF214" s="633"/>
      <c r="JCG214" s="633"/>
      <c r="JCH214" s="633"/>
      <c r="JCI214" s="633"/>
      <c r="JCJ214" s="633"/>
      <c r="JCK214" s="632" t="s">
        <v>634</v>
      </c>
      <c r="JCL214" s="633"/>
      <c r="JCM214" s="633"/>
      <c r="JCN214" s="633"/>
      <c r="JCO214" s="633"/>
      <c r="JCP214" s="633"/>
      <c r="JCQ214" s="633"/>
      <c r="JCR214" s="633"/>
      <c r="JCS214" s="633"/>
      <c r="JCT214" s="633"/>
      <c r="JCU214" s="633"/>
      <c r="JCV214" s="633"/>
      <c r="JCW214" s="633"/>
      <c r="JCX214" s="633"/>
      <c r="JCY214" s="633"/>
      <c r="JCZ214" s="633"/>
      <c r="JDA214" s="632" t="s">
        <v>634</v>
      </c>
      <c r="JDB214" s="633"/>
      <c r="JDC214" s="633"/>
      <c r="JDD214" s="633"/>
      <c r="JDE214" s="633"/>
      <c r="JDF214" s="633"/>
      <c r="JDG214" s="633"/>
      <c r="JDH214" s="633"/>
      <c r="JDI214" s="633"/>
      <c r="JDJ214" s="633"/>
      <c r="JDK214" s="633"/>
      <c r="JDL214" s="633"/>
      <c r="JDM214" s="633"/>
      <c r="JDN214" s="633"/>
      <c r="JDO214" s="633"/>
      <c r="JDP214" s="633"/>
      <c r="JDQ214" s="632" t="s">
        <v>634</v>
      </c>
      <c r="JDR214" s="633"/>
      <c r="JDS214" s="633"/>
      <c r="JDT214" s="633"/>
      <c r="JDU214" s="633"/>
      <c r="JDV214" s="633"/>
      <c r="JDW214" s="633"/>
      <c r="JDX214" s="633"/>
      <c r="JDY214" s="633"/>
      <c r="JDZ214" s="633"/>
      <c r="JEA214" s="633"/>
      <c r="JEB214" s="633"/>
      <c r="JEC214" s="633"/>
      <c r="JED214" s="633"/>
      <c r="JEE214" s="633"/>
      <c r="JEF214" s="633"/>
      <c r="JEG214" s="632" t="s">
        <v>634</v>
      </c>
      <c r="JEH214" s="633"/>
      <c r="JEI214" s="633"/>
      <c r="JEJ214" s="633"/>
      <c r="JEK214" s="633"/>
      <c r="JEL214" s="633"/>
      <c r="JEM214" s="633"/>
      <c r="JEN214" s="633"/>
      <c r="JEO214" s="633"/>
      <c r="JEP214" s="633"/>
      <c r="JEQ214" s="633"/>
      <c r="JER214" s="633"/>
      <c r="JES214" s="633"/>
      <c r="JET214" s="633"/>
      <c r="JEU214" s="633"/>
      <c r="JEV214" s="633"/>
      <c r="JEW214" s="632" t="s">
        <v>634</v>
      </c>
      <c r="JEX214" s="633"/>
      <c r="JEY214" s="633"/>
      <c r="JEZ214" s="633"/>
      <c r="JFA214" s="633"/>
      <c r="JFB214" s="633"/>
      <c r="JFC214" s="633"/>
      <c r="JFD214" s="633"/>
      <c r="JFE214" s="633"/>
      <c r="JFF214" s="633"/>
      <c r="JFG214" s="633"/>
      <c r="JFH214" s="633"/>
      <c r="JFI214" s="633"/>
      <c r="JFJ214" s="633"/>
      <c r="JFK214" s="633"/>
      <c r="JFL214" s="633"/>
      <c r="JFM214" s="632" t="s">
        <v>634</v>
      </c>
      <c r="JFN214" s="633"/>
      <c r="JFO214" s="633"/>
      <c r="JFP214" s="633"/>
      <c r="JFQ214" s="633"/>
      <c r="JFR214" s="633"/>
      <c r="JFS214" s="633"/>
      <c r="JFT214" s="633"/>
      <c r="JFU214" s="633"/>
      <c r="JFV214" s="633"/>
      <c r="JFW214" s="633"/>
      <c r="JFX214" s="633"/>
      <c r="JFY214" s="633"/>
      <c r="JFZ214" s="633"/>
      <c r="JGA214" s="633"/>
      <c r="JGB214" s="633"/>
      <c r="JGC214" s="632" t="s">
        <v>634</v>
      </c>
      <c r="JGD214" s="633"/>
      <c r="JGE214" s="633"/>
      <c r="JGF214" s="633"/>
      <c r="JGG214" s="633"/>
      <c r="JGH214" s="633"/>
      <c r="JGI214" s="633"/>
      <c r="JGJ214" s="633"/>
      <c r="JGK214" s="633"/>
      <c r="JGL214" s="633"/>
      <c r="JGM214" s="633"/>
      <c r="JGN214" s="633"/>
      <c r="JGO214" s="633"/>
      <c r="JGP214" s="633"/>
      <c r="JGQ214" s="633"/>
      <c r="JGR214" s="633"/>
      <c r="JGS214" s="632" t="s">
        <v>634</v>
      </c>
      <c r="JGT214" s="633"/>
      <c r="JGU214" s="633"/>
      <c r="JGV214" s="633"/>
      <c r="JGW214" s="633"/>
      <c r="JGX214" s="633"/>
      <c r="JGY214" s="633"/>
      <c r="JGZ214" s="633"/>
      <c r="JHA214" s="633"/>
      <c r="JHB214" s="633"/>
      <c r="JHC214" s="633"/>
      <c r="JHD214" s="633"/>
      <c r="JHE214" s="633"/>
      <c r="JHF214" s="633"/>
      <c r="JHG214" s="633"/>
      <c r="JHH214" s="633"/>
      <c r="JHI214" s="632" t="s">
        <v>634</v>
      </c>
      <c r="JHJ214" s="633"/>
      <c r="JHK214" s="633"/>
      <c r="JHL214" s="633"/>
      <c r="JHM214" s="633"/>
      <c r="JHN214" s="633"/>
      <c r="JHO214" s="633"/>
      <c r="JHP214" s="633"/>
      <c r="JHQ214" s="633"/>
      <c r="JHR214" s="633"/>
      <c r="JHS214" s="633"/>
      <c r="JHT214" s="633"/>
      <c r="JHU214" s="633"/>
      <c r="JHV214" s="633"/>
      <c r="JHW214" s="633"/>
      <c r="JHX214" s="633"/>
      <c r="JHY214" s="632" t="s">
        <v>634</v>
      </c>
      <c r="JHZ214" s="633"/>
      <c r="JIA214" s="633"/>
      <c r="JIB214" s="633"/>
      <c r="JIC214" s="633"/>
      <c r="JID214" s="633"/>
      <c r="JIE214" s="633"/>
      <c r="JIF214" s="633"/>
      <c r="JIG214" s="633"/>
      <c r="JIH214" s="633"/>
      <c r="JII214" s="633"/>
      <c r="JIJ214" s="633"/>
      <c r="JIK214" s="633"/>
      <c r="JIL214" s="633"/>
      <c r="JIM214" s="633"/>
      <c r="JIN214" s="633"/>
      <c r="JIO214" s="632" t="s">
        <v>634</v>
      </c>
      <c r="JIP214" s="633"/>
      <c r="JIQ214" s="633"/>
      <c r="JIR214" s="633"/>
      <c r="JIS214" s="633"/>
      <c r="JIT214" s="633"/>
      <c r="JIU214" s="633"/>
      <c r="JIV214" s="633"/>
      <c r="JIW214" s="633"/>
      <c r="JIX214" s="633"/>
      <c r="JIY214" s="633"/>
      <c r="JIZ214" s="633"/>
      <c r="JJA214" s="633"/>
      <c r="JJB214" s="633"/>
      <c r="JJC214" s="633"/>
      <c r="JJD214" s="633"/>
      <c r="JJE214" s="632" t="s">
        <v>634</v>
      </c>
      <c r="JJF214" s="633"/>
      <c r="JJG214" s="633"/>
      <c r="JJH214" s="633"/>
      <c r="JJI214" s="633"/>
      <c r="JJJ214" s="633"/>
      <c r="JJK214" s="633"/>
      <c r="JJL214" s="633"/>
      <c r="JJM214" s="633"/>
      <c r="JJN214" s="633"/>
      <c r="JJO214" s="633"/>
      <c r="JJP214" s="633"/>
      <c r="JJQ214" s="633"/>
      <c r="JJR214" s="633"/>
      <c r="JJS214" s="633"/>
      <c r="JJT214" s="633"/>
      <c r="JJU214" s="632" t="s">
        <v>634</v>
      </c>
      <c r="JJV214" s="633"/>
      <c r="JJW214" s="633"/>
      <c r="JJX214" s="633"/>
      <c r="JJY214" s="633"/>
      <c r="JJZ214" s="633"/>
      <c r="JKA214" s="633"/>
      <c r="JKB214" s="633"/>
      <c r="JKC214" s="633"/>
      <c r="JKD214" s="633"/>
      <c r="JKE214" s="633"/>
      <c r="JKF214" s="633"/>
      <c r="JKG214" s="633"/>
      <c r="JKH214" s="633"/>
      <c r="JKI214" s="633"/>
      <c r="JKJ214" s="633"/>
      <c r="JKK214" s="632" t="s">
        <v>634</v>
      </c>
      <c r="JKL214" s="633"/>
      <c r="JKM214" s="633"/>
      <c r="JKN214" s="633"/>
      <c r="JKO214" s="633"/>
      <c r="JKP214" s="633"/>
      <c r="JKQ214" s="633"/>
      <c r="JKR214" s="633"/>
      <c r="JKS214" s="633"/>
      <c r="JKT214" s="633"/>
      <c r="JKU214" s="633"/>
      <c r="JKV214" s="633"/>
      <c r="JKW214" s="633"/>
      <c r="JKX214" s="633"/>
      <c r="JKY214" s="633"/>
      <c r="JKZ214" s="633"/>
      <c r="JLA214" s="632" t="s">
        <v>634</v>
      </c>
      <c r="JLB214" s="633"/>
      <c r="JLC214" s="633"/>
      <c r="JLD214" s="633"/>
      <c r="JLE214" s="633"/>
      <c r="JLF214" s="633"/>
      <c r="JLG214" s="633"/>
      <c r="JLH214" s="633"/>
      <c r="JLI214" s="633"/>
      <c r="JLJ214" s="633"/>
      <c r="JLK214" s="633"/>
      <c r="JLL214" s="633"/>
      <c r="JLM214" s="633"/>
      <c r="JLN214" s="633"/>
      <c r="JLO214" s="633"/>
      <c r="JLP214" s="633"/>
      <c r="JLQ214" s="632" t="s">
        <v>634</v>
      </c>
      <c r="JLR214" s="633"/>
      <c r="JLS214" s="633"/>
      <c r="JLT214" s="633"/>
      <c r="JLU214" s="633"/>
      <c r="JLV214" s="633"/>
      <c r="JLW214" s="633"/>
      <c r="JLX214" s="633"/>
      <c r="JLY214" s="633"/>
      <c r="JLZ214" s="633"/>
      <c r="JMA214" s="633"/>
      <c r="JMB214" s="633"/>
      <c r="JMC214" s="633"/>
      <c r="JMD214" s="633"/>
      <c r="JME214" s="633"/>
      <c r="JMF214" s="633"/>
      <c r="JMG214" s="632" t="s">
        <v>634</v>
      </c>
      <c r="JMH214" s="633"/>
      <c r="JMI214" s="633"/>
      <c r="JMJ214" s="633"/>
      <c r="JMK214" s="633"/>
      <c r="JML214" s="633"/>
      <c r="JMM214" s="633"/>
      <c r="JMN214" s="633"/>
      <c r="JMO214" s="633"/>
      <c r="JMP214" s="633"/>
      <c r="JMQ214" s="633"/>
      <c r="JMR214" s="633"/>
      <c r="JMS214" s="633"/>
      <c r="JMT214" s="633"/>
      <c r="JMU214" s="633"/>
      <c r="JMV214" s="633"/>
      <c r="JMW214" s="632" t="s">
        <v>634</v>
      </c>
      <c r="JMX214" s="633"/>
      <c r="JMY214" s="633"/>
      <c r="JMZ214" s="633"/>
      <c r="JNA214" s="633"/>
      <c r="JNB214" s="633"/>
      <c r="JNC214" s="633"/>
      <c r="JND214" s="633"/>
      <c r="JNE214" s="633"/>
      <c r="JNF214" s="633"/>
      <c r="JNG214" s="633"/>
      <c r="JNH214" s="633"/>
      <c r="JNI214" s="633"/>
      <c r="JNJ214" s="633"/>
      <c r="JNK214" s="633"/>
      <c r="JNL214" s="633"/>
      <c r="JNM214" s="632" t="s">
        <v>634</v>
      </c>
      <c r="JNN214" s="633"/>
      <c r="JNO214" s="633"/>
      <c r="JNP214" s="633"/>
      <c r="JNQ214" s="633"/>
      <c r="JNR214" s="633"/>
      <c r="JNS214" s="633"/>
      <c r="JNT214" s="633"/>
      <c r="JNU214" s="633"/>
      <c r="JNV214" s="633"/>
      <c r="JNW214" s="633"/>
      <c r="JNX214" s="633"/>
      <c r="JNY214" s="633"/>
      <c r="JNZ214" s="633"/>
      <c r="JOA214" s="633"/>
      <c r="JOB214" s="633"/>
      <c r="JOC214" s="632" t="s">
        <v>634</v>
      </c>
      <c r="JOD214" s="633"/>
      <c r="JOE214" s="633"/>
      <c r="JOF214" s="633"/>
      <c r="JOG214" s="633"/>
      <c r="JOH214" s="633"/>
      <c r="JOI214" s="633"/>
      <c r="JOJ214" s="633"/>
      <c r="JOK214" s="633"/>
      <c r="JOL214" s="633"/>
      <c r="JOM214" s="633"/>
      <c r="JON214" s="633"/>
      <c r="JOO214" s="633"/>
      <c r="JOP214" s="633"/>
      <c r="JOQ214" s="633"/>
      <c r="JOR214" s="633"/>
      <c r="JOS214" s="632" t="s">
        <v>634</v>
      </c>
      <c r="JOT214" s="633"/>
      <c r="JOU214" s="633"/>
      <c r="JOV214" s="633"/>
      <c r="JOW214" s="633"/>
      <c r="JOX214" s="633"/>
      <c r="JOY214" s="633"/>
      <c r="JOZ214" s="633"/>
      <c r="JPA214" s="633"/>
      <c r="JPB214" s="633"/>
      <c r="JPC214" s="633"/>
      <c r="JPD214" s="633"/>
      <c r="JPE214" s="633"/>
      <c r="JPF214" s="633"/>
      <c r="JPG214" s="633"/>
      <c r="JPH214" s="633"/>
      <c r="JPI214" s="632" t="s">
        <v>634</v>
      </c>
      <c r="JPJ214" s="633"/>
      <c r="JPK214" s="633"/>
      <c r="JPL214" s="633"/>
      <c r="JPM214" s="633"/>
      <c r="JPN214" s="633"/>
      <c r="JPO214" s="633"/>
      <c r="JPP214" s="633"/>
      <c r="JPQ214" s="633"/>
      <c r="JPR214" s="633"/>
      <c r="JPS214" s="633"/>
      <c r="JPT214" s="633"/>
      <c r="JPU214" s="633"/>
      <c r="JPV214" s="633"/>
      <c r="JPW214" s="633"/>
      <c r="JPX214" s="633"/>
      <c r="JPY214" s="632" t="s">
        <v>634</v>
      </c>
      <c r="JPZ214" s="633"/>
      <c r="JQA214" s="633"/>
      <c r="JQB214" s="633"/>
      <c r="JQC214" s="633"/>
      <c r="JQD214" s="633"/>
      <c r="JQE214" s="633"/>
      <c r="JQF214" s="633"/>
      <c r="JQG214" s="633"/>
      <c r="JQH214" s="633"/>
      <c r="JQI214" s="633"/>
      <c r="JQJ214" s="633"/>
      <c r="JQK214" s="633"/>
      <c r="JQL214" s="633"/>
      <c r="JQM214" s="633"/>
      <c r="JQN214" s="633"/>
      <c r="JQO214" s="632" t="s">
        <v>634</v>
      </c>
      <c r="JQP214" s="633"/>
      <c r="JQQ214" s="633"/>
      <c r="JQR214" s="633"/>
      <c r="JQS214" s="633"/>
      <c r="JQT214" s="633"/>
      <c r="JQU214" s="633"/>
      <c r="JQV214" s="633"/>
      <c r="JQW214" s="633"/>
      <c r="JQX214" s="633"/>
      <c r="JQY214" s="633"/>
      <c r="JQZ214" s="633"/>
      <c r="JRA214" s="633"/>
      <c r="JRB214" s="633"/>
      <c r="JRC214" s="633"/>
      <c r="JRD214" s="633"/>
      <c r="JRE214" s="632" t="s">
        <v>634</v>
      </c>
      <c r="JRF214" s="633"/>
      <c r="JRG214" s="633"/>
      <c r="JRH214" s="633"/>
      <c r="JRI214" s="633"/>
      <c r="JRJ214" s="633"/>
      <c r="JRK214" s="633"/>
      <c r="JRL214" s="633"/>
      <c r="JRM214" s="633"/>
      <c r="JRN214" s="633"/>
      <c r="JRO214" s="633"/>
      <c r="JRP214" s="633"/>
      <c r="JRQ214" s="633"/>
      <c r="JRR214" s="633"/>
      <c r="JRS214" s="633"/>
      <c r="JRT214" s="633"/>
      <c r="JRU214" s="632" t="s">
        <v>634</v>
      </c>
      <c r="JRV214" s="633"/>
      <c r="JRW214" s="633"/>
      <c r="JRX214" s="633"/>
      <c r="JRY214" s="633"/>
      <c r="JRZ214" s="633"/>
      <c r="JSA214" s="633"/>
      <c r="JSB214" s="633"/>
      <c r="JSC214" s="633"/>
      <c r="JSD214" s="633"/>
      <c r="JSE214" s="633"/>
      <c r="JSF214" s="633"/>
      <c r="JSG214" s="633"/>
      <c r="JSH214" s="633"/>
      <c r="JSI214" s="633"/>
      <c r="JSJ214" s="633"/>
      <c r="JSK214" s="632" t="s">
        <v>634</v>
      </c>
      <c r="JSL214" s="633"/>
      <c r="JSM214" s="633"/>
      <c r="JSN214" s="633"/>
      <c r="JSO214" s="633"/>
      <c r="JSP214" s="633"/>
      <c r="JSQ214" s="633"/>
      <c r="JSR214" s="633"/>
      <c r="JSS214" s="633"/>
      <c r="JST214" s="633"/>
      <c r="JSU214" s="633"/>
      <c r="JSV214" s="633"/>
      <c r="JSW214" s="633"/>
      <c r="JSX214" s="633"/>
      <c r="JSY214" s="633"/>
      <c r="JSZ214" s="633"/>
      <c r="JTA214" s="632" t="s">
        <v>634</v>
      </c>
      <c r="JTB214" s="633"/>
      <c r="JTC214" s="633"/>
      <c r="JTD214" s="633"/>
      <c r="JTE214" s="633"/>
      <c r="JTF214" s="633"/>
      <c r="JTG214" s="633"/>
      <c r="JTH214" s="633"/>
      <c r="JTI214" s="633"/>
      <c r="JTJ214" s="633"/>
      <c r="JTK214" s="633"/>
      <c r="JTL214" s="633"/>
      <c r="JTM214" s="633"/>
      <c r="JTN214" s="633"/>
      <c r="JTO214" s="633"/>
      <c r="JTP214" s="633"/>
      <c r="JTQ214" s="632" t="s">
        <v>634</v>
      </c>
      <c r="JTR214" s="633"/>
      <c r="JTS214" s="633"/>
      <c r="JTT214" s="633"/>
      <c r="JTU214" s="633"/>
      <c r="JTV214" s="633"/>
      <c r="JTW214" s="633"/>
      <c r="JTX214" s="633"/>
      <c r="JTY214" s="633"/>
      <c r="JTZ214" s="633"/>
      <c r="JUA214" s="633"/>
      <c r="JUB214" s="633"/>
      <c r="JUC214" s="633"/>
      <c r="JUD214" s="633"/>
      <c r="JUE214" s="633"/>
      <c r="JUF214" s="633"/>
      <c r="JUG214" s="632" t="s">
        <v>634</v>
      </c>
      <c r="JUH214" s="633"/>
      <c r="JUI214" s="633"/>
      <c r="JUJ214" s="633"/>
      <c r="JUK214" s="633"/>
      <c r="JUL214" s="633"/>
      <c r="JUM214" s="633"/>
      <c r="JUN214" s="633"/>
      <c r="JUO214" s="633"/>
      <c r="JUP214" s="633"/>
      <c r="JUQ214" s="633"/>
      <c r="JUR214" s="633"/>
      <c r="JUS214" s="633"/>
      <c r="JUT214" s="633"/>
      <c r="JUU214" s="633"/>
      <c r="JUV214" s="633"/>
      <c r="JUW214" s="632" t="s">
        <v>634</v>
      </c>
      <c r="JUX214" s="633"/>
      <c r="JUY214" s="633"/>
      <c r="JUZ214" s="633"/>
      <c r="JVA214" s="633"/>
      <c r="JVB214" s="633"/>
      <c r="JVC214" s="633"/>
      <c r="JVD214" s="633"/>
      <c r="JVE214" s="633"/>
      <c r="JVF214" s="633"/>
      <c r="JVG214" s="633"/>
      <c r="JVH214" s="633"/>
      <c r="JVI214" s="633"/>
      <c r="JVJ214" s="633"/>
      <c r="JVK214" s="633"/>
      <c r="JVL214" s="633"/>
      <c r="JVM214" s="632" t="s">
        <v>634</v>
      </c>
      <c r="JVN214" s="633"/>
      <c r="JVO214" s="633"/>
      <c r="JVP214" s="633"/>
      <c r="JVQ214" s="633"/>
      <c r="JVR214" s="633"/>
      <c r="JVS214" s="633"/>
      <c r="JVT214" s="633"/>
      <c r="JVU214" s="633"/>
      <c r="JVV214" s="633"/>
      <c r="JVW214" s="633"/>
      <c r="JVX214" s="633"/>
      <c r="JVY214" s="633"/>
      <c r="JVZ214" s="633"/>
      <c r="JWA214" s="633"/>
      <c r="JWB214" s="633"/>
      <c r="JWC214" s="632" t="s">
        <v>634</v>
      </c>
      <c r="JWD214" s="633"/>
      <c r="JWE214" s="633"/>
      <c r="JWF214" s="633"/>
      <c r="JWG214" s="633"/>
      <c r="JWH214" s="633"/>
      <c r="JWI214" s="633"/>
      <c r="JWJ214" s="633"/>
      <c r="JWK214" s="633"/>
      <c r="JWL214" s="633"/>
      <c r="JWM214" s="633"/>
      <c r="JWN214" s="633"/>
      <c r="JWO214" s="633"/>
      <c r="JWP214" s="633"/>
      <c r="JWQ214" s="633"/>
      <c r="JWR214" s="633"/>
      <c r="JWS214" s="632" t="s">
        <v>634</v>
      </c>
      <c r="JWT214" s="633"/>
      <c r="JWU214" s="633"/>
      <c r="JWV214" s="633"/>
      <c r="JWW214" s="633"/>
      <c r="JWX214" s="633"/>
      <c r="JWY214" s="633"/>
      <c r="JWZ214" s="633"/>
      <c r="JXA214" s="633"/>
      <c r="JXB214" s="633"/>
      <c r="JXC214" s="633"/>
      <c r="JXD214" s="633"/>
      <c r="JXE214" s="633"/>
      <c r="JXF214" s="633"/>
      <c r="JXG214" s="633"/>
      <c r="JXH214" s="633"/>
      <c r="JXI214" s="632" t="s">
        <v>634</v>
      </c>
      <c r="JXJ214" s="633"/>
      <c r="JXK214" s="633"/>
      <c r="JXL214" s="633"/>
      <c r="JXM214" s="633"/>
      <c r="JXN214" s="633"/>
      <c r="JXO214" s="633"/>
      <c r="JXP214" s="633"/>
      <c r="JXQ214" s="633"/>
      <c r="JXR214" s="633"/>
      <c r="JXS214" s="633"/>
      <c r="JXT214" s="633"/>
      <c r="JXU214" s="633"/>
      <c r="JXV214" s="633"/>
      <c r="JXW214" s="633"/>
      <c r="JXX214" s="633"/>
      <c r="JXY214" s="632" t="s">
        <v>634</v>
      </c>
      <c r="JXZ214" s="633"/>
      <c r="JYA214" s="633"/>
      <c r="JYB214" s="633"/>
      <c r="JYC214" s="633"/>
      <c r="JYD214" s="633"/>
      <c r="JYE214" s="633"/>
      <c r="JYF214" s="633"/>
      <c r="JYG214" s="633"/>
      <c r="JYH214" s="633"/>
      <c r="JYI214" s="633"/>
      <c r="JYJ214" s="633"/>
      <c r="JYK214" s="633"/>
      <c r="JYL214" s="633"/>
      <c r="JYM214" s="633"/>
      <c r="JYN214" s="633"/>
      <c r="JYO214" s="632" t="s">
        <v>634</v>
      </c>
      <c r="JYP214" s="633"/>
      <c r="JYQ214" s="633"/>
      <c r="JYR214" s="633"/>
      <c r="JYS214" s="633"/>
      <c r="JYT214" s="633"/>
      <c r="JYU214" s="633"/>
      <c r="JYV214" s="633"/>
      <c r="JYW214" s="633"/>
      <c r="JYX214" s="633"/>
      <c r="JYY214" s="633"/>
      <c r="JYZ214" s="633"/>
      <c r="JZA214" s="633"/>
      <c r="JZB214" s="633"/>
      <c r="JZC214" s="633"/>
      <c r="JZD214" s="633"/>
      <c r="JZE214" s="632" t="s">
        <v>634</v>
      </c>
      <c r="JZF214" s="633"/>
      <c r="JZG214" s="633"/>
      <c r="JZH214" s="633"/>
      <c r="JZI214" s="633"/>
      <c r="JZJ214" s="633"/>
      <c r="JZK214" s="633"/>
      <c r="JZL214" s="633"/>
      <c r="JZM214" s="633"/>
      <c r="JZN214" s="633"/>
      <c r="JZO214" s="633"/>
      <c r="JZP214" s="633"/>
      <c r="JZQ214" s="633"/>
      <c r="JZR214" s="633"/>
      <c r="JZS214" s="633"/>
      <c r="JZT214" s="633"/>
      <c r="JZU214" s="632" t="s">
        <v>634</v>
      </c>
      <c r="JZV214" s="633"/>
      <c r="JZW214" s="633"/>
      <c r="JZX214" s="633"/>
      <c r="JZY214" s="633"/>
      <c r="JZZ214" s="633"/>
      <c r="KAA214" s="633"/>
      <c r="KAB214" s="633"/>
      <c r="KAC214" s="633"/>
      <c r="KAD214" s="633"/>
      <c r="KAE214" s="633"/>
      <c r="KAF214" s="633"/>
      <c r="KAG214" s="633"/>
      <c r="KAH214" s="633"/>
      <c r="KAI214" s="633"/>
      <c r="KAJ214" s="633"/>
      <c r="KAK214" s="632" t="s">
        <v>634</v>
      </c>
      <c r="KAL214" s="633"/>
      <c r="KAM214" s="633"/>
      <c r="KAN214" s="633"/>
      <c r="KAO214" s="633"/>
      <c r="KAP214" s="633"/>
      <c r="KAQ214" s="633"/>
      <c r="KAR214" s="633"/>
      <c r="KAS214" s="633"/>
      <c r="KAT214" s="633"/>
      <c r="KAU214" s="633"/>
      <c r="KAV214" s="633"/>
      <c r="KAW214" s="633"/>
      <c r="KAX214" s="633"/>
      <c r="KAY214" s="633"/>
      <c r="KAZ214" s="633"/>
      <c r="KBA214" s="632" t="s">
        <v>634</v>
      </c>
      <c r="KBB214" s="633"/>
      <c r="KBC214" s="633"/>
      <c r="KBD214" s="633"/>
      <c r="KBE214" s="633"/>
      <c r="KBF214" s="633"/>
      <c r="KBG214" s="633"/>
      <c r="KBH214" s="633"/>
      <c r="KBI214" s="633"/>
      <c r="KBJ214" s="633"/>
      <c r="KBK214" s="633"/>
      <c r="KBL214" s="633"/>
      <c r="KBM214" s="633"/>
      <c r="KBN214" s="633"/>
      <c r="KBO214" s="633"/>
      <c r="KBP214" s="633"/>
      <c r="KBQ214" s="632" t="s">
        <v>634</v>
      </c>
      <c r="KBR214" s="633"/>
      <c r="KBS214" s="633"/>
      <c r="KBT214" s="633"/>
      <c r="KBU214" s="633"/>
      <c r="KBV214" s="633"/>
      <c r="KBW214" s="633"/>
      <c r="KBX214" s="633"/>
      <c r="KBY214" s="633"/>
      <c r="KBZ214" s="633"/>
      <c r="KCA214" s="633"/>
      <c r="KCB214" s="633"/>
      <c r="KCC214" s="633"/>
      <c r="KCD214" s="633"/>
      <c r="KCE214" s="633"/>
      <c r="KCF214" s="633"/>
      <c r="KCG214" s="632" t="s">
        <v>634</v>
      </c>
      <c r="KCH214" s="633"/>
      <c r="KCI214" s="633"/>
      <c r="KCJ214" s="633"/>
      <c r="KCK214" s="633"/>
      <c r="KCL214" s="633"/>
      <c r="KCM214" s="633"/>
      <c r="KCN214" s="633"/>
      <c r="KCO214" s="633"/>
      <c r="KCP214" s="633"/>
      <c r="KCQ214" s="633"/>
      <c r="KCR214" s="633"/>
      <c r="KCS214" s="633"/>
      <c r="KCT214" s="633"/>
      <c r="KCU214" s="633"/>
      <c r="KCV214" s="633"/>
      <c r="KCW214" s="632" t="s">
        <v>634</v>
      </c>
      <c r="KCX214" s="633"/>
      <c r="KCY214" s="633"/>
      <c r="KCZ214" s="633"/>
      <c r="KDA214" s="633"/>
      <c r="KDB214" s="633"/>
      <c r="KDC214" s="633"/>
      <c r="KDD214" s="633"/>
      <c r="KDE214" s="633"/>
      <c r="KDF214" s="633"/>
      <c r="KDG214" s="633"/>
      <c r="KDH214" s="633"/>
      <c r="KDI214" s="633"/>
      <c r="KDJ214" s="633"/>
      <c r="KDK214" s="633"/>
      <c r="KDL214" s="633"/>
      <c r="KDM214" s="632" t="s">
        <v>634</v>
      </c>
      <c r="KDN214" s="633"/>
      <c r="KDO214" s="633"/>
      <c r="KDP214" s="633"/>
      <c r="KDQ214" s="633"/>
      <c r="KDR214" s="633"/>
      <c r="KDS214" s="633"/>
      <c r="KDT214" s="633"/>
      <c r="KDU214" s="633"/>
      <c r="KDV214" s="633"/>
      <c r="KDW214" s="633"/>
      <c r="KDX214" s="633"/>
      <c r="KDY214" s="633"/>
      <c r="KDZ214" s="633"/>
      <c r="KEA214" s="633"/>
      <c r="KEB214" s="633"/>
      <c r="KEC214" s="632" t="s">
        <v>634</v>
      </c>
      <c r="KED214" s="633"/>
      <c r="KEE214" s="633"/>
      <c r="KEF214" s="633"/>
      <c r="KEG214" s="633"/>
      <c r="KEH214" s="633"/>
      <c r="KEI214" s="633"/>
      <c r="KEJ214" s="633"/>
      <c r="KEK214" s="633"/>
      <c r="KEL214" s="633"/>
      <c r="KEM214" s="633"/>
      <c r="KEN214" s="633"/>
      <c r="KEO214" s="633"/>
      <c r="KEP214" s="633"/>
      <c r="KEQ214" s="633"/>
      <c r="KER214" s="633"/>
      <c r="KES214" s="632" t="s">
        <v>634</v>
      </c>
      <c r="KET214" s="633"/>
      <c r="KEU214" s="633"/>
      <c r="KEV214" s="633"/>
      <c r="KEW214" s="633"/>
      <c r="KEX214" s="633"/>
      <c r="KEY214" s="633"/>
      <c r="KEZ214" s="633"/>
      <c r="KFA214" s="633"/>
      <c r="KFB214" s="633"/>
      <c r="KFC214" s="633"/>
      <c r="KFD214" s="633"/>
      <c r="KFE214" s="633"/>
      <c r="KFF214" s="633"/>
      <c r="KFG214" s="633"/>
      <c r="KFH214" s="633"/>
      <c r="KFI214" s="632" t="s">
        <v>634</v>
      </c>
      <c r="KFJ214" s="633"/>
      <c r="KFK214" s="633"/>
      <c r="KFL214" s="633"/>
      <c r="KFM214" s="633"/>
      <c r="KFN214" s="633"/>
      <c r="KFO214" s="633"/>
      <c r="KFP214" s="633"/>
      <c r="KFQ214" s="633"/>
      <c r="KFR214" s="633"/>
      <c r="KFS214" s="633"/>
      <c r="KFT214" s="633"/>
      <c r="KFU214" s="633"/>
      <c r="KFV214" s="633"/>
      <c r="KFW214" s="633"/>
      <c r="KFX214" s="633"/>
      <c r="KFY214" s="632" t="s">
        <v>634</v>
      </c>
      <c r="KFZ214" s="633"/>
      <c r="KGA214" s="633"/>
      <c r="KGB214" s="633"/>
      <c r="KGC214" s="633"/>
      <c r="KGD214" s="633"/>
      <c r="KGE214" s="633"/>
      <c r="KGF214" s="633"/>
      <c r="KGG214" s="633"/>
      <c r="KGH214" s="633"/>
      <c r="KGI214" s="633"/>
      <c r="KGJ214" s="633"/>
      <c r="KGK214" s="633"/>
      <c r="KGL214" s="633"/>
      <c r="KGM214" s="633"/>
      <c r="KGN214" s="633"/>
      <c r="KGO214" s="632" t="s">
        <v>634</v>
      </c>
      <c r="KGP214" s="633"/>
      <c r="KGQ214" s="633"/>
      <c r="KGR214" s="633"/>
      <c r="KGS214" s="633"/>
      <c r="KGT214" s="633"/>
      <c r="KGU214" s="633"/>
      <c r="KGV214" s="633"/>
      <c r="KGW214" s="633"/>
      <c r="KGX214" s="633"/>
      <c r="KGY214" s="633"/>
      <c r="KGZ214" s="633"/>
      <c r="KHA214" s="633"/>
      <c r="KHB214" s="633"/>
      <c r="KHC214" s="633"/>
      <c r="KHD214" s="633"/>
      <c r="KHE214" s="632" t="s">
        <v>634</v>
      </c>
      <c r="KHF214" s="633"/>
      <c r="KHG214" s="633"/>
      <c r="KHH214" s="633"/>
      <c r="KHI214" s="633"/>
      <c r="KHJ214" s="633"/>
      <c r="KHK214" s="633"/>
      <c r="KHL214" s="633"/>
      <c r="KHM214" s="633"/>
      <c r="KHN214" s="633"/>
      <c r="KHO214" s="633"/>
      <c r="KHP214" s="633"/>
      <c r="KHQ214" s="633"/>
      <c r="KHR214" s="633"/>
      <c r="KHS214" s="633"/>
      <c r="KHT214" s="633"/>
      <c r="KHU214" s="632" t="s">
        <v>634</v>
      </c>
      <c r="KHV214" s="633"/>
      <c r="KHW214" s="633"/>
      <c r="KHX214" s="633"/>
      <c r="KHY214" s="633"/>
      <c r="KHZ214" s="633"/>
      <c r="KIA214" s="633"/>
      <c r="KIB214" s="633"/>
      <c r="KIC214" s="633"/>
      <c r="KID214" s="633"/>
      <c r="KIE214" s="633"/>
      <c r="KIF214" s="633"/>
      <c r="KIG214" s="633"/>
      <c r="KIH214" s="633"/>
      <c r="KII214" s="633"/>
      <c r="KIJ214" s="633"/>
      <c r="KIK214" s="632" t="s">
        <v>634</v>
      </c>
      <c r="KIL214" s="633"/>
      <c r="KIM214" s="633"/>
      <c r="KIN214" s="633"/>
      <c r="KIO214" s="633"/>
      <c r="KIP214" s="633"/>
      <c r="KIQ214" s="633"/>
      <c r="KIR214" s="633"/>
      <c r="KIS214" s="633"/>
      <c r="KIT214" s="633"/>
      <c r="KIU214" s="633"/>
      <c r="KIV214" s="633"/>
      <c r="KIW214" s="633"/>
      <c r="KIX214" s="633"/>
      <c r="KIY214" s="633"/>
      <c r="KIZ214" s="633"/>
      <c r="KJA214" s="632" t="s">
        <v>634</v>
      </c>
      <c r="KJB214" s="633"/>
      <c r="KJC214" s="633"/>
      <c r="KJD214" s="633"/>
      <c r="KJE214" s="633"/>
      <c r="KJF214" s="633"/>
      <c r="KJG214" s="633"/>
      <c r="KJH214" s="633"/>
      <c r="KJI214" s="633"/>
      <c r="KJJ214" s="633"/>
      <c r="KJK214" s="633"/>
      <c r="KJL214" s="633"/>
      <c r="KJM214" s="633"/>
      <c r="KJN214" s="633"/>
      <c r="KJO214" s="633"/>
      <c r="KJP214" s="633"/>
      <c r="KJQ214" s="632" t="s">
        <v>634</v>
      </c>
      <c r="KJR214" s="633"/>
      <c r="KJS214" s="633"/>
      <c r="KJT214" s="633"/>
      <c r="KJU214" s="633"/>
      <c r="KJV214" s="633"/>
      <c r="KJW214" s="633"/>
      <c r="KJX214" s="633"/>
      <c r="KJY214" s="633"/>
      <c r="KJZ214" s="633"/>
      <c r="KKA214" s="633"/>
      <c r="KKB214" s="633"/>
      <c r="KKC214" s="633"/>
      <c r="KKD214" s="633"/>
      <c r="KKE214" s="633"/>
      <c r="KKF214" s="633"/>
      <c r="KKG214" s="632" t="s">
        <v>634</v>
      </c>
      <c r="KKH214" s="633"/>
      <c r="KKI214" s="633"/>
      <c r="KKJ214" s="633"/>
      <c r="KKK214" s="633"/>
      <c r="KKL214" s="633"/>
      <c r="KKM214" s="633"/>
      <c r="KKN214" s="633"/>
      <c r="KKO214" s="633"/>
      <c r="KKP214" s="633"/>
      <c r="KKQ214" s="633"/>
      <c r="KKR214" s="633"/>
      <c r="KKS214" s="633"/>
      <c r="KKT214" s="633"/>
      <c r="KKU214" s="633"/>
      <c r="KKV214" s="633"/>
      <c r="KKW214" s="632" t="s">
        <v>634</v>
      </c>
      <c r="KKX214" s="633"/>
      <c r="KKY214" s="633"/>
      <c r="KKZ214" s="633"/>
      <c r="KLA214" s="633"/>
      <c r="KLB214" s="633"/>
      <c r="KLC214" s="633"/>
      <c r="KLD214" s="633"/>
      <c r="KLE214" s="633"/>
      <c r="KLF214" s="633"/>
      <c r="KLG214" s="633"/>
      <c r="KLH214" s="633"/>
      <c r="KLI214" s="633"/>
      <c r="KLJ214" s="633"/>
      <c r="KLK214" s="633"/>
      <c r="KLL214" s="633"/>
      <c r="KLM214" s="632" t="s">
        <v>634</v>
      </c>
      <c r="KLN214" s="633"/>
      <c r="KLO214" s="633"/>
      <c r="KLP214" s="633"/>
      <c r="KLQ214" s="633"/>
      <c r="KLR214" s="633"/>
      <c r="KLS214" s="633"/>
      <c r="KLT214" s="633"/>
      <c r="KLU214" s="633"/>
      <c r="KLV214" s="633"/>
      <c r="KLW214" s="633"/>
      <c r="KLX214" s="633"/>
      <c r="KLY214" s="633"/>
      <c r="KLZ214" s="633"/>
      <c r="KMA214" s="633"/>
      <c r="KMB214" s="633"/>
      <c r="KMC214" s="632" t="s">
        <v>634</v>
      </c>
      <c r="KMD214" s="633"/>
      <c r="KME214" s="633"/>
      <c r="KMF214" s="633"/>
      <c r="KMG214" s="633"/>
      <c r="KMH214" s="633"/>
      <c r="KMI214" s="633"/>
      <c r="KMJ214" s="633"/>
      <c r="KMK214" s="633"/>
      <c r="KML214" s="633"/>
      <c r="KMM214" s="633"/>
      <c r="KMN214" s="633"/>
      <c r="KMO214" s="633"/>
      <c r="KMP214" s="633"/>
      <c r="KMQ214" s="633"/>
      <c r="KMR214" s="633"/>
      <c r="KMS214" s="632" t="s">
        <v>634</v>
      </c>
      <c r="KMT214" s="633"/>
      <c r="KMU214" s="633"/>
      <c r="KMV214" s="633"/>
      <c r="KMW214" s="633"/>
      <c r="KMX214" s="633"/>
      <c r="KMY214" s="633"/>
      <c r="KMZ214" s="633"/>
      <c r="KNA214" s="633"/>
      <c r="KNB214" s="633"/>
      <c r="KNC214" s="633"/>
      <c r="KND214" s="633"/>
      <c r="KNE214" s="633"/>
      <c r="KNF214" s="633"/>
      <c r="KNG214" s="633"/>
      <c r="KNH214" s="633"/>
      <c r="KNI214" s="632" t="s">
        <v>634</v>
      </c>
      <c r="KNJ214" s="633"/>
      <c r="KNK214" s="633"/>
      <c r="KNL214" s="633"/>
      <c r="KNM214" s="633"/>
      <c r="KNN214" s="633"/>
      <c r="KNO214" s="633"/>
      <c r="KNP214" s="633"/>
      <c r="KNQ214" s="633"/>
      <c r="KNR214" s="633"/>
      <c r="KNS214" s="633"/>
      <c r="KNT214" s="633"/>
      <c r="KNU214" s="633"/>
      <c r="KNV214" s="633"/>
      <c r="KNW214" s="633"/>
      <c r="KNX214" s="633"/>
      <c r="KNY214" s="632" t="s">
        <v>634</v>
      </c>
      <c r="KNZ214" s="633"/>
      <c r="KOA214" s="633"/>
      <c r="KOB214" s="633"/>
      <c r="KOC214" s="633"/>
      <c r="KOD214" s="633"/>
      <c r="KOE214" s="633"/>
      <c r="KOF214" s="633"/>
      <c r="KOG214" s="633"/>
      <c r="KOH214" s="633"/>
      <c r="KOI214" s="633"/>
      <c r="KOJ214" s="633"/>
      <c r="KOK214" s="633"/>
      <c r="KOL214" s="633"/>
      <c r="KOM214" s="633"/>
      <c r="KON214" s="633"/>
      <c r="KOO214" s="632" t="s">
        <v>634</v>
      </c>
      <c r="KOP214" s="633"/>
      <c r="KOQ214" s="633"/>
      <c r="KOR214" s="633"/>
      <c r="KOS214" s="633"/>
      <c r="KOT214" s="633"/>
      <c r="KOU214" s="633"/>
      <c r="KOV214" s="633"/>
      <c r="KOW214" s="633"/>
      <c r="KOX214" s="633"/>
      <c r="KOY214" s="633"/>
      <c r="KOZ214" s="633"/>
      <c r="KPA214" s="633"/>
      <c r="KPB214" s="633"/>
      <c r="KPC214" s="633"/>
      <c r="KPD214" s="633"/>
      <c r="KPE214" s="632" t="s">
        <v>634</v>
      </c>
      <c r="KPF214" s="633"/>
      <c r="KPG214" s="633"/>
      <c r="KPH214" s="633"/>
      <c r="KPI214" s="633"/>
      <c r="KPJ214" s="633"/>
      <c r="KPK214" s="633"/>
      <c r="KPL214" s="633"/>
      <c r="KPM214" s="633"/>
      <c r="KPN214" s="633"/>
      <c r="KPO214" s="633"/>
      <c r="KPP214" s="633"/>
      <c r="KPQ214" s="633"/>
      <c r="KPR214" s="633"/>
      <c r="KPS214" s="633"/>
      <c r="KPT214" s="633"/>
      <c r="KPU214" s="632" t="s">
        <v>634</v>
      </c>
      <c r="KPV214" s="633"/>
      <c r="KPW214" s="633"/>
      <c r="KPX214" s="633"/>
      <c r="KPY214" s="633"/>
      <c r="KPZ214" s="633"/>
      <c r="KQA214" s="633"/>
      <c r="KQB214" s="633"/>
      <c r="KQC214" s="633"/>
      <c r="KQD214" s="633"/>
      <c r="KQE214" s="633"/>
      <c r="KQF214" s="633"/>
      <c r="KQG214" s="633"/>
      <c r="KQH214" s="633"/>
      <c r="KQI214" s="633"/>
      <c r="KQJ214" s="633"/>
      <c r="KQK214" s="632" t="s">
        <v>634</v>
      </c>
      <c r="KQL214" s="633"/>
      <c r="KQM214" s="633"/>
      <c r="KQN214" s="633"/>
      <c r="KQO214" s="633"/>
      <c r="KQP214" s="633"/>
      <c r="KQQ214" s="633"/>
      <c r="KQR214" s="633"/>
      <c r="KQS214" s="633"/>
      <c r="KQT214" s="633"/>
      <c r="KQU214" s="633"/>
      <c r="KQV214" s="633"/>
      <c r="KQW214" s="633"/>
      <c r="KQX214" s="633"/>
      <c r="KQY214" s="633"/>
      <c r="KQZ214" s="633"/>
      <c r="KRA214" s="632" t="s">
        <v>634</v>
      </c>
      <c r="KRB214" s="633"/>
      <c r="KRC214" s="633"/>
      <c r="KRD214" s="633"/>
      <c r="KRE214" s="633"/>
      <c r="KRF214" s="633"/>
      <c r="KRG214" s="633"/>
      <c r="KRH214" s="633"/>
      <c r="KRI214" s="633"/>
      <c r="KRJ214" s="633"/>
      <c r="KRK214" s="633"/>
      <c r="KRL214" s="633"/>
      <c r="KRM214" s="633"/>
      <c r="KRN214" s="633"/>
      <c r="KRO214" s="633"/>
      <c r="KRP214" s="633"/>
      <c r="KRQ214" s="632" t="s">
        <v>634</v>
      </c>
      <c r="KRR214" s="633"/>
      <c r="KRS214" s="633"/>
      <c r="KRT214" s="633"/>
      <c r="KRU214" s="633"/>
      <c r="KRV214" s="633"/>
      <c r="KRW214" s="633"/>
      <c r="KRX214" s="633"/>
      <c r="KRY214" s="633"/>
      <c r="KRZ214" s="633"/>
      <c r="KSA214" s="633"/>
      <c r="KSB214" s="633"/>
      <c r="KSC214" s="633"/>
      <c r="KSD214" s="633"/>
      <c r="KSE214" s="633"/>
      <c r="KSF214" s="633"/>
      <c r="KSG214" s="632" t="s">
        <v>634</v>
      </c>
      <c r="KSH214" s="633"/>
      <c r="KSI214" s="633"/>
      <c r="KSJ214" s="633"/>
      <c r="KSK214" s="633"/>
      <c r="KSL214" s="633"/>
      <c r="KSM214" s="633"/>
      <c r="KSN214" s="633"/>
      <c r="KSO214" s="633"/>
      <c r="KSP214" s="633"/>
      <c r="KSQ214" s="633"/>
      <c r="KSR214" s="633"/>
      <c r="KSS214" s="633"/>
      <c r="KST214" s="633"/>
      <c r="KSU214" s="633"/>
      <c r="KSV214" s="633"/>
      <c r="KSW214" s="632" t="s">
        <v>634</v>
      </c>
      <c r="KSX214" s="633"/>
      <c r="KSY214" s="633"/>
      <c r="KSZ214" s="633"/>
      <c r="KTA214" s="633"/>
      <c r="KTB214" s="633"/>
      <c r="KTC214" s="633"/>
      <c r="KTD214" s="633"/>
      <c r="KTE214" s="633"/>
      <c r="KTF214" s="633"/>
      <c r="KTG214" s="633"/>
      <c r="KTH214" s="633"/>
      <c r="KTI214" s="633"/>
      <c r="KTJ214" s="633"/>
      <c r="KTK214" s="633"/>
      <c r="KTL214" s="633"/>
      <c r="KTM214" s="632" t="s">
        <v>634</v>
      </c>
      <c r="KTN214" s="633"/>
      <c r="KTO214" s="633"/>
      <c r="KTP214" s="633"/>
      <c r="KTQ214" s="633"/>
      <c r="KTR214" s="633"/>
      <c r="KTS214" s="633"/>
      <c r="KTT214" s="633"/>
      <c r="KTU214" s="633"/>
      <c r="KTV214" s="633"/>
      <c r="KTW214" s="633"/>
      <c r="KTX214" s="633"/>
      <c r="KTY214" s="633"/>
      <c r="KTZ214" s="633"/>
      <c r="KUA214" s="633"/>
      <c r="KUB214" s="633"/>
      <c r="KUC214" s="632" t="s">
        <v>634</v>
      </c>
      <c r="KUD214" s="633"/>
      <c r="KUE214" s="633"/>
      <c r="KUF214" s="633"/>
      <c r="KUG214" s="633"/>
      <c r="KUH214" s="633"/>
      <c r="KUI214" s="633"/>
      <c r="KUJ214" s="633"/>
      <c r="KUK214" s="633"/>
      <c r="KUL214" s="633"/>
      <c r="KUM214" s="633"/>
      <c r="KUN214" s="633"/>
      <c r="KUO214" s="633"/>
      <c r="KUP214" s="633"/>
      <c r="KUQ214" s="633"/>
      <c r="KUR214" s="633"/>
      <c r="KUS214" s="632" t="s">
        <v>634</v>
      </c>
      <c r="KUT214" s="633"/>
      <c r="KUU214" s="633"/>
      <c r="KUV214" s="633"/>
      <c r="KUW214" s="633"/>
      <c r="KUX214" s="633"/>
      <c r="KUY214" s="633"/>
      <c r="KUZ214" s="633"/>
      <c r="KVA214" s="633"/>
      <c r="KVB214" s="633"/>
      <c r="KVC214" s="633"/>
      <c r="KVD214" s="633"/>
      <c r="KVE214" s="633"/>
      <c r="KVF214" s="633"/>
      <c r="KVG214" s="633"/>
      <c r="KVH214" s="633"/>
      <c r="KVI214" s="632" t="s">
        <v>634</v>
      </c>
      <c r="KVJ214" s="633"/>
      <c r="KVK214" s="633"/>
      <c r="KVL214" s="633"/>
      <c r="KVM214" s="633"/>
      <c r="KVN214" s="633"/>
      <c r="KVO214" s="633"/>
      <c r="KVP214" s="633"/>
      <c r="KVQ214" s="633"/>
      <c r="KVR214" s="633"/>
      <c r="KVS214" s="633"/>
      <c r="KVT214" s="633"/>
      <c r="KVU214" s="633"/>
      <c r="KVV214" s="633"/>
      <c r="KVW214" s="633"/>
      <c r="KVX214" s="633"/>
      <c r="KVY214" s="632" t="s">
        <v>634</v>
      </c>
      <c r="KVZ214" s="633"/>
      <c r="KWA214" s="633"/>
      <c r="KWB214" s="633"/>
      <c r="KWC214" s="633"/>
      <c r="KWD214" s="633"/>
      <c r="KWE214" s="633"/>
      <c r="KWF214" s="633"/>
      <c r="KWG214" s="633"/>
      <c r="KWH214" s="633"/>
      <c r="KWI214" s="633"/>
      <c r="KWJ214" s="633"/>
      <c r="KWK214" s="633"/>
      <c r="KWL214" s="633"/>
      <c r="KWM214" s="633"/>
      <c r="KWN214" s="633"/>
      <c r="KWO214" s="632" t="s">
        <v>634</v>
      </c>
      <c r="KWP214" s="633"/>
      <c r="KWQ214" s="633"/>
      <c r="KWR214" s="633"/>
      <c r="KWS214" s="633"/>
      <c r="KWT214" s="633"/>
      <c r="KWU214" s="633"/>
      <c r="KWV214" s="633"/>
      <c r="KWW214" s="633"/>
      <c r="KWX214" s="633"/>
      <c r="KWY214" s="633"/>
      <c r="KWZ214" s="633"/>
      <c r="KXA214" s="633"/>
      <c r="KXB214" s="633"/>
      <c r="KXC214" s="633"/>
      <c r="KXD214" s="633"/>
      <c r="KXE214" s="632" t="s">
        <v>634</v>
      </c>
      <c r="KXF214" s="633"/>
      <c r="KXG214" s="633"/>
      <c r="KXH214" s="633"/>
      <c r="KXI214" s="633"/>
      <c r="KXJ214" s="633"/>
      <c r="KXK214" s="633"/>
      <c r="KXL214" s="633"/>
      <c r="KXM214" s="633"/>
      <c r="KXN214" s="633"/>
      <c r="KXO214" s="633"/>
      <c r="KXP214" s="633"/>
      <c r="KXQ214" s="633"/>
      <c r="KXR214" s="633"/>
      <c r="KXS214" s="633"/>
      <c r="KXT214" s="633"/>
      <c r="KXU214" s="632" t="s">
        <v>634</v>
      </c>
      <c r="KXV214" s="633"/>
      <c r="KXW214" s="633"/>
      <c r="KXX214" s="633"/>
      <c r="KXY214" s="633"/>
      <c r="KXZ214" s="633"/>
      <c r="KYA214" s="633"/>
      <c r="KYB214" s="633"/>
      <c r="KYC214" s="633"/>
      <c r="KYD214" s="633"/>
      <c r="KYE214" s="633"/>
      <c r="KYF214" s="633"/>
      <c r="KYG214" s="633"/>
      <c r="KYH214" s="633"/>
      <c r="KYI214" s="633"/>
      <c r="KYJ214" s="633"/>
      <c r="KYK214" s="632" t="s">
        <v>634</v>
      </c>
      <c r="KYL214" s="633"/>
      <c r="KYM214" s="633"/>
      <c r="KYN214" s="633"/>
      <c r="KYO214" s="633"/>
      <c r="KYP214" s="633"/>
      <c r="KYQ214" s="633"/>
      <c r="KYR214" s="633"/>
      <c r="KYS214" s="633"/>
      <c r="KYT214" s="633"/>
      <c r="KYU214" s="633"/>
      <c r="KYV214" s="633"/>
      <c r="KYW214" s="633"/>
      <c r="KYX214" s="633"/>
      <c r="KYY214" s="633"/>
      <c r="KYZ214" s="633"/>
      <c r="KZA214" s="632" t="s">
        <v>634</v>
      </c>
      <c r="KZB214" s="633"/>
      <c r="KZC214" s="633"/>
      <c r="KZD214" s="633"/>
      <c r="KZE214" s="633"/>
      <c r="KZF214" s="633"/>
      <c r="KZG214" s="633"/>
      <c r="KZH214" s="633"/>
      <c r="KZI214" s="633"/>
      <c r="KZJ214" s="633"/>
      <c r="KZK214" s="633"/>
      <c r="KZL214" s="633"/>
      <c r="KZM214" s="633"/>
      <c r="KZN214" s="633"/>
      <c r="KZO214" s="633"/>
      <c r="KZP214" s="633"/>
      <c r="KZQ214" s="632" t="s">
        <v>634</v>
      </c>
      <c r="KZR214" s="633"/>
      <c r="KZS214" s="633"/>
      <c r="KZT214" s="633"/>
      <c r="KZU214" s="633"/>
      <c r="KZV214" s="633"/>
      <c r="KZW214" s="633"/>
      <c r="KZX214" s="633"/>
      <c r="KZY214" s="633"/>
      <c r="KZZ214" s="633"/>
      <c r="LAA214" s="633"/>
      <c r="LAB214" s="633"/>
      <c r="LAC214" s="633"/>
      <c r="LAD214" s="633"/>
      <c r="LAE214" s="633"/>
      <c r="LAF214" s="633"/>
      <c r="LAG214" s="632" t="s">
        <v>634</v>
      </c>
      <c r="LAH214" s="633"/>
      <c r="LAI214" s="633"/>
      <c r="LAJ214" s="633"/>
      <c r="LAK214" s="633"/>
      <c r="LAL214" s="633"/>
      <c r="LAM214" s="633"/>
      <c r="LAN214" s="633"/>
      <c r="LAO214" s="633"/>
      <c r="LAP214" s="633"/>
      <c r="LAQ214" s="633"/>
      <c r="LAR214" s="633"/>
      <c r="LAS214" s="633"/>
      <c r="LAT214" s="633"/>
      <c r="LAU214" s="633"/>
      <c r="LAV214" s="633"/>
      <c r="LAW214" s="632" t="s">
        <v>634</v>
      </c>
      <c r="LAX214" s="633"/>
      <c r="LAY214" s="633"/>
      <c r="LAZ214" s="633"/>
      <c r="LBA214" s="633"/>
      <c r="LBB214" s="633"/>
      <c r="LBC214" s="633"/>
      <c r="LBD214" s="633"/>
      <c r="LBE214" s="633"/>
      <c r="LBF214" s="633"/>
      <c r="LBG214" s="633"/>
      <c r="LBH214" s="633"/>
      <c r="LBI214" s="633"/>
      <c r="LBJ214" s="633"/>
      <c r="LBK214" s="633"/>
      <c r="LBL214" s="633"/>
      <c r="LBM214" s="632" t="s">
        <v>634</v>
      </c>
      <c r="LBN214" s="633"/>
      <c r="LBO214" s="633"/>
      <c r="LBP214" s="633"/>
      <c r="LBQ214" s="633"/>
      <c r="LBR214" s="633"/>
      <c r="LBS214" s="633"/>
      <c r="LBT214" s="633"/>
      <c r="LBU214" s="633"/>
      <c r="LBV214" s="633"/>
      <c r="LBW214" s="633"/>
      <c r="LBX214" s="633"/>
      <c r="LBY214" s="633"/>
      <c r="LBZ214" s="633"/>
      <c r="LCA214" s="633"/>
      <c r="LCB214" s="633"/>
      <c r="LCC214" s="632" t="s">
        <v>634</v>
      </c>
      <c r="LCD214" s="633"/>
      <c r="LCE214" s="633"/>
      <c r="LCF214" s="633"/>
      <c r="LCG214" s="633"/>
      <c r="LCH214" s="633"/>
      <c r="LCI214" s="633"/>
      <c r="LCJ214" s="633"/>
      <c r="LCK214" s="633"/>
      <c r="LCL214" s="633"/>
      <c r="LCM214" s="633"/>
      <c r="LCN214" s="633"/>
      <c r="LCO214" s="633"/>
      <c r="LCP214" s="633"/>
      <c r="LCQ214" s="633"/>
      <c r="LCR214" s="633"/>
      <c r="LCS214" s="632" t="s">
        <v>634</v>
      </c>
      <c r="LCT214" s="633"/>
      <c r="LCU214" s="633"/>
      <c r="LCV214" s="633"/>
      <c r="LCW214" s="633"/>
      <c r="LCX214" s="633"/>
      <c r="LCY214" s="633"/>
      <c r="LCZ214" s="633"/>
      <c r="LDA214" s="633"/>
      <c r="LDB214" s="633"/>
      <c r="LDC214" s="633"/>
      <c r="LDD214" s="633"/>
      <c r="LDE214" s="633"/>
      <c r="LDF214" s="633"/>
      <c r="LDG214" s="633"/>
      <c r="LDH214" s="633"/>
      <c r="LDI214" s="632" t="s">
        <v>634</v>
      </c>
      <c r="LDJ214" s="633"/>
      <c r="LDK214" s="633"/>
      <c r="LDL214" s="633"/>
      <c r="LDM214" s="633"/>
      <c r="LDN214" s="633"/>
      <c r="LDO214" s="633"/>
      <c r="LDP214" s="633"/>
      <c r="LDQ214" s="633"/>
      <c r="LDR214" s="633"/>
      <c r="LDS214" s="633"/>
      <c r="LDT214" s="633"/>
      <c r="LDU214" s="633"/>
      <c r="LDV214" s="633"/>
      <c r="LDW214" s="633"/>
      <c r="LDX214" s="633"/>
      <c r="LDY214" s="632" t="s">
        <v>634</v>
      </c>
      <c r="LDZ214" s="633"/>
      <c r="LEA214" s="633"/>
      <c r="LEB214" s="633"/>
      <c r="LEC214" s="633"/>
      <c r="LED214" s="633"/>
      <c r="LEE214" s="633"/>
      <c r="LEF214" s="633"/>
      <c r="LEG214" s="633"/>
      <c r="LEH214" s="633"/>
      <c r="LEI214" s="633"/>
      <c r="LEJ214" s="633"/>
      <c r="LEK214" s="633"/>
      <c r="LEL214" s="633"/>
      <c r="LEM214" s="633"/>
      <c r="LEN214" s="633"/>
      <c r="LEO214" s="632" t="s">
        <v>634</v>
      </c>
      <c r="LEP214" s="633"/>
      <c r="LEQ214" s="633"/>
      <c r="LER214" s="633"/>
      <c r="LES214" s="633"/>
      <c r="LET214" s="633"/>
      <c r="LEU214" s="633"/>
      <c r="LEV214" s="633"/>
      <c r="LEW214" s="633"/>
      <c r="LEX214" s="633"/>
      <c r="LEY214" s="633"/>
      <c r="LEZ214" s="633"/>
      <c r="LFA214" s="633"/>
      <c r="LFB214" s="633"/>
      <c r="LFC214" s="633"/>
      <c r="LFD214" s="633"/>
      <c r="LFE214" s="632" t="s">
        <v>634</v>
      </c>
      <c r="LFF214" s="633"/>
      <c r="LFG214" s="633"/>
      <c r="LFH214" s="633"/>
      <c r="LFI214" s="633"/>
      <c r="LFJ214" s="633"/>
      <c r="LFK214" s="633"/>
      <c r="LFL214" s="633"/>
      <c r="LFM214" s="633"/>
      <c r="LFN214" s="633"/>
      <c r="LFO214" s="633"/>
      <c r="LFP214" s="633"/>
      <c r="LFQ214" s="633"/>
      <c r="LFR214" s="633"/>
      <c r="LFS214" s="633"/>
      <c r="LFT214" s="633"/>
      <c r="LFU214" s="632" t="s">
        <v>634</v>
      </c>
      <c r="LFV214" s="633"/>
      <c r="LFW214" s="633"/>
      <c r="LFX214" s="633"/>
      <c r="LFY214" s="633"/>
      <c r="LFZ214" s="633"/>
      <c r="LGA214" s="633"/>
      <c r="LGB214" s="633"/>
      <c r="LGC214" s="633"/>
      <c r="LGD214" s="633"/>
      <c r="LGE214" s="633"/>
      <c r="LGF214" s="633"/>
      <c r="LGG214" s="633"/>
      <c r="LGH214" s="633"/>
      <c r="LGI214" s="633"/>
      <c r="LGJ214" s="633"/>
      <c r="LGK214" s="632" t="s">
        <v>634</v>
      </c>
      <c r="LGL214" s="633"/>
      <c r="LGM214" s="633"/>
      <c r="LGN214" s="633"/>
      <c r="LGO214" s="633"/>
      <c r="LGP214" s="633"/>
      <c r="LGQ214" s="633"/>
      <c r="LGR214" s="633"/>
      <c r="LGS214" s="633"/>
      <c r="LGT214" s="633"/>
      <c r="LGU214" s="633"/>
      <c r="LGV214" s="633"/>
      <c r="LGW214" s="633"/>
      <c r="LGX214" s="633"/>
      <c r="LGY214" s="633"/>
      <c r="LGZ214" s="633"/>
      <c r="LHA214" s="632" t="s">
        <v>634</v>
      </c>
      <c r="LHB214" s="633"/>
      <c r="LHC214" s="633"/>
      <c r="LHD214" s="633"/>
      <c r="LHE214" s="633"/>
      <c r="LHF214" s="633"/>
      <c r="LHG214" s="633"/>
      <c r="LHH214" s="633"/>
      <c r="LHI214" s="633"/>
      <c r="LHJ214" s="633"/>
      <c r="LHK214" s="633"/>
      <c r="LHL214" s="633"/>
      <c r="LHM214" s="633"/>
      <c r="LHN214" s="633"/>
      <c r="LHO214" s="633"/>
      <c r="LHP214" s="633"/>
      <c r="LHQ214" s="632" t="s">
        <v>634</v>
      </c>
      <c r="LHR214" s="633"/>
      <c r="LHS214" s="633"/>
      <c r="LHT214" s="633"/>
      <c r="LHU214" s="633"/>
      <c r="LHV214" s="633"/>
      <c r="LHW214" s="633"/>
      <c r="LHX214" s="633"/>
      <c r="LHY214" s="633"/>
      <c r="LHZ214" s="633"/>
      <c r="LIA214" s="633"/>
      <c r="LIB214" s="633"/>
      <c r="LIC214" s="633"/>
      <c r="LID214" s="633"/>
      <c r="LIE214" s="633"/>
      <c r="LIF214" s="633"/>
      <c r="LIG214" s="632" t="s">
        <v>634</v>
      </c>
      <c r="LIH214" s="633"/>
      <c r="LII214" s="633"/>
      <c r="LIJ214" s="633"/>
      <c r="LIK214" s="633"/>
      <c r="LIL214" s="633"/>
      <c r="LIM214" s="633"/>
      <c r="LIN214" s="633"/>
      <c r="LIO214" s="633"/>
      <c r="LIP214" s="633"/>
      <c r="LIQ214" s="633"/>
      <c r="LIR214" s="633"/>
      <c r="LIS214" s="633"/>
      <c r="LIT214" s="633"/>
      <c r="LIU214" s="633"/>
      <c r="LIV214" s="633"/>
      <c r="LIW214" s="632" t="s">
        <v>634</v>
      </c>
      <c r="LIX214" s="633"/>
      <c r="LIY214" s="633"/>
      <c r="LIZ214" s="633"/>
      <c r="LJA214" s="633"/>
      <c r="LJB214" s="633"/>
      <c r="LJC214" s="633"/>
      <c r="LJD214" s="633"/>
      <c r="LJE214" s="633"/>
      <c r="LJF214" s="633"/>
      <c r="LJG214" s="633"/>
      <c r="LJH214" s="633"/>
      <c r="LJI214" s="633"/>
      <c r="LJJ214" s="633"/>
      <c r="LJK214" s="633"/>
      <c r="LJL214" s="633"/>
      <c r="LJM214" s="632" t="s">
        <v>634</v>
      </c>
      <c r="LJN214" s="633"/>
      <c r="LJO214" s="633"/>
      <c r="LJP214" s="633"/>
      <c r="LJQ214" s="633"/>
      <c r="LJR214" s="633"/>
      <c r="LJS214" s="633"/>
      <c r="LJT214" s="633"/>
      <c r="LJU214" s="633"/>
      <c r="LJV214" s="633"/>
      <c r="LJW214" s="633"/>
      <c r="LJX214" s="633"/>
      <c r="LJY214" s="633"/>
      <c r="LJZ214" s="633"/>
      <c r="LKA214" s="633"/>
      <c r="LKB214" s="633"/>
      <c r="LKC214" s="632" t="s">
        <v>634</v>
      </c>
      <c r="LKD214" s="633"/>
      <c r="LKE214" s="633"/>
      <c r="LKF214" s="633"/>
      <c r="LKG214" s="633"/>
      <c r="LKH214" s="633"/>
      <c r="LKI214" s="633"/>
      <c r="LKJ214" s="633"/>
      <c r="LKK214" s="633"/>
      <c r="LKL214" s="633"/>
      <c r="LKM214" s="633"/>
      <c r="LKN214" s="633"/>
      <c r="LKO214" s="633"/>
      <c r="LKP214" s="633"/>
      <c r="LKQ214" s="633"/>
      <c r="LKR214" s="633"/>
      <c r="LKS214" s="632" t="s">
        <v>634</v>
      </c>
      <c r="LKT214" s="633"/>
      <c r="LKU214" s="633"/>
      <c r="LKV214" s="633"/>
      <c r="LKW214" s="633"/>
      <c r="LKX214" s="633"/>
      <c r="LKY214" s="633"/>
      <c r="LKZ214" s="633"/>
      <c r="LLA214" s="633"/>
      <c r="LLB214" s="633"/>
      <c r="LLC214" s="633"/>
      <c r="LLD214" s="633"/>
      <c r="LLE214" s="633"/>
      <c r="LLF214" s="633"/>
      <c r="LLG214" s="633"/>
      <c r="LLH214" s="633"/>
      <c r="LLI214" s="632" t="s">
        <v>634</v>
      </c>
      <c r="LLJ214" s="633"/>
      <c r="LLK214" s="633"/>
      <c r="LLL214" s="633"/>
      <c r="LLM214" s="633"/>
      <c r="LLN214" s="633"/>
      <c r="LLO214" s="633"/>
      <c r="LLP214" s="633"/>
      <c r="LLQ214" s="633"/>
      <c r="LLR214" s="633"/>
      <c r="LLS214" s="633"/>
      <c r="LLT214" s="633"/>
      <c r="LLU214" s="633"/>
      <c r="LLV214" s="633"/>
      <c r="LLW214" s="633"/>
      <c r="LLX214" s="633"/>
      <c r="LLY214" s="632" t="s">
        <v>634</v>
      </c>
      <c r="LLZ214" s="633"/>
      <c r="LMA214" s="633"/>
      <c r="LMB214" s="633"/>
      <c r="LMC214" s="633"/>
      <c r="LMD214" s="633"/>
      <c r="LME214" s="633"/>
      <c r="LMF214" s="633"/>
      <c r="LMG214" s="633"/>
      <c r="LMH214" s="633"/>
      <c r="LMI214" s="633"/>
      <c r="LMJ214" s="633"/>
      <c r="LMK214" s="633"/>
      <c r="LML214" s="633"/>
      <c r="LMM214" s="633"/>
      <c r="LMN214" s="633"/>
      <c r="LMO214" s="632" t="s">
        <v>634</v>
      </c>
      <c r="LMP214" s="633"/>
      <c r="LMQ214" s="633"/>
      <c r="LMR214" s="633"/>
      <c r="LMS214" s="633"/>
      <c r="LMT214" s="633"/>
      <c r="LMU214" s="633"/>
      <c r="LMV214" s="633"/>
      <c r="LMW214" s="633"/>
      <c r="LMX214" s="633"/>
      <c r="LMY214" s="633"/>
      <c r="LMZ214" s="633"/>
      <c r="LNA214" s="633"/>
      <c r="LNB214" s="633"/>
      <c r="LNC214" s="633"/>
      <c r="LND214" s="633"/>
      <c r="LNE214" s="632" t="s">
        <v>634</v>
      </c>
      <c r="LNF214" s="633"/>
      <c r="LNG214" s="633"/>
      <c r="LNH214" s="633"/>
      <c r="LNI214" s="633"/>
      <c r="LNJ214" s="633"/>
      <c r="LNK214" s="633"/>
      <c r="LNL214" s="633"/>
      <c r="LNM214" s="633"/>
      <c r="LNN214" s="633"/>
      <c r="LNO214" s="633"/>
      <c r="LNP214" s="633"/>
      <c r="LNQ214" s="633"/>
      <c r="LNR214" s="633"/>
      <c r="LNS214" s="633"/>
      <c r="LNT214" s="633"/>
      <c r="LNU214" s="632" t="s">
        <v>634</v>
      </c>
      <c r="LNV214" s="633"/>
      <c r="LNW214" s="633"/>
      <c r="LNX214" s="633"/>
      <c r="LNY214" s="633"/>
      <c r="LNZ214" s="633"/>
      <c r="LOA214" s="633"/>
      <c r="LOB214" s="633"/>
      <c r="LOC214" s="633"/>
      <c r="LOD214" s="633"/>
      <c r="LOE214" s="633"/>
      <c r="LOF214" s="633"/>
      <c r="LOG214" s="633"/>
      <c r="LOH214" s="633"/>
      <c r="LOI214" s="633"/>
      <c r="LOJ214" s="633"/>
      <c r="LOK214" s="632" t="s">
        <v>634</v>
      </c>
      <c r="LOL214" s="633"/>
      <c r="LOM214" s="633"/>
      <c r="LON214" s="633"/>
      <c r="LOO214" s="633"/>
      <c r="LOP214" s="633"/>
      <c r="LOQ214" s="633"/>
      <c r="LOR214" s="633"/>
      <c r="LOS214" s="633"/>
      <c r="LOT214" s="633"/>
      <c r="LOU214" s="633"/>
      <c r="LOV214" s="633"/>
      <c r="LOW214" s="633"/>
      <c r="LOX214" s="633"/>
      <c r="LOY214" s="633"/>
      <c r="LOZ214" s="633"/>
      <c r="LPA214" s="632" t="s">
        <v>634</v>
      </c>
      <c r="LPB214" s="633"/>
      <c r="LPC214" s="633"/>
      <c r="LPD214" s="633"/>
      <c r="LPE214" s="633"/>
      <c r="LPF214" s="633"/>
      <c r="LPG214" s="633"/>
      <c r="LPH214" s="633"/>
      <c r="LPI214" s="633"/>
      <c r="LPJ214" s="633"/>
      <c r="LPK214" s="633"/>
      <c r="LPL214" s="633"/>
      <c r="LPM214" s="633"/>
      <c r="LPN214" s="633"/>
      <c r="LPO214" s="633"/>
      <c r="LPP214" s="633"/>
      <c r="LPQ214" s="632" t="s">
        <v>634</v>
      </c>
      <c r="LPR214" s="633"/>
      <c r="LPS214" s="633"/>
      <c r="LPT214" s="633"/>
      <c r="LPU214" s="633"/>
      <c r="LPV214" s="633"/>
      <c r="LPW214" s="633"/>
      <c r="LPX214" s="633"/>
      <c r="LPY214" s="633"/>
      <c r="LPZ214" s="633"/>
      <c r="LQA214" s="633"/>
      <c r="LQB214" s="633"/>
      <c r="LQC214" s="633"/>
      <c r="LQD214" s="633"/>
      <c r="LQE214" s="633"/>
      <c r="LQF214" s="633"/>
      <c r="LQG214" s="632" t="s">
        <v>634</v>
      </c>
      <c r="LQH214" s="633"/>
      <c r="LQI214" s="633"/>
      <c r="LQJ214" s="633"/>
      <c r="LQK214" s="633"/>
      <c r="LQL214" s="633"/>
      <c r="LQM214" s="633"/>
      <c r="LQN214" s="633"/>
      <c r="LQO214" s="633"/>
      <c r="LQP214" s="633"/>
      <c r="LQQ214" s="633"/>
      <c r="LQR214" s="633"/>
      <c r="LQS214" s="633"/>
      <c r="LQT214" s="633"/>
      <c r="LQU214" s="633"/>
      <c r="LQV214" s="633"/>
      <c r="LQW214" s="632" t="s">
        <v>634</v>
      </c>
      <c r="LQX214" s="633"/>
      <c r="LQY214" s="633"/>
      <c r="LQZ214" s="633"/>
      <c r="LRA214" s="633"/>
      <c r="LRB214" s="633"/>
      <c r="LRC214" s="633"/>
      <c r="LRD214" s="633"/>
      <c r="LRE214" s="633"/>
      <c r="LRF214" s="633"/>
      <c r="LRG214" s="633"/>
      <c r="LRH214" s="633"/>
      <c r="LRI214" s="633"/>
      <c r="LRJ214" s="633"/>
      <c r="LRK214" s="633"/>
      <c r="LRL214" s="633"/>
      <c r="LRM214" s="632" t="s">
        <v>634</v>
      </c>
      <c r="LRN214" s="633"/>
      <c r="LRO214" s="633"/>
      <c r="LRP214" s="633"/>
      <c r="LRQ214" s="633"/>
      <c r="LRR214" s="633"/>
      <c r="LRS214" s="633"/>
      <c r="LRT214" s="633"/>
      <c r="LRU214" s="633"/>
      <c r="LRV214" s="633"/>
      <c r="LRW214" s="633"/>
      <c r="LRX214" s="633"/>
      <c r="LRY214" s="633"/>
      <c r="LRZ214" s="633"/>
      <c r="LSA214" s="633"/>
      <c r="LSB214" s="633"/>
      <c r="LSC214" s="632" t="s">
        <v>634</v>
      </c>
      <c r="LSD214" s="633"/>
      <c r="LSE214" s="633"/>
      <c r="LSF214" s="633"/>
      <c r="LSG214" s="633"/>
      <c r="LSH214" s="633"/>
      <c r="LSI214" s="633"/>
      <c r="LSJ214" s="633"/>
      <c r="LSK214" s="633"/>
      <c r="LSL214" s="633"/>
      <c r="LSM214" s="633"/>
      <c r="LSN214" s="633"/>
      <c r="LSO214" s="633"/>
      <c r="LSP214" s="633"/>
      <c r="LSQ214" s="633"/>
      <c r="LSR214" s="633"/>
      <c r="LSS214" s="632" t="s">
        <v>634</v>
      </c>
      <c r="LST214" s="633"/>
      <c r="LSU214" s="633"/>
      <c r="LSV214" s="633"/>
      <c r="LSW214" s="633"/>
      <c r="LSX214" s="633"/>
      <c r="LSY214" s="633"/>
      <c r="LSZ214" s="633"/>
      <c r="LTA214" s="633"/>
      <c r="LTB214" s="633"/>
      <c r="LTC214" s="633"/>
      <c r="LTD214" s="633"/>
      <c r="LTE214" s="633"/>
      <c r="LTF214" s="633"/>
      <c r="LTG214" s="633"/>
      <c r="LTH214" s="633"/>
      <c r="LTI214" s="632" t="s">
        <v>634</v>
      </c>
      <c r="LTJ214" s="633"/>
      <c r="LTK214" s="633"/>
      <c r="LTL214" s="633"/>
      <c r="LTM214" s="633"/>
      <c r="LTN214" s="633"/>
      <c r="LTO214" s="633"/>
      <c r="LTP214" s="633"/>
      <c r="LTQ214" s="633"/>
      <c r="LTR214" s="633"/>
      <c r="LTS214" s="633"/>
      <c r="LTT214" s="633"/>
      <c r="LTU214" s="633"/>
      <c r="LTV214" s="633"/>
      <c r="LTW214" s="633"/>
      <c r="LTX214" s="633"/>
      <c r="LTY214" s="632" t="s">
        <v>634</v>
      </c>
      <c r="LTZ214" s="633"/>
      <c r="LUA214" s="633"/>
      <c r="LUB214" s="633"/>
      <c r="LUC214" s="633"/>
      <c r="LUD214" s="633"/>
      <c r="LUE214" s="633"/>
      <c r="LUF214" s="633"/>
      <c r="LUG214" s="633"/>
      <c r="LUH214" s="633"/>
      <c r="LUI214" s="633"/>
      <c r="LUJ214" s="633"/>
      <c r="LUK214" s="633"/>
      <c r="LUL214" s="633"/>
      <c r="LUM214" s="633"/>
      <c r="LUN214" s="633"/>
      <c r="LUO214" s="632" t="s">
        <v>634</v>
      </c>
      <c r="LUP214" s="633"/>
      <c r="LUQ214" s="633"/>
      <c r="LUR214" s="633"/>
      <c r="LUS214" s="633"/>
      <c r="LUT214" s="633"/>
      <c r="LUU214" s="633"/>
      <c r="LUV214" s="633"/>
      <c r="LUW214" s="633"/>
      <c r="LUX214" s="633"/>
      <c r="LUY214" s="633"/>
      <c r="LUZ214" s="633"/>
      <c r="LVA214" s="633"/>
      <c r="LVB214" s="633"/>
      <c r="LVC214" s="633"/>
      <c r="LVD214" s="633"/>
      <c r="LVE214" s="632" t="s">
        <v>634</v>
      </c>
      <c r="LVF214" s="633"/>
      <c r="LVG214" s="633"/>
      <c r="LVH214" s="633"/>
      <c r="LVI214" s="633"/>
      <c r="LVJ214" s="633"/>
      <c r="LVK214" s="633"/>
      <c r="LVL214" s="633"/>
      <c r="LVM214" s="633"/>
      <c r="LVN214" s="633"/>
      <c r="LVO214" s="633"/>
      <c r="LVP214" s="633"/>
      <c r="LVQ214" s="633"/>
      <c r="LVR214" s="633"/>
      <c r="LVS214" s="633"/>
      <c r="LVT214" s="633"/>
      <c r="LVU214" s="632" t="s">
        <v>634</v>
      </c>
      <c r="LVV214" s="633"/>
      <c r="LVW214" s="633"/>
      <c r="LVX214" s="633"/>
      <c r="LVY214" s="633"/>
      <c r="LVZ214" s="633"/>
      <c r="LWA214" s="633"/>
      <c r="LWB214" s="633"/>
      <c r="LWC214" s="633"/>
      <c r="LWD214" s="633"/>
      <c r="LWE214" s="633"/>
      <c r="LWF214" s="633"/>
      <c r="LWG214" s="633"/>
      <c r="LWH214" s="633"/>
      <c r="LWI214" s="633"/>
      <c r="LWJ214" s="633"/>
      <c r="LWK214" s="632" t="s">
        <v>634</v>
      </c>
      <c r="LWL214" s="633"/>
      <c r="LWM214" s="633"/>
      <c r="LWN214" s="633"/>
      <c r="LWO214" s="633"/>
      <c r="LWP214" s="633"/>
      <c r="LWQ214" s="633"/>
      <c r="LWR214" s="633"/>
      <c r="LWS214" s="633"/>
      <c r="LWT214" s="633"/>
      <c r="LWU214" s="633"/>
      <c r="LWV214" s="633"/>
      <c r="LWW214" s="633"/>
      <c r="LWX214" s="633"/>
      <c r="LWY214" s="633"/>
      <c r="LWZ214" s="633"/>
      <c r="LXA214" s="632" t="s">
        <v>634</v>
      </c>
      <c r="LXB214" s="633"/>
      <c r="LXC214" s="633"/>
      <c r="LXD214" s="633"/>
      <c r="LXE214" s="633"/>
      <c r="LXF214" s="633"/>
      <c r="LXG214" s="633"/>
      <c r="LXH214" s="633"/>
      <c r="LXI214" s="633"/>
      <c r="LXJ214" s="633"/>
      <c r="LXK214" s="633"/>
      <c r="LXL214" s="633"/>
      <c r="LXM214" s="633"/>
      <c r="LXN214" s="633"/>
      <c r="LXO214" s="633"/>
      <c r="LXP214" s="633"/>
      <c r="LXQ214" s="632" t="s">
        <v>634</v>
      </c>
      <c r="LXR214" s="633"/>
      <c r="LXS214" s="633"/>
      <c r="LXT214" s="633"/>
      <c r="LXU214" s="633"/>
      <c r="LXV214" s="633"/>
      <c r="LXW214" s="633"/>
      <c r="LXX214" s="633"/>
      <c r="LXY214" s="633"/>
      <c r="LXZ214" s="633"/>
      <c r="LYA214" s="633"/>
      <c r="LYB214" s="633"/>
      <c r="LYC214" s="633"/>
      <c r="LYD214" s="633"/>
      <c r="LYE214" s="633"/>
      <c r="LYF214" s="633"/>
      <c r="LYG214" s="632" t="s">
        <v>634</v>
      </c>
      <c r="LYH214" s="633"/>
      <c r="LYI214" s="633"/>
      <c r="LYJ214" s="633"/>
      <c r="LYK214" s="633"/>
      <c r="LYL214" s="633"/>
      <c r="LYM214" s="633"/>
      <c r="LYN214" s="633"/>
      <c r="LYO214" s="633"/>
      <c r="LYP214" s="633"/>
      <c r="LYQ214" s="633"/>
      <c r="LYR214" s="633"/>
      <c r="LYS214" s="633"/>
      <c r="LYT214" s="633"/>
      <c r="LYU214" s="633"/>
      <c r="LYV214" s="633"/>
      <c r="LYW214" s="632" t="s">
        <v>634</v>
      </c>
      <c r="LYX214" s="633"/>
      <c r="LYY214" s="633"/>
      <c r="LYZ214" s="633"/>
      <c r="LZA214" s="633"/>
      <c r="LZB214" s="633"/>
      <c r="LZC214" s="633"/>
      <c r="LZD214" s="633"/>
      <c r="LZE214" s="633"/>
      <c r="LZF214" s="633"/>
      <c r="LZG214" s="633"/>
      <c r="LZH214" s="633"/>
      <c r="LZI214" s="633"/>
      <c r="LZJ214" s="633"/>
      <c r="LZK214" s="633"/>
      <c r="LZL214" s="633"/>
      <c r="LZM214" s="632" t="s">
        <v>634</v>
      </c>
      <c r="LZN214" s="633"/>
      <c r="LZO214" s="633"/>
      <c r="LZP214" s="633"/>
      <c r="LZQ214" s="633"/>
      <c r="LZR214" s="633"/>
      <c r="LZS214" s="633"/>
      <c r="LZT214" s="633"/>
      <c r="LZU214" s="633"/>
      <c r="LZV214" s="633"/>
      <c r="LZW214" s="633"/>
      <c r="LZX214" s="633"/>
      <c r="LZY214" s="633"/>
      <c r="LZZ214" s="633"/>
      <c r="MAA214" s="633"/>
      <c r="MAB214" s="633"/>
      <c r="MAC214" s="632" t="s">
        <v>634</v>
      </c>
      <c r="MAD214" s="633"/>
      <c r="MAE214" s="633"/>
      <c r="MAF214" s="633"/>
      <c r="MAG214" s="633"/>
      <c r="MAH214" s="633"/>
      <c r="MAI214" s="633"/>
      <c r="MAJ214" s="633"/>
      <c r="MAK214" s="633"/>
      <c r="MAL214" s="633"/>
      <c r="MAM214" s="633"/>
      <c r="MAN214" s="633"/>
      <c r="MAO214" s="633"/>
      <c r="MAP214" s="633"/>
      <c r="MAQ214" s="633"/>
      <c r="MAR214" s="633"/>
      <c r="MAS214" s="632" t="s">
        <v>634</v>
      </c>
      <c r="MAT214" s="633"/>
      <c r="MAU214" s="633"/>
      <c r="MAV214" s="633"/>
      <c r="MAW214" s="633"/>
      <c r="MAX214" s="633"/>
      <c r="MAY214" s="633"/>
      <c r="MAZ214" s="633"/>
      <c r="MBA214" s="633"/>
      <c r="MBB214" s="633"/>
      <c r="MBC214" s="633"/>
      <c r="MBD214" s="633"/>
      <c r="MBE214" s="633"/>
      <c r="MBF214" s="633"/>
      <c r="MBG214" s="633"/>
      <c r="MBH214" s="633"/>
      <c r="MBI214" s="632" t="s">
        <v>634</v>
      </c>
      <c r="MBJ214" s="633"/>
      <c r="MBK214" s="633"/>
      <c r="MBL214" s="633"/>
      <c r="MBM214" s="633"/>
      <c r="MBN214" s="633"/>
      <c r="MBO214" s="633"/>
      <c r="MBP214" s="633"/>
      <c r="MBQ214" s="633"/>
      <c r="MBR214" s="633"/>
      <c r="MBS214" s="633"/>
      <c r="MBT214" s="633"/>
      <c r="MBU214" s="633"/>
      <c r="MBV214" s="633"/>
      <c r="MBW214" s="633"/>
      <c r="MBX214" s="633"/>
      <c r="MBY214" s="632" t="s">
        <v>634</v>
      </c>
      <c r="MBZ214" s="633"/>
      <c r="MCA214" s="633"/>
      <c r="MCB214" s="633"/>
      <c r="MCC214" s="633"/>
      <c r="MCD214" s="633"/>
      <c r="MCE214" s="633"/>
      <c r="MCF214" s="633"/>
      <c r="MCG214" s="633"/>
      <c r="MCH214" s="633"/>
      <c r="MCI214" s="633"/>
      <c r="MCJ214" s="633"/>
      <c r="MCK214" s="633"/>
      <c r="MCL214" s="633"/>
      <c r="MCM214" s="633"/>
      <c r="MCN214" s="633"/>
      <c r="MCO214" s="632" t="s">
        <v>634</v>
      </c>
      <c r="MCP214" s="633"/>
      <c r="MCQ214" s="633"/>
      <c r="MCR214" s="633"/>
      <c r="MCS214" s="633"/>
      <c r="MCT214" s="633"/>
      <c r="MCU214" s="633"/>
      <c r="MCV214" s="633"/>
      <c r="MCW214" s="633"/>
      <c r="MCX214" s="633"/>
      <c r="MCY214" s="633"/>
      <c r="MCZ214" s="633"/>
      <c r="MDA214" s="633"/>
      <c r="MDB214" s="633"/>
      <c r="MDC214" s="633"/>
      <c r="MDD214" s="633"/>
      <c r="MDE214" s="632" t="s">
        <v>634</v>
      </c>
      <c r="MDF214" s="633"/>
      <c r="MDG214" s="633"/>
      <c r="MDH214" s="633"/>
      <c r="MDI214" s="633"/>
      <c r="MDJ214" s="633"/>
      <c r="MDK214" s="633"/>
      <c r="MDL214" s="633"/>
      <c r="MDM214" s="633"/>
      <c r="MDN214" s="633"/>
      <c r="MDO214" s="633"/>
      <c r="MDP214" s="633"/>
      <c r="MDQ214" s="633"/>
      <c r="MDR214" s="633"/>
      <c r="MDS214" s="633"/>
      <c r="MDT214" s="633"/>
      <c r="MDU214" s="632" t="s">
        <v>634</v>
      </c>
      <c r="MDV214" s="633"/>
      <c r="MDW214" s="633"/>
      <c r="MDX214" s="633"/>
      <c r="MDY214" s="633"/>
      <c r="MDZ214" s="633"/>
      <c r="MEA214" s="633"/>
      <c r="MEB214" s="633"/>
      <c r="MEC214" s="633"/>
      <c r="MED214" s="633"/>
      <c r="MEE214" s="633"/>
      <c r="MEF214" s="633"/>
      <c r="MEG214" s="633"/>
      <c r="MEH214" s="633"/>
      <c r="MEI214" s="633"/>
      <c r="MEJ214" s="633"/>
      <c r="MEK214" s="632" t="s">
        <v>634</v>
      </c>
      <c r="MEL214" s="633"/>
      <c r="MEM214" s="633"/>
      <c r="MEN214" s="633"/>
      <c r="MEO214" s="633"/>
      <c r="MEP214" s="633"/>
      <c r="MEQ214" s="633"/>
      <c r="MER214" s="633"/>
      <c r="MES214" s="633"/>
      <c r="MET214" s="633"/>
      <c r="MEU214" s="633"/>
      <c r="MEV214" s="633"/>
      <c r="MEW214" s="633"/>
      <c r="MEX214" s="633"/>
      <c r="MEY214" s="633"/>
      <c r="MEZ214" s="633"/>
      <c r="MFA214" s="632" t="s">
        <v>634</v>
      </c>
      <c r="MFB214" s="633"/>
      <c r="MFC214" s="633"/>
      <c r="MFD214" s="633"/>
      <c r="MFE214" s="633"/>
      <c r="MFF214" s="633"/>
      <c r="MFG214" s="633"/>
      <c r="MFH214" s="633"/>
      <c r="MFI214" s="633"/>
      <c r="MFJ214" s="633"/>
      <c r="MFK214" s="633"/>
      <c r="MFL214" s="633"/>
      <c r="MFM214" s="633"/>
      <c r="MFN214" s="633"/>
      <c r="MFO214" s="633"/>
      <c r="MFP214" s="633"/>
      <c r="MFQ214" s="632" t="s">
        <v>634</v>
      </c>
      <c r="MFR214" s="633"/>
      <c r="MFS214" s="633"/>
      <c r="MFT214" s="633"/>
      <c r="MFU214" s="633"/>
      <c r="MFV214" s="633"/>
      <c r="MFW214" s="633"/>
      <c r="MFX214" s="633"/>
      <c r="MFY214" s="633"/>
      <c r="MFZ214" s="633"/>
      <c r="MGA214" s="633"/>
      <c r="MGB214" s="633"/>
      <c r="MGC214" s="633"/>
      <c r="MGD214" s="633"/>
      <c r="MGE214" s="633"/>
      <c r="MGF214" s="633"/>
      <c r="MGG214" s="632" t="s">
        <v>634</v>
      </c>
      <c r="MGH214" s="633"/>
      <c r="MGI214" s="633"/>
      <c r="MGJ214" s="633"/>
      <c r="MGK214" s="633"/>
      <c r="MGL214" s="633"/>
      <c r="MGM214" s="633"/>
      <c r="MGN214" s="633"/>
      <c r="MGO214" s="633"/>
      <c r="MGP214" s="633"/>
      <c r="MGQ214" s="633"/>
      <c r="MGR214" s="633"/>
      <c r="MGS214" s="633"/>
      <c r="MGT214" s="633"/>
      <c r="MGU214" s="633"/>
      <c r="MGV214" s="633"/>
      <c r="MGW214" s="632" t="s">
        <v>634</v>
      </c>
      <c r="MGX214" s="633"/>
      <c r="MGY214" s="633"/>
      <c r="MGZ214" s="633"/>
      <c r="MHA214" s="633"/>
      <c r="MHB214" s="633"/>
      <c r="MHC214" s="633"/>
      <c r="MHD214" s="633"/>
      <c r="MHE214" s="633"/>
      <c r="MHF214" s="633"/>
      <c r="MHG214" s="633"/>
      <c r="MHH214" s="633"/>
      <c r="MHI214" s="633"/>
      <c r="MHJ214" s="633"/>
      <c r="MHK214" s="633"/>
      <c r="MHL214" s="633"/>
      <c r="MHM214" s="632" t="s">
        <v>634</v>
      </c>
      <c r="MHN214" s="633"/>
      <c r="MHO214" s="633"/>
      <c r="MHP214" s="633"/>
      <c r="MHQ214" s="633"/>
      <c r="MHR214" s="633"/>
      <c r="MHS214" s="633"/>
      <c r="MHT214" s="633"/>
      <c r="MHU214" s="633"/>
      <c r="MHV214" s="633"/>
      <c r="MHW214" s="633"/>
      <c r="MHX214" s="633"/>
      <c r="MHY214" s="633"/>
      <c r="MHZ214" s="633"/>
      <c r="MIA214" s="633"/>
      <c r="MIB214" s="633"/>
      <c r="MIC214" s="632" t="s">
        <v>634</v>
      </c>
      <c r="MID214" s="633"/>
      <c r="MIE214" s="633"/>
      <c r="MIF214" s="633"/>
      <c r="MIG214" s="633"/>
      <c r="MIH214" s="633"/>
      <c r="MII214" s="633"/>
      <c r="MIJ214" s="633"/>
      <c r="MIK214" s="633"/>
      <c r="MIL214" s="633"/>
      <c r="MIM214" s="633"/>
      <c r="MIN214" s="633"/>
      <c r="MIO214" s="633"/>
      <c r="MIP214" s="633"/>
      <c r="MIQ214" s="633"/>
      <c r="MIR214" s="633"/>
      <c r="MIS214" s="632" t="s">
        <v>634</v>
      </c>
      <c r="MIT214" s="633"/>
      <c r="MIU214" s="633"/>
      <c r="MIV214" s="633"/>
      <c r="MIW214" s="633"/>
      <c r="MIX214" s="633"/>
      <c r="MIY214" s="633"/>
      <c r="MIZ214" s="633"/>
      <c r="MJA214" s="633"/>
      <c r="MJB214" s="633"/>
      <c r="MJC214" s="633"/>
      <c r="MJD214" s="633"/>
      <c r="MJE214" s="633"/>
      <c r="MJF214" s="633"/>
      <c r="MJG214" s="633"/>
      <c r="MJH214" s="633"/>
      <c r="MJI214" s="632" t="s">
        <v>634</v>
      </c>
      <c r="MJJ214" s="633"/>
      <c r="MJK214" s="633"/>
      <c r="MJL214" s="633"/>
      <c r="MJM214" s="633"/>
      <c r="MJN214" s="633"/>
      <c r="MJO214" s="633"/>
      <c r="MJP214" s="633"/>
      <c r="MJQ214" s="633"/>
      <c r="MJR214" s="633"/>
      <c r="MJS214" s="633"/>
      <c r="MJT214" s="633"/>
      <c r="MJU214" s="633"/>
      <c r="MJV214" s="633"/>
      <c r="MJW214" s="633"/>
      <c r="MJX214" s="633"/>
      <c r="MJY214" s="632" t="s">
        <v>634</v>
      </c>
      <c r="MJZ214" s="633"/>
      <c r="MKA214" s="633"/>
      <c r="MKB214" s="633"/>
      <c r="MKC214" s="633"/>
      <c r="MKD214" s="633"/>
      <c r="MKE214" s="633"/>
      <c r="MKF214" s="633"/>
      <c r="MKG214" s="633"/>
      <c r="MKH214" s="633"/>
      <c r="MKI214" s="633"/>
      <c r="MKJ214" s="633"/>
      <c r="MKK214" s="633"/>
      <c r="MKL214" s="633"/>
      <c r="MKM214" s="633"/>
      <c r="MKN214" s="633"/>
      <c r="MKO214" s="632" t="s">
        <v>634</v>
      </c>
      <c r="MKP214" s="633"/>
      <c r="MKQ214" s="633"/>
      <c r="MKR214" s="633"/>
      <c r="MKS214" s="633"/>
      <c r="MKT214" s="633"/>
      <c r="MKU214" s="633"/>
      <c r="MKV214" s="633"/>
      <c r="MKW214" s="633"/>
      <c r="MKX214" s="633"/>
      <c r="MKY214" s="633"/>
      <c r="MKZ214" s="633"/>
      <c r="MLA214" s="633"/>
      <c r="MLB214" s="633"/>
      <c r="MLC214" s="633"/>
      <c r="MLD214" s="633"/>
      <c r="MLE214" s="632" t="s">
        <v>634</v>
      </c>
      <c r="MLF214" s="633"/>
      <c r="MLG214" s="633"/>
      <c r="MLH214" s="633"/>
      <c r="MLI214" s="633"/>
      <c r="MLJ214" s="633"/>
      <c r="MLK214" s="633"/>
      <c r="MLL214" s="633"/>
      <c r="MLM214" s="633"/>
      <c r="MLN214" s="633"/>
      <c r="MLO214" s="633"/>
      <c r="MLP214" s="633"/>
      <c r="MLQ214" s="633"/>
      <c r="MLR214" s="633"/>
      <c r="MLS214" s="633"/>
      <c r="MLT214" s="633"/>
      <c r="MLU214" s="632" t="s">
        <v>634</v>
      </c>
      <c r="MLV214" s="633"/>
      <c r="MLW214" s="633"/>
      <c r="MLX214" s="633"/>
      <c r="MLY214" s="633"/>
      <c r="MLZ214" s="633"/>
      <c r="MMA214" s="633"/>
      <c r="MMB214" s="633"/>
      <c r="MMC214" s="633"/>
      <c r="MMD214" s="633"/>
      <c r="MME214" s="633"/>
      <c r="MMF214" s="633"/>
      <c r="MMG214" s="633"/>
      <c r="MMH214" s="633"/>
      <c r="MMI214" s="633"/>
      <c r="MMJ214" s="633"/>
      <c r="MMK214" s="632" t="s">
        <v>634</v>
      </c>
      <c r="MML214" s="633"/>
      <c r="MMM214" s="633"/>
      <c r="MMN214" s="633"/>
      <c r="MMO214" s="633"/>
      <c r="MMP214" s="633"/>
      <c r="MMQ214" s="633"/>
      <c r="MMR214" s="633"/>
      <c r="MMS214" s="633"/>
      <c r="MMT214" s="633"/>
      <c r="MMU214" s="633"/>
      <c r="MMV214" s="633"/>
      <c r="MMW214" s="633"/>
      <c r="MMX214" s="633"/>
      <c r="MMY214" s="633"/>
      <c r="MMZ214" s="633"/>
      <c r="MNA214" s="632" t="s">
        <v>634</v>
      </c>
      <c r="MNB214" s="633"/>
      <c r="MNC214" s="633"/>
      <c r="MND214" s="633"/>
      <c r="MNE214" s="633"/>
      <c r="MNF214" s="633"/>
      <c r="MNG214" s="633"/>
      <c r="MNH214" s="633"/>
      <c r="MNI214" s="633"/>
      <c r="MNJ214" s="633"/>
      <c r="MNK214" s="633"/>
      <c r="MNL214" s="633"/>
      <c r="MNM214" s="633"/>
      <c r="MNN214" s="633"/>
      <c r="MNO214" s="633"/>
      <c r="MNP214" s="633"/>
      <c r="MNQ214" s="632" t="s">
        <v>634</v>
      </c>
      <c r="MNR214" s="633"/>
      <c r="MNS214" s="633"/>
      <c r="MNT214" s="633"/>
      <c r="MNU214" s="633"/>
      <c r="MNV214" s="633"/>
      <c r="MNW214" s="633"/>
      <c r="MNX214" s="633"/>
      <c r="MNY214" s="633"/>
      <c r="MNZ214" s="633"/>
      <c r="MOA214" s="633"/>
      <c r="MOB214" s="633"/>
      <c r="MOC214" s="633"/>
      <c r="MOD214" s="633"/>
      <c r="MOE214" s="633"/>
      <c r="MOF214" s="633"/>
      <c r="MOG214" s="632" t="s">
        <v>634</v>
      </c>
      <c r="MOH214" s="633"/>
      <c r="MOI214" s="633"/>
      <c r="MOJ214" s="633"/>
      <c r="MOK214" s="633"/>
      <c r="MOL214" s="633"/>
      <c r="MOM214" s="633"/>
      <c r="MON214" s="633"/>
      <c r="MOO214" s="633"/>
      <c r="MOP214" s="633"/>
      <c r="MOQ214" s="633"/>
      <c r="MOR214" s="633"/>
      <c r="MOS214" s="633"/>
      <c r="MOT214" s="633"/>
      <c r="MOU214" s="633"/>
      <c r="MOV214" s="633"/>
      <c r="MOW214" s="632" t="s">
        <v>634</v>
      </c>
      <c r="MOX214" s="633"/>
      <c r="MOY214" s="633"/>
      <c r="MOZ214" s="633"/>
      <c r="MPA214" s="633"/>
      <c r="MPB214" s="633"/>
      <c r="MPC214" s="633"/>
      <c r="MPD214" s="633"/>
      <c r="MPE214" s="633"/>
      <c r="MPF214" s="633"/>
      <c r="MPG214" s="633"/>
      <c r="MPH214" s="633"/>
      <c r="MPI214" s="633"/>
      <c r="MPJ214" s="633"/>
      <c r="MPK214" s="633"/>
      <c r="MPL214" s="633"/>
      <c r="MPM214" s="632" t="s">
        <v>634</v>
      </c>
      <c r="MPN214" s="633"/>
      <c r="MPO214" s="633"/>
      <c r="MPP214" s="633"/>
      <c r="MPQ214" s="633"/>
      <c r="MPR214" s="633"/>
      <c r="MPS214" s="633"/>
      <c r="MPT214" s="633"/>
      <c r="MPU214" s="633"/>
      <c r="MPV214" s="633"/>
      <c r="MPW214" s="633"/>
      <c r="MPX214" s="633"/>
      <c r="MPY214" s="633"/>
      <c r="MPZ214" s="633"/>
      <c r="MQA214" s="633"/>
      <c r="MQB214" s="633"/>
      <c r="MQC214" s="632" t="s">
        <v>634</v>
      </c>
      <c r="MQD214" s="633"/>
      <c r="MQE214" s="633"/>
      <c r="MQF214" s="633"/>
      <c r="MQG214" s="633"/>
      <c r="MQH214" s="633"/>
      <c r="MQI214" s="633"/>
      <c r="MQJ214" s="633"/>
      <c r="MQK214" s="633"/>
      <c r="MQL214" s="633"/>
      <c r="MQM214" s="633"/>
      <c r="MQN214" s="633"/>
      <c r="MQO214" s="633"/>
      <c r="MQP214" s="633"/>
      <c r="MQQ214" s="633"/>
      <c r="MQR214" s="633"/>
      <c r="MQS214" s="632" t="s">
        <v>634</v>
      </c>
      <c r="MQT214" s="633"/>
      <c r="MQU214" s="633"/>
      <c r="MQV214" s="633"/>
      <c r="MQW214" s="633"/>
      <c r="MQX214" s="633"/>
      <c r="MQY214" s="633"/>
      <c r="MQZ214" s="633"/>
      <c r="MRA214" s="633"/>
      <c r="MRB214" s="633"/>
      <c r="MRC214" s="633"/>
      <c r="MRD214" s="633"/>
      <c r="MRE214" s="633"/>
      <c r="MRF214" s="633"/>
      <c r="MRG214" s="633"/>
      <c r="MRH214" s="633"/>
      <c r="MRI214" s="632" t="s">
        <v>634</v>
      </c>
      <c r="MRJ214" s="633"/>
      <c r="MRK214" s="633"/>
      <c r="MRL214" s="633"/>
      <c r="MRM214" s="633"/>
      <c r="MRN214" s="633"/>
      <c r="MRO214" s="633"/>
      <c r="MRP214" s="633"/>
      <c r="MRQ214" s="633"/>
      <c r="MRR214" s="633"/>
      <c r="MRS214" s="633"/>
      <c r="MRT214" s="633"/>
      <c r="MRU214" s="633"/>
      <c r="MRV214" s="633"/>
      <c r="MRW214" s="633"/>
      <c r="MRX214" s="633"/>
      <c r="MRY214" s="632" t="s">
        <v>634</v>
      </c>
      <c r="MRZ214" s="633"/>
      <c r="MSA214" s="633"/>
      <c r="MSB214" s="633"/>
      <c r="MSC214" s="633"/>
      <c r="MSD214" s="633"/>
      <c r="MSE214" s="633"/>
      <c r="MSF214" s="633"/>
      <c r="MSG214" s="633"/>
      <c r="MSH214" s="633"/>
      <c r="MSI214" s="633"/>
      <c r="MSJ214" s="633"/>
      <c r="MSK214" s="633"/>
      <c r="MSL214" s="633"/>
      <c r="MSM214" s="633"/>
      <c r="MSN214" s="633"/>
      <c r="MSO214" s="632" t="s">
        <v>634</v>
      </c>
      <c r="MSP214" s="633"/>
      <c r="MSQ214" s="633"/>
      <c r="MSR214" s="633"/>
      <c r="MSS214" s="633"/>
      <c r="MST214" s="633"/>
      <c r="MSU214" s="633"/>
      <c r="MSV214" s="633"/>
      <c r="MSW214" s="633"/>
      <c r="MSX214" s="633"/>
      <c r="MSY214" s="633"/>
      <c r="MSZ214" s="633"/>
      <c r="MTA214" s="633"/>
      <c r="MTB214" s="633"/>
      <c r="MTC214" s="633"/>
      <c r="MTD214" s="633"/>
      <c r="MTE214" s="632" t="s">
        <v>634</v>
      </c>
      <c r="MTF214" s="633"/>
      <c r="MTG214" s="633"/>
      <c r="MTH214" s="633"/>
      <c r="MTI214" s="633"/>
      <c r="MTJ214" s="633"/>
      <c r="MTK214" s="633"/>
      <c r="MTL214" s="633"/>
      <c r="MTM214" s="633"/>
      <c r="MTN214" s="633"/>
      <c r="MTO214" s="633"/>
      <c r="MTP214" s="633"/>
      <c r="MTQ214" s="633"/>
      <c r="MTR214" s="633"/>
      <c r="MTS214" s="633"/>
      <c r="MTT214" s="633"/>
      <c r="MTU214" s="632" t="s">
        <v>634</v>
      </c>
      <c r="MTV214" s="633"/>
      <c r="MTW214" s="633"/>
      <c r="MTX214" s="633"/>
      <c r="MTY214" s="633"/>
      <c r="MTZ214" s="633"/>
      <c r="MUA214" s="633"/>
      <c r="MUB214" s="633"/>
      <c r="MUC214" s="633"/>
      <c r="MUD214" s="633"/>
      <c r="MUE214" s="633"/>
      <c r="MUF214" s="633"/>
      <c r="MUG214" s="633"/>
      <c r="MUH214" s="633"/>
      <c r="MUI214" s="633"/>
      <c r="MUJ214" s="633"/>
      <c r="MUK214" s="632" t="s">
        <v>634</v>
      </c>
      <c r="MUL214" s="633"/>
      <c r="MUM214" s="633"/>
      <c r="MUN214" s="633"/>
      <c r="MUO214" s="633"/>
      <c r="MUP214" s="633"/>
      <c r="MUQ214" s="633"/>
      <c r="MUR214" s="633"/>
      <c r="MUS214" s="633"/>
      <c r="MUT214" s="633"/>
      <c r="MUU214" s="633"/>
      <c r="MUV214" s="633"/>
      <c r="MUW214" s="633"/>
      <c r="MUX214" s="633"/>
      <c r="MUY214" s="633"/>
      <c r="MUZ214" s="633"/>
      <c r="MVA214" s="632" t="s">
        <v>634</v>
      </c>
      <c r="MVB214" s="633"/>
      <c r="MVC214" s="633"/>
      <c r="MVD214" s="633"/>
      <c r="MVE214" s="633"/>
      <c r="MVF214" s="633"/>
      <c r="MVG214" s="633"/>
      <c r="MVH214" s="633"/>
      <c r="MVI214" s="633"/>
      <c r="MVJ214" s="633"/>
      <c r="MVK214" s="633"/>
      <c r="MVL214" s="633"/>
      <c r="MVM214" s="633"/>
      <c r="MVN214" s="633"/>
      <c r="MVO214" s="633"/>
      <c r="MVP214" s="633"/>
      <c r="MVQ214" s="632" t="s">
        <v>634</v>
      </c>
      <c r="MVR214" s="633"/>
      <c r="MVS214" s="633"/>
      <c r="MVT214" s="633"/>
      <c r="MVU214" s="633"/>
      <c r="MVV214" s="633"/>
      <c r="MVW214" s="633"/>
      <c r="MVX214" s="633"/>
      <c r="MVY214" s="633"/>
      <c r="MVZ214" s="633"/>
      <c r="MWA214" s="633"/>
      <c r="MWB214" s="633"/>
      <c r="MWC214" s="633"/>
      <c r="MWD214" s="633"/>
      <c r="MWE214" s="633"/>
      <c r="MWF214" s="633"/>
      <c r="MWG214" s="632" t="s">
        <v>634</v>
      </c>
      <c r="MWH214" s="633"/>
      <c r="MWI214" s="633"/>
      <c r="MWJ214" s="633"/>
      <c r="MWK214" s="633"/>
      <c r="MWL214" s="633"/>
      <c r="MWM214" s="633"/>
      <c r="MWN214" s="633"/>
      <c r="MWO214" s="633"/>
      <c r="MWP214" s="633"/>
      <c r="MWQ214" s="633"/>
      <c r="MWR214" s="633"/>
      <c r="MWS214" s="633"/>
      <c r="MWT214" s="633"/>
      <c r="MWU214" s="633"/>
      <c r="MWV214" s="633"/>
      <c r="MWW214" s="632" t="s">
        <v>634</v>
      </c>
      <c r="MWX214" s="633"/>
      <c r="MWY214" s="633"/>
      <c r="MWZ214" s="633"/>
      <c r="MXA214" s="633"/>
      <c r="MXB214" s="633"/>
      <c r="MXC214" s="633"/>
      <c r="MXD214" s="633"/>
      <c r="MXE214" s="633"/>
      <c r="MXF214" s="633"/>
      <c r="MXG214" s="633"/>
      <c r="MXH214" s="633"/>
      <c r="MXI214" s="633"/>
      <c r="MXJ214" s="633"/>
      <c r="MXK214" s="633"/>
      <c r="MXL214" s="633"/>
      <c r="MXM214" s="632" t="s">
        <v>634</v>
      </c>
      <c r="MXN214" s="633"/>
      <c r="MXO214" s="633"/>
      <c r="MXP214" s="633"/>
      <c r="MXQ214" s="633"/>
      <c r="MXR214" s="633"/>
      <c r="MXS214" s="633"/>
      <c r="MXT214" s="633"/>
      <c r="MXU214" s="633"/>
      <c r="MXV214" s="633"/>
      <c r="MXW214" s="633"/>
      <c r="MXX214" s="633"/>
      <c r="MXY214" s="633"/>
      <c r="MXZ214" s="633"/>
      <c r="MYA214" s="633"/>
      <c r="MYB214" s="633"/>
      <c r="MYC214" s="632" t="s">
        <v>634</v>
      </c>
      <c r="MYD214" s="633"/>
      <c r="MYE214" s="633"/>
      <c r="MYF214" s="633"/>
      <c r="MYG214" s="633"/>
      <c r="MYH214" s="633"/>
      <c r="MYI214" s="633"/>
      <c r="MYJ214" s="633"/>
      <c r="MYK214" s="633"/>
      <c r="MYL214" s="633"/>
      <c r="MYM214" s="633"/>
      <c r="MYN214" s="633"/>
      <c r="MYO214" s="633"/>
      <c r="MYP214" s="633"/>
      <c r="MYQ214" s="633"/>
      <c r="MYR214" s="633"/>
      <c r="MYS214" s="632" t="s">
        <v>634</v>
      </c>
      <c r="MYT214" s="633"/>
      <c r="MYU214" s="633"/>
      <c r="MYV214" s="633"/>
      <c r="MYW214" s="633"/>
      <c r="MYX214" s="633"/>
      <c r="MYY214" s="633"/>
      <c r="MYZ214" s="633"/>
      <c r="MZA214" s="633"/>
      <c r="MZB214" s="633"/>
      <c r="MZC214" s="633"/>
      <c r="MZD214" s="633"/>
      <c r="MZE214" s="633"/>
      <c r="MZF214" s="633"/>
      <c r="MZG214" s="633"/>
      <c r="MZH214" s="633"/>
      <c r="MZI214" s="632" t="s">
        <v>634</v>
      </c>
      <c r="MZJ214" s="633"/>
      <c r="MZK214" s="633"/>
      <c r="MZL214" s="633"/>
      <c r="MZM214" s="633"/>
      <c r="MZN214" s="633"/>
      <c r="MZO214" s="633"/>
      <c r="MZP214" s="633"/>
      <c r="MZQ214" s="633"/>
      <c r="MZR214" s="633"/>
      <c r="MZS214" s="633"/>
      <c r="MZT214" s="633"/>
      <c r="MZU214" s="633"/>
      <c r="MZV214" s="633"/>
      <c r="MZW214" s="633"/>
      <c r="MZX214" s="633"/>
      <c r="MZY214" s="632" t="s">
        <v>634</v>
      </c>
      <c r="MZZ214" s="633"/>
      <c r="NAA214" s="633"/>
      <c r="NAB214" s="633"/>
      <c r="NAC214" s="633"/>
      <c r="NAD214" s="633"/>
      <c r="NAE214" s="633"/>
      <c r="NAF214" s="633"/>
      <c r="NAG214" s="633"/>
      <c r="NAH214" s="633"/>
      <c r="NAI214" s="633"/>
      <c r="NAJ214" s="633"/>
      <c r="NAK214" s="633"/>
      <c r="NAL214" s="633"/>
      <c r="NAM214" s="633"/>
      <c r="NAN214" s="633"/>
      <c r="NAO214" s="632" t="s">
        <v>634</v>
      </c>
      <c r="NAP214" s="633"/>
      <c r="NAQ214" s="633"/>
      <c r="NAR214" s="633"/>
      <c r="NAS214" s="633"/>
      <c r="NAT214" s="633"/>
      <c r="NAU214" s="633"/>
      <c r="NAV214" s="633"/>
      <c r="NAW214" s="633"/>
      <c r="NAX214" s="633"/>
      <c r="NAY214" s="633"/>
      <c r="NAZ214" s="633"/>
      <c r="NBA214" s="633"/>
      <c r="NBB214" s="633"/>
      <c r="NBC214" s="633"/>
      <c r="NBD214" s="633"/>
      <c r="NBE214" s="632" t="s">
        <v>634</v>
      </c>
      <c r="NBF214" s="633"/>
      <c r="NBG214" s="633"/>
      <c r="NBH214" s="633"/>
      <c r="NBI214" s="633"/>
      <c r="NBJ214" s="633"/>
      <c r="NBK214" s="633"/>
      <c r="NBL214" s="633"/>
      <c r="NBM214" s="633"/>
      <c r="NBN214" s="633"/>
      <c r="NBO214" s="633"/>
      <c r="NBP214" s="633"/>
      <c r="NBQ214" s="633"/>
      <c r="NBR214" s="633"/>
      <c r="NBS214" s="633"/>
      <c r="NBT214" s="633"/>
      <c r="NBU214" s="632" t="s">
        <v>634</v>
      </c>
      <c r="NBV214" s="633"/>
      <c r="NBW214" s="633"/>
      <c r="NBX214" s="633"/>
      <c r="NBY214" s="633"/>
      <c r="NBZ214" s="633"/>
      <c r="NCA214" s="633"/>
      <c r="NCB214" s="633"/>
      <c r="NCC214" s="633"/>
      <c r="NCD214" s="633"/>
      <c r="NCE214" s="633"/>
      <c r="NCF214" s="633"/>
      <c r="NCG214" s="633"/>
      <c r="NCH214" s="633"/>
      <c r="NCI214" s="633"/>
      <c r="NCJ214" s="633"/>
      <c r="NCK214" s="632" t="s">
        <v>634</v>
      </c>
      <c r="NCL214" s="633"/>
      <c r="NCM214" s="633"/>
      <c r="NCN214" s="633"/>
      <c r="NCO214" s="633"/>
      <c r="NCP214" s="633"/>
      <c r="NCQ214" s="633"/>
      <c r="NCR214" s="633"/>
      <c r="NCS214" s="633"/>
      <c r="NCT214" s="633"/>
      <c r="NCU214" s="633"/>
      <c r="NCV214" s="633"/>
      <c r="NCW214" s="633"/>
      <c r="NCX214" s="633"/>
      <c r="NCY214" s="633"/>
      <c r="NCZ214" s="633"/>
      <c r="NDA214" s="632" t="s">
        <v>634</v>
      </c>
      <c r="NDB214" s="633"/>
      <c r="NDC214" s="633"/>
      <c r="NDD214" s="633"/>
      <c r="NDE214" s="633"/>
      <c r="NDF214" s="633"/>
      <c r="NDG214" s="633"/>
      <c r="NDH214" s="633"/>
      <c r="NDI214" s="633"/>
      <c r="NDJ214" s="633"/>
      <c r="NDK214" s="633"/>
      <c r="NDL214" s="633"/>
      <c r="NDM214" s="633"/>
      <c r="NDN214" s="633"/>
      <c r="NDO214" s="633"/>
      <c r="NDP214" s="633"/>
      <c r="NDQ214" s="632" t="s">
        <v>634</v>
      </c>
      <c r="NDR214" s="633"/>
      <c r="NDS214" s="633"/>
      <c r="NDT214" s="633"/>
      <c r="NDU214" s="633"/>
      <c r="NDV214" s="633"/>
      <c r="NDW214" s="633"/>
      <c r="NDX214" s="633"/>
      <c r="NDY214" s="633"/>
      <c r="NDZ214" s="633"/>
      <c r="NEA214" s="633"/>
      <c r="NEB214" s="633"/>
      <c r="NEC214" s="633"/>
      <c r="NED214" s="633"/>
      <c r="NEE214" s="633"/>
      <c r="NEF214" s="633"/>
      <c r="NEG214" s="632" t="s">
        <v>634</v>
      </c>
      <c r="NEH214" s="633"/>
      <c r="NEI214" s="633"/>
      <c r="NEJ214" s="633"/>
      <c r="NEK214" s="633"/>
      <c r="NEL214" s="633"/>
      <c r="NEM214" s="633"/>
      <c r="NEN214" s="633"/>
      <c r="NEO214" s="633"/>
      <c r="NEP214" s="633"/>
      <c r="NEQ214" s="633"/>
      <c r="NER214" s="633"/>
      <c r="NES214" s="633"/>
      <c r="NET214" s="633"/>
      <c r="NEU214" s="633"/>
      <c r="NEV214" s="633"/>
      <c r="NEW214" s="632" t="s">
        <v>634</v>
      </c>
      <c r="NEX214" s="633"/>
      <c r="NEY214" s="633"/>
      <c r="NEZ214" s="633"/>
      <c r="NFA214" s="633"/>
      <c r="NFB214" s="633"/>
      <c r="NFC214" s="633"/>
      <c r="NFD214" s="633"/>
      <c r="NFE214" s="633"/>
      <c r="NFF214" s="633"/>
      <c r="NFG214" s="633"/>
      <c r="NFH214" s="633"/>
      <c r="NFI214" s="633"/>
      <c r="NFJ214" s="633"/>
      <c r="NFK214" s="633"/>
      <c r="NFL214" s="633"/>
      <c r="NFM214" s="632" t="s">
        <v>634</v>
      </c>
      <c r="NFN214" s="633"/>
      <c r="NFO214" s="633"/>
      <c r="NFP214" s="633"/>
      <c r="NFQ214" s="633"/>
      <c r="NFR214" s="633"/>
      <c r="NFS214" s="633"/>
      <c r="NFT214" s="633"/>
      <c r="NFU214" s="633"/>
      <c r="NFV214" s="633"/>
      <c r="NFW214" s="633"/>
      <c r="NFX214" s="633"/>
      <c r="NFY214" s="633"/>
      <c r="NFZ214" s="633"/>
      <c r="NGA214" s="633"/>
      <c r="NGB214" s="633"/>
      <c r="NGC214" s="632" t="s">
        <v>634</v>
      </c>
      <c r="NGD214" s="633"/>
      <c r="NGE214" s="633"/>
      <c r="NGF214" s="633"/>
      <c r="NGG214" s="633"/>
      <c r="NGH214" s="633"/>
      <c r="NGI214" s="633"/>
      <c r="NGJ214" s="633"/>
      <c r="NGK214" s="633"/>
      <c r="NGL214" s="633"/>
      <c r="NGM214" s="633"/>
      <c r="NGN214" s="633"/>
      <c r="NGO214" s="633"/>
      <c r="NGP214" s="633"/>
      <c r="NGQ214" s="633"/>
      <c r="NGR214" s="633"/>
      <c r="NGS214" s="632" t="s">
        <v>634</v>
      </c>
      <c r="NGT214" s="633"/>
      <c r="NGU214" s="633"/>
      <c r="NGV214" s="633"/>
      <c r="NGW214" s="633"/>
      <c r="NGX214" s="633"/>
      <c r="NGY214" s="633"/>
      <c r="NGZ214" s="633"/>
      <c r="NHA214" s="633"/>
      <c r="NHB214" s="633"/>
      <c r="NHC214" s="633"/>
      <c r="NHD214" s="633"/>
      <c r="NHE214" s="633"/>
      <c r="NHF214" s="633"/>
      <c r="NHG214" s="633"/>
      <c r="NHH214" s="633"/>
      <c r="NHI214" s="632" t="s">
        <v>634</v>
      </c>
      <c r="NHJ214" s="633"/>
      <c r="NHK214" s="633"/>
      <c r="NHL214" s="633"/>
      <c r="NHM214" s="633"/>
      <c r="NHN214" s="633"/>
      <c r="NHO214" s="633"/>
      <c r="NHP214" s="633"/>
      <c r="NHQ214" s="633"/>
      <c r="NHR214" s="633"/>
      <c r="NHS214" s="633"/>
      <c r="NHT214" s="633"/>
      <c r="NHU214" s="633"/>
      <c r="NHV214" s="633"/>
      <c r="NHW214" s="633"/>
      <c r="NHX214" s="633"/>
      <c r="NHY214" s="632" t="s">
        <v>634</v>
      </c>
      <c r="NHZ214" s="633"/>
      <c r="NIA214" s="633"/>
      <c r="NIB214" s="633"/>
      <c r="NIC214" s="633"/>
      <c r="NID214" s="633"/>
      <c r="NIE214" s="633"/>
      <c r="NIF214" s="633"/>
      <c r="NIG214" s="633"/>
      <c r="NIH214" s="633"/>
      <c r="NII214" s="633"/>
      <c r="NIJ214" s="633"/>
      <c r="NIK214" s="633"/>
      <c r="NIL214" s="633"/>
      <c r="NIM214" s="633"/>
      <c r="NIN214" s="633"/>
      <c r="NIO214" s="632" t="s">
        <v>634</v>
      </c>
      <c r="NIP214" s="633"/>
      <c r="NIQ214" s="633"/>
      <c r="NIR214" s="633"/>
      <c r="NIS214" s="633"/>
      <c r="NIT214" s="633"/>
      <c r="NIU214" s="633"/>
      <c r="NIV214" s="633"/>
      <c r="NIW214" s="633"/>
      <c r="NIX214" s="633"/>
      <c r="NIY214" s="633"/>
      <c r="NIZ214" s="633"/>
      <c r="NJA214" s="633"/>
      <c r="NJB214" s="633"/>
      <c r="NJC214" s="633"/>
      <c r="NJD214" s="633"/>
      <c r="NJE214" s="632" t="s">
        <v>634</v>
      </c>
      <c r="NJF214" s="633"/>
      <c r="NJG214" s="633"/>
      <c r="NJH214" s="633"/>
      <c r="NJI214" s="633"/>
      <c r="NJJ214" s="633"/>
      <c r="NJK214" s="633"/>
      <c r="NJL214" s="633"/>
      <c r="NJM214" s="633"/>
      <c r="NJN214" s="633"/>
      <c r="NJO214" s="633"/>
      <c r="NJP214" s="633"/>
      <c r="NJQ214" s="633"/>
      <c r="NJR214" s="633"/>
      <c r="NJS214" s="633"/>
      <c r="NJT214" s="633"/>
      <c r="NJU214" s="632" t="s">
        <v>634</v>
      </c>
      <c r="NJV214" s="633"/>
      <c r="NJW214" s="633"/>
      <c r="NJX214" s="633"/>
      <c r="NJY214" s="633"/>
      <c r="NJZ214" s="633"/>
      <c r="NKA214" s="633"/>
      <c r="NKB214" s="633"/>
      <c r="NKC214" s="633"/>
      <c r="NKD214" s="633"/>
      <c r="NKE214" s="633"/>
      <c r="NKF214" s="633"/>
      <c r="NKG214" s="633"/>
      <c r="NKH214" s="633"/>
      <c r="NKI214" s="633"/>
      <c r="NKJ214" s="633"/>
      <c r="NKK214" s="632" t="s">
        <v>634</v>
      </c>
      <c r="NKL214" s="633"/>
      <c r="NKM214" s="633"/>
      <c r="NKN214" s="633"/>
      <c r="NKO214" s="633"/>
      <c r="NKP214" s="633"/>
      <c r="NKQ214" s="633"/>
      <c r="NKR214" s="633"/>
      <c r="NKS214" s="633"/>
      <c r="NKT214" s="633"/>
      <c r="NKU214" s="633"/>
      <c r="NKV214" s="633"/>
      <c r="NKW214" s="633"/>
      <c r="NKX214" s="633"/>
      <c r="NKY214" s="633"/>
      <c r="NKZ214" s="633"/>
      <c r="NLA214" s="632" t="s">
        <v>634</v>
      </c>
      <c r="NLB214" s="633"/>
      <c r="NLC214" s="633"/>
      <c r="NLD214" s="633"/>
      <c r="NLE214" s="633"/>
      <c r="NLF214" s="633"/>
      <c r="NLG214" s="633"/>
      <c r="NLH214" s="633"/>
      <c r="NLI214" s="633"/>
      <c r="NLJ214" s="633"/>
      <c r="NLK214" s="633"/>
      <c r="NLL214" s="633"/>
      <c r="NLM214" s="633"/>
      <c r="NLN214" s="633"/>
      <c r="NLO214" s="633"/>
      <c r="NLP214" s="633"/>
      <c r="NLQ214" s="632" t="s">
        <v>634</v>
      </c>
      <c r="NLR214" s="633"/>
      <c r="NLS214" s="633"/>
      <c r="NLT214" s="633"/>
      <c r="NLU214" s="633"/>
      <c r="NLV214" s="633"/>
      <c r="NLW214" s="633"/>
      <c r="NLX214" s="633"/>
      <c r="NLY214" s="633"/>
      <c r="NLZ214" s="633"/>
      <c r="NMA214" s="633"/>
      <c r="NMB214" s="633"/>
      <c r="NMC214" s="633"/>
      <c r="NMD214" s="633"/>
      <c r="NME214" s="633"/>
      <c r="NMF214" s="633"/>
      <c r="NMG214" s="632" t="s">
        <v>634</v>
      </c>
      <c r="NMH214" s="633"/>
      <c r="NMI214" s="633"/>
      <c r="NMJ214" s="633"/>
      <c r="NMK214" s="633"/>
      <c r="NML214" s="633"/>
      <c r="NMM214" s="633"/>
      <c r="NMN214" s="633"/>
      <c r="NMO214" s="633"/>
      <c r="NMP214" s="633"/>
      <c r="NMQ214" s="633"/>
      <c r="NMR214" s="633"/>
      <c r="NMS214" s="633"/>
      <c r="NMT214" s="633"/>
      <c r="NMU214" s="633"/>
      <c r="NMV214" s="633"/>
      <c r="NMW214" s="632" t="s">
        <v>634</v>
      </c>
      <c r="NMX214" s="633"/>
      <c r="NMY214" s="633"/>
      <c r="NMZ214" s="633"/>
      <c r="NNA214" s="633"/>
      <c r="NNB214" s="633"/>
      <c r="NNC214" s="633"/>
      <c r="NND214" s="633"/>
      <c r="NNE214" s="633"/>
      <c r="NNF214" s="633"/>
      <c r="NNG214" s="633"/>
      <c r="NNH214" s="633"/>
      <c r="NNI214" s="633"/>
      <c r="NNJ214" s="633"/>
      <c r="NNK214" s="633"/>
      <c r="NNL214" s="633"/>
      <c r="NNM214" s="632" t="s">
        <v>634</v>
      </c>
      <c r="NNN214" s="633"/>
      <c r="NNO214" s="633"/>
      <c r="NNP214" s="633"/>
      <c r="NNQ214" s="633"/>
      <c r="NNR214" s="633"/>
      <c r="NNS214" s="633"/>
      <c r="NNT214" s="633"/>
      <c r="NNU214" s="633"/>
      <c r="NNV214" s="633"/>
      <c r="NNW214" s="633"/>
      <c r="NNX214" s="633"/>
      <c r="NNY214" s="633"/>
      <c r="NNZ214" s="633"/>
      <c r="NOA214" s="633"/>
      <c r="NOB214" s="633"/>
      <c r="NOC214" s="632" t="s">
        <v>634</v>
      </c>
      <c r="NOD214" s="633"/>
      <c r="NOE214" s="633"/>
      <c r="NOF214" s="633"/>
      <c r="NOG214" s="633"/>
      <c r="NOH214" s="633"/>
      <c r="NOI214" s="633"/>
      <c r="NOJ214" s="633"/>
      <c r="NOK214" s="633"/>
      <c r="NOL214" s="633"/>
      <c r="NOM214" s="633"/>
      <c r="NON214" s="633"/>
      <c r="NOO214" s="633"/>
      <c r="NOP214" s="633"/>
      <c r="NOQ214" s="633"/>
      <c r="NOR214" s="633"/>
      <c r="NOS214" s="632" t="s">
        <v>634</v>
      </c>
      <c r="NOT214" s="633"/>
      <c r="NOU214" s="633"/>
      <c r="NOV214" s="633"/>
      <c r="NOW214" s="633"/>
      <c r="NOX214" s="633"/>
      <c r="NOY214" s="633"/>
      <c r="NOZ214" s="633"/>
      <c r="NPA214" s="633"/>
      <c r="NPB214" s="633"/>
      <c r="NPC214" s="633"/>
      <c r="NPD214" s="633"/>
      <c r="NPE214" s="633"/>
      <c r="NPF214" s="633"/>
      <c r="NPG214" s="633"/>
      <c r="NPH214" s="633"/>
      <c r="NPI214" s="632" t="s">
        <v>634</v>
      </c>
      <c r="NPJ214" s="633"/>
      <c r="NPK214" s="633"/>
      <c r="NPL214" s="633"/>
      <c r="NPM214" s="633"/>
      <c r="NPN214" s="633"/>
      <c r="NPO214" s="633"/>
      <c r="NPP214" s="633"/>
      <c r="NPQ214" s="633"/>
      <c r="NPR214" s="633"/>
      <c r="NPS214" s="633"/>
      <c r="NPT214" s="633"/>
      <c r="NPU214" s="633"/>
      <c r="NPV214" s="633"/>
      <c r="NPW214" s="633"/>
      <c r="NPX214" s="633"/>
      <c r="NPY214" s="632" t="s">
        <v>634</v>
      </c>
      <c r="NPZ214" s="633"/>
      <c r="NQA214" s="633"/>
      <c r="NQB214" s="633"/>
      <c r="NQC214" s="633"/>
      <c r="NQD214" s="633"/>
      <c r="NQE214" s="633"/>
      <c r="NQF214" s="633"/>
      <c r="NQG214" s="633"/>
      <c r="NQH214" s="633"/>
      <c r="NQI214" s="633"/>
      <c r="NQJ214" s="633"/>
      <c r="NQK214" s="633"/>
      <c r="NQL214" s="633"/>
      <c r="NQM214" s="633"/>
      <c r="NQN214" s="633"/>
      <c r="NQO214" s="632" t="s">
        <v>634</v>
      </c>
      <c r="NQP214" s="633"/>
      <c r="NQQ214" s="633"/>
      <c r="NQR214" s="633"/>
      <c r="NQS214" s="633"/>
      <c r="NQT214" s="633"/>
      <c r="NQU214" s="633"/>
      <c r="NQV214" s="633"/>
      <c r="NQW214" s="633"/>
      <c r="NQX214" s="633"/>
      <c r="NQY214" s="633"/>
      <c r="NQZ214" s="633"/>
      <c r="NRA214" s="633"/>
      <c r="NRB214" s="633"/>
      <c r="NRC214" s="633"/>
      <c r="NRD214" s="633"/>
      <c r="NRE214" s="632" t="s">
        <v>634</v>
      </c>
      <c r="NRF214" s="633"/>
      <c r="NRG214" s="633"/>
      <c r="NRH214" s="633"/>
      <c r="NRI214" s="633"/>
      <c r="NRJ214" s="633"/>
      <c r="NRK214" s="633"/>
      <c r="NRL214" s="633"/>
      <c r="NRM214" s="633"/>
      <c r="NRN214" s="633"/>
      <c r="NRO214" s="633"/>
      <c r="NRP214" s="633"/>
      <c r="NRQ214" s="633"/>
      <c r="NRR214" s="633"/>
      <c r="NRS214" s="633"/>
      <c r="NRT214" s="633"/>
      <c r="NRU214" s="632" t="s">
        <v>634</v>
      </c>
      <c r="NRV214" s="633"/>
      <c r="NRW214" s="633"/>
      <c r="NRX214" s="633"/>
      <c r="NRY214" s="633"/>
      <c r="NRZ214" s="633"/>
      <c r="NSA214" s="633"/>
      <c r="NSB214" s="633"/>
      <c r="NSC214" s="633"/>
      <c r="NSD214" s="633"/>
      <c r="NSE214" s="633"/>
      <c r="NSF214" s="633"/>
      <c r="NSG214" s="633"/>
      <c r="NSH214" s="633"/>
      <c r="NSI214" s="633"/>
      <c r="NSJ214" s="633"/>
      <c r="NSK214" s="632" t="s">
        <v>634</v>
      </c>
      <c r="NSL214" s="633"/>
      <c r="NSM214" s="633"/>
      <c r="NSN214" s="633"/>
      <c r="NSO214" s="633"/>
      <c r="NSP214" s="633"/>
      <c r="NSQ214" s="633"/>
      <c r="NSR214" s="633"/>
      <c r="NSS214" s="633"/>
      <c r="NST214" s="633"/>
      <c r="NSU214" s="633"/>
      <c r="NSV214" s="633"/>
      <c r="NSW214" s="633"/>
      <c r="NSX214" s="633"/>
      <c r="NSY214" s="633"/>
      <c r="NSZ214" s="633"/>
      <c r="NTA214" s="632" t="s">
        <v>634</v>
      </c>
      <c r="NTB214" s="633"/>
      <c r="NTC214" s="633"/>
      <c r="NTD214" s="633"/>
      <c r="NTE214" s="633"/>
      <c r="NTF214" s="633"/>
      <c r="NTG214" s="633"/>
      <c r="NTH214" s="633"/>
      <c r="NTI214" s="633"/>
      <c r="NTJ214" s="633"/>
      <c r="NTK214" s="633"/>
      <c r="NTL214" s="633"/>
      <c r="NTM214" s="633"/>
      <c r="NTN214" s="633"/>
      <c r="NTO214" s="633"/>
      <c r="NTP214" s="633"/>
      <c r="NTQ214" s="632" t="s">
        <v>634</v>
      </c>
      <c r="NTR214" s="633"/>
      <c r="NTS214" s="633"/>
      <c r="NTT214" s="633"/>
      <c r="NTU214" s="633"/>
      <c r="NTV214" s="633"/>
      <c r="NTW214" s="633"/>
      <c r="NTX214" s="633"/>
      <c r="NTY214" s="633"/>
      <c r="NTZ214" s="633"/>
      <c r="NUA214" s="633"/>
      <c r="NUB214" s="633"/>
      <c r="NUC214" s="633"/>
      <c r="NUD214" s="633"/>
      <c r="NUE214" s="633"/>
      <c r="NUF214" s="633"/>
      <c r="NUG214" s="632" t="s">
        <v>634</v>
      </c>
      <c r="NUH214" s="633"/>
      <c r="NUI214" s="633"/>
      <c r="NUJ214" s="633"/>
      <c r="NUK214" s="633"/>
      <c r="NUL214" s="633"/>
      <c r="NUM214" s="633"/>
      <c r="NUN214" s="633"/>
      <c r="NUO214" s="633"/>
      <c r="NUP214" s="633"/>
      <c r="NUQ214" s="633"/>
      <c r="NUR214" s="633"/>
      <c r="NUS214" s="633"/>
      <c r="NUT214" s="633"/>
      <c r="NUU214" s="633"/>
      <c r="NUV214" s="633"/>
      <c r="NUW214" s="632" t="s">
        <v>634</v>
      </c>
      <c r="NUX214" s="633"/>
      <c r="NUY214" s="633"/>
      <c r="NUZ214" s="633"/>
      <c r="NVA214" s="633"/>
      <c r="NVB214" s="633"/>
      <c r="NVC214" s="633"/>
      <c r="NVD214" s="633"/>
      <c r="NVE214" s="633"/>
      <c r="NVF214" s="633"/>
      <c r="NVG214" s="633"/>
      <c r="NVH214" s="633"/>
      <c r="NVI214" s="633"/>
      <c r="NVJ214" s="633"/>
      <c r="NVK214" s="633"/>
      <c r="NVL214" s="633"/>
      <c r="NVM214" s="632" t="s">
        <v>634</v>
      </c>
      <c r="NVN214" s="633"/>
      <c r="NVO214" s="633"/>
      <c r="NVP214" s="633"/>
      <c r="NVQ214" s="633"/>
      <c r="NVR214" s="633"/>
      <c r="NVS214" s="633"/>
      <c r="NVT214" s="633"/>
      <c r="NVU214" s="633"/>
      <c r="NVV214" s="633"/>
      <c r="NVW214" s="633"/>
      <c r="NVX214" s="633"/>
      <c r="NVY214" s="633"/>
      <c r="NVZ214" s="633"/>
      <c r="NWA214" s="633"/>
      <c r="NWB214" s="633"/>
      <c r="NWC214" s="632" t="s">
        <v>634</v>
      </c>
      <c r="NWD214" s="633"/>
      <c r="NWE214" s="633"/>
      <c r="NWF214" s="633"/>
      <c r="NWG214" s="633"/>
      <c r="NWH214" s="633"/>
      <c r="NWI214" s="633"/>
      <c r="NWJ214" s="633"/>
      <c r="NWK214" s="633"/>
      <c r="NWL214" s="633"/>
      <c r="NWM214" s="633"/>
      <c r="NWN214" s="633"/>
      <c r="NWO214" s="633"/>
      <c r="NWP214" s="633"/>
      <c r="NWQ214" s="633"/>
      <c r="NWR214" s="633"/>
      <c r="NWS214" s="632" t="s">
        <v>634</v>
      </c>
      <c r="NWT214" s="633"/>
      <c r="NWU214" s="633"/>
      <c r="NWV214" s="633"/>
      <c r="NWW214" s="633"/>
      <c r="NWX214" s="633"/>
      <c r="NWY214" s="633"/>
      <c r="NWZ214" s="633"/>
      <c r="NXA214" s="633"/>
      <c r="NXB214" s="633"/>
      <c r="NXC214" s="633"/>
      <c r="NXD214" s="633"/>
      <c r="NXE214" s="633"/>
      <c r="NXF214" s="633"/>
      <c r="NXG214" s="633"/>
      <c r="NXH214" s="633"/>
      <c r="NXI214" s="632" t="s">
        <v>634</v>
      </c>
      <c r="NXJ214" s="633"/>
      <c r="NXK214" s="633"/>
      <c r="NXL214" s="633"/>
      <c r="NXM214" s="633"/>
      <c r="NXN214" s="633"/>
      <c r="NXO214" s="633"/>
      <c r="NXP214" s="633"/>
      <c r="NXQ214" s="633"/>
      <c r="NXR214" s="633"/>
      <c r="NXS214" s="633"/>
      <c r="NXT214" s="633"/>
      <c r="NXU214" s="633"/>
      <c r="NXV214" s="633"/>
      <c r="NXW214" s="633"/>
      <c r="NXX214" s="633"/>
      <c r="NXY214" s="632" t="s">
        <v>634</v>
      </c>
      <c r="NXZ214" s="633"/>
      <c r="NYA214" s="633"/>
      <c r="NYB214" s="633"/>
      <c r="NYC214" s="633"/>
      <c r="NYD214" s="633"/>
      <c r="NYE214" s="633"/>
      <c r="NYF214" s="633"/>
      <c r="NYG214" s="633"/>
      <c r="NYH214" s="633"/>
      <c r="NYI214" s="633"/>
      <c r="NYJ214" s="633"/>
      <c r="NYK214" s="633"/>
      <c r="NYL214" s="633"/>
      <c r="NYM214" s="633"/>
      <c r="NYN214" s="633"/>
      <c r="NYO214" s="632" t="s">
        <v>634</v>
      </c>
      <c r="NYP214" s="633"/>
      <c r="NYQ214" s="633"/>
      <c r="NYR214" s="633"/>
      <c r="NYS214" s="633"/>
      <c r="NYT214" s="633"/>
      <c r="NYU214" s="633"/>
      <c r="NYV214" s="633"/>
      <c r="NYW214" s="633"/>
      <c r="NYX214" s="633"/>
      <c r="NYY214" s="633"/>
      <c r="NYZ214" s="633"/>
      <c r="NZA214" s="633"/>
      <c r="NZB214" s="633"/>
      <c r="NZC214" s="633"/>
      <c r="NZD214" s="633"/>
      <c r="NZE214" s="632" t="s">
        <v>634</v>
      </c>
      <c r="NZF214" s="633"/>
      <c r="NZG214" s="633"/>
      <c r="NZH214" s="633"/>
      <c r="NZI214" s="633"/>
      <c r="NZJ214" s="633"/>
      <c r="NZK214" s="633"/>
      <c r="NZL214" s="633"/>
      <c r="NZM214" s="633"/>
      <c r="NZN214" s="633"/>
      <c r="NZO214" s="633"/>
      <c r="NZP214" s="633"/>
      <c r="NZQ214" s="633"/>
      <c r="NZR214" s="633"/>
      <c r="NZS214" s="633"/>
      <c r="NZT214" s="633"/>
      <c r="NZU214" s="632" t="s">
        <v>634</v>
      </c>
      <c r="NZV214" s="633"/>
      <c r="NZW214" s="633"/>
      <c r="NZX214" s="633"/>
      <c r="NZY214" s="633"/>
      <c r="NZZ214" s="633"/>
      <c r="OAA214" s="633"/>
      <c r="OAB214" s="633"/>
      <c r="OAC214" s="633"/>
      <c r="OAD214" s="633"/>
      <c r="OAE214" s="633"/>
      <c r="OAF214" s="633"/>
      <c r="OAG214" s="633"/>
      <c r="OAH214" s="633"/>
      <c r="OAI214" s="633"/>
      <c r="OAJ214" s="633"/>
      <c r="OAK214" s="632" t="s">
        <v>634</v>
      </c>
      <c r="OAL214" s="633"/>
      <c r="OAM214" s="633"/>
      <c r="OAN214" s="633"/>
      <c r="OAO214" s="633"/>
      <c r="OAP214" s="633"/>
      <c r="OAQ214" s="633"/>
      <c r="OAR214" s="633"/>
      <c r="OAS214" s="633"/>
      <c r="OAT214" s="633"/>
      <c r="OAU214" s="633"/>
      <c r="OAV214" s="633"/>
      <c r="OAW214" s="633"/>
      <c r="OAX214" s="633"/>
      <c r="OAY214" s="633"/>
      <c r="OAZ214" s="633"/>
      <c r="OBA214" s="632" t="s">
        <v>634</v>
      </c>
      <c r="OBB214" s="633"/>
      <c r="OBC214" s="633"/>
      <c r="OBD214" s="633"/>
      <c r="OBE214" s="633"/>
      <c r="OBF214" s="633"/>
      <c r="OBG214" s="633"/>
      <c r="OBH214" s="633"/>
      <c r="OBI214" s="633"/>
      <c r="OBJ214" s="633"/>
      <c r="OBK214" s="633"/>
      <c r="OBL214" s="633"/>
      <c r="OBM214" s="633"/>
      <c r="OBN214" s="633"/>
      <c r="OBO214" s="633"/>
      <c r="OBP214" s="633"/>
      <c r="OBQ214" s="632" t="s">
        <v>634</v>
      </c>
      <c r="OBR214" s="633"/>
      <c r="OBS214" s="633"/>
      <c r="OBT214" s="633"/>
      <c r="OBU214" s="633"/>
      <c r="OBV214" s="633"/>
      <c r="OBW214" s="633"/>
      <c r="OBX214" s="633"/>
      <c r="OBY214" s="633"/>
      <c r="OBZ214" s="633"/>
      <c r="OCA214" s="633"/>
      <c r="OCB214" s="633"/>
      <c r="OCC214" s="633"/>
      <c r="OCD214" s="633"/>
      <c r="OCE214" s="633"/>
      <c r="OCF214" s="633"/>
      <c r="OCG214" s="632" t="s">
        <v>634</v>
      </c>
      <c r="OCH214" s="633"/>
      <c r="OCI214" s="633"/>
      <c r="OCJ214" s="633"/>
      <c r="OCK214" s="633"/>
      <c r="OCL214" s="633"/>
      <c r="OCM214" s="633"/>
      <c r="OCN214" s="633"/>
      <c r="OCO214" s="633"/>
      <c r="OCP214" s="633"/>
      <c r="OCQ214" s="633"/>
      <c r="OCR214" s="633"/>
      <c r="OCS214" s="633"/>
      <c r="OCT214" s="633"/>
      <c r="OCU214" s="633"/>
      <c r="OCV214" s="633"/>
      <c r="OCW214" s="632" t="s">
        <v>634</v>
      </c>
      <c r="OCX214" s="633"/>
      <c r="OCY214" s="633"/>
      <c r="OCZ214" s="633"/>
      <c r="ODA214" s="633"/>
      <c r="ODB214" s="633"/>
      <c r="ODC214" s="633"/>
      <c r="ODD214" s="633"/>
      <c r="ODE214" s="633"/>
      <c r="ODF214" s="633"/>
      <c r="ODG214" s="633"/>
      <c r="ODH214" s="633"/>
      <c r="ODI214" s="633"/>
      <c r="ODJ214" s="633"/>
      <c r="ODK214" s="633"/>
      <c r="ODL214" s="633"/>
      <c r="ODM214" s="632" t="s">
        <v>634</v>
      </c>
      <c r="ODN214" s="633"/>
      <c r="ODO214" s="633"/>
      <c r="ODP214" s="633"/>
      <c r="ODQ214" s="633"/>
      <c r="ODR214" s="633"/>
      <c r="ODS214" s="633"/>
      <c r="ODT214" s="633"/>
      <c r="ODU214" s="633"/>
      <c r="ODV214" s="633"/>
      <c r="ODW214" s="633"/>
      <c r="ODX214" s="633"/>
      <c r="ODY214" s="633"/>
      <c r="ODZ214" s="633"/>
      <c r="OEA214" s="633"/>
      <c r="OEB214" s="633"/>
      <c r="OEC214" s="632" t="s">
        <v>634</v>
      </c>
      <c r="OED214" s="633"/>
      <c r="OEE214" s="633"/>
      <c r="OEF214" s="633"/>
      <c r="OEG214" s="633"/>
      <c r="OEH214" s="633"/>
      <c r="OEI214" s="633"/>
      <c r="OEJ214" s="633"/>
      <c r="OEK214" s="633"/>
      <c r="OEL214" s="633"/>
      <c r="OEM214" s="633"/>
      <c r="OEN214" s="633"/>
      <c r="OEO214" s="633"/>
      <c r="OEP214" s="633"/>
      <c r="OEQ214" s="633"/>
      <c r="OER214" s="633"/>
      <c r="OES214" s="632" t="s">
        <v>634</v>
      </c>
      <c r="OET214" s="633"/>
      <c r="OEU214" s="633"/>
      <c r="OEV214" s="633"/>
      <c r="OEW214" s="633"/>
      <c r="OEX214" s="633"/>
      <c r="OEY214" s="633"/>
      <c r="OEZ214" s="633"/>
      <c r="OFA214" s="633"/>
      <c r="OFB214" s="633"/>
      <c r="OFC214" s="633"/>
      <c r="OFD214" s="633"/>
      <c r="OFE214" s="633"/>
      <c r="OFF214" s="633"/>
      <c r="OFG214" s="633"/>
      <c r="OFH214" s="633"/>
      <c r="OFI214" s="632" t="s">
        <v>634</v>
      </c>
      <c r="OFJ214" s="633"/>
      <c r="OFK214" s="633"/>
      <c r="OFL214" s="633"/>
      <c r="OFM214" s="633"/>
      <c r="OFN214" s="633"/>
      <c r="OFO214" s="633"/>
      <c r="OFP214" s="633"/>
      <c r="OFQ214" s="633"/>
      <c r="OFR214" s="633"/>
      <c r="OFS214" s="633"/>
      <c r="OFT214" s="633"/>
      <c r="OFU214" s="633"/>
      <c r="OFV214" s="633"/>
      <c r="OFW214" s="633"/>
      <c r="OFX214" s="633"/>
      <c r="OFY214" s="632" t="s">
        <v>634</v>
      </c>
      <c r="OFZ214" s="633"/>
      <c r="OGA214" s="633"/>
      <c r="OGB214" s="633"/>
      <c r="OGC214" s="633"/>
      <c r="OGD214" s="633"/>
      <c r="OGE214" s="633"/>
      <c r="OGF214" s="633"/>
      <c r="OGG214" s="633"/>
      <c r="OGH214" s="633"/>
      <c r="OGI214" s="633"/>
      <c r="OGJ214" s="633"/>
      <c r="OGK214" s="633"/>
      <c r="OGL214" s="633"/>
      <c r="OGM214" s="633"/>
      <c r="OGN214" s="633"/>
      <c r="OGO214" s="632" t="s">
        <v>634</v>
      </c>
      <c r="OGP214" s="633"/>
      <c r="OGQ214" s="633"/>
      <c r="OGR214" s="633"/>
      <c r="OGS214" s="633"/>
      <c r="OGT214" s="633"/>
      <c r="OGU214" s="633"/>
      <c r="OGV214" s="633"/>
      <c r="OGW214" s="633"/>
      <c r="OGX214" s="633"/>
      <c r="OGY214" s="633"/>
      <c r="OGZ214" s="633"/>
      <c r="OHA214" s="633"/>
      <c r="OHB214" s="633"/>
      <c r="OHC214" s="633"/>
      <c r="OHD214" s="633"/>
      <c r="OHE214" s="632" t="s">
        <v>634</v>
      </c>
      <c r="OHF214" s="633"/>
      <c r="OHG214" s="633"/>
      <c r="OHH214" s="633"/>
      <c r="OHI214" s="633"/>
      <c r="OHJ214" s="633"/>
      <c r="OHK214" s="633"/>
      <c r="OHL214" s="633"/>
      <c r="OHM214" s="633"/>
      <c r="OHN214" s="633"/>
      <c r="OHO214" s="633"/>
      <c r="OHP214" s="633"/>
      <c r="OHQ214" s="633"/>
      <c r="OHR214" s="633"/>
      <c r="OHS214" s="633"/>
      <c r="OHT214" s="633"/>
      <c r="OHU214" s="632" t="s">
        <v>634</v>
      </c>
      <c r="OHV214" s="633"/>
      <c r="OHW214" s="633"/>
      <c r="OHX214" s="633"/>
      <c r="OHY214" s="633"/>
      <c r="OHZ214" s="633"/>
      <c r="OIA214" s="633"/>
      <c r="OIB214" s="633"/>
      <c r="OIC214" s="633"/>
      <c r="OID214" s="633"/>
      <c r="OIE214" s="633"/>
      <c r="OIF214" s="633"/>
      <c r="OIG214" s="633"/>
      <c r="OIH214" s="633"/>
      <c r="OII214" s="633"/>
      <c r="OIJ214" s="633"/>
      <c r="OIK214" s="632" t="s">
        <v>634</v>
      </c>
      <c r="OIL214" s="633"/>
      <c r="OIM214" s="633"/>
      <c r="OIN214" s="633"/>
      <c r="OIO214" s="633"/>
      <c r="OIP214" s="633"/>
      <c r="OIQ214" s="633"/>
      <c r="OIR214" s="633"/>
      <c r="OIS214" s="633"/>
      <c r="OIT214" s="633"/>
      <c r="OIU214" s="633"/>
      <c r="OIV214" s="633"/>
      <c r="OIW214" s="633"/>
      <c r="OIX214" s="633"/>
      <c r="OIY214" s="633"/>
      <c r="OIZ214" s="633"/>
      <c r="OJA214" s="632" t="s">
        <v>634</v>
      </c>
      <c r="OJB214" s="633"/>
      <c r="OJC214" s="633"/>
      <c r="OJD214" s="633"/>
      <c r="OJE214" s="633"/>
      <c r="OJF214" s="633"/>
      <c r="OJG214" s="633"/>
      <c r="OJH214" s="633"/>
      <c r="OJI214" s="633"/>
      <c r="OJJ214" s="633"/>
      <c r="OJK214" s="633"/>
      <c r="OJL214" s="633"/>
      <c r="OJM214" s="633"/>
      <c r="OJN214" s="633"/>
      <c r="OJO214" s="633"/>
      <c r="OJP214" s="633"/>
      <c r="OJQ214" s="632" t="s">
        <v>634</v>
      </c>
      <c r="OJR214" s="633"/>
      <c r="OJS214" s="633"/>
      <c r="OJT214" s="633"/>
      <c r="OJU214" s="633"/>
      <c r="OJV214" s="633"/>
      <c r="OJW214" s="633"/>
      <c r="OJX214" s="633"/>
      <c r="OJY214" s="633"/>
      <c r="OJZ214" s="633"/>
      <c r="OKA214" s="633"/>
      <c r="OKB214" s="633"/>
      <c r="OKC214" s="633"/>
      <c r="OKD214" s="633"/>
      <c r="OKE214" s="633"/>
      <c r="OKF214" s="633"/>
      <c r="OKG214" s="632" t="s">
        <v>634</v>
      </c>
      <c r="OKH214" s="633"/>
      <c r="OKI214" s="633"/>
      <c r="OKJ214" s="633"/>
      <c r="OKK214" s="633"/>
      <c r="OKL214" s="633"/>
      <c r="OKM214" s="633"/>
      <c r="OKN214" s="633"/>
      <c r="OKO214" s="633"/>
      <c r="OKP214" s="633"/>
      <c r="OKQ214" s="633"/>
      <c r="OKR214" s="633"/>
      <c r="OKS214" s="633"/>
      <c r="OKT214" s="633"/>
      <c r="OKU214" s="633"/>
      <c r="OKV214" s="633"/>
      <c r="OKW214" s="632" t="s">
        <v>634</v>
      </c>
      <c r="OKX214" s="633"/>
      <c r="OKY214" s="633"/>
      <c r="OKZ214" s="633"/>
      <c r="OLA214" s="633"/>
      <c r="OLB214" s="633"/>
      <c r="OLC214" s="633"/>
      <c r="OLD214" s="633"/>
      <c r="OLE214" s="633"/>
      <c r="OLF214" s="633"/>
      <c r="OLG214" s="633"/>
      <c r="OLH214" s="633"/>
      <c r="OLI214" s="633"/>
      <c r="OLJ214" s="633"/>
      <c r="OLK214" s="633"/>
      <c r="OLL214" s="633"/>
      <c r="OLM214" s="632" t="s">
        <v>634</v>
      </c>
      <c r="OLN214" s="633"/>
      <c r="OLO214" s="633"/>
      <c r="OLP214" s="633"/>
      <c r="OLQ214" s="633"/>
      <c r="OLR214" s="633"/>
      <c r="OLS214" s="633"/>
      <c r="OLT214" s="633"/>
      <c r="OLU214" s="633"/>
      <c r="OLV214" s="633"/>
      <c r="OLW214" s="633"/>
      <c r="OLX214" s="633"/>
      <c r="OLY214" s="633"/>
      <c r="OLZ214" s="633"/>
      <c r="OMA214" s="633"/>
      <c r="OMB214" s="633"/>
      <c r="OMC214" s="632" t="s">
        <v>634</v>
      </c>
      <c r="OMD214" s="633"/>
      <c r="OME214" s="633"/>
      <c r="OMF214" s="633"/>
      <c r="OMG214" s="633"/>
      <c r="OMH214" s="633"/>
      <c r="OMI214" s="633"/>
      <c r="OMJ214" s="633"/>
      <c r="OMK214" s="633"/>
      <c r="OML214" s="633"/>
      <c r="OMM214" s="633"/>
      <c r="OMN214" s="633"/>
      <c r="OMO214" s="633"/>
      <c r="OMP214" s="633"/>
      <c r="OMQ214" s="633"/>
      <c r="OMR214" s="633"/>
      <c r="OMS214" s="632" t="s">
        <v>634</v>
      </c>
      <c r="OMT214" s="633"/>
      <c r="OMU214" s="633"/>
      <c r="OMV214" s="633"/>
      <c r="OMW214" s="633"/>
      <c r="OMX214" s="633"/>
      <c r="OMY214" s="633"/>
      <c r="OMZ214" s="633"/>
      <c r="ONA214" s="633"/>
      <c r="ONB214" s="633"/>
      <c r="ONC214" s="633"/>
      <c r="OND214" s="633"/>
      <c r="ONE214" s="633"/>
      <c r="ONF214" s="633"/>
      <c r="ONG214" s="633"/>
      <c r="ONH214" s="633"/>
      <c r="ONI214" s="632" t="s">
        <v>634</v>
      </c>
      <c r="ONJ214" s="633"/>
      <c r="ONK214" s="633"/>
      <c r="ONL214" s="633"/>
      <c r="ONM214" s="633"/>
      <c r="ONN214" s="633"/>
      <c r="ONO214" s="633"/>
      <c r="ONP214" s="633"/>
      <c r="ONQ214" s="633"/>
      <c r="ONR214" s="633"/>
      <c r="ONS214" s="633"/>
      <c r="ONT214" s="633"/>
      <c r="ONU214" s="633"/>
      <c r="ONV214" s="633"/>
      <c r="ONW214" s="633"/>
      <c r="ONX214" s="633"/>
      <c r="ONY214" s="632" t="s">
        <v>634</v>
      </c>
      <c r="ONZ214" s="633"/>
      <c r="OOA214" s="633"/>
      <c r="OOB214" s="633"/>
      <c r="OOC214" s="633"/>
      <c r="OOD214" s="633"/>
      <c r="OOE214" s="633"/>
      <c r="OOF214" s="633"/>
      <c r="OOG214" s="633"/>
      <c r="OOH214" s="633"/>
      <c r="OOI214" s="633"/>
      <c r="OOJ214" s="633"/>
      <c r="OOK214" s="633"/>
      <c r="OOL214" s="633"/>
      <c r="OOM214" s="633"/>
      <c r="OON214" s="633"/>
      <c r="OOO214" s="632" t="s">
        <v>634</v>
      </c>
      <c r="OOP214" s="633"/>
      <c r="OOQ214" s="633"/>
      <c r="OOR214" s="633"/>
      <c r="OOS214" s="633"/>
      <c r="OOT214" s="633"/>
      <c r="OOU214" s="633"/>
      <c r="OOV214" s="633"/>
      <c r="OOW214" s="633"/>
      <c r="OOX214" s="633"/>
      <c r="OOY214" s="633"/>
      <c r="OOZ214" s="633"/>
      <c r="OPA214" s="633"/>
      <c r="OPB214" s="633"/>
      <c r="OPC214" s="633"/>
      <c r="OPD214" s="633"/>
      <c r="OPE214" s="632" t="s">
        <v>634</v>
      </c>
      <c r="OPF214" s="633"/>
      <c r="OPG214" s="633"/>
      <c r="OPH214" s="633"/>
      <c r="OPI214" s="633"/>
      <c r="OPJ214" s="633"/>
      <c r="OPK214" s="633"/>
      <c r="OPL214" s="633"/>
      <c r="OPM214" s="633"/>
      <c r="OPN214" s="633"/>
      <c r="OPO214" s="633"/>
      <c r="OPP214" s="633"/>
      <c r="OPQ214" s="633"/>
      <c r="OPR214" s="633"/>
      <c r="OPS214" s="633"/>
      <c r="OPT214" s="633"/>
      <c r="OPU214" s="632" t="s">
        <v>634</v>
      </c>
      <c r="OPV214" s="633"/>
      <c r="OPW214" s="633"/>
      <c r="OPX214" s="633"/>
      <c r="OPY214" s="633"/>
      <c r="OPZ214" s="633"/>
      <c r="OQA214" s="633"/>
      <c r="OQB214" s="633"/>
      <c r="OQC214" s="633"/>
      <c r="OQD214" s="633"/>
      <c r="OQE214" s="633"/>
      <c r="OQF214" s="633"/>
      <c r="OQG214" s="633"/>
      <c r="OQH214" s="633"/>
      <c r="OQI214" s="633"/>
      <c r="OQJ214" s="633"/>
      <c r="OQK214" s="632" t="s">
        <v>634</v>
      </c>
      <c r="OQL214" s="633"/>
      <c r="OQM214" s="633"/>
      <c r="OQN214" s="633"/>
      <c r="OQO214" s="633"/>
      <c r="OQP214" s="633"/>
      <c r="OQQ214" s="633"/>
      <c r="OQR214" s="633"/>
      <c r="OQS214" s="633"/>
      <c r="OQT214" s="633"/>
      <c r="OQU214" s="633"/>
      <c r="OQV214" s="633"/>
      <c r="OQW214" s="633"/>
      <c r="OQX214" s="633"/>
      <c r="OQY214" s="633"/>
      <c r="OQZ214" s="633"/>
      <c r="ORA214" s="632" t="s">
        <v>634</v>
      </c>
      <c r="ORB214" s="633"/>
      <c r="ORC214" s="633"/>
      <c r="ORD214" s="633"/>
      <c r="ORE214" s="633"/>
      <c r="ORF214" s="633"/>
      <c r="ORG214" s="633"/>
      <c r="ORH214" s="633"/>
      <c r="ORI214" s="633"/>
      <c r="ORJ214" s="633"/>
      <c r="ORK214" s="633"/>
      <c r="ORL214" s="633"/>
      <c r="ORM214" s="633"/>
      <c r="ORN214" s="633"/>
      <c r="ORO214" s="633"/>
      <c r="ORP214" s="633"/>
      <c r="ORQ214" s="632" t="s">
        <v>634</v>
      </c>
      <c r="ORR214" s="633"/>
      <c r="ORS214" s="633"/>
      <c r="ORT214" s="633"/>
      <c r="ORU214" s="633"/>
      <c r="ORV214" s="633"/>
      <c r="ORW214" s="633"/>
      <c r="ORX214" s="633"/>
      <c r="ORY214" s="633"/>
      <c r="ORZ214" s="633"/>
      <c r="OSA214" s="633"/>
      <c r="OSB214" s="633"/>
      <c r="OSC214" s="633"/>
      <c r="OSD214" s="633"/>
      <c r="OSE214" s="633"/>
      <c r="OSF214" s="633"/>
      <c r="OSG214" s="632" t="s">
        <v>634</v>
      </c>
      <c r="OSH214" s="633"/>
      <c r="OSI214" s="633"/>
      <c r="OSJ214" s="633"/>
      <c r="OSK214" s="633"/>
      <c r="OSL214" s="633"/>
      <c r="OSM214" s="633"/>
      <c r="OSN214" s="633"/>
      <c r="OSO214" s="633"/>
      <c r="OSP214" s="633"/>
      <c r="OSQ214" s="633"/>
      <c r="OSR214" s="633"/>
      <c r="OSS214" s="633"/>
      <c r="OST214" s="633"/>
      <c r="OSU214" s="633"/>
      <c r="OSV214" s="633"/>
      <c r="OSW214" s="632" t="s">
        <v>634</v>
      </c>
      <c r="OSX214" s="633"/>
      <c r="OSY214" s="633"/>
      <c r="OSZ214" s="633"/>
      <c r="OTA214" s="633"/>
      <c r="OTB214" s="633"/>
      <c r="OTC214" s="633"/>
      <c r="OTD214" s="633"/>
      <c r="OTE214" s="633"/>
      <c r="OTF214" s="633"/>
      <c r="OTG214" s="633"/>
      <c r="OTH214" s="633"/>
      <c r="OTI214" s="633"/>
      <c r="OTJ214" s="633"/>
      <c r="OTK214" s="633"/>
      <c r="OTL214" s="633"/>
      <c r="OTM214" s="632" t="s">
        <v>634</v>
      </c>
      <c r="OTN214" s="633"/>
      <c r="OTO214" s="633"/>
      <c r="OTP214" s="633"/>
      <c r="OTQ214" s="633"/>
      <c r="OTR214" s="633"/>
      <c r="OTS214" s="633"/>
      <c r="OTT214" s="633"/>
      <c r="OTU214" s="633"/>
      <c r="OTV214" s="633"/>
      <c r="OTW214" s="633"/>
      <c r="OTX214" s="633"/>
      <c r="OTY214" s="633"/>
      <c r="OTZ214" s="633"/>
      <c r="OUA214" s="633"/>
      <c r="OUB214" s="633"/>
      <c r="OUC214" s="632" t="s">
        <v>634</v>
      </c>
      <c r="OUD214" s="633"/>
      <c r="OUE214" s="633"/>
      <c r="OUF214" s="633"/>
      <c r="OUG214" s="633"/>
      <c r="OUH214" s="633"/>
      <c r="OUI214" s="633"/>
      <c r="OUJ214" s="633"/>
      <c r="OUK214" s="633"/>
      <c r="OUL214" s="633"/>
      <c r="OUM214" s="633"/>
      <c r="OUN214" s="633"/>
      <c r="OUO214" s="633"/>
      <c r="OUP214" s="633"/>
      <c r="OUQ214" s="633"/>
      <c r="OUR214" s="633"/>
      <c r="OUS214" s="632" t="s">
        <v>634</v>
      </c>
      <c r="OUT214" s="633"/>
      <c r="OUU214" s="633"/>
      <c r="OUV214" s="633"/>
      <c r="OUW214" s="633"/>
      <c r="OUX214" s="633"/>
      <c r="OUY214" s="633"/>
      <c r="OUZ214" s="633"/>
      <c r="OVA214" s="633"/>
      <c r="OVB214" s="633"/>
      <c r="OVC214" s="633"/>
      <c r="OVD214" s="633"/>
      <c r="OVE214" s="633"/>
      <c r="OVF214" s="633"/>
      <c r="OVG214" s="633"/>
      <c r="OVH214" s="633"/>
      <c r="OVI214" s="632" t="s">
        <v>634</v>
      </c>
      <c r="OVJ214" s="633"/>
      <c r="OVK214" s="633"/>
      <c r="OVL214" s="633"/>
      <c r="OVM214" s="633"/>
      <c r="OVN214" s="633"/>
      <c r="OVO214" s="633"/>
      <c r="OVP214" s="633"/>
      <c r="OVQ214" s="633"/>
      <c r="OVR214" s="633"/>
      <c r="OVS214" s="633"/>
      <c r="OVT214" s="633"/>
      <c r="OVU214" s="633"/>
      <c r="OVV214" s="633"/>
      <c r="OVW214" s="633"/>
      <c r="OVX214" s="633"/>
      <c r="OVY214" s="632" t="s">
        <v>634</v>
      </c>
      <c r="OVZ214" s="633"/>
      <c r="OWA214" s="633"/>
      <c r="OWB214" s="633"/>
      <c r="OWC214" s="633"/>
      <c r="OWD214" s="633"/>
      <c r="OWE214" s="633"/>
      <c r="OWF214" s="633"/>
      <c r="OWG214" s="633"/>
      <c r="OWH214" s="633"/>
      <c r="OWI214" s="633"/>
      <c r="OWJ214" s="633"/>
      <c r="OWK214" s="633"/>
      <c r="OWL214" s="633"/>
      <c r="OWM214" s="633"/>
      <c r="OWN214" s="633"/>
      <c r="OWO214" s="632" t="s">
        <v>634</v>
      </c>
      <c r="OWP214" s="633"/>
      <c r="OWQ214" s="633"/>
      <c r="OWR214" s="633"/>
      <c r="OWS214" s="633"/>
      <c r="OWT214" s="633"/>
      <c r="OWU214" s="633"/>
      <c r="OWV214" s="633"/>
      <c r="OWW214" s="633"/>
      <c r="OWX214" s="633"/>
      <c r="OWY214" s="633"/>
      <c r="OWZ214" s="633"/>
      <c r="OXA214" s="633"/>
      <c r="OXB214" s="633"/>
      <c r="OXC214" s="633"/>
      <c r="OXD214" s="633"/>
      <c r="OXE214" s="632" t="s">
        <v>634</v>
      </c>
      <c r="OXF214" s="633"/>
      <c r="OXG214" s="633"/>
      <c r="OXH214" s="633"/>
      <c r="OXI214" s="633"/>
      <c r="OXJ214" s="633"/>
      <c r="OXK214" s="633"/>
      <c r="OXL214" s="633"/>
      <c r="OXM214" s="633"/>
      <c r="OXN214" s="633"/>
      <c r="OXO214" s="633"/>
      <c r="OXP214" s="633"/>
      <c r="OXQ214" s="633"/>
      <c r="OXR214" s="633"/>
      <c r="OXS214" s="633"/>
      <c r="OXT214" s="633"/>
      <c r="OXU214" s="632" t="s">
        <v>634</v>
      </c>
      <c r="OXV214" s="633"/>
      <c r="OXW214" s="633"/>
      <c r="OXX214" s="633"/>
      <c r="OXY214" s="633"/>
      <c r="OXZ214" s="633"/>
      <c r="OYA214" s="633"/>
      <c r="OYB214" s="633"/>
      <c r="OYC214" s="633"/>
      <c r="OYD214" s="633"/>
      <c r="OYE214" s="633"/>
      <c r="OYF214" s="633"/>
      <c r="OYG214" s="633"/>
      <c r="OYH214" s="633"/>
      <c r="OYI214" s="633"/>
      <c r="OYJ214" s="633"/>
      <c r="OYK214" s="632" t="s">
        <v>634</v>
      </c>
      <c r="OYL214" s="633"/>
      <c r="OYM214" s="633"/>
      <c r="OYN214" s="633"/>
      <c r="OYO214" s="633"/>
      <c r="OYP214" s="633"/>
      <c r="OYQ214" s="633"/>
      <c r="OYR214" s="633"/>
      <c r="OYS214" s="633"/>
      <c r="OYT214" s="633"/>
      <c r="OYU214" s="633"/>
      <c r="OYV214" s="633"/>
      <c r="OYW214" s="633"/>
      <c r="OYX214" s="633"/>
      <c r="OYY214" s="633"/>
      <c r="OYZ214" s="633"/>
      <c r="OZA214" s="632" t="s">
        <v>634</v>
      </c>
      <c r="OZB214" s="633"/>
      <c r="OZC214" s="633"/>
      <c r="OZD214" s="633"/>
      <c r="OZE214" s="633"/>
      <c r="OZF214" s="633"/>
      <c r="OZG214" s="633"/>
      <c r="OZH214" s="633"/>
      <c r="OZI214" s="633"/>
      <c r="OZJ214" s="633"/>
      <c r="OZK214" s="633"/>
      <c r="OZL214" s="633"/>
      <c r="OZM214" s="633"/>
      <c r="OZN214" s="633"/>
      <c r="OZO214" s="633"/>
      <c r="OZP214" s="633"/>
      <c r="OZQ214" s="632" t="s">
        <v>634</v>
      </c>
      <c r="OZR214" s="633"/>
      <c r="OZS214" s="633"/>
      <c r="OZT214" s="633"/>
      <c r="OZU214" s="633"/>
      <c r="OZV214" s="633"/>
      <c r="OZW214" s="633"/>
      <c r="OZX214" s="633"/>
      <c r="OZY214" s="633"/>
      <c r="OZZ214" s="633"/>
      <c r="PAA214" s="633"/>
      <c r="PAB214" s="633"/>
      <c r="PAC214" s="633"/>
      <c r="PAD214" s="633"/>
      <c r="PAE214" s="633"/>
      <c r="PAF214" s="633"/>
      <c r="PAG214" s="632" t="s">
        <v>634</v>
      </c>
      <c r="PAH214" s="633"/>
      <c r="PAI214" s="633"/>
      <c r="PAJ214" s="633"/>
      <c r="PAK214" s="633"/>
      <c r="PAL214" s="633"/>
      <c r="PAM214" s="633"/>
      <c r="PAN214" s="633"/>
      <c r="PAO214" s="633"/>
      <c r="PAP214" s="633"/>
      <c r="PAQ214" s="633"/>
      <c r="PAR214" s="633"/>
      <c r="PAS214" s="633"/>
      <c r="PAT214" s="633"/>
      <c r="PAU214" s="633"/>
      <c r="PAV214" s="633"/>
      <c r="PAW214" s="632" t="s">
        <v>634</v>
      </c>
      <c r="PAX214" s="633"/>
      <c r="PAY214" s="633"/>
      <c r="PAZ214" s="633"/>
      <c r="PBA214" s="633"/>
      <c r="PBB214" s="633"/>
      <c r="PBC214" s="633"/>
      <c r="PBD214" s="633"/>
      <c r="PBE214" s="633"/>
      <c r="PBF214" s="633"/>
      <c r="PBG214" s="633"/>
      <c r="PBH214" s="633"/>
      <c r="PBI214" s="633"/>
      <c r="PBJ214" s="633"/>
      <c r="PBK214" s="633"/>
      <c r="PBL214" s="633"/>
      <c r="PBM214" s="632" t="s">
        <v>634</v>
      </c>
      <c r="PBN214" s="633"/>
      <c r="PBO214" s="633"/>
      <c r="PBP214" s="633"/>
      <c r="PBQ214" s="633"/>
      <c r="PBR214" s="633"/>
      <c r="PBS214" s="633"/>
      <c r="PBT214" s="633"/>
      <c r="PBU214" s="633"/>
      <c r="PBV214" s="633"/>
      <c r="PBW214" s="633"/>
      <c r="PBX214" s="633"/>
      <c r="PBY214" s="633"/>
      <c r="PBZ214" s="633"/>
      <c r="PCA214" s="633"/>
      <c r="PCB214" s="633"/>
      <c r="PCC214" s="632" t="s">
        <v>634</v>
      </c>
      <c r="PCD214" s="633"/>
      <c r="PCE214" s="633"/>
      <c r="PCF214" s="633"/>
      <c r="PCG214" s="633"/>
      <c r="PCH214" s="633"/>
      <c r="PCI214" s="633"/>
      <c r="PCJ214" s="633"/>
      <c r="PCK214" s="633"/>
      <c r="PCL214" s="633"/>
      <c r="PCM214" s="633"/>
      <c r="PCN214" s="633"/>
      <c r="PCO214" s="633"/>
      <c r="PCP214" s="633"/>
      <c r="PCQ214" s="633"/>
      <c r="PCR214" s="633"/>
      <c r="PCS214" s="632" t="s">
        <v>634</v>
      </c>
      <c r="PCT214" s="633"/>
      <c r="PCU214" s="633"/>
      <c r="PCV214" s="633"/>
      <c r="PCW214" s="633"/>
      <c r="PCX214" s="633"/>
      <c r="PCY214" s="633"/>
      <c r="PCZ214" s="633"/>
      <c r="PDA214" s="633"/>
      <c r="PDB214" s="633"/>
      <c r="PDC214" s="633"/>
      <c r="PDD214" s="633"/>
      <c r="PDE214" s="633"/>
      <c r="PDF214" s="633"/>
      <c r="PDG214" s="633"/>
      <c r="PDH214" s="633"/>
      <c r="PDI214" s="632" t="s">
        <v>634</v>
      </c>
      <c r="PDJ214" s="633"/>
      <c r="PDK214" s="633"/>
      <c r="PDL214" s="633"/>
      <c r="PDM214" s="633"/>
      <c r="PDN214" s="633"/>
      <c r="PDO214" s="633"/>
      <c r="PDP214" s="633"/>
      <c r="PDQ214" s="633"/>
      <c r="PDR214" s="633"/>
      <c r="PDS214" s="633"/>
      <c r="PDT214" s="633"/>
      <c r="PDU214" s="633"/>
      <c r="PDV214" s="633"/>
      <c r="PDW214" s="633"/>
      <c r="PDX214" s="633"/>
      <c r="PDY214" s="632" t="s">
        <v>634</v>
      </c>
      <c r="PDZ214" s="633"/>
      <c r="PEA214" s="633"/>
      <c r="PEB214" s="633"/>
      <c r="PEC214" s="633"/>
      <c r="PED214" s="633"/>
      <c r="PEE214" s="633"/>
      <c r="PEF214" s="633"/>
      <c r="PEG214" s="633"/>
      <c r="PEH214" s="633"/>
      <c r="PEI214" s="633"/>
      <c r="PEJ214" s="633"/>
      <c r="PEK214" s="633"/>
      <c r="PEL214" s="633"/>
      <c r="PEM214" s="633"/>
      <c r="PEN214" s="633"/>
      <c r="PEO214" s="632" t="s">
        <v>634</v>
      </c>
      <c r="PEP214" s="633"/>
      <c r="PEQ214" s="633"/>
      <c r="PER214" s="633"/>
      <c r="PES214" s="633"/>
      <c r="PET214" s="633"/>
      <c r="PEU214" s="633"/>
      <c r="PEV214" s="633"/>
      <c r="PEW214" s="633"/>
      <c r="PEX214" s="633"/>
      <c r="PEY214" s="633"/>
      <c r="PEZ214" s="633"/>
      <c r="PFA214" s="633"/>
      <c r="PFB214" s="633"/>
      <c r="PFC214" s="633"/>
      <c r="PFD214" s="633"/>
      <c r="PFE214" s="632" t="s">
        <v>634</v>
      </c>
      <c r="PFF214" s="633"/>
      <c r="PFG214" s="633"/>
      <c r="PFH214" s="633"/>
      <c r="PFI214" s="633"/>
      <c r="PFJ214" s="633"/>
      <c r="PFK214" s="633"/>
      <c r="PFL214" s="633"/>
      <c r="PFM214" s="633"/>
      <c r="PFN214" s="633"/>
      <c r="PFO214" s="633"/>
      <c r="PFP214" s="633"/>
      <c r="PFQ214" s="633"/>
      <c r="PFR214" s="633"/>
      <c r="PFS214" s="633"/>
      <c r="PFT214" s="633"/>
      <c r="PFU214" s="632" t="s">
        <v>634</v>
      </c>
      <c r="PFV214" s="633"/>
      <c r="PFW214" s="633"/>
      <c r="PFX214" s="633"/>
      <c r="PFY214" s="633"/>
      <c r="PFZ214" s="633"/>
      <c r="PGA214" s="633"/>
      <c r="PGB214" s="633"/>
      <c r="PGC214" s="633"/>
      <c r="PGD214" s="633"/>
      <c r="PGE214" s="633"/>
      <c r="PGF214" s="633"/>
      <c r="PGG214" s="633"/>
      <c r="PGH214" s="633"/>
      <c r="PGI214" s="633"/>
      <c r="PGJ214" s="633"/>
      <c r="PGK214" s="632" t="s">
        <v>634</v>
      </c>
      <c r="PGL214" s="633"/>
      <c r="PGM214" s="633"/>
      <c r="PGN214" s="633"/>
      <c r="PGO214" s="633"/>
      <c r="PGP214" s="633"/>
      <c r="PGQ214" s="633"/>
      <c r="PGR214" s="633"/>
      <c r="PGS214" s="633"/>
      <c r="PGT214" s="633"/>
      <c r="PGU214" s="633"/>
      <c r="PGV214" s="633"/>
      <c r="PGW214" s="633"/>
      <c r="PGX214" s="633"/>
      <c r="PGY214" s="633"/>
      <c r="PGZ214" s="633"/>
      <c r="PHA214" s="632" t="s">
        <v>634</v>
      </c>
      <c r="PHB214" s="633"/>
      <c r="PHC214" s="633"/>
      <c r="PHD214" s="633"/>
      <c r="PHE214" s="633"/>
      <c r="PHF214" s="633"/>
      <c r="PHG214" s="633"/>
      <c r="PHH214" s="633"/>
      <c r="PHI214" s="633"/>
      <c r="PHJ214" s="633"/>
      <c r="PHK214" s="633"/>
      <c r="PHL214" s="633"/>
      <c r="PHM214" s="633"/>
      <c r="PHN214" s="633"/>
      <c r="PHO214" s="633"/>
      <c r="PHP214" s="633"/>
      <c r="PHQ214" s="632" t="s">
        <v>634</v>
      </c>
      <c r="PHR214" s="633"/>
      <c r="PHS214" s="633"/>
      <c r="PHT214" s="633"/>
      <c r="PHU214" s="633"/>
      <c r="PHV214" s="633"/>
      <c r="PHW214" s="633"/>
      <c r="PHX214" s="633"/>
      <c r="PHY214" s="633"/>
      <c r="PHZ214" s="633"/>
      <c r="PIA214" s="633"/>
      <c r="PIB214" s="633"/>
      <c r="PIC214" s="633"/>
      <c r="PID214" s="633"/>
      <c r="PIE214" s="633"/>
      <c r="PIF214" s="633"/>
      <c r="PIG214" s="632" t="s">
        <v>634</v>
      </c>
      <c r="PIH214" s="633"/>
      <c r="PII214" s="633"/>
      <c r="PIJ214" s="633"/>
      <c r="PIK214" s="633"/>
      <c r="PIL214" s="633"/>
      <c r="PIM214" s="633"/>
      <c r="PIN214" s="633"/>
      <c r="PIO214" s="633"/>
      <c r="PIP214" s="633"/>
      <c r="PIQ214" s="633"/>
      <c r="PIR214" s="633"/>
      <c r="PIS214" s="633"/>
      <c r="PIT214" s="633"/>
      <c r="PIU214" s="633"/>
      <c r="PIV214" s="633"/>
      <c r="PIW214" s="632" t="s">
        <v>634</v>
      </c>
      <c r="PIX214" s="633"/>
      <c r="PIY214" s="633"/>
      <c r="PIZ214" s="633"/>
      <c r="PJA214" s="633"/>
      <c r="PJB214" s="633"/>
      <c r="PJC214" s="633"/>
      <c r="PJD214" s="633"/>
      <c r="PJE214" s="633"/>
      <c r="PJF214" s="633"/>
      <c r="PJG214" s="633"/>
      <c r="PJH214" s="633"/>
      <c r="PJI214" s="633"/>
      <c r="PJJ214" s="633"/>
      <c r="PJK214" s="633"/>
      <c r="PJL214" s="633"/>
      <c r="PJM214" s="632" t="s">
        <v>634</v>
      </c>
      <c r="PJN214" s="633"/>
      <c r="PJO214" s="633"/>
      <c r="PJP214" s="633"/>
      <c r="PJQ214" s="633"/>
      <c r="PJR214" s="633"/>
      <c r="PJS214" s="633"/>
      <c r="PJT214" s="633"/>
      <c r="PJU214" s="633"/>
      <c r="PJV214" s="633"/>
      <c r="PJW214" s="633"/>
      <c r="PJX214" s="633"/>
      <c r="PJY214" s="633"/>
      <c r="PJZ214" s="633"/>
      <c r="PKA214" s="633"/>
      <c r="PKB214" s="633"/>
      <c r="PKC214" s="632" t="s">
        <v>634</v>
      </c>
      <c r="PKD214" s="633"/>
      <c r="PKE214" s="633"/>
      <c r="PKF214" s="633"/>
      <c r="PKG214" s="633"/>
      <c r="PKH214" s="633"/>
      <c r="PKI214" s="633"/>
      <c r="PKJ214" s="633"/>
      <c r="PKK214" s="633"/>
      <c r="PKL214" s="633"/>
      <c r="PKM214" s="633"/>
      <c r="PKN214" s="633"/>
      <c r="PKO214" s="633"/>
      <c r="PKP214" s="633"/>
      <c r="PKQ214" s="633"/>
      <c r="PKR214" s="633"/>
      <c r="PKS214" s="632" t="s">
        <v>634</v>
      </c>
      <c r="PKT214" s="633"/>
      <c r="PKU214" s="633"/>
      <c r="PKV214" s="633"/>
      <c r="PKW214" s="633"/>
      <c r="PKX214" s="633"/>
      <c r="PKY214" s="633"/>
      <c r="PKZ214" s="633"/>
      <c r="PLA214" s="633"/>
      <c r="PLB214" s="633"/>
      <c r="PLC214" s="633"/>
      <c r="PLD214" s="633"/>
      <c r="PLE214" s="633"/>
      <c r="PLF214" s="633"/>
      <c r="PLG214" s="633"/>
      <c r="PLH214" s="633"/>
      <c r="PLI214" s="632" t="s">
        <v>634</v>
      </c>
      <c r="PLJ214" s="633"/>
      <c r="PLK214" s="633"/>
      <c r="PLL214" s="633"/>
      <c r="PLM214" s="633"/>
      <c r="PLN214" s="633"/>
      <c r="PLO214" s="633"/>
      <c r="PLP214" s="633"/>
      <c r="PLQ214" s="633"/>
      <c r="PLR214" s="633"/>
      <c r="PLS214" s="633"/>
      <c r="PLT214" s="633"/>
      <c r="PLU214" s="633"/>
      <c r="PLV214" s="633"/>
      <c r="PLW214" s="633"/>
      <c r="PLX214" s="633"/>
      <c r="PLY214" s="632" t="s">
        <v>634</v>
      </c>
      <c r="PLZ214" s="633"/>
      <c r="PMA214" s="633"/>
      <c r="PMB214" s="633"/>
      <c r="PMC214" s="633"/>
      <c r="PMD214" s="633"/>
      <c r="PME214" s="633"/>
      <c r="PMF214" s="633"/>
      <c r="PMG214" s="633"/>
      <c r="PMH214" s="633"/>
      <c r="PMI214" s="633"/>
      <c r="PMJ214" s="633"/>
      <c r="PMK214" s="633"/>
      <c r="PML214" s="633"/>
      <c r="PMM214" s="633"/>
      <c r="PMN214" s="633"/>
      <c r="PMO214" s="632" t="s">
        <v>634</v>
      </c>
      <c r="PMP214" s="633"/>
      <c r="PMQ214" s="633"/>
      <c r="PMR214" s="633"/>
      <c r="PMS214" s="633"/>
      <c r="PMT214" s="633"/>
      <c r="PMU214" s="633"/>
      <c r="PMV214" s="633"/>
      <c r="PMW214" s="633"/>
      <c r="PMX214" s="633"/>
      <c r="PMY214" s="633"/>
      <c r="PMZ214" s="633"/>
      <c r="PNA214" s="633"/>
      <c r="PNB214" s="633"/>
      <c r="PNC214" s="633"/>
      <c r="PND214" s="633"/>
      <c r="PNE214" s="632" t="s">
        <v>634</v>
      </c>
      <c r="PNF214" s="633"/>
      <c r="PNG214" s="633"/>
      <c r="PNH214" s="633"/>
      <c r="PNI214" s="633"/>
      <c r="PNJ214" s="633"/>
      <c r="PNK214" s="633"/>
      <c r="PNL214" s="633"/>
      <c r="PNM214" s="633"/>
      <c r="PNN214" s="633"/>
      <c r="PNO214" s="633"/>
      <c r="PNP214" s="633"/>
      <c r="PNQ214" s="633"/>
      <c r="PNR214" s="633"/>
      <c r="PNS214" s="633"/>
      <c r="PNT214" s="633"/>
      <c r="PNU214" s="632" t="s">
        <v>634</v>
      </c>
      <c r="PNV214" s="633"/>
      <c r="PNW214" s="633"/>
      <c r="PNX214" s="633"/>
      <c r="PNY214" s="633"/>
      <c r="PNZ214" s="633"/>
      <c r="POA214" s="633"/>
      <c r="POB214" s="633"/>
      <c r="POC214" s="633"/>
      <c r="POD214" s="633"/>
      <c r="POE214" s="633"/>
      <c r="POF214" s="633"/>
      <c r="POG214" s="633"/>
      <c r="POH214" s="633"/>
      <c r="POI214" s="633"/>
      <c r="POJ214" s="633"/>
      <c r="POK214" s="632" t="s">
        <v>634</v>
      </c>
      <c r="POL214" s="633"/>
      <c r="POM214" s="633"/>
      <c r="PON214" s="633"/>
      <c r="POO214" s="633"/>
      <c r="POP214" s="633"/>
      <c r="POQ214" s="633"/>
      <c r="POR214" s="633"/>
      <c r="POS214" s="633"/>
      <c r="POT214" s="633"/>
      <c r="POU214" s="633"/>
      <c r="POV214" s="633"/>
      <c r="POW214" s="633"/>
      <c r="POX214" s="633"/>
      <c r="POY214" s="633"/>
      <c r="POZ214" s="633"/>
      <c r="PPA214" s="632" t="s">
        <v>634</v>
      </c>
      <c r="PPB214" s="633"/>
      <c r="PPC214" s="633"/>
      <c r="PPD214" s="633"/>
      <c r="PPE214" s="633"/>
      <c r="PPF214" s="633"/>
      <c r="PPG214" s="633"/>
      <c r="PPH214" s="633"/>
      <c r="PPI214" s="633"/>
      <c r="PPJ214" s="633"/>
      <c r="PPK214" s="633"/>
      <c r="PPL214" s="633"/>
      <c r="PPM214" s="633"/>
      <c r="PPN214" s="633"/>
      <c r="PPO214" s="633"/>
      <c r="PPP214" s="633"/>
      <c r="PPQ214" s="632" t="s">
        <v>634</v>
      </c>
      <c r="PPR214" s="633"/>
      <c r="PPS214" s="633"/>
      <c r="PPT214" s="633"/>
      <c r="PPU214" s="633"/>
      <c r="PPV214" s="633"/>
      <c r="PPW214" s="633"/>
      <c r="PPX214" s="633"/>
      <c r="PPY214" s="633"/>
      <c r="PPZ214" s="633"/>
      <c r="PQA214" s="633"/>
      <c r="PQB214" s="633"/>
      <c r="PQC214" s="633"/>
      <c r="PQD214" s="633"/>
      <c r="PQE214" s="633"/>
      <c r="PQF214" s="633"/>
      <c r="PQG214" s="632" t="s">
        <v>634</v>
      </c>
      <c r="PQH214" s="633"/>
      <c r="PQI214" s="633"/>
      <c r="PQJ214" s="633"/>
      <c r="PQK214" s="633"/>
      <c r="PQL214" s="633"/>
      <c r="PQM214" s="633"/>
      <c r="PQN214" s="633"/>
      <c r="PQO214" s="633"/>
      <c r="PQP214" s="633"/>
      <c r="PQQ214" s="633"/>
      <c r="PQR214" s="633"/>
      <c r="PQS214" s="633"/>
      <c r="PQT214" s="633"/>
      <c r="PQU214" s="633"/>
      <c r="PQV214" s="633"/>
      <c r="PQW214" s="632" t="s">
        <v>634</v>
      </c>
      <c r="PQX214" s="633"/>
      <c r="PQY214" s="633"/>
      <c r="PQZ214" s="633"/>
      <c r="PRA214" s="633"/>
      <c r="PRB214" s="633"/>
      <c r="PRC214" s="633"/>
      <c r="PRD214" s="633"/>
      <c r="PRE214" s="633"/>
      <c r="PRF214" s="633"/>
      <c r="PRG214" s="633"/>
      <c r="PRH214" s="633"/>
      <c r="PRI214" s="633"/>
      <c r="PRJ214" s="633"/>
      <c r="PRK214" s="633"/>
      <c r="PRL214" s="633"/>
      <c r="PRM214" s="632" t="s">
        <v>634</v>
      </c>
      <c r="PRN214" s="633"/>
      <c r="PRO214" s="633"/>
      <c r="PRP214" s="633"/>
      <c r="PRQ214" s="633"/>
      <c r="PRR214" s="633"/>
      <c r="PRS214" s="633"/>
      <c r="PRT214" s="633"/>
      <c r="PRU214" s="633"/>
      <c r="PRV214" s="633"/>
      <c r="PRW214" s="633"/>
      <c r="PRX214" s="633"/>
      <c r="PRY214" s="633"/>
      <c r="PRZ214" s="633"/>
      <c r="PSA214" s="633"/>
      <c r="PSB214" s="633"/>
      <c r="PSC214" s="632" t="s">
        <v>634</v>
      </c>
      <c r="PSD214" s="633"/>
      <c r="PSE214" s="633"/>
      <c r="PSF214" s="633"/>
      <c r="PSG214" s="633"/>
      <c r="PSH214" s="633"/>
      <c r="PSI214" s="633"/>
      <c r="PSJ214" s="633"/>
      <c r="PSK214" s="633"/>
      <c r="PSL214" s="633"/>
      <c r="PSM214" s="633"/>
      <c r="PSN214" s="633"/>
      <c r="PSO214" s="633"/>
      <c r="PSP214" s="633"/>
      <c r="PSQ214" s="633"/>
      <c r="PSR214" s="633"/>
      <c r="PSS214" s="632" t="s">
        <v>634</v>
      </c>
      <c r="PST214" s="633"/>
      <c r="PSU214" s="633"/>
      <c r="PSV214" s="633"/>
      <c r="PSW214" s="633"/>
      <c r="PSX214" s="633"/>
      <c r="PSY214" s="633"/>
      <c r="PSZ214" s="633"/>
      <c r="PTA214" s="633"/>
      <c r="PTB214" s="633"/>
      <c r="PTC214" s="633"/>
      <c r="PTD214" s="633"/>
      <c r="PTE214" s="633"/>
      <c r="PTF214" s="633"/>
      <c r="PTG214" s="633"/>
      <c r="PTH214" s="633"/>
      <c r="PTI214" s="632" t="s">
        <v>634</v>
      </c>
      <c r="PTJ214" s="633"/>
      <c r="PTK214" s="633"/>
      <c r="PTL214" s="633"/>
      <c r="PTM214" s="633"/>
      <c r="PTN214" s="633"/>
      <c r="PTO214" s="633"/>
      <c r="PTP214" s="633"/>
      <c r="PTQ214" s="633"/>
      <c r="PTR214" s="633"/>
      <c r="PTS214" s="633"/>
      <c r="PTT214" s="633"/>
      <c r="PTU214" s="633"/>
      <c r="PTV214" s="633"/>
      <c r="PTW214" s="633"/>
      <c r="PTX214" s="633"/>
      <c r="PTY214" s="632" t="s">
        <v>634</v>
      </c>
      <c r="PTZ214" s="633"/>
      <c r="PUA214" s="633"/>
      <c r="PUB214" s="633"/>
      <c r="PUC214" s="633"/>
      <c r="PUD214" s="633"/>
      <c r="PUE214" s="633"/>
      <c r="PUF214" s="633"/>
      <c r="PUG214" s="633"/>
      <c r="PUH214" s="633"/>
      <c r="PUI214" s="633"/>
      <c r="PUJ214" s="633"/>
      <c r="PUK214" s="633"/>
      <c r="PUL214" s="633"/>
      <c r="PUM214" s="633"/>
      <c r="PUN214" s="633"/>
      <c r="PUO214" s="632" t="s">
        <v>634</v>
      </c>
      <c r="PUP214" s="633"/>
      <c r="PUQ214" s="633"/>
      <c r="PUR214" s="633"/>
      <c r="PUS214" s="633"/>
      <c r="PUT214" s="633"/>
      <c r="PUU214" s="633"/>
      <c r="PUV214" s="633"/>
      <c r="PUW214" s="633"/>
      <c r="PUX214" s="633"/>
      <c r="PUY214" s="633"/>
      <c r="PUZ214" s="633"/>
      <c r="PVA214" s="633"/>
      <c r="PVB214" s="633"/>
      <c r="PVC214" s="633"/>
      <c r="PVD214" s="633"/>
      <c r="PVE214" s="632" t="s">
        <v>634</v>
      </c>
      <c r="PVF214" s="633"/>
      <c r="PVG214" s="633"/>
      <c r="PVH214" s="633"/>
      <c r="PVI214" s="633"/>
      <c r="PVJ214" s="633"/>
      <c r="PVK214" s="633"/>
      <c r="PVL214" s="633"/>
      <c r="PVM214" s="633"/>
      <c r="PVN214" s="633"/>
      <c r="PVO214" s="633"/>
      <c r="PVP214" s="633"/>
      <c r="PVQ214" s="633"/>
      <c r="PVR214" s="633"/>
      <c r="PVS214" s="633"/>
      <c r="PVT214" s="633"/>
      <c r="PVU214" s="632" t="s">
        <v>634</v>
      </c>
      <c r="PVV214" s="633"/>
      <c r="PVW214" s="633"/>
      <c r="PVX214" s="633"/>
      <c r="PVY214" s="633"/>
      <c r="PVZ214" s="633"/>
      <c r="PWA214" s="633"/>
      <c r="PWB214" s="633"/>
      <c r="PWC214" s="633"/>
      <c r="PWD214" s="633"/>
      <c r="PWE214" s="633"/>
      <c r="PWF214" s="633"/>
      <c r="PWG214" s="633"/>
      <c r="PWH214" s="633"/>
      <c r="PWI214" s="633"/>
      <c r="PWJ214" s="633"/>
      <c r="PWK214" s="632" t="s">
        <v>634</v>
      </c>
      <c r="PWL214" s="633"/>
      <c r="PWM214" s="633"/>
      <c r="PWN214" s="633"/>
      <c r="PWO214" s="633"/>
      <c r="PWP214" s="633"/>
      <c r="PWQ214" s="633"/>
      <c r="PWR214" s="633"/>
      <c r="PWS214" s="633"/>
      <c r="PWT214" s="633"/>
      <c r="PWU214" s="633"/>
      <c r="PWV214" s="633"/>
      <c r="PWW214" s="633"/>
      <c r="PWX214" s="633"/>
      <c r="PWY214" s="633"/>
      <c r="PWZ214" s="633"/>
      <c r="PXA214" s="632" t="s">
        <v>634</v>
      </c>
      <c r="PXB214" s="633"/>
      <c r="PXC214" s="633"/>
      <c r="PXD214" s="633"/>
      <c r="PXE214" s="633"/>
      <c r="PXF214" s="633"/>
      <c r="PXG214" s="633"/>
      <c r="PXH214" s="633"/>
      <c r="PXI214" s="633"/>
      <c r="PXJ214" s="633"/>
      <c r="PXK214" s="633"/>
      <c r="PXL214" s="633"/>
      <c r="PXM214" s="633"/>
      <c r="PXN214" s="633"/>
      <c r="PXO214" s="633"/>
      <c r="PXP214" s="633"/>
      <c r="PXQ214" s="632" t="s">
        <v>634</v>
      </c>
      <c r="PXR214" s="633"/>
      <c r="PXS214" s="633"/>
      <c r="PXT214" s="633"/>
      <c r="PXU214" s="633"/>
      <c r="PXV214" s="633"/>
      <c r="PXW214" s="633"/>
      <c r="PXX214" s="633"/>
      <c r="PXY214" s="633"/>
      <c r="PXZ214" s="633"/>
      <c r="PYA214" s="633"/>
      <c r="PYB214" s="633"/>
      <c r="PYC214" s="633"/>
      <c r="PYD214" s="633"/>
      <c r="PYE214" s="633"/>
      <c r="PYF214" s="633"/>
      <c r="PYG214" s="632" t="s">
        <v>634</v>
      </c>
      <c r="PYH214" s="633"/>
      <c r="PYI214" s="633"/>
      <c r="PYJ214" s="633"/>
      <c r="PYK214" s="633"/>
      <c r="PYL214" s="633"/>
      <c r="PYM214" s="633"/>
      <c r="PYN214" s="633"/>
      <c r="PYO214" s="633"/>
      <c r="PYP214" s="633"/>
      <c r="PYQ214" s="633"/>
      <c r="PYR214" s="633"/>
      <c r="PYS214" s="633"/>
      <c r="PYT214" s="633"/>
      <c r="PYU214" s="633"/>
      <c r="PYV214" s="633"/>
      <c r="PYW214" s="632" t="s">
        <v>634</v>
      </c>
      <c r="PYX214" s="633"/>
      <c r="PYY214" s="633"/>
      <c r="PYZ214" s="633"/>
      <c r="PZA214" s="633"/>
      <c r="PZB214" s="633"/>
      <c r="PZC214" s="633"/>
      <c r="PZD214" s="633"/>
      <c r="PZE214" s="633"/>
      <c r="PZF214" s="633"/>
      <c r="PZG214" s="633"/>
      <c r="PZH214" s="633"/>
      <c r="PZI214" s="633"/>
      <c r="PZJ214" s="633"/>
      <c r="PZK214" s="633"/>
      <c r="PZL214" s="633"/>
      <c r="PZM214" s="632" t="s">
        <v>634</v>
      </c>
      <c r="PZN214" s="633"/>
      <c r="PZO214" s="633"/>
      <c r="PZP214" s="633"/>
      <c r="PZQ214" s="633"/>
      <c r="PZR214" s="633"/>
      <c r="PZS214" s="633"/>
      <c r="PZT214" s="633"/>
      <c r="PZU214" s="633"/>
      <c r="PZV214" s="633"/>
      <c r="PZW214" s="633"/>
      <c r="PZX214" s="633"/>
      <c r="PZY214" s="633"/>
      <c r="PZZ214" s="633"/>
      <c r="QAA214" s="633"/>
      <c r="QAB214" s="633"/>
      <c r="QAC214" s="632" t="s">
        <v>634</v>
      </c>
      <c r="QAD214" s="633"/>
      <c r="QAE214" s="633"/>
      <c r="QAF214" s="633"/>
      <c r="QAG214" s="633"/>
      <c r="QAH214" s="633"/>
      <c r="QAI214" s="633"/>
      <c r="QAJ214" s="633"/>
      <c r="QAK214" s="633"/>
      <c r="QAL214" s="633"/>
      <c r="QAM214" s="633"/>
      <c r="QAN214" s="633"/>
      <c r="QAO214" s="633"/>
      <c r="QAP214" s="633"/>
      <c r="QAQ214" s="633"/>
      <c r="QAR214" s="633"/>
      <c r="QAS214" s="632" t="s">
        <v>634</v>
      </c>
      <c r="QAT214" s="633"/>
      <c r="QAU214" s="633"/>
      <c r="QAV214" s="633"/>
      <c r="QAW214" s="633"/>
      <c r="QAX214" s="633"/>
      <c r="QAY214" s="633"/>
      <c r="QAZ214" s="633"/>
      <c r="QBA214" s="633"/>
      <c r="QBB214" s="633"/>
      <c r="QBC214" s="633"/>
      <c r="QBD214" s="633"/>
      <c r="QBE214" s="633"/>
      <c r="QBF214" s="633"/>
      <c r="QBG214" s="633"/>
      <c r="QBH214" s="633"/>
      <c r="QBI214" s="632" t="s">
        <v>634</v>
      </c>
      <c r="QBJ214" s="633"/>
      <c r="QBK214" s="633"/>
      <c r="QBL214" s="633"/>
      <c r="QBM214" s="633"/>
      <c r="QBN214" s="633"/>
      <c r="QBO214" s="633"/>
      <c r="QBP214" s="633"/>
      <c r="QBQ214" s="633"/>
      <c r="QBR214" s="633"/>
      <c r="QBS214" s="633"/>
      <c r="QBT214" s="633"/>
      <c r="QBU214" s="633"/>
      <c r="QBV214" s="633"/>
      <c r="QBW214" s="633"/>
      <c r="QBX214" s="633"/>
      <c r="QBY214" s="632" t="s">
        <v>634</v>
      </c>
      <c r="QBZ214" s="633"/>
      <c r="QCA214" s="633"/>
      <c r="QCB214" s="633"/>
      <c r="QCC214" s="633"/>
      <c r="QCD214" s="633"/>
      <c r="QCE214" s="633"/>
      <c r="QCF214" s="633"/>
      <c r="QCG214" s="633"/>
      <c r="QCH214" s="633"/>
      <c r="QCI214" s="633"/>
      <c r="QCJ214" s="633"/>
      <c r="QCK214" s="633"/>
      <c r="QCL214" s="633"/>
      <c r="QCM214" s="633"/>
      <c r="QCN214" s="633"/>
      <c r="QCO214" s="632" t="s">
        <v>634</v>
      </c>
      <c r="QCP214" s="633"/>
      <c r="QCQ214" s="633"/>
      <c r="QCR214" s="633"/>
      <c r="QCS214" s="633"/>
      <c r="QCT214" s="633"/>
      <c r="QCU214" s="633"/>
      <c r="QCV214" s="633"/>
      <c r="QCW214" s="633"/>
      <c r="QCX214" s="633"/>
      <c r="QCY214" s="633"/>
      <c r="QCZ214" s="633"/>
      <c r="QDA214" s="633"/>
      <c r="QDB214" s="633"/>
      <c r="QDC214" s="633"/>
      <c r="QDD214" s="633"/>
      <c r="QDE214" s="632" t="s">
        <v>634</v>
      </c>
      <c r="QDF214" s="633"/>
      <c r="QDG214" s="633"/>
      <c r="QDH214" s="633"/>
      <c r="QDI214" s="633"/>
      <c r="QDJ214" s="633"/>
      <c r="QDK214" s="633"/>
      <c r="QDL214" s="633"/>
      <c r="QDM214" s="633"/>
      <c r="QDN214" s="633"/>
      <c r="QDO214" s="633"/>
      <c r="QDP214" s="633"/>
      <c r="QDQ214" s="633"/>
      <c r="QDR214" s="633"/>
      <c r="QDS214" s="633"/>
      <c r="QDT214" s="633"/>
      <c r="QDU214" s="632" t="s">
        <v>634</v>
      </c>
      <c r="QDV214" s="633"/>
      <c r="QDW214" s="633"/>
      <c r="QDX214" s="633"/>
      <c r="QDY214" s="633"/>
      <c r="QDZ214" s="633"/>
      <c r="QEA214" s="633"/>
      <c r="QEB214" s="633"/>
      <c r="QEC214" s="633"/>
      <c r="QED214" s="633"/>
      <c r="QEE214" s="633"/>
      <c r="QEF214" s="633"/>
      <c r="QEG214" s="633"/>
      <c r="QEH214" s="633"/>
      <c r="QEI214" s="633"/>
      <c r="QEJ214" s="633"/>
      <c r="QEK214" s="632" t="s">
        <v>634</v>
      </c>
      <c r="QEL214" s="633"/>
      <c r="QEM214" s="633"/>
      <c r="QEN214" s="633"/>
      <c r="QEO214" s="633"/>
      <c r="QEP214" s="633"/>
      <c r="QEQ214" s="633"/>
      <c r="QER214" s="633"/>
      <c r="QES214" s="633"/>
      <c r="QET214" s="633"/>
      <c r="QEU214" s="633"/>
      <c r="QEV214" s="633"/>
      <c r="QEW214" s="633"/>
      <c r="QEX214" s="633"/>
      <c r="QEY214" s="633"/>
      <c r="QEZ214" s="633"/>
      <c r="QFA214" s="632" t="s">
        <v>634</v>
      </c>
      <c r="QFB214" s="633"/>
      <c r="QFC214" s="633"/>
      <c r="QFD214" s="633"/>
      <c r="QFE214" s="633"/>
      <c r="QFF214" s="633"/>
      <c r="QFG214" s="633"/>
      <c r="QFH214" s="633"/>
      <c r="QFI214" s="633"/>
      <c r="QFJ214" s="633"/>
      <c r="QFK214" s="633"/>
      <c r="QFL214" s="633"/>
      <c r="QFM214" s="633"/>
      <c r="QFN214" s="633"/>
      <c r="QFO214" s="633"/>
      <c r="QFP214" s="633"/>
      <c r="QFQ214" s="632" t="s">
        <v>634</v>
      </c>
      <c r="QFR214" s="633"/>
      <c r="QFS214" s="633"/>
      <c r="QFT214" s="633"/>
      <c r="QFU214" s="633"/>
      <c r="QFV214" s="633"/>
      <c r="QFW214" s="633"/>
      <c r="QFX214" s="633"/>
      <c r="QFY214" s="633"/>
      <c r="QFZ214" s="633"/>
      <c r="QGA214" s="633"/>
      <c r="QGB214" s="633"/>
      <c r="QGC214" s="633"/>
      <c r="QGD214" s="633"/>
      <c r="QGE214" s="633"/>
      <c r="QGF214" s="633"/>
      <c r="QGG214" s="632" t="s">
        <v>634</v>
      </c>
      <c r="QGH214" s="633"/>
      <c r="QGI214" s="633"/>
      <c r="QGJ214" s="633"/>
      <c r="QGK214" s="633"/>
      <c r="QGL214" s="633"/>
      <c r="QGM214" s="633"/>
      <c r="QGN214" s="633"/>
      <c r="QGO214" s="633"/>
      <c r="QGP214" s="633"/>
      <c r="QGQ214" s="633"/>
      <c r="QGR214" s="633"/>
      <c r="QGS214" s="633"/>
      <c r="QGT214" s="633"/>
      <c r="QGU214" s="633"/>
      <c r="QGV214" s="633"/>
      <c r="QGW214" s="632" t="s">
        <v>634</v>
      </c>
      <c r="QGX214" s="633"/>
      <c r="QGY214" s="633"/>
      <c r="QGZ214" s="633"/>
      <c r="QHA214" s="633"/>
      <c r="QHB214" s="633"/>
      <c r="QHC214" s="633"/>
      <c r="QHD214" s="633"/>
      <c r="QHE214" s="633"/>
      <c r="QHF214" s="633"/>
      <c r="QHG214" s="633"/>
      <c r="QHH214" s="633"/>
      <c r="QHI214" s="633"/>
      <c r="QHJ214" s="633"/>
      <c r="QHK214" s="633"/>
      <c r="QHL214" s="633"/>
      <c r="QHM214" s="632" t="s">
        <v>634</v>
      </c>
      <c r="QHN214" s="633"/>
      <c r="QHO214" s="633"/>
      <c r="QHP214" s="633"/>
      <c r="QHQ214" s="633"/>
      <c r="QHR214" s="633"/>
      <c r="QHS214" s="633"/>
      <c r="QHT214" s="633"/>
      <c r="QHU214" s="633"/>
      <c r="QHV214" s="633"/>
      <c r="QHW214" s="633"/>
      <c r="QHX214" s="633"/>
      <c r="QHY214" s="633"/>
      <c r="QHZ214" s="633"/>
      <c r="QIA214" s="633"/>
      <c r="QIB214" s="633"/>
      <c r="QIC214" s="632" t="s">
        <v>634</v>
      </c>
      <c r="QID214" s="633"/>
      <c r="QIE214" s="633"/>
      <c r="QIF214" s="633"/>
      <c r="QIG214" s="633"/>
      <c r="QIH214" s="633"/>
      <c r="QII214" s="633"/>
      <c r="QIJ214" s="633"/>
      <c r="QIK214" s="633"/>
      <c r="QIL214" s="633"/>
      <c r="QIM214" s="633"/>
      <c r="QIN214" s="633"/>
      <c r="QIO214" s="633"/>
      <c r="QIP214" s="633"/>
      <c r="QIQ214" s="633"/>
      <c r="QIR214" s="633"/>
      <c r="QIS214" s="632" t="s">
        <v>634</v>
      </c>
      <c r="QIT214" s="633"/>
      <c r="QIU214" s="633"/>
      <c r="QIV214" s="633"/>
      <c r="QIW214" s="633"/>
      <c r="QIX214" s="633"/>
      <c r="QIY214" s="633"/>
      <c r="QIZ214" s="633"/>
      <c r="QJA214" s="633"/>
      <c r="QJB214" s="633"/>
      <c r="QJC214" s="633"/>
      <c r="QJD214" s="633"/>
      <c r="QJE214" s="633"/>
      <c r="QJF214" s="633"/>
      <c r="QJG214" s="633"/>
      <c r="QJH214" s="633"/>
      <c r="QJI214" s="632" t="s">
        <v>634</v>
      </c>
      <c r="QJJ214" s="633"/>
      <c r="QJK214" s="633"/>
      <c r="QJL214" s="633"/>
      <c r="QJM214" s="633"/>
      <c r="QJN214" s="633"/>
      <c r="QJO214" s="633"/>
      <c r="QJP214" s="633"/>
      <c r="QJQ214" s="633"/>
      <c r="QJR214" s="633"/>
      <c r="QJS214" s="633"/>
      <c r="QJT214" s="633"/>
      <c r="QJU214" s="633"/>
      <c r="QJV214" s="633"/>
      <c r="QJW214" s="633"/>
      <c r="QJX214" s="633"/>
      <c r="QJY214" s="632" t="s">
        <v>634</v>
      </c>
      <c r="QJZ214" s="633"/>
      <c r="QKA214" s="633"/>
      <c r="QKB214" s="633"/>
      <c r="QKC214" s="633"/>
      <c r="QKD214" s="633"/>
      <c r="QKE214" s="633"/>
      <c r="QKF214" s="633"/>
      <c r="QKG214" s="633"/>
      <c r="QKH214" s="633"/>
      <c r="QKI214" s="633"/>
      <c r="QKJ214" s="633"/>
      <c r="QKK214" s="633"/>
      <c r="QKL214" s="633"/>
      <c r="QKM214" s="633"/>
      <c r="QKN214" s="633"/>
      <c r="QKO214" s="632" t="s">
        <v>634</v>
      </c>
      <c r="QKP214" s="633"/>
      <c r="QKQ214" s="633"/>
      <c r="QKR214" s="633"/>
      <c r="QKS214" s="633"/>
      <c r="QKT214" s="633"/>
      <c r="QKU214" s="633"/>
      <c r="QKV214" s="633"/>
      <c r="QKW214" s="633"/>
      <c r="QKX214" s="633"/>
      <c r="QKY214" s="633"/>
      <c r="QKZ214" s="633"/>
      <c r="QLA214" s="633"/>
      <c r="QLB214" s="633"/>
      <c r="QLC214" s="633"/>
      <c r="QLD214" s="633"/>
      <c r="QLE214" s="632" t="s">
        <v>634</v>
      </c>
      <c r="QLF214" s="633"/>
      <c r="QLG214" s="633"/>
      <c r="QLH214" s="633"/>
      <c r="QLI214" s="633"/>
      <c r="QLJ214" s="633"/>
      <c r="QLK214" s="633"/>
      <c r="QLL214" s="633"/>
      <c r="QLM214" s="633"/>
      <c r="QLN214" s="633"/>
      <c r="QLO214" s="633"/>
      <c r="QLP214" s="633"/>
      <c r="QLQ214" s="633"/>
      <c r="QLR214" s="633"/>
      <c r="QLS214" s="633"/>
      <c r="QLT214" s="633"/>
      <c r="QLU214" s="632" t="s">
        <v>634</v>
      </c>
      <c r="QLV214" s="633"/>
      <c r="QLW214" s="633"/>
      <c r="QLX214" s="633"/>
      <c r="QLY214" s="633"/>
      <c r="QLZ214" s="633"/>
      <c r="QMA214" s="633"/>
      <c r="QMB214" s="633"/>
      <c r="QMC214" s="633"/>
      <c r="QMD214" s="633"/>
      <c r="QME214" s="633"/>
      <c r="QMF214" s="633"/>
      <c r="QMG214" s="633"/>
      <c r="QMH214" s="633"/>
      <c r="QMI214" s="633"/>
      <c r="QMJ214" s="633"/>
      <c r="QMK214" s="632" t="s">
        <v>634</v>
      </c>
      <c r="QML214" s="633"/>
      <c r="QMM214" s="633"/>
      <c r="QMN214" s="633"/>
      <c r="QMO214" s="633"/>
      <c r="QMP214" s="633"/>
      <c r="QMQ214" s="633"/>
      <c r="QMR214" s="633"/>
      <c r="QMS214" s="633"/>
      <c r="QMT214" s="633"/>
      <c r="QMU214" s="633"/>
      <c r="QMV214" s="633"/>
      <c r="QMW214" s="633"/>
      <c r="QMX214" s="633"/>
      <c r="QMY214" s="633"/>
      <c r="QMZ214" s="633"/>
      <c r="QNA214" s="632" t="s">
        <v>634</v>
      </c>
      <c r="QNB214" s="633"/>
      <c r="QNC214" s="633"/>
      <c r="QND214" s="633"/>
      <c r="QNE214" s="633"/>
      <c r="QNF214" s="633"/>
      <c r="QNG214" s="633"/>
      <c r="QNH214" s="633"/>
      <c r="QNI214" s="633"/>
      <c r="QNJ214" s="633"/>
      <c r="QNK214" s="633"/>
      <c r="QNL214" s="633"/>
      <c r="QNM214" s="633"/>
      <c r="QNN214" s="633"/>
      <c r="QNO214" s="633"/>
      <c r="QNP214" s="633"/>
      <c r="QNQ214" s="632" t="s">
        <v>634</v>
      </c>
      <c r="QNR214" s="633"/>
      <c r="QNS214" s="633"/>
      <c r="QNT214" s="633"/>
      <c r="QNU214" s="633"/>
      <c r="QNV214" s="633"/>
      <c r="QNW214" s="633"/>
      <c r="QNX214" s="633"/>
      <c r="QNY214" s="633"/>
      <c r="QNZ214" s="633"/>
      <c r="QOA214" s="633"/>
      <c r="QOB214" s="633"/>
      <c r="QOC214" s="633"/>
      <c r="QOD214" s="633"/>
      <c r="QOE214" s="633"/>
      <c r="QOF214" s="633"/>
      <c r="QOG214" s="632" t="s">
        <v>634</v>
      </c>
      <c r="QOH214" s="633"/>
      <c r="QOI214" s="633"/>
      <c r="QOJ214" s="633"/>
      <c r="QOK214" s="633"/>
      <c r="QOL214" s="633"/>
      <c r="QOM214" s="633"/>
      <c r="QON214" s="633"/>
      <c r="QOO214" s="633"/>
      <c r="QOP214" s="633"/>
      <c r="QOQ214" s="633"/>
      <c r="QOR214" s="633"/>
      <c r="QOS214" s="633"/>
      <c r="QOT214" s="633"/>
      <c r="QOU214" s="633"/>
      <c r="QOV214" s="633"/>
      <c r="QOW214" s="632" t="s">
        <v>634</v>
      </c>
      <c r="QOX214" s="633"/>
      <c r="QOY214" s="633"/>
      <c r="QOZ214" s="633"/>
      <c r="QPA214" s="633"/>
      <c r="QPB214" s="633"/>
      <c r="QPC214" s="633"/>
      <c r="QPD214" s="633"/>
      <c r="QPE214" s="633"/>
      <c r="QPF214" s="633"/>
      <c r="QPG214" s="633"/>
      <c r="QPH214" s="633"/>
      <c r="QPI214" s="633"/>
      <c r="QPJ214" s="633"/>
      <c r="QPK214" s="633"/>
      <c r="QPL214" s="633"/>
      <c r="QPM214" s="632" t="s">
        <v>634</v>
      </c>
      <c r="QPN214" s="633"/>
      <c r="QPO214" s="633"/>
      <c r="QPP214" s="633"/>
      <c r="QPQ214" s="633"/>
      <c r="QPR214" s="633"/>
      <c r="QPS214" s="633"/>
      <c r="QPT214" s="633"/>
      <c r="QPU214" s="633"/>
      <c r="QPV214" s="633"/>
      <c r="QPW214" s="633"/>
      <c r="QPX214" s="633"/>
      <c r="QPY214" s="633"/>
      <c r="QPZ214" s="633"/>
      <c r="QQA214" s="633"/>
      <c r="QQB214" s="633"/>
      <c r="QQC214" s="632" t="s">
        <v>634</v>
      </c>
      <c r="QQD214" s="633"/>
      <c r="QQE214" s="633"/>
      <c r="QQF214" s="633"/>
      <c r="QQG214" s="633"/>
      <c r="QQH214" s="633"/>
      <c r="QQI214" s="633"/>
      <c r="QQJ214" s="633"/>
      <c r="QQK214" s="633"/>
      <c r="QQL214" s="633"/>
      <c r="QQM214" s="633"/>
      <c r="QQN214" s="633"/>
      <c r="QQO214" s="633"/>
      <c r="QQP214" s="633"/>
      <c r="QQQ214" s="633"/>
      <c r="QQR214" s="633"/>
      <c r="QQS214" s="632" t="s">
        <v>634</v>
      </c>
      <c r="QQT214" s="633"/>
      <c r="QQU214" s="633"/>
      <c r="QQV214" s="633"/>
      <c r="QQW214" s="633"/>
      <c r="QQX214" s="633"/>
      <c r="QQY214" s="633"/>
      <c r="QQZ214" s="633"/>
      <c r="QRA214" s="633"/>
      <c r="QRB214" s="633"/>
      <c r="QRC214" s="633"/>
      <c r="QRD214" s="633"/>
      <c r="QRE214" s="633"/>
      <c r="QRF214" s="633"/>
      <c r="QRG214" s="633"/>
      <c r="QRH214" s="633"/>
      <c r="QRI214" s="632" t="s">
        <v>634</v>
      </c>
      <c r="QRJ214" s="633"/>
      <c r="QRK214" s="633"/>
      <c r="QRL214" s="633"/>
      <c r="QRM214" s="633"/>
      <c r="QRN214" s="633"/>
      <c r="QRO214" s="633"/>
      <c r="QRP214" s="633"/>
      <c r="QRQ214" s="633"/>
      <c r="QRR214" s="633"/>
      <c r="QRS214" s="633"/>
      <c r="QRT214" s="633"/>
      <c r="QRU214" s="633"/>
      <c r="QRV214" s="633"/>
      <c r="QRW214" s="633"/>
      <c r="QRX214" s="633"/>
      <c r="QRY214" s="632" t="s">
        <v>634</v>
      </c>
      <c r="QRZ214" s="633"/>
      <c r="QSA214" s="633"/>
      <c r="QSB214" s="633"/>
      <c r="QSC214" s="633"/>
      <c r="QSD214" s="633"/>
      <c r="QSE214" s="633"/>
      <c r="QSF214" s="633"/>
      <c r="QSG214" s="633"/>
      <c r="QSH214" s="633"/>
      <c r="QSI214" s="633"/>
      <c r="QSJ214" s="633"/>
      <c r="QSK214" s="633"/>
      <c r="QSL214" s="633"/>
      <c r="QSM214" s="633"/>
      <c r="QSN214" s="633"/>
      <c r="QSO214" s="632" t="s">
        <v>634</v>
      </c>
      <c r="QSP214" s="633"/>
      <c r="QSQ214" s="633"/>
      <c r="QSR214" s="633"/>
      <c r="QSS214" s="633"/>
      <c r="QST214" s="633"/>
      <c r="QSU214" s="633"/>
      <c r="QSV214" s="633"/>
      <c r="QSW214" s="633"/>
      <c r="QSX214" s="633"/>
      <c r="QSY214" s="633"/>
      <c r="QSZ214" s="633"/>
      <c r="QTA214" s="633"/>
      <c r="QTB214" s="633"/>
      <c r="QTC214" s="633"/>
      <c r="QTD214" s="633"/>
      <c r="QTE214" s="632" t="s">
        <v>634</v>
      </c>
      <c r="QTF214" s="633"/>
      <c r="QTG214" s="633"/>
      <c r="QTH214" s="633"/>
      <c r="QTI214" s="633"/>
      <c r="QTJ214" s="633"/>
      <c r="QTK214" s="633"/>
      <c r="QTL214" s="633"/>
      <c r="QTM214" s="633"/>
      <c r="QTN214" s="633"/>
      <c r="QTO214" s="633"/>
      <c r="QTP214" s="633"/>
      <c r="QTQ214" s="633"/>
      <c r="QTR214" s="633"/>
      <c r="QTS214" s="633"/>
      <c r="QTT214" s="633"/>
      <c r="QTU214" s="632" t="s">
        <v>634</v>
      </c>
      <c r="QTV214" s="633"/>
      <c r="QTW214" s="633"/>
      <c r="QTX214" s="633"/>
      <c r="QTY214" s="633"/>
      <c r="QTZ214" s="633"/>
      <c r="QUA214" s="633"/>
      <c r="QUB214" s="633"/>
      <c r="QUC214" s="633"/>
      <c r="QUD214" s="633"/>
      <c r="QUE214" s="633"/>
      <c r="QUF214" s="633"/>
      <c r="QUG214" s="633"/>
      <c r="QUH214" s="633"/>
      <c r="QUI214" s="633"/>
      <c r="QUJ214" s="633"/>
      <c r="QUK214" s="632" t="s">
        <v>634</v>
      </c>
      <c r="QUL214" s="633"/>
      <c r="QUM214" s="633"/>
      <c r="QUN214" s="633"/>
      <c r="QUO214" s="633"/>
      <c r="QUP214" s="633"/>
      <c r="QUQ214" s="633"/>
      <c r="QUR214" s="633"/>
      <c r="QUS214" s="633"/>
      <c r="QUT214" s="633"/>
      <c r="QUU214" s="633"/>
      <c r="QUV214" s="633"/>
      <c r="QUW214" s="633"/>
      <c r="QUX214" s="633"/>
      <c r="QUY214" s="633"/>
      <c r="QUZ214" s="633"/>
      <c r="QVA214" s="632" t="s">
        <v>634</v>
      </c>
      <c r="QVB214" s="633"/>
      <c r="QVC214" s="633"/>
      <c r="QVD214" s="633"/>
      <c r="QVE214" s="633"/>
      <c r="QVF214" s="633"/>
      <c r="QVG214" s="633"/>
      <c r="QVH214" s="633"/>
      <c r="QVI214" s="633"/>
      <c r="QVJ214" s="633"/>
      <c r="QVK214" s="633"/>
      <c r="QVL214" s="633"/>
      <c r="QVM214" s="633"/>
      <c r="QVN214" s="633"/>
      <c r="QVO214" s="633"/>
      <c r="QVP214" s="633"/>
      <c r="QVQ214" s="632" t="s">
        <v>634</v>
      </c>
      <c r="QVR214" s="633"/>
      <c r="QVS214" s="633"/>
      <c r="QVT214" s="633"/>
      <c r="QVU214" s="633"/>
      <c r="QVV214" s="633"/>
      <c r="QVW214" s="633"/>
      <c r="QVX214" s="633"/>
      <c r="QVY214" s="633"/>
      <c r="QVZ214" s="633"/>
      <c r="QWA214" s="633"/>
      <c r="QWB214" s="633"/>
      <c r="QWC214" s="633"/>
      <c r="QWD214" s="633"/>
      <c r="QWE214" s="633"/>
      <c r="QWF214" s="633"/>
      <c r="QWG214" s="632" t="s">
        <v>634</v>
      </c>
      <c r="QWH214" s="633"/>
      <c r="QWI214" s="633"/>
      <c r="QWJ214" s="633"/>
      <c r="QWK214" s="633"/>
      <c r="QWL214" s="633"/>
      <c r="QWM214" s="633"/>
      <c r="QWN214" s="633"/>
      <c r="QWO214" s="633"/>
      <c r="QWP214" s="633"/>
      <c r="QWQ214" s="633"/>
      <c r="QWR214" s="633"/>
      <c r="QWS214" s="633"/>
      <c r="QWT214" s="633"/>
      <c r="QWU214" s="633"/>
      <c r="QWV214" s="633"/>
      <c r="QWW214" s="632" t="s">
        <v>634</v>
      </c>
      <c r="QWX214" s="633"/>
      <c r="QWY214" s="633"/>
      <c r="QWZ214" s="633"/>
      <c r="QXA214" s="633"/>
      <c r="QXB214" s="633"/>
      <c r="QXC214" s="633"/>
      <c r="QXD214" s="633"/>
      <c r="QXE214" s="633"/>
      <c r="QXF214" s="633"/>
      <c r="QXG214" s="633"/>
      <c r="QXH214" s="633"/>
      <c r="QXI214" s="633"/>
      <c r="QXJ214" s="633"/>
      <c r="QXK214" s="633"/>
      <c r="QXL214" s="633"/>
      <c r="QXM214" s="632" t="s">
        <v>634</v>
      </c>
      <c r="QXN214" s="633"/>
      <c r="QXO214" s="633"/>
      <c r="QXP214" s="633"/>
      <c r="QXQ214" s="633"/>
      <c r="QXR214" s="633"/>
      <c r="QXS214" s="633"/>
      <c r="QXT214" s="633"/>
      <c r="QXU214" s="633"/>
      <c r="QXV214" s="633"/>
      <c r="QXW214" s="633"/>
      <c r="QXX214" s="633"/>
      <c r="QXY214" s="633"/>
      <c r="QXZ214" s="633"/>
      <c r="QYA214" s="633"/>
      <c r="QYB214" s="633"/>
      <c r="QYC214" s="632" t="s">
        <v>634</v>
      </c>
      <c r="QYD214" s="633"/>
      <c r="QYE214" s="633"/>
      <c r="QYF214" s="633"/>
      <c r="QYG214" s="633"/>
      <c r="QYH214" s="633"/>
      <c r="QYI214" s="633"/>
      <c r="QYJ214" s="633"/>
      <c r="QYK214" s="633"/>
      <c r="QYL214" s="633"/>
      <c r="QYM214" s="633"/>
      <c r="QYN214" s="633"/>
      <c r="QYO214" s="633"/>
      <c r="QYP214" s="633"/>
      <c r="QYQ214" s="633"/>
      <c r="QYR214" s="633"/>
      <c r="QYS214" s="632" t="s">
        <v>634</v>
      </c>
      <c r="QYT214" s="633"/>
      <c r="QYU214" s="633"/>
      <c r="QYV214" s="633"/>
      <c r="QYW214" s="633"/>
      <c r="QYX214" s="633"/>
      <c r="QYY214" s="633"/>
      <c r="QYZ214" s="633"/>
      <c r="QZA214" s="633"/>
      <c r="QZB214" s="633"/>
      <c r="QZC214" s="633"/>
      <c r="QZD214" s="633"/>
      <c r="QZE214" s="633"/>
      <c r="QZF214" s="633"/>
      <c r="QZG214" s="633"/>
      <c r="QZH214" s="633"/>
      <c r="QZI214" s="632" t="s">
        <v>634</v>
      </c>
      <c r="QZJ214" s="633"/>
      <c r="QZK214" s="633"/>
      <c r="QZL214" s="633"/>
      <c r="QZM214" s="633"/>
      <c r="QZN214" s="633"/>
      <c r="QZO214" s="633"/>
      <c r="QZP214" s="633"/>
      <c r="QZQ214" s="633"/>
      <c r="QZR214" s="633"/>
      <c r="QZS214" s="633"/>
      <c r="QZT214" s="633"/>
      <c r="QZU214" s="633"/>
      <c r="QZV214" s="633"/>
      <c r="QZW214" s="633"/>
      <c r="QZX214" s="633"/>
      <c r="QZY214" s="632" t="s">
        <v>634</v>
      </c>
      <c r="QZZ214" s="633"/>
      <c r="RAA214" s="633"/>
      <c r="RAB214" s="633"/>
      <c r="RAC214" s="633"/>
      <c r="RAD214" s="633"/>
      <c r="RAE214" s="633"/>
      <c r="RAF214" s="633"/>
      <c r="RAG214" s="633"/>
      <c r="RAH214" s="633"/>
      <c r="RAI214" s="633"/>
      <c r="RAJ214" s="633"/>
      <c r="RAK214" s="633"/>
      <c r="RAL214" s="633"/>
      <c r="RAM214" s="633"/>
      <c r="RAN214" s="633"/>
      <c r="RAO214" s="632" t="s">
        <v>634</v>
      </c>
      <c r="RAP214" s="633"/>
      <c r="RAQ214" s="633"/>
      <c r="RAR214" s="633"/>
      <c r="RAS214" s="633"/>
      <c r="RAT214" s="633"/>
      <c r="RAU214" s="633"/>
      <c r="RAV214" s="633"/>
      <c r="RAW214" s="633"/>
      <c r="RAX214" s="633"/>
      <c r="RAY214" s="633"/>
      <c r="RAZ214" s="633"/>
      <c r="RBA214" s="633"/>
      <c r="RBB214" s="633"/>
      <c r="RBC214" s="633"/>
      <c r="RBD214" s="633"/>
      <c r="RBE214" s="632" t="s">
        <v>634</v>
      </c>
      <c r="RBF214" s="633"/>
      <c r="RBG214" s="633"/>
      <c r="RBH214" s="633"/>
      <c r="RBI214" s="633"/>
      <c r="RBJ214" s="633"/>
      <c r="RBK214" s="633"/>
      <c r="RBL214" s="633"/>
      <c r="RBM214" s="633"/>
      <c r="RBN214" s="633"/>
      <c r="RBO214" s="633"/>
      <c r="RBP214" s="633"/>
      <c r="RBQ214" s="633"/>
      <c r="RBR214" s="633"/>
      <c r="RBS214" s="633"/>
      <c r="RBT214" s="633"/>
      <c r="RBU214" s="632" t="s">
        <v>634</v>
      </c>
      <c r="RBV214" s="633"/>
      <c r="RBW214" s="633"/>
      <c r="RBX214" s="633"/>
      <c r="RBY214" s="633"/>
      <c r="RBZ214" s="633"/>
      <c r="RCA214" s="633"/>
      <c r="RCB214" s="633"/>
      <c r="RCC214" s="633"/>
      <c r="RCD214" s="633"/>
      <c r="RCE214" s="633"/>
      <c r="RCF214" s="633"/>
      <c r="RCG214" s="633"/>
      <c r="RCH214" s="633"/>
      <c r="RCI214" s="633"/>
      <c r="RCJ214" s="633"/>
      <c r="RCK214" s="632" t="s">
        <v>634</v>
      </c>
      <c r="RCL214" s="633"/>
      <c r="RCM214" s="633"/>
      <c r="RCN214" s="633"/>
      <c r="RCO214" s="633"/>
      <c r="RCP214" s="633"/>
      <c r="RCQ214" s="633"/>
      <c r="RCR214" s="633"/>
      <c r="RCS214" s="633"/>
      <c r="RCT214" s="633"/>
      <c r="RCU214" s="633"/>
      <c r="RCV214" s="633"/>
      <c r="RCW214" s="633"/>
      <c r="RCX214" s="633"/>
      <c r="RCY214" s="633"/>
      <c r="RCZ214" s="633"/>
      <c r="RDA214" s="632" t="s">
        <v>634</v>
      </c>
      <c r="RDB214" s="633"/>
      <c r="RDC214" s="633"/>
      <c r="RDD214" s="633"/>
      <c r="RDE214" s="633"/>
      <c r="RDF214" s="633"/>
      <c r="RDG214" s="633"/>
      <c r="RDH214" s="633"/>
      <c r="RDI214" s="633"/>
      <c r="RDJ214" s="633"/>
      <c r="RDK214" s="633"/>
      <c r="RDL214" s="633"/>
      <c r="RDM214" s="633"/>
      <c r="RDN214" s="633"/>
      <c r="RDO214" s="633"/>
      <c r="RDP214" s="633"/>
      <c r="RDQ214" s="632" t="s">
        <v>634</v>
      </c>
      <c r="RDR214" s="633"/>
      <c r="RDS214" s="633"/>
      <c r="RDT214" s="633"/>
      <c r="RDU214" s="633"/>
      <c r="RDV214" s="633"/>
      <c r="RDW214" s="633"/>
      <c r="RDX214" s="633"/>
      <c r="RDY214" s="633"/>
      <c r="RDZ214" s="633"/>
      <c r="REA214" s="633"/>
      <c r="REB214" s="633"/>
      <c r="REC214" s="633"/>
      <c r="RED214" s="633"/>
      <c r="REE214" s="633"/>
      <c r="REF214" s="633"/>
      <c r="REG214" s="632" t="s">
        <v>634</v>
      </c>
      <c r="REH214" s="633"/>
      <c r="REI214" s="633"/>
      <c r="REJ214" s="633"/>
      <c r="REK214" s="633"/>
      <c r="REL214" s="633"/>
      <c r="REM214" s="633"/>
      <c r="REN214" s="633"/>
      <c r="REO214" s="633"/>
      <c r="REP214" s="633"/>
      <c r="REQ214" s="633"/>
      <c r="RER214" s="633"/>
      <c r="RES214" s="633"/>
      <c r="RET214" s="633"/>
      <c r="REU214" s="633"/>
      <c r="REV214" s="633"/>
      <c r="REW214" s="632" t="s">
        <v>634</v>
      </c>
      <c r="REX214" s="633"/>
      <c r="REY214" s="633"/>
      <c r="REZ214" s="633"/>
      <c r="RFA214" s="633"/>
      <c r="RFB214" s="633"/>
      <c r="RFC214" s="633"/>
      <c r="RFD214" s="633"/>
      <c r="RFE214" s="633"/>
      <c r="RFF214" s="633"/>
      <c r="RFG214" s="633"/>
      <c r="RFH214" s="633"/>
      <c r="RFI214" s="633"/>
      <c r="RFJ214" s="633"/>
      <c r="RFK214" s="633"/>
      <c r="RFL214" s="633"/>
      <c r="RFM214" s="632" t="s">
        <v>634</v>
      </c>
      <c r="RFN214" s="633"/>
      <c r="RFO214" s="633"/>
      <c r="RFP214" s="633"/>
      <c r="RFQ214" s="633"/>
      <c r="RFR214" s="633"/>
      <c r="RFS214" s="633"/>
      <c r="RFT214" s="633"/>
      <c r="RFU214" s="633"/>
      <c r="RFV214" s="633"/>
      <c r="RFW214" s="633"/>
      <c r="RFX214" s="633"/>
      <c r="RFY214" s="633"/>
      <c r="RFZ214" s="633"/>
      <c r="RGA214" s="633"/>
      <c r="RGB214" s="633"/>
      <c r="RGC214" s="632" t="s">
        <v>634</v>
      </c>
      <c r="RGD214" s="633"/>
      <c r="RGE214" s="633"/>
      <c r="RGF214" s="633"/>
      <c r="RGG214" s="633"/>
      <c r="RGH214" s="633"/>
      <c r="RGI214" s="633"/>
      <c r="RGJ214" s="633"/>
      <c r="RGK214" s="633"/>
      <c r="RGL214" s="633"/>
      <c r="RGM214" s="633"/>
      <c r="RGN214" s="633"/>
      <c r="RGO214" s="633"/>
      <c r="RGP214" s="633"/>
      <c r="RGQ214" s="633"/>
      <c r="RGR214" s="633"/>
      <c r="RGS214" s="632" t="s">
        <v>634</v>
      </c>
      <c r="RGT214" s="633"/>
      <c r="RGU214" s="633"/>
      <c r="RGV214" s="633"/>
      <c r="RGW214" s="633"/>
      <c r="RGX214" s="633"/>
      <c r="RGY214" s="633"/>
      <c r="RGZ214" s="633"/>
      <c r="RHA214" s="633"/>
      <c r="RHB214" s="633"/>
      <c r="RHC214" s="633"/>
      <c r="RHD214" s="633"/>
      <c r="RHE214" s="633"/>
      <c r="RHF214" s="633"/>
      <c r="RHG214" s="633"/>
      <c r="RHH214" s="633"/>
      <c r="RHI214" s="632" t="s">
        <v>634</v>
      </c>
      <c r="RHJ214" s="633"/>
      <c r="RHK214" s="633"/>
      <c r="RHL214" s="633"/>
      <c r="RHM214" s="633"/>
      <c r="RHN214" s="633"/>
      <c r="RHO214" s="633"/>
      <c r="RHP214" s="633"/>
      <c r="RHQ214" s="633"/>
      <c r="RHR214" s="633"/>
      <c r="RHS214" s="633"/>
      <c r="RHT214" s="633"/>
      <c r="RHU214" s="633"/>
      <c r="RHV214" s="633"/>
      <c r="RHW214" s="633"/>
      <c r="RHX214" s="633"/>
      <c r="RHY214" s="632" t="s">
        <v>634</v>
      </c>
      <c r="RHZ214" s="633"/>
      <c r="RIA214" s="633"/>
      <c r="RIB214" s="633"/>
      <c r="RIC214" s="633"/>
      <c r="RID214" s="633"/>
      <c r="RIE214" s="633"/>
      <c r="RIF214" s="633"/>
      <c r="RIG214" s="633"/>
      <c r="RIH214" s="633"/>
      <c r="RII214" s="633"/>
      <c r="RIJ214" s="633"/>
      <c r="RIK214" s="633"/>
      <c r="RIL214" s="633"/>
      <c r="RIM214" s="633"/>
      <c r="RIN214" s="633"/>
      <c r="RIO214" s="632" t="s">
        <v>634</v>
      </c>
      <c r="RIP214" s="633"/>
      <c r="RIQ214" s="633"/>
      <c r="RIR214" s="633"/>
      <c r="RIS214" s="633"/>
      <c r="RIT214" s="633"/>
      <c r="RIU214" s="633"/>
      <c r="RIV214" s="633"/>
      <c r="RIW214" s="633"/>
      <c r="RIX214" s="633"/>
      <c r="RIY214" s="633"/>
      <c r="RIZ214" s="633"/>
      <c r="RJA214" s="633"/>
      <c r="RJB214" s="633"/>
      <c r="RJC214" s="633"/>
      <c r="RJD214" s="633"/>
      <c r="RJE214" s="632" t="s">
        <v>634</v>
      </c>
      <c r="RJF214" s="633"/>
      <c r="RJG214" s="633"/>
      <c r="RJH214" s="633"/>
      <c r="RJI214" s="633"/>
      <c r="RJJ214" s="633"/>
      <c r="RJK214" s="633"/>
      <c r="RJL214" s="633"/>
      <c r="RJM214" s="633"/>
      <c r="RJN214" s="633"/>
      <c r="RJO214" s="633"/>
      <c r="RJP214" s="633"/>
      <c r="RJQ214" s="633"/>
      <c r="RJR214" s="633"/>
      <c r="RJS214" s="633"/>
      <c r="RJT214" s="633"/>
      <c r="RJU214" s="632" t="s">
        <v>634</v>
      </c>
      <c r="RJV214" s="633"/>
      <c r="RJW214" s="633"/>
      <c r="RJX214" s="633"/>
      <c r="RJY214" s="633"/>
      <c r="RJZ214" s="633"/>
      <c r="RKA214" s="633"/>
      <c r="RKB214" s="633"/>
      <c r="RKC214" s="633"/>
      <c r="RKD214" s="633"/>
      <c r="RKE214" s="633"/>
      <c r="RKF214" s="633"/>
      <c r="RKG214" s="633"/>
      <c r="RKH214" s="633"/>
      <c r="RKI214" s="633"/>
      <c r="RKJ214" s="633"/>
      <c r="RKK214" s="632" t="s">
        <v>634</v>
      </c>
      <c r="RKL214" s="633"/>
      <c r="RKM214" s="633"/>
      <c r="RKN214" s="633"/>
      <c r="RKO214" s="633"/>
      <c r="RKP214" s="633"/>
      <c r="RKQ214" s="633"/>
      <c r="RKR214" s="633"/>
      <c r="RKS214" s="633"/>
      <c r="RKT214" s="633"/>
      <c r="RKU214" s="633"/>
      <c r="RKV214" s="633"/>
      <c r="RKW214" s="633"/>
      <c r="RKX214" s="633"/>
      <c r="RKY214" s="633"/>
      <c r="RKZ214" s="633"/>
      <c r="RLA214" s="632" t="s">
        <v>634</v>
      </c>
      <c r="RLB214" s="633"/>
      <c r="RLC214" s="633"/>
      <c r="RLD214" s="633"/>
      <c r="RLE214" s="633"/>
      <c r="RLF214" s="633"/>
      <c r="RLG214" s="633"/>
      <c r="RLH214" s="633"/>
      <c r="RLI214" s="633"/>
      <c r="RLJ214" s="633"/>
      <c r="RLK214" s="633"/>
      <c r="RLL214" s="633"/>
      <c r="RLM214" s="633"/>
      <c r="RLN214" s="633"/>
      <c r="RLO214" s="633"/>
      <c r="RLP214" s="633"/>
      <c r="RLQ214" s="632" t="s">
        <v>634</v>
      </c>
      <c r="RLR214" s="633"/>
      <c r="RLS214" s="633"/>
      <c r="RLT214" s="633"/>
      <c r="RLU214" s="633"/>
      <c r="RLV214" s="633"/>
      <c r="RLW214" s="633"/>
      <c r="RLX214" s="633"/>
      <c r="RLY214" s="633"/>
      <c r="RLZ214" s="633"/>
      <c r="RMA214" s="633"/>
      <c r="RMB214" s="633"/>
      <c r="RMC214" s="633"/>
      <c r="RMD214" s="633"/>
      <c r="RME214" s="633"/>
      <c r="RMF214" s="633"/>
      <c r="RMG214" s="632" t="s">
        <v>634</v>
      </c>
      <c r="RMH214" s="633"/>
      <c r="RMI214" s="633"/>
      <c r="RMJ214" s="633"/>
      <c r="RMK214" s="633"/>
      <c r="RML214" s="633"/>
      <c r="RMM214" s="633"/>
      <c r="RMN214" s="633"/>
      <c r="RMO214" s="633"/>
      <c r="RMP214" s="633"/>
      <c r="RMQ214" s="633"/>
      <c r="RMR214" s="633"/>
      <c r="RMS214" s="633"/>
      <c r="RMT214" s="633"/>
      <c r="RMU214" s="633"/>
      <c r="RMV214" s="633"/>
      <c r="RMW214" s="632" t="s">
        <v>634</v>
      </c>
      <c r="RMX214" s="633"/>
      <c r="RMY214" s="633"/>
      <c r="RMZ214" s="633"/>
      <c r="RNA214" s="633"/>
      <c r="RNB214" s="633"/>
      <c r="RNC214" s="633"/>
      <c r="RND214" s="633"/>
      <c r="RNE214" s="633"/>
      <c r="RNF214" s="633"/>
      <c r="RNG214" s="633"/>
      <c r="RNH214" s="633"/>
      <c r="RNI214" s="633"/>
      <c r="RNJ214" s="633"/>
      <c r="RNK214" s="633"/>
      <c r="RNL214" s="633"/>
      <c r="RNM214" s="632" t="s">
        <v>634</v>
      </c>
      <c r="RNN214" s="633"/>
      <c r="RNO214" s="633"/>
      <c r="RNP214" s="633"/>
      <c r="RNQ214" s="633"/>
      <c r="RNR214" s="633"/>
      <c r="RNS214" s="633"/>
      <c r="RNT214" s="633"/>
      <c r="RNU214" s="633"/>
      <c r="RNV214" s="633"/>
      <c r="RNW214" s="633"/>
      <c r="RNX214" s="633"/>
      <c r="RNY214" s="633"/>
      <c r="RNZ214" s="633"/>
      <c r="ROA214" s="633"/>
      <c r="ROB214" s="633"/>
      <c r="ROC214" s="632" t="s">
        <v>634</v>
      </c>
      <c r="ROD214" s="633"/>
      <c r="ROE214" s="633"/>
      <c r="ROF214" s="633"/>
      <c r="ROG214" s="633"/>
      <c r="ROH214" s="633"/>
      <c r="ROI214" s="633"/>
      <c r="ROJ214" s="633"/>
      <c r="ROK214" s="633"/>
      <c r="ROL214" s="633"/>
      <c r="ROM214" s="633"/>
      <c r="RON214" s="633"/>
      <c r="ROO214" s="633"/>
      <c r="ROP214" s="633"/>
      <c r="ROQ214" s="633"/>
      <c r="ROR214" s="633"/>
      <c r="ROS214" s="632" t="s">
        <v>634</v>
      </c>
      <c r="ROT214" s="633"/>
      <c r="ROU214" s="633"/>
      <c r="ROV214" s="633"/>
      <c r="ROW214" s="633"/>
      <c r="ROX214" s="633"/>
      <c r="ROY214" s="633"/>
      <c r="ROZ214" s="633"/>
      <c r="RPA214" s="633"/>
      <c r="RPB214" s="633"/>
      <c r="RPC214" s="633"/>
      <c r="RPD214" s="633"/>
      <c r="RPE214" s="633"/>
      <c r="RPF214" s="633"/>
      <c r="RPG214" s="633"/>
      <c r="RPH214" s="633"/>
      <c r="RPI214" s="632" t="s">
        <v>634</v>
      </c>
      <c r="RPJ214" s="633"/>
      <c r="RPK214" s="633"/>
      <c r="RPL214" s="633"/>
      <c r="RPM214" s="633"/>
      <c r="RPN214" s="633"/>
      <c r="RPO214" s="633"/>
      <c r="RPP214" s="633"/>
      <c r="RPQ214" s="633"/>
      <c r="RPR214" s="633"/>
      <c r="RPS214" s="633"/>
      <c r="RPT214" s="633"/>
      <c r="RPU214" s="633"/>
      <c r="RPV214" s="633"/>
      <c r="RPW214" s="633"/>
      <c r="RPX214" s="633"/>
      <c r="RPY214" s="632" t="s">
        <v>634</v>
      </c>
      <c r="RPZ214" s="633"/>
      <c r="RQA214" s="633"/>
      <c r="RQB214" s="633"/>
      <c r="RQC214" s="633"/>
      <c r="RQD214" s="633"/>
      <c r="RQE214" s="633"/>
      <c r="RQF214" s="633"/>
      <c r="RQG214" s="633"/>
      <c r="RQH214" s="633"/>
      <c r="RQI214" s="633"/>
      <c r="RQJ214" s="633"/>
      <c r="RQK214" s="633"/>
      <c r="RQL214" s="633"/>
      <c r="RQM214" s="633"/>
      <c r="RQN214" s="633"/>
      <c r="RQO214" s="632" t="s">
        <v>634</v>
      </c>
      <c r="RQP214" s="633"/>
      <c r="RQQ214" s="633"/>
      <c r="RQR214" s="633"/>
      <c r="RQS214" s="633"/>
      <c r="RQT214" s="633"/>
      <c r="RQU214" s="633"/>
      <c r="RQV214" s="633"/>
      <c r="RQW214" s="633"/>
      <c r="RQX214" s="633"/>
      <c r="RQY214" s="633"/>
      <c r="RQZ214" s="633"/>
      <c r="RRA214" s="633"/>
      <c r="RRB214" s="633"/>
      <c r="RRC214" s="633"/>
      <c r="RRD214" s="633"/>
      <c r="RRE214" s="632" t="s">
        <v>634</v>
      </c>
      <c r="RRF214" s="633"/>
      <c r="RRG214" s="633"/>
      <c r="RRH214" s="633"/>
      <c r="RRI214" s="633"/>
      <c r="RRJ214" s="633"/>
      <c r="RRK214" s="633"/>
      <c r="RRL214" s="633"/>
      <c r="RRM214" s="633"/>
      <c r="RRN214" s="633"/>
      <c r="RRO214" s="633"/>
      <c r="RRP214" s="633"/>
      <c r="RRQ214" s="633"/>
      <c r="RRR214" s="633"/>
      <c r="RRS214" s="633"/>
      <c r="RRT214" s="633"/>
      <c r="RRU214" s="632" t="s">
        <v>634</v>
      </c>
      <c r="RRV214" s="633"/>
      <c r="RRW214" s="633"/>
      <c r="RRX214" s="633"/>
      <c r="RRY214" s="633"/>
      <c r="RRZ214" s="633"/>
      <c r="RSA214" s="633"/>
      <c r="RSB214" s="633"/>
      <c r="RSC214" s="633"/>
      <c r="RSD214" s="633"/>
      <c r="RSE214" s="633"/>
      <c r="RSF214" s="633"/>
      <c r="RSG214" s="633"/>
      <c r="RSH214" s="633"/>
      <c r="RSI214" s="633"/>
      <c r="RSJ214" s="633"/>
      <c r="RSK214" s="632" t="s">
        <v>634</v>
      </c>
      <c r="RSL214" s="633"/>
      <c r="RSM214" s="633"/>
      <c r="RSN214" s="633"/>
      <c r="RSO214" s="633"/>
      <c r="RSP214" s="633"/>
      <c r="RSQ214" s="633"/>
      <c r="RSR214" s="633"/>
      <c r="RSS214" s="633"/>
      <c r="RST214" s="633"/>
      <c r="RSU214" s="633"/>
      <c r="RSV214" s="633"/>
      <c r="RSW214" s="633"/>
      <c r="RSX214" s="633"/>
      <c r="RSY214" s="633"/>
      <c r="RSZ214" s="633"/>
      <c r="RTA214" s="632" t="s">
        <v>634</v>
      </c>
      <c r="RTB214" s="633"/>
      <c r="RTC214" s="633"/>
      <c r="RTD214" s="633"/>
      <c r="RTE214" s="633"/>
      <c r="RTF214" s="633"/>
      <c r="RTG214" s="633"/>
      <c r="RTH214" s="633"/>
      <c r="RTI214" s="633"/>
      <c r="RTJ214" s="633"/>
      <c r="RTK214" s="633"/>
      <c r="RTL214" s="633"/>
      <c r="RTM214" s="633"/>
      <c r="RTN214" s="633"/>
      <c r="RTO214" s="633"/>
      <c r="RTP214" s="633"/>
      <c r="RTQ214" s="632" t="s">
        <v>634</v>
      </c>
      <c r="RTR214" s="633"/>
      <c r="RTS214" s="633"/>
      <c r="RTT214" s="633"/>
      <c r="RTU214" s="633"/>
      <c r="RTV214" s="633"/>
      <c r="RTW214" s="633"/>
      <c r="RTX214" s="633"/>
      <c r="RTY214" s="633"/>
      <c r="RTZ214" s="633"/>
      <c r="RUA214" s="633"/>
      <c r="RUB214" s="633"/>
      <c r="RUC214" s="633"/>
      <c r="RUD214" s="633"/>
      <c r="RUE214" s="633"/>
      <c r="RUF214" s="633"/>
      <c r="RUG214" s="632" t="s">
        <v>634</v>
      </c>
      <c r="RUH214" s="633"/>
      <c r="RUI214" s="633"/>
      <c r="RUJ214" s="633"/>
      <c r="RUK214" s="633"/>
      <c r="RUL214" s="633"/>
      <c r="RUM214" s="633"/>
      <c r="RUN214" s="633"/>
      <c r="RUO214" s="633"/>
      <c r="RUP214" s="633"/>
      <c r="RUQ214" s="633"/>
      <c r="RUR214" s="633"/>
      <c r="RUS214" s="633"/>
      <c r="RUT214" s="633"/>
      <c r="RUU214" s="633"/>
      <c r="RUV214" s="633"/>
      <c r="RUW214" s="632" t="s">
        <v>634</v>
      </c>
      <c r="RUX214" s="633"/>
      <c r="RUY214" s="633"/>
      <c r="RUZ214" s="633"/>
      <c r="RVA214" s="633"/>
      <c r="RVB214" s="633"/>
      <c r="RVC214" s="633"/>
      <c r="RVD214" s="633"/>
      <c r="RVE214" s="633"/>
      <c r="RVF214" s="633"/>
      <c r="RVG214" s="633"/>
      <c r="RVH214" s="633"/>
      <c r="RVI214" s="633"/>
      <c r="RVJ214" s="633"/>
      <c r="RVK214" s="633"/>
      <c r="RVL214" s="633"/>
      <c r="RVM214" s="632" t="s">
        <v>634</v>
      </c>
      <c r="RVN214" s="633"/>
      <c r="RVO214" s="633"/>
      <c r="RVP214" s="633"/>
      <c r="RVQ214" s="633"/>
      <c r="RVR214" s="633"/>
      <c r="RVS214" s="633"/>
      <c r="RVT214" s="633"/>
      <c r="RVU214" s="633"/>
      <c r="RVV214" s="633"/>
      <c r="RVW214" s="633"/>
      <c r="RVX214" s="633"/>
      <c r="RVY214" s="633"/>
      <c r="RVZ214" s="633"/>
      <c r="RWA214" s="633"/>
      <c r="RWB214" s="633"/>
      <c r="RWC214" s="632" t="s">
        <v>634</v>
      </c>
      <c r="RWD214" s="633"/>
      <c r="RWE214" s="633"/>
      <c r="RWF214" s="633"/>
      <c r="RWG214" s="633"/>
      <c r="RWH214" s="633"/>
      <c r="RWI214" s="633"/>
      <c r="RWJ214" s="633"/>
      <c r="RWK214" s="633"/>
      <c r="RWL214" s="633"/>
      <c r="RWM214" s="633"/>
      <c r="RWN214" s="633"/>
      <c r="RWO214" s="633"/>
      <c r="RWP214" s="633"/>
      <c r="RWQ214" s="633"/>
      <c r="RWR214" s="633"/>
      <c r="RWS214" s="632" t="s">
        <v>634</v>
      </c>
      <c r="RWT214" s="633"/>
      <c r="RWU214" s="633"/>
      <c r="RWV214" s="633"/>
      <c r="RWW214" s="633"/>
      <c r="RWX214" s="633"/>
      <c r="RWY214" s="633"/>
      <c r="RWZ214" s="633"/>
      <c r="RXA214" s="633"/>
      <c r="RXB214" s="633"/>
      <c r="RXC214" s="633"/>
      <c r="RXD214" s="633"/>
      <c r="RXE214" s="633"/>
      <c r="RXF214" s="633"/>
      <c r="RXG214" s="633"/>
      <c r="RXH214" s="633"/>
      <c r="RXI214" s="632" t="s">
        <v>634</v>
      </c>
      <c r="RXJ214" s="633"/>
      <c r="RXK214" s="633"/>
      <c r="RXL214" s="633"/>
      <c r="RXM214" s="633"/>
      <c r="RXN214" s="633"/>
      <c r="RXO214" s="633"/>
      <c r="RXP214" s="633"/>
      <c r="RXQ214" s="633"/>
      <c r="RXR214" s="633"/>
      <c r="RXS214" s="633"/>
      <c r="RXT214" s="633"/>
      <c r="RXU214" s="633"/>
      <c r="RXV214" s="633"/>
      <c r="RXW214" s="633"/>
      <c r="RXX214" s="633"/>
      <c r="RXY214" s="632" t="s">
        <v>634</v>
      </c>
      <c r="RXZ214" s="633"/>
      <c r="RYA214" s="633"/>
      <c r="RYB214" s="633"/>
      <c r="RYC214" s="633"/>
      <c r="RYD214" s="633"/>
      <c r="RYE214" s="633"/>
      <c r="RYF214" s="633"/>
      <c r="RYG214" s="633"/>
      <c r="RYH214" s="633"/>
      <c r="RYI214" s="633"/>
      <c r="RYJ214" s="633"/>
      <c r="RYK214" s="633"/>
      <c r="RYL214" s="633"/>
      <c r="RYM214" s="633"/>
      <c r="RYN214" s="633"/>
      <c r="RYO214" s="632" t="s">
        <v>634</v>
      </c>
      <c r="RYP214" s="633"/>
      <c r="RYQ214" s="633"/>
      <c r="RYR214" s="633"/>
      <c r="RYS214" s="633"/>
      <c r="RYT214" s="633"/>
      <c r="RYU214" s="633"/>
      <c r="RYV214" s="633"/>
      <c r="RYW214" s="633"/>
      <c r="RYX214" s="633"/>
      <c r="RYY214" s="633"/>
      <c r="RYZ214" s="633"/>
      <c r="RZA214" s="633"/>
      <c r="RZB214" s="633"/>
      <c r="RZC214" s="633"/>
      <c r="RZD214" s="633"/>
      <c r="RZE214" s="632" t="s">
        <v>634</v>
      </c>
      <c r="RZF214" s="633"/>
      <c r="RZG214" s="633"/>
      <c r="RZH214" s="633"/>
      <c r="RZI214" s="633"/>
      <c r="RZJ214" s="633"/>
      <c r="RZK214" s="633"/>
      <c r="RZL214" s="633"/>
      <c r="RZM214" s="633"/>
      <c r="RZN214" s="633"/>
      <c r="RZO214" s="633"/>
      <c r="RZP214" s="633"/>
      <c r="RZQ214" s="633"/>
      <c r="RZR214" s="633"/>
      <c r="RZS214" s="633"/>
      <c r="RZT214" s="633"/>
      <c r="RZU214" s="632" t="s">
        <v>634</v>
      </c>
      <c r="RZV214" s="633"/>
      <c r="RZW214" s="633"/>
      <c r="RZX214" s="633"/>
      <c r="RZY214" s="633"/>
      <c r="RZZ214" s="633"/>
      <c r="SAA214" s="633"/>
      <c r="SAB214" s="633"/>
      <c r="SAC214" s="633"/>
      <c r="SAD214" s="633"/>
      <c r="SAE214" s="633"/>
      <c r="SAF214" s="633"/>
      <c r="SAG214" s="633"/>
      <c r="SAH214" s="633"/>
      <c r="SAI214" s="633"/>
      <c r="SAJ214" s="633"/>
      <c r="SAK214" s="632" t="s">
        <v>634</v>
      </c>
      <c r="SAL214" s="633"/>
      <c r="SAM214" s="633"/>
      <c r="SAN214" s="633"/>
      <c r="SAO214" s="633"/>
      <c r="SAP214" s="633"/>
      <c r="SAQ214" s="633"/>
      <c r="SAR214" s="633"/>
      <c r="SAS214" s="633"/>
      <c r="SAT214" s="633"/>
      <c r="SAU214" s="633"/>
      <c r="SAV214" s="633"/>
      <c r="SAW214" s="633"/>
      <c r="SAX214" s="633"/>
      <c r="SAY214" s="633"/>
      <c r="SAZ214" s="633"/>
      <c r="SBA214" s="632" t="s">
        <v>634</v>
      </c>
      <c r="SBB214" s="633"/>
      <c r="SBC214" s="633"/>
      <c r="SBD214" s="633"/>
      <c r="SBE214" s="633"/>
      <c r="SBF214" s="633"/>
      <c r="SBG214" s="633"/>
      <c r="SBH214" s="633"/>
      <c r="SBI214" s="633"/>
      <c r="SBJ214" s="633"/>
      <c r="SBK214" s="633"/>
      <c r="SBL214" s="633"/>
      <c r="SBM214" s="633"/>
      <c r="SBN214" s="633"/>
      <c r="SBO214" s="633"/>
      <c r="SBP214" s="633"/>
      <c r="SBQ214" s="632" t="s">
        <v>634</v>
      </c>
      <c r="SBR214" s="633"/>
      <c r="SBS214" s="633"/>
      <c r="SBT214" s="633"/>
      <c r="SBU214" s="633"/>
      <c r="SBV214" s="633"/>
      <c r="SBW214" s="633"/>
      <c r="SBX214" s="633"/>
      <c r="SBY214" s="633"/>
      <c r="SBZ214" s="633"/>
      <c r="SCA214" s="633"/>
      <c r="SCB214" s="633"/>
      <c r="SCC214" s="633"/>
      <c r="SCD214" s="633"/>
      <c r="SCE214" s="633"/>
      <c r="SCF214" s="633"/>
      <c r="SCG214" s="632" t="s">
        <v>634</v>
      </c>
      <c r="SCH214" s="633"/>
      <c r="SCI214" s="633"/>
      <c r="SCJ214" s="633"/>
      <c r="SCK214" s="633"/>
      <c r="SCL214" s="633"/>
      <c r="SCM214" s="633"/>
      <c r="SCN214" s="633"/>
      <c r="SCO214" s="633"/>
      <c r="SCP214" s="633"/>
      <c r="SCQ214" s="633"/>
      <c r="SCR214" s="633"/>
      <c r="SCS214" s="633"/>
      <c r="SCT214" s="633"/>
      <c r="SCU214" s="633"/>
      <c r="SCV214" s="633"/>
      <c r="SCW214" s="632" t="s">
        <v>634</v>
      </c>
      <c r="SCX214" s="633"/>
      <c r="SCY214" s="633"/>
      <c r="SCZ214" s="633"/>
      <c r="SDA214" s="633"/>
      <c r="SDB214" s="633"/>
      <c r="SDC214" s="633"/>
      <c r="SDD214" s="633"/>
      <c r="SDE214" s="633"/>
      <c r="SDF214" s="633"/>
      <c r="SDG214" s="633"/>
      <c r="SDH214" s="633"/>
      <c r="SDI214" s="633"/>
      <c r="SDJ214" s="633"/>
      <c r="SDK214" s="633"/>
      <c r="SDL214" s="633"/>
      <c r="SDM214" s="632" t="s">
        <v>634</v>
      </c>
      <c r="SDN214" s="633"/>
      <c r="SDO214" s="633"/>
      <c r="SDP214" s="633"/>
      <c r="SDQ214" s="633"/>
      <c r="SDR214" s="633"/>
      <c r="SDS214" s="633"/>
      <c r="SDT214" s="633"/>
      <c r="SDU214" s="633"/>
      <c r="SDV214" s="633"/>
      <c r="SDW214" s="633"/>
      <c r="SDX214" s="633"/>
      <c r="SDY214" s="633"/>
      <c r="SDZ214" s="633"/>
      <c r="SEA214" s="633"/>
      <c r="SEB214" s="633"/>
      <c r="SEC214" s="632" t="s">
        <v>634</v>
      </c>
      <c r="SED214" s="633"/>
      <c r="SEE214" s="633"/>
      <c r="SEF214" s="633"/>
      <c r="SEG214" s="633"/>
      <c r="SEH214" s="633"/>
      <c r="SEI214" s="633"/>
      <c r="SEJ214" s="633"/>
      <c r="SEK214" s="633"/>
      <c r="SEL214" s="633"/>
      <c r="SEM214" s="633"/>
      <c r="SEN214" s="633"/>
      <c r="SEO214" s="633"/>
      <c r="SEP214" s="633"/>
      <c r="SEQ214" s="633"/>
      <c r="SER214" s="633"/>
      <c r="SES214" s="632" t="s">
        <v>634</v>
      </c>
      <c r="SET214" s="633"/>
      <c r="SEU214" s="633"/>
      <c r="SEV214" s="633"/>
      <c r="SEW214" s="633"/>
      <c r="SEX214" s="633"/>
      <c r="SEY214" s="633"/>
      <c r="SEZ214" s="633"/>
      <c r="SFA214" s="633"/>
      <c r="SFB214" s="633"/>
      <c r="SFC214" s="633"/>
      <c r="SFD214" s="633"/>
      <c r="SFE214" s="633"/>
      <c r="SFF214" s="633"/>
      <c r="SFG214" s="633"/>
      <c r="SFH214" s="633"/>
      <c r="SFI214" s="632" t="s">
        <v>634</v>
      </c>
      <c r="SFJ214" s="633"/>
      <c r="SFK214" s="633"/>
      <c r="SFL214" s="633"/>
      <c r="SFM214" s="633"/>
      <c r="SFN214" s="633"/>
      <c r="SFO214" s="633"/>
      <c r="SFP214" s="633"/>
      <c r="SFQ214" s="633"/>
      <c r="SFR214" s="633"/>
      <c r="SFS214" s="633"/>
      <c r="SFT214" s="633"/>
      <c r="SFU214" s="633"/>
      <c r="SFV214" s="633"/>
      <c r="SFW214" s="633"/>
      <c r="SFX214" s="633"/>
      <c r="SFY214" s="632" t="s">
        <v>634</v>
      </c>
      <c r="SFZ214" s="633"/>
      <c r="SGA214" s="633"/>
      <c r="SGB214" s="633"/>
      <c r="SGC214" s="633"/>
      <c r="SGD214" s="633"/>
      <c r="SGE214" s="633"/>
      <c r="SGF214" s="633"/>
      <c r="SGG214" s="633"/>
      <c r="SGH214" s="633"/>
      <c r="SGI214" s="633"/>
      <c r="SGJ214" s="633"/>
      <c r="SGK214" s="633"/>
      <c r="SGL214" s="633"/>
      <c r="SGM214" s="633"/>
      <c r="SGN214" s="633"/>
      <c r="SGO214" s="632" t="s">
        <v>634</v>
      </c>
      <c r="SGP214" s="633"/>
      <c r="SGQ214" s="633"/>
      <c r="SGR214" s="633"/>
      <c r="SGS214" s="633"/>
      <c r="SGT214" s="633"/>
      <c r="SGU214" s="633"/>
      <c r="SGV214" s="633"/>
      <c r="SGW214" s="633"/>
      <c r="SGX214" s="633"/>
      <c r="SGY214" s="633"/>
      <c r="SGZ214" s="633"/>
      <c r="SHA214" s="633"/>
      <c r="SHB214" s="633"/>
      <c r="SHC214" s="633"/>
      <c r="SHD214" s="633"/>
      <c r="SHE214" s="632" t="s">
        <v>634</v>
      </c>
      <c r="SHF214" s="633"/>
      <c r="SHG214" s="633"/>
      <c r="SHH214" s="633"/>
      <c r="SHI214" s="633"/>
      <c r="SHJ214" s="633"/>
      <c r="SHK214" s="633"/>
      <c r="SHL214" s="633"/>
      <c r="SHM214" s="633"/>
      <c r="SHN214" s="633"/>
      <c r="SHO214" s="633"/>
      <c r="SHP214" s="633"/>
      <c r="SHQ214" s="633"/>
      <c r="SHR214" s="633"/>
      <c r="SHS214" s="633"/>
      <c r="SHT214" s="633"/>
      <c r="SHU214" s="632" t="s">
        <v>634</v>
      </c>
      <c r="SHV214" s="633"/>
      <c r="SHW214" s="633"/>
      <c r="SHX214" s="633"/>
      <c r="SHY214" s="633"/>
      <c r="SHZ214" s="633"/>
      <c r="SIA214" s="633"/>
      <c r="SIB214" s="633"/>
      <c r="SIC214" s="633"/>
      <c r="SID214" s="633"/>
      <c r="SIE214" s="633"/>
      <c r="SIF214" s="633"/>
      <c r="SIG214" s="633"/>
      <c r="SIH214" s="633"/>
      <c r="SII214" s="633"/>
      <c r="SIJ214" s="633"/>
      <c r="SIK214" s="632" t="s">
        <v>634</v>
      </c>
      <c r="SIL214" s="633"/>
      <c r="SIM214" s="633"/>
      <c r="SIN214" s="633"/>
      <c r="SIO214" s="633"/>
      <c r="SIP214" s="633"/>
      <c r="SIQ214" s="633"/>
      <c r="SIR214" s="633"/>
      <c r="SIS214" s="633"/>
      <c r="SIT214" s="633"/>
      <c r="SIU214" s="633"/>
      <c r="SIV214" s="633"/>
      <c r="SIW214" s="633"/>
      <c r="SIX214" s="633"/>
      <c r="SIY214" s="633"/>
      <c r="SIZ214" s="633"/>
      <c r="SJA214" s="632" t="s">
        <v>634</v>
      </c>
      <c r="SJB214" s="633"/>
      <c r="SJC214" s="633"/>
      <c r="SJD214" s="633"/>
      <c r="SJE214" s="633"/>
      <c r="SJF214" s="633"/>
      <c r="SJG214" s="633"/>
      <c r="SJH214" s="633"/>
      <c r="SJI214" s="633"/>
      <c r="SJJ214" s="633"/>
      <c r="SJK214" s="633"/>
      <c r="SJL214" s="633"/>
      <c r="SJM214" s="633"/>
      <c r="SJN214" s="633"/>
      <c r="SJO214" s="633"/>
      <c r="SJP214" s="633"/>
      <c r="SJQ214" s="632" t="s">
        <v>634</v>
      </c>
      <c r="SJR214" s="633"/>
      <c r="SJS214" s="633"/>
      <c r="SJT214" s="633"/>
      <c r="SJU214" s="633"/>
      <c r="SJV214" s="633"/>
      <c r="SJW214" s="633"/>
      <c r="SJX214" s="633"/>
      <c r="SJY214" s="633"/>
      <c r="SJZ214" s="633"/>
      <c r="SKA214" s="633"/>
      <c r="SKB214" s="633"/>
      <c r="SKC214" s="633"/>
      <c r="SKD214" s="633"/>
      <c r="SKE214" s="633"/>
      <c r="SKF214" s="633"/>
      <c r="SKG214" s="632" t="s">
        <v>634</v>
      </c>
      <c r="SKH214" s="633"/>
      <c r="SKI214" s="633"/>
      <c r="SKJ214" s="633"/>
      <c r="SKK214" s="633"/>
      <c r="SKL214" s="633"/>
      <c r="SKM214" s="633"/>
      <c r="SKN214" s="633"/>
      <c r="SKO214" s="633"/>
      <c r="SKP214" s="633"/>
      <c r="SKQ214" s="633"/>
      <c r="SKR214" s="633"/>
      <c r="SKS214" s="633"/>
      <c r="SKT214" s="633"/>
      <c r="SKU214" s="633"/>
      <c r="SKV214" s="633"/>
      <c r="SKW214" s="632" t="s">
        <v>634</v>
      </c>
      <c r="SKX214" s="633"/>
      <c r="SKY214" s="633"/>
      <c r="SKZ214" s="633"/>
      <c r="SLA214" s="633"/>
      <c r="SLB214" s="633"/>
      <c r="SLC214" s="633"/>
      <c r="SLD214" s="633"/>
      <c r="SLE214" s="633"/>
      <c r="SLF214" s="633"/>
      <c r="SLG214" s="633"/>
      <c r="SLH214" s="633"/>
      <c r="SLI214" s="633"/>
      <c r="SLJ214" s="633"/>
      <c r="SLK214" s="633"/>
      <c r="SLL214" s="633"/>
      <c r="SLM214" s="632" t="s">
        <v>634</v>
      </c>
      <c r="SLN214" s="633"/>
      <c r="SLO214" s="633"/>
      <c r="SLP214" s="633"/>
      <c r="SLQ214" s="633"/>
      <c r="SLR214" s="633"/>
      <c r="SLS214" s="633"/>
      <c r="SLT214" s="633"/>
      <c r="SLU214" s="633"/>
      <c r="SLV214" s="633"/>
      <c r="SLW214" s="633"/>
      <c r="SLX214" s="633"/>
      <c r="SLY214" s="633"/>
      <c r="SLZ214" s="633"/>
      <c r="SMA214" s="633"/>
      <c r="SMB214" s="633"/>
      <c r="SMC214" s="632" t="s">
        <v>634</v>
      </c>
      <c r="SMD214" s="633"/>
      <c r="SME214" s="633"/>
      <c r="SMF214" s="633"/>
      <c r="SMG214" s="633"/>
      <c r="SMH214" s="633"/>
      <c r="SMI214" s="633"/>
      <c r="SMJ214" s="633"/>
      <c r="SMK214" s="633"/>
      <c r="SML214" s="633"/>
      <c r="SMM214" s="633"/>
      <c r="SMN214" s="633"/>
      <c r="SMO214" s="633"/>
      <c r="SMP214" s="633"/>
      <c r="SMQ214" s="633"/>
      <c r="SMR214" s="633"/>
      <c r="SMS214" s="632" t="s">
        <v>634</v>
      </c>
      <c r="SMT214" s="633"/>
      <c r="SMU214" s="633"/>
      <c r="SMV214" s="633"/>
      <c r="SMW214" s="633"/>
      <c r="SMX214" s="633"/>
      <c r="SMY214" s="633"/>
      <c r="SMZ214" s="633"/>
      <c r="SNA214" s="633"/>
      <c r="SNB214" s="633"/>
      <c r="SNC214" s="633"/>
      <c r="SND214" s="633"/>
      <c r="SNE214" s="633"/>
      <c r="SNF214" s="633"/>
      <c r="SNG214" s="633"/>
      <c r="SNH214" s="633"/>
      <c r="SNI214" s="632" t="s">
        <v>634</v>
      </c>
      <c r="SNJ214" s="633"/>
      <c r="SNK214" s="633"/>
      <c r="SNL214" s="633"/>
      <c r="SNM214" s="633"/>
      <c r="SNN214" s="633"/>
      <c r="SNO214" s="633"/>
      <c r="SNP214" s="633"/>
      <c r="SNQ214" s="633"/>
      <c r="SNR214" s="633"/>
      <c r="SNS214" s="633"/>
      <c r="SNT214" s="633"/>
      <c r="SNU214" s="633"/>
      <c r="SNV214" s="633"/>
      <c r="SNW214" s="633"/>
      <c r="SNX214" s="633"/>
      <c r="SNY214" s="632" t="s">
        <v>634</v>
      </c>
      <c r="SNZ214" s="633"/>
      <c r="SOA214" s="633"/>
      <c r="SOB214" s="633"/>
      <c r="SOC214" s="633"/>
      <c r="SOD214" s="633"/>
      <c r="SOE214" s="633"/>
      <c r="SOF214" s="633"/>
      <c r="SOG214" s="633"/>
      <c r="SOH214" s="633"/>
      <c r="SOI214" s="633"/>
      <c r="SOJ214" s="633"/>
      <c r="SOK214" s="633"/>
      <c r="SOL214" s="633"/>
      <c r="SOM214" s="633"/>
      <c r="SON214" s="633"/>
      <c r="SOO214" s="632" t="s">
        <v>634</v>
      </c>
      <c r="SOP214" s="633"/>
      <c r="SOQ214" s="633"/>
      <c r="SOR214" s="633"/>
      <c r="SOS214" s="633"/>
      <c r="SOT214" s="633"/>
      <c r="SOU214" s="633"/>
      <c r="SOV214" s="633"/>
      <c r="SOW214" s="633"/>
      <c r="SOX214" s="633"/>
      <c r="SOY214" s="633"/>
      <c r="SOZ214" s="633"/>
      <c r="SPA214" s="633"/>
      <c r="SPB214" s="633"/>
      <c r="SPC214" s="633"/>
      <c r="SPD214" s="633"/>
      <c r="SPE214" s="632" t="s">
        <v>634</v>
      </c>
      <c r="SPF214" s="633"/>
      <c r="SPG214" s="633"/>
      <c r="SPH214" s="633"/>
      <c r="SPI214" s="633"/>
      <c r="SPJ214" s="633"/>
      <c r="SPK214" s="633"/>
      <c r="SPL214" s="633"/>
      <c r="SPM214" s="633"/>
      <c r="SPN214" s="633"/>
      <c r="SPO214" s="633"/>
      <c r="SPP214" s="633"/>
      <c r="SPQ214" s="633"/>
      <c r="SPR214" s="633"/>
      <c r="SPS214" s="633"/>
      <c r="SPT214" s="633"/>
      <c r="SPU214" s="632" t="s">
        <v>634</v>
      </c>
      <c r="SPV214" s="633"/>
      <c r="SPW214" s="633"/>
      <c r="SPX214" s="633"/>
      <c r="SPY214" s="633"/>
      <c r="SPZ214" s="633"/>
      <c r="SQA214" s="633"/>
      <c r="SQB214" s="633"/>
      <c r="SQC214" s="633"/>
      <c r="SQD214" s="633"/>
      <c r="SQE214" s="633"/>
      <c r="SQF214" s="633"/>
      <c r="SQG214" s="633"/>
      <c r="SQH214" s="633"/>
      <c r="SQI214" s="633"/>
      <c r="SQJ214" s="633"/>
      <c r="SQK214" s="632" t="s">
        <v>634</v>
      </c>
      <c r="SQL214" s="633"/>
      <c r="SQM214" s="633"/>
      <c r="SQN214" s="633"/>
      <c r="SQO214" s="633"/>
      <c r="SQP214" s="633"/>
      <c r="SQQ214" s="633"/>
      <c r="SQR214" s="633"/>
      <c r="SQS214" s="633"/>
      <c r="SQT214" s="633"/>
      <c r="SQU214" s="633"/>
      <c r="SQV214" s="633"/>
      <c r="SQW214" s="633"/>
      <c r="SQX214" s="633"/>
      <c r="SQY214" s="633"/>
      <c r="SQZ214" s="633"/>
      <c r="SRA214" s="632" t="s">
        <v>634</v>
      </c>
      <c r="SRB214" s="633"/>
      <c r="SRC214" s="633"/>
      <c r="SRD214" s="633"/>
      <c r="SRE214" s="633"/>
      <c r="SRF214" s="633"/>
      <c r="SRG214" s="633"/>
      <c r="SRH214" s="633"/>
      <c r="SRI214" s="633"/>
      <c r="SRJ214" s="633"/>
      <c r="SRK214" s="633"/>
      <c r="SRL214" s="633"/>
      <c r="SRM214" s="633"/>
      <c r="SRN214" s="633"/>
      <c r="SRO214" s="633"/>
      <c r="SRP214" s="633"/>
      <c r="SRQ214" s="632" t="s">
        <v>634</v>
      </c>
      <c r="SRR214" s="633"/>
      <c r="SRS214" s="633"/>
      <c r="SRT214" s="633"/>
      <c r="SRU214" s="633"/>
      <c r="SRV214" s="633"/>
      <c r="SRW214" s="633"/>
      <c r="SRX214" s="633"/>
      <c r="SRY214" s="633"/>
      <c r="SRZ214" s="633"/>
      <c r="SSA214" s="633"/>
      <c r="SSB214" s="633"/>
      <c r="SSC214" s="633"/>
      <c r="SSD214" s="633"/>
      <c r="SSE214" s="633"/>
      <c r="SSF214" s="633"/>
      <c r="SSG214" s="632" t="s">
        <v>634</v>
      </c>
      <c r="SSH214" s="633"/>
      <c r="SSI214" s="633"/>
      <c r="SSJ214" s="633"/>
      <c r="SSK214" s="633"/>
      <c r="SSL214" s="633"/>
      <c r="SSM214" s="633"/>
      <c r="SSN214" s="633"/>
      <c r="SSO214" s="633"/>
      <c r="SSP214" s="633"/>
      <c r="SSQ214" s="633"/>
      <c r="SSR214" s="633"/>
      <c r="SSS214" s="633"/>
      <c r="SST214" s="633"/>
      <c r="SSU214" s="633"/>
      <c r="SSV214" s="633"/>
      <c r="SSW214" s="632" t="s">
        <v>634</v>
      </c>
      <c r="SSX214" s="633"/>
      <c r="SSY214" s="633"/>
      <c r="SSZ214" s="633"/>
      <c r="STA214" s="633"/>
      <c r="STB214" s="633"/>
      <c r="STC214" s="633"/>
      <c r="STD214" s="633"/>
      <c r="STE214" s="633"/>
      <c r="STF214" s="633"/>
      <c r="STG214" s="633"/>
      <c r="STH214" s="633"/>
      <c r="STI214" s="633"/>
      <c r="STJ214" s="633"/>
      <c r="STK214" s="633"/>
      <c r="STL214" s="633"/>
      <c r="STM214" s="632" t="s">
        <v>634</v>
      </c>
      <c r="STN214" s="633"/>
      <c r="STO214" s="633"/>
      <c r="STP214" s="633"/>
      <c r="STQ214" s="633"/>
      <c r="STR214" s="633"/>
      <c r="STS214" s="633"/>
      <c r="STT214" s="633"/>
      <c r="STU214" s="633"/>
      <c r="STV214" s="633"/>
      <c r="STW214" s="633"/>
      <c r="STX214" s="633"/>
      <c r="STY214" s="633"/>
      <c r="STZ214" s="633"/>
      <c r="SUA214" s="633"/>
      <c r="SUB214" s="633"/>
      <c r="SUC214" s="632" t="s">
        <v>634</v>
      </c>
      <c r="SUD214" s="633"/>
      <c r="SUE214" s="633"/>
      <c r="SUF214" s="633"/>
      <c r="SUG214" s="633"/>
      <c r="SUH214" s="633"/>
      <c r="SUI214" s="633"/>
      <c r="SUJ214" s="633"/>
      <c r="SUK214" s="633"/>
      <c r="SUL214" s="633"/>
      <c r="SUM214" s="633"/>
      <c r="SUN214" s="633"/>
      <c r="SUO214" s="633"/>
      <c r="SUP214" s="633"/>
      <c r="SUQ214" s="633"/>
      <c r="SUR214" s="633"/>
      <c r="SUS214" s="632" t="s">
        <v>634</v>
      </c>
      <c r="SUT214" s="633"/>
      <c r="SUU214" s="633"/>
      <c r="SUV214" s="633"/>
      <c r="SUW214" s="633"/>
      <c r="SUX214" s="633"/>
      <c r="SUY214" s="633"/>
      <c r="SUZ214" s="633"/>
      <c r="SVA214" s="633"/>
      <c r="SVB214" s="633"/>
      <c r="SVC214" s="633"/>
      <c r="SVD214" s="633"/>
      <c r="SVE214" s="633"/>
      <c r="SVF214" s="633"/>
      <c r="SVG214" s="633"/>
      <c r="SVH214" s="633"/>
      <c r="SVI214" s="632" t="s">
        <v>634</v>
      </c>
      <c r="SVJ214" s="633"/>
      <c r="SVK214" s="633"/>
      <c r="SVL214" s="633"/>
      <c r="SVM214" s="633"/>
      <c r="SVN214" s="633"/>
      <c r="SVO214" s="633"/>
      <c r="SVP214" s="633"/>
      <c r="SVQ214" s="633"/>
      <c r="SVR214" s="633"/>
      <c r="SVS214" s="633"/>
      <c r="SVT214" s="633"/>
      <c r="SVU214" s="633"/>
      <c r="SVV214" s="633"/>
      <c r="SVW214" s="633"/>
      <c r="SVX214" s="633"/>
      <c r="SVY214" s="632" t="s">
        <v>634</v>
      </c>
      <c r="SVZ214" s="633"/>
      <c r="SWA214" s="633"/>
      <c r="SWB214" s="633"/>
      <c r="SWC214" s="633"/>
      <c r="SWD214" s="633"/>
      <c r="SWE214" s="633"/>
      <c r="SWF214" s="633"/>
      <c r="SWG214" s="633"/>
      <c r="SWH214" s="633"/>
      <c r="SWI214" s="633"/>
      <c r="SWJ214" s="633"/>
      <c r="SWK214" s="633"/>
      <c r="SWL214" s="633"/>
      <c r="SWM214" s="633"/>
      <c r="SWN214" s="633"/>
      <c r="SWO214" s="632" t="s">
        <v>634</v>
      </c>
      <c r="SWP214" s="633"/>
      <c r="SWQ214" s="633"/>
      <c r="SWR214" s="633"/>
      <c r="SWS214" s="633"/>
      <c r="SWT214" s="633"/>
      <c r="SWU214" s="633"/>
      <c r="SWV214" s="633"/>
      <c r="SWW214" s="633"/>
      <c r="SWX214" s="633"/>
      <c r="SWY214" s="633"/>
      <c r="SWZ214" s="633"/>
      <c r="SXA214" s="633"/>
      <c r="SXB214" s="633"/>
      <c r="SXC214" s="633"/>
      <c r="SXD214" s="633"/>
      <c r="SXE214" s="632" t="s">
        <v>634</v>
      </c>
      <c r="SXF214" s="633"/>
      <c r="SXG214" s="633"/>
      <c r="SXH214" s="633"/>
      <c r="SXI214" s="633"/>
      <c r="SXJ214" s="633"/>
      <c r="SXK214" s="633"/>
      <c r="SXL214" s="633"/>
      <c r="SXM214" s="633"/>
      <c r="SXN214" s="633"/>
      <c r="SXO214" s="633"/>
      <c r="SXP214" s="633"/>
      <c r="SXQ214" s="633"/>
      <c r="SXR214" s="633"/>
      <c r="SXS214" s="633"/>
      <c r="SXT214" s="633"/>
      <c r="SXU214" s="632" t="s">
        <v>634</v>
      </c>
      <c r="SXV214" s="633"/>
      <c r="SXW214" s="633"/>
      <c r="SXX214" s="633"/>
      <c r="SXY214" s="633"/>
      <c r="SXZ214" s="633"/>
      <c r="SYA214" s="633"/>
      <c r="SYB214" s="633"/>
      <c r="SYC214" s="633"/>
      <c r="SYD214" s="633"/>
      <c r="SYE214" s="633"/>
      <c r="SYF214" s="633"/>
      <c r="SYG214" s="633"/>
      <c r="SYH214" s="633"/>
      <c r="SYI214" s="633"/>
      <c r="SYJ214" s="633"/>
      <c r="SYK214" s="632" t="s">
        <v>634</v>
      </c>
      <c r="SYL214" s="633"/>
      <c r="SYM214" s="633"/>
      <c r="SYN214" s="633"/>
      <c r="SYO214" s="633"/>
      <c r="SYP214" s="633"/>
      <c r="SYQ214" s="633"/>
      <c r="SYR214" s="633"/>
      <c r="SYS214" s="633"/>
      <c r="SYT214" s="633"/>
      <c r="SYU214" s="633"/>
      <c r="SYV214" s="633"/>
      <c r="SYW214" s="633"/>
      <c r="SYX214" s="633"/>
      <c r="SYY214" s="633"/>
      <c r="SYZ214" s="633"/>
      <c r="SZA214" s="632" t="s">
        <v>634</v>
      </c>
      <c r="SZB214" s="633"/>
      <c r="SZC214" s="633"/>
      <c r="SZD214" s="633"/>
      <c r="SZE214" s="633"/>
      <c r="SZF214" s="633"/>
      <c r="SZG214" s="633"/>
      <c r="SZH214" s="633"/>
      <c r="SZI214" s="633"/>
      <c r="SZJ214" s="633"/>
      <c r="SZK214" s="633"/>
      <c r="SZL214" s="633"/>
      <c r="SZM214" s="633"/>
      <c r="SZN214" s="633"/>
      <c r="SZO214" s="633"/>
      <c r="SZP214" s="633"/>
      <c r="SZQ214" s="632" t="s">
        <v>634</v>
      </c>
      <c r="SZR214" s="633"/>
      <c r="SZS214" s="633"/>
      <c r="SZT214" s="633"/>
      <c r="SZU214" s="633"/>
      <c r="SZV214" s="633"/>
      <c r="SZW214" s="633"/>
      <c r="SZX214" s="633"/>
      <c r="SZY214" s="633"/>
      <c r="SZZ214" s="633"/>
      <c r="TAA214" s="633"/>
      <c r="TAB214" s="633"/>
      <c r="TAC214" s="633"/>
      <c r="TAD214" s="633"/>
      <c r="TAE214" s="633"/>
      <c r="TAF214" s="633"/>
      <c r="TAG214" s="632" t="s">
        <v>634</v>
      </c>
      <c r="TAH214" s="633"/>
      <c r="TAI214" s="633"/>
      <c r="TAJ214" s="633"/>
      <c r="TAK214" s="633"/>
      <c r="TAL214" s="633"/>
      <c r="TAM214" s="633"/>
      <c r="TAN214" s="633"/>
      <c r="TAO214" s="633"/>
      <c r="TAP214" s="633"/>
      <c r="TAQ214" s="633"/>
      <c r="TAR214" s="633"/>
      <c r="TAS214" s="633"/>
      <c r="TAT214" s="633"/>
      <c r="TAU214" s="633"/>
      <c r="TAV214" s="633"/>
      <c r="TAW214" s="632" t="s">
        <v>634</v>
      </c>
      <c r="TAX214" s="633"/>
      <c r="TAY214" s="633"/>
      <c r="TAZ214" s="633"/>
      <c r="TBA214" s="633"/>
      <c r="TBB214" s="633"/>
      <c r="TBC214" s="633"/>
      <c r="TBD214" s="633"/>
      <c r="TBE214" s="633"/>
      <c r="TBF214" s="633"/>
      <c r="TBG214" s="633"/>
      <c r="TBH214" s="633"/>
      <c r="TBI214" s="633"/>
      <c r="TBJ214" s="633"/>
      <c r="TBK214" s="633"/>
      <c r="TBL214" s="633"/>
      <c r="TBM214" s="632" t="s">
        <v>634</v>
      </c>
      <c r="TBN214" s="633"/>
      <c r="TBO214" s="633"/>
      <c r="TBP214" s="633"/>
      <c r="TBQ214" s="633"/>
      <c r="TBR214" s="633"/>
      <c r="TBS214" s="633"/>
      <c r="TBT214" s="633"/>
      <c r="TBU214" s="633"/>
      <c r="TBV214" s="633"/>
      <c r="TBW214" s="633"/>
      <c r="TBX214" s="633"/>
      <c r="TBY214" s="633"/>
      <c r="TBZ214" s="633"/>
      <c r="TCA214" s="633"/>
      <c r="TCB214" s="633"/>
      <c r="TCC214" s="632" t="s">
        <v>634</v>
      </c>
      <c r="TCD214" s="633"/>
      <c r="TCE214" s="633"/>
      <c r="TCF214" s="633"/>
      <c r="TCG214" s="633"/>
      <c r="TCH214" s="633"/>
      <c r="TCI214" s="633"/>
      <c r="TCJ214" s="633"/>
      <c r="TCK214" s="633"/>
      <c r="TCL214" s="633"/>
      <c r="TCM214" s="633"/>
      <c r="TCN214" s="633"/>
      <c r="TCO214" s="633"/>
      <c r="TCP214" s="633"/>
      <c r="TCQ214" s="633"/>
      <c r="TCR214" s="633"/>
      <c r="TCS214" s="632" t="s">
        <v>634</v>
      </c>
      <c r="TCT214" s="633"/>
      <c r="TCU214" s="633"/>
      <c r="TCV214" s="633"/>
      <c r="TCW214" s="633"/>
      <c r="TCX214" s="633"/>
      <c r="TCY214" s="633"/>
      <c r="TCZ214" s="633"/>
      <c r="TDA214" s="633"/>
      <c r="TDB214" s="633"/>
      <c r="TDC214" s="633"/>
      <c r="TDD214" s="633"/>
      <c r="TDE214" s="633"/>
      <c r="TDF214" s="633"/>
      <c r="TDG214" s="633"/>
      <c r="TDH214" s="633"/>
      <c r="TDI214" s="632" t="s">
        <v>634</v>
      </c>
      <c r="TDJ214" s="633"/>
      <c r="TDK214" s="633"/>
      <c r="TDL214" s="633"/>
      <c r="TDM214" s="633"/>
      <c r="TDN214" s="633"/>
      <c r="TDO214" s="633"/>
      <c r="TDP214" s="633"/>
      <c r="TDQ214" s="633"/>
      <c r="TDR214" s="633"/>
      <c r="TDS214" s="633"/>
      <c r="TDT214" s="633"/>
      <c r="TDU214" s="633"/>
      <c r="TDV214" s="633"/>
      <c r="TDW214" s="633"/>
      <c r="TDX214" s="633"/>
      <c r="TDY214" s="632" t="s">
        <v>634</v>
      </c>
      <c r="TDZ214" s="633"/>
      <c r="TEA214" s="633"/>
      <c r="TEB214" s="633"/>
      <c r="TEC214" s="633"/>
      <c r="TED214" s="633"/>
      <c r="TEE214" s="633"/>
      <c r="TEF214" s="633"/>
      <c r="TEG214" s="633"/>
      <c r="TEH214" s="633"/>
      <c r="TEI214" s="633"/>
      <c r="TEJ214" s="633"/>
      <c r="TEK214" s="633"/>
      <c r="TEL214" s="633"/>
      <c r="TEM214" s="633"/>
      <c r="TEN214" s="633"/>
      <c r="TEO214" s="632" t="s">
        <v>634</v>
      </c>
      <c r="TEP214" s="633"/>
      <c r="TEQ214" s="633"/>
      <c r="TER214" s="633"/>
      <c r="TES214" s="633"/>
      <c r="TET214" s="633"/>
      <c r="TEU214" s="633"/>
      <c r="TEV214" s="633"/>
      <c r="TEW214" s="633"/>
      <c r="TEX214" s="633"/>
      <c r="TEY214" s="633"/>
      <c r="TEZ214" s="633"/>
      <c r="TFA214" s="633"/>
      <c r="TFB214" s="633"/>
      <c r="TFC214" s="633"/>
      <c r="TFD214" s="633"/>
      <c r="TFE214" s="632" t="s">
        <v>634</v>
      </c>
      <c r="TFF214" s="633"/>
      <c r="TFG214" s="633"/>
      <c r="TFH214" s="633"/>
      <c r="TFI214" s="633"/>
      <c r="TFJ214" s="633"/>
      <c r="TFK214" s="633"/>
      <c r="TFL214" s="633"/>
      <c r="TFM214" s="633"/>
      <c r="TFN214" s="633"/>
      <c r="TFO214" s="633"/>
      <c r="TFP214" s="633"/>
      <c r="TFQ214" s="633"/>
      <c r="TFR214" s="633"/>
      <c r="TFS214" s="633"/>
      <c r="TFT214" s="633"/>
      <c r="TFU214" s="632" t="s">
        <v>634</v>
      </c>
      <c r="TFV214" s="633"/>
      <c r="TFW214" s="633"/>
      <c r="TFX214" s="633"/>
      <c r="TFY214" s="633"/>
      <c r="TFZ214" s="633"/>
      <c r="TGA214" s="633"/>
      <c r="TGB214" s="633"/>
      <c r="TGC214" s="633"/>
      <c r="TGD214" s="633"/>
      <c r="TGE214" s="633"/>
      <c r="TGF214" s="633"/>
      <c r="TGG214" s="633"/>
      <c r="TGH214" s="633"/>
      <c r="TGI214" s="633"/>
      <c r="TGJ214" s="633"/>
      <c r="TGK214" s="632" t="s">
        <v>634</v>
      </c>
      <c r="TGL214" s="633"/>
      <c r="TGM214" s="633"/>
      <c r="TGN214" s="633"/>
      <c r="TGO214" s="633"/>
      <c r="TGP214" s="633"/>
      <c r="TGQ214" s="633"/>
      <c r="TGR214" s="633"/>
      <c r="TGS214" s="633"/>
      <c r="TGT214" s="633"/>
      <c r="TGU214" s="633"/>
      <c r="TGV214" s="633"/>
      <c r="TGW214" s="633"/>
      <c r="TGX214" s="633"/>
      <c r="TGY214" s="633"/>
      <c r="TGZ214" s="633"/>
      <c r="THA214" s="632" t="s">
        <v>634</v>
      </c>
      <c r="THB214" s="633"/>
      <c r="THC214" s="633"/>
      <c r="THD214" s="633"/>
      <c r="THE214" s="633"/>
      <c r="THF214" s="633"/>
      <c r="THG214" s="633"/>
      <c r="THH214" s="633"/>
      <c r="THI214" s="633"/>
      <c r="THJ214" s="633"/>
      <c r="THK214" s="633"/>
      <c r="THL214" s="633"/>
      <c r="THM214" s="633"/>
      <c r="THN214" s="633"/>
      <c r="THO214" s="633"/>
      <c r="THP214" s="633"/>
      <c r="THQ214" s="632" t="s">
        <v>634</v>
      </c>
      <c r="THR214" s="633"/>
      <c r="THS214" s="633"/>
      <c r="THT214" s="633"/>
      <c r="THU214" s="633"/>
      <c r="THV214" s="633"/>
      <c r="THW214" s="633"/>
      <c r="THX214" s="633"/>
      <c r="THY214" s="633"/>
      <c r="THZ214" s="633"/>
      <c r="TIA214" s="633"/>
      <c r="TIB214" s="633"/>
      <c r="TIC214" s="633"/>
      <c r="TID214" s="633"/>
      <c r="TIE214" s="633"/>
      <c r="TIF214" s="633"/>
      <c r="TIG214" s="632" t="s">
        <v>634</v>
      </c>
      <c r="TIH214" s="633"/>
      <c r="TII214" s="633"/>
      <c r="TIJ214" s="633"/>
      <c r="TIK214" s="633"/>
      <c r="TIL214" s="633"/>
      <c r="TIM214" s="633"/>
      <c r="TIN214" s="633"/>
      <c r="TIO214" s="633"/>
      <c r="TIP214" s="633"/>
      <c r="TIQ214" s="633"/>
      <c r="TIR214" s="633"/>
      <c r="TIS214" s="633"/>
      <c r="TIT214" s="633"/>
      <c r="TIU214" s="633"/>
      <c r="TIV214" s="633"/>
      <c r="TIW214" s="632" t="s">
        <v>634</v>
      </c>
      <c r="TIX214" s="633"/>
      <c r="TIY214" s="633"/>
      <c r="TIZ214" s="633"/>
      <c r="TJA214" s="633"/>
      <c r="TJB214" s="633"/>
      <c r="TJC214" s="633"/>
      <c r="TJD214" s="633"/>
      <c r="TJE214" s="633"/>
      <c r="TJF214" s="633"/>
      <c r="TJG214" s="633"/>
      <c r="TJH214" s="633"/>
      <c r="TJI214" s="633"/>
      <c r="TJJ214" s="633"/>
      <c r="TJK214" s="633"/>
      <c r="TJL214" s="633"/>
      <c r="TJM214" s="632" t="s">
        <v>634</v>
      </c>
      <c r="TJN214" s="633"/>
      <c r="TJO214" s="633"/>
      <c r="TJP214" s="633"/>
      <c r="TJQ214" s="633"/>
      <c r="TJR214" s="633"/>
      <c r="TJS214" s="633"/>
      <c r="TJT214" s="633"/>
      <c r="TJU214" s="633"/>
      <c r="TJV214" s="633"/>
      <c r="TJW214" s="633"/>
      <c r="TJX214" s="633"/>
      <c r="TJY214" s="633"/>
      <c r="TJZ214" s="633"/>
      <c r="TKA214" s="633"/>
      <c r="TKB214" s="633"/>
      <c r="TKC214" s="632" t="s">
        <v>634</v>
      </c>
      <c r="TKD214" s="633"/>
      <c r="TKE214" s="633"/>
      <c r="TKF214" s="633"/>
      <c r="TKG214" s="633"/>
      <c r="TKH214" s="633"/>
      <c r="TKI214" s="633"/>
      <c r="TKJ214" s="633"/>
      <c r="TKK214" s="633"/>
      <c r="TKL214" s="633"/>
      <c r="TKM214" s="633"/>
      <c r="TKN214" s="633"/>
      <c r="TKO214" s="633"/>
      <c r="TKP214" s="633"/>
      <c r="TKQ214" s="633"/>
      <c r="TKR214" s="633"/>
      <c r="TKS214" s="632" t="s">
        <v>634</v>
      </c>
      <c r="TKT214" s="633"/>
      <c r="TKU214" s="633"/>
      <c r="TKV214" s="633"/>
      <c r="TKW214" s="633"/>
      <c r="TKX214" s="633"/>
      <c r="TKY214" s="633"/>
      <c r="TKZ214" s="633"/>
      <c r="TLA214" s="633"/>
      <c r="TLB214" s="633"/>
      <c r="TLC214" s="633"/>
      <c r="TLD214" s="633"/>
      <c r="TLE214" s="633"/>
      <c r="TLF214" s="633"/>
      <c r="TLG214" s="633"/>
      <c r="TLH214" s="633"/>
      <c r="TLI214" s="632" t="s">
        <v>634</v>
      </c>
      <c r="TLJ214" s="633"/>
      <c r="TLK214" s="633"/>
      <c r="TLL214" s="633"/>
      <c r="TLM214" s="633"/>
      <c r="TLN214" s="633"/>
      <c r="TLO214" s="633"/>
      <c r="TLP214" s="633"/>
      <c r="TLQ214" s="633"/>
      <c r="TLR214" s="633"/>
      <c r="TLS214" s="633"/>
      <c r="TLT214" s="633"/>
      <c r="TLU214" s="633"/>
      <c r="TLV214" s="633"/>
      <c r="TLW214" s="633"/>
      <c r="TLX214" s="633"/>
      <c r="TLY214" s="632" t="s">
        <v>634</v>
      </c>
      <c r="TLZ214" s="633"/>
      <c r="TMA214" s="633"/>
      <c r="TMB214" s="633"/>
      <c r="TMC214" s="633"/>
      <c r="TMD214" s="633"/>
      <c r="TME214" s="633"/>
      <c r="TMF214" s="633"/>
      <c r="TMG214" s="633"/>
      <c r="TMH214" s="633"/>
      <c r="TMI214" s="633"/>
      <c r="TMJ214" s="633"/>
      <c r="TMK214" s="633"/>
      <c r="TML214" s="633"/>
      <c r="TMM214" s="633"/>
      <c r="TMN214" s="633"/>
      <c r="TMO214" s="632" t="s">
        <v>634</v>
      </c>
      <c r="TMP214" s="633"/>
      <c r="TMQ214" s="633"/>
      <c r="TMR214" s="633"/>
      <c r="TMS214" s="633"/>
      <c r="TMT214" s="633"/>
      <c r="TMU214" s="633"/>
      <c r="TMV214" s="633"/>
      <c r="TMW214" s="633"/>
      <c r="TMX214" s="633"/>
      <c r="TMY214" s="633"/>
      <c r="TMZ214" s="633"/>
      <c r="TNA214" s="633"/>
      <c r="TNB214" s="633"/>
      <c r="TNC214" s="633"/>
      <c r="TND214" s="633"/>
      <c r="TNE214" s="632" t="s">
        <v>634</v>
      </c>
      <c r="TNF214" s="633"/>
      <c r="TNG214" s="633"/>
      <c r="TNH214" s="633"/>
      <c r="TNI214" s="633"/>
      <c r="TNJ214" s="633"/>
      <c r="TNK214" s="633"/>
      <c r="TNL214" s="633"/>
      <c r="TNM214" s="633"/>
      <c r="TNN214" s="633"/>
      <c r="TNO214" s="633"/>
      <c r="TNP214" s="633"/>
      <c r="TNQ214" s="633"/>
      <c r="TNR214" s="633"/>
      <c r="TNS214" s="633"/>
      <c r="TNT214" s="633"/>
      <c r="TNU214" s="632" t="s">
        <v>634</v>
      </c>
      <c r="TNV214" s="633"/>
      <c r="TNW214" s="633"/>
      <c r="TNX214" s="633"/>
      <c r="TNY214" s="633"/>
      <c r="TNZ214" s="633"/>
      <c r="TOA214" s="633"/>
      <c r="TOB214" s="633"/>
      <c r="TOC214" s="633"/>
      <c r="TOD214" s="633"/>
      <c r="TOE214" s="633"/>
      <c r="TOF214" s="633"/>
      <c r="TOG214" s="633"/>
      <c r="TOH214" s="633"/>
      <c r="TOI214" s="633"/>
      <c r="TOJ214" s="633"/>
      <c r="TOK214" s="632" t="s">
        <v>634</v>
      </c>
      <c r="TOL214" s="633"/>
      <c r="TOM214" s="633"/>
      <c r="TON214" s="633"/>
      <c r="TOO214" s="633"/>
      <c r="TOP214" s="633"/>
      <c r="TOQ214" s="633"/>
      <c r="TOR214" s="633"/>
      <c r="TOS214" s="633"/>
      <c r="TOT214" s="633"/>
      <c r="TOU214" s="633"/>
      <c r="TOV214" s="633"/>
      <c r="TOW214" s="633"/>
      <c r="TOX214" s="633"/>
      <c r="TOY214" s="633"/>
      <c r="TOZ214" s="633"/>
      <c r="TPA214" s="632" t="s">
        <v>634</v>
      </c>
      <c r="TPB214" s="633"/>
      <c r="TPC214" s="633"/>
      <c r="TPD214" s="633"/>
      <c r="TPE214" s="633"/>
      <c r="TPF214" s="633"/>
      <c r="TPG214" s="633"/>
      <c r="TPH214" s="633"/>
      <c r="TPI214" s="633"/>
      <c r="TPJ214" s="633"/>
      <c r="TPK214" s="633"/>
      <c r="TPL214" s="633"/>
      <c r="TPM214" s="633"/>
      <c r="TPN214" s="633"/>
      <c r="TPO214" s="633"/>
      <c r="TPP214" s="633"/>
      <c r="TPQ214" s="632" t="s">
        <v>634</v>
      </c>
      <c r="TPR214" s="633"/>
      <c r="TPS214" s="633"/>
      <c r="TPT214" s="633"/>
      <c r="TPU214" s="633"/>
      <c r="TPV214" s="633"/>
      <c r="TPW214" s="633"/>
      <c r="TPX214" s="633"/>
      <c r="TPY214" s="633"/>
      <c r="TPZ214" s="633"/>
      <c r="TQA214" s="633"/>
      <c r="TQB214" s="633"/>
      <c r="TQC214" s="633"/>
      <c r="TQD214" s="633"/>
      <c r="TQE214" s="633"/>
      <c r="TQF214" s="633"/>
      <c r="TQG214" s="632" t="s">
        <v>634</v>
      </c>
      <c r="TQH214" s="633"/>
      <c r="TQI214" s="633"/>
      <c r="TQJ214" s="633"/>
      <c r="TQK214" s="633"/>
      <c r="TQL214" s="633"/>
      <c r="TQM214" s="633"/>
      <c r="TQN214" s="633"/>
      <c r="TQO214" s="633"/>
      <c r="TQP214" s="633"/>
      <c r="TQQ214" s="633"/>
      <c r="TQR214" s="633"/>
      <c r="TQS214" s="633"/>
      <c r="TQT214" s="633"/>
      <c r="TQU214" s="633"/>
      <c r="TQV214" s="633"/>
      <c r="TQW214" s="632" t="s">
        <v>634</v>
      </c>
      <c r="TQX214" s="633"/>
      <c r="TQY214" s="633"/>
      <c r="TQZ214" s="633"/>
      <c r="TRA214" s="633"/>
      <c r="TRB214" s="633"/>
      <c r="TRC214" s="633"/>
      <c r="TRD214" s="633"/>
      <c r="TRE214" s="633"/>
      <c r="TRF214" s="633"/>
      <c r="TRG214" s="633"/>
      <c r="TRH214" s="633"/>
      <c r="TRI214" s="633"/>
      <c r="TRJ214" s="633"/>
      <c r="TRK214" s="633"/>
      <c r="TRL214" s="633"/>
      <c r="TRM214" s="632" t="s">
        <v>634</v>
      </c>
      <c r="TRN214" s="633"/>
      <c r="TRO214" s="633"/>
      <c r="TRP214" s="633"/>
      <c r="TRQ214" s="633"/>
      <c r="TRR214" s="633"/>
      <c r="TRS214" s="633"/>
      <c r="TRT214" s="633"/>
      <c r="TRU214" s="633"/>
      <c r="TRV214" s="633"/>
      <c r="TRW214" s="633"/>
      <c r="TRX214" s="633"/>
      <c r="TRY214" s="633"/>
      <c r="TRZ214" s="633"/>
      <c r="TSA214" s="633"/>
      <c r="TSB214" s="633"/>
      <c r="TSC214" s="632" t="s">
        <v>634</v>
      </c>
      <c r="TSD214" s="633"/>
      <c r="TSE214" s="633"/>
      <c r="TSF214" s="633"/>
      <c r="TSG214" s="633"/>
      <c r="TSH214" s="633"/>
      <c r="TSI214" s="633"/>
      <c r="TSJ214" s="633"/>
      <c r="TSK214" s="633"/>
      <c r="TSL214" s="633"/>
      <c r="TSM214" s="633"/>
      <c r="TSN214" s="633"/>
      <c r="TSO214" s="633"/>
      <c r="TSP214" s="633"/>
      <c r="TSQ214" s="633"/>
      <c r="TSR214" s="633"/>
      <c r="TSS214" s="632" t="s">
        <v>634</v>
      </c>
      <c r="TST214" s="633"/>
      <c r="TSU214" s="633"/>
      <c r="TSV214" s="633"/>
      <c r="TSW214" s="633"/>
      <c r="TSX214" s="633"/>
      <c r="TSY214" s="633"/>
      <c r="TSZ214" s="633"/>
      <c r="TTA214" s="633"/>
      <c r="TTB214" s="633"/>
      <c r="TTC214" s="633"/>
      <c r="TTD214" s="633"/>
      <c r="TTE214" s="633"/>
      <c r="TTF214" s="633"/>
      <c r="TTG214" s="633"/>
      <c r="TTH214" s="633"/>
      <c r="TTI214" s="632" t="s">
        <v>634</v>
      </c>
      <c r="TTJ214" s="633"/>
      <c r="TTK214" s="633"/>
      <c r="TTL214" s="633"/>
      <c r="TTM214" s="633"/>
      <c r="TTN214" s="633"/>
      <c r="TTO214" s="633"/>
      <c r="TTP214" s="633"/>
      <c r="TTQ214" s="633"/>
      <c r="TTR214" s="633"/>
      <c r="TTS214" s="633"/>
      <c r="TTT214" s="633"/>
      <c r="TTU214" s="633"/>
      <c r="TTV214" s="633"/>
      <c r="TTW214" s="633"/>
      <c r="TTX214" s="633"/>
      <c r="TTY214" s="632" t="s">
        <v>634</v>
      </c>
      <c r="TTZ214" s="633"/>
      <c r="TUA214" s="633"/>
      <c r="TUB214" s="633"/>
      <c r="TUC214" s="633"/>
      <c r="TUD214" s="633"/>
      <c r="TUE214" s="633"/>
      <c r="TUF214" s="633"/>
      <c r="TUG214" s="633"/>
      <c r="TUH214" s="633"/>
      <c r="TUI214" s="633"/>
      <c r="TUJ214" s="633"/>
      <c r="TUK214" s="633"/>
      <c r="TUL214" s="633"/>
      <c r="TUM214" s="633"/>
      <c r="TUN214" s="633"/>
      <c r="TUO214" s="632" t="s">
        <v>634</v>
      </c>
      <c r="TUP214" s="633"/>
      <c r="TUQ214" s="633"/>
      <c r="TUR214" s="633"/>
      <c r="TUS214" s="633"/>
      <c r="TUT214" s="633"/>
      <c r="TUU214" s="633"/>
      <c r="TUV214" s="633"/>
      <c r="TUW214" s="633"/>
      <c r="TUX214" s="633"/>
      <c r="TUY214" s="633"/>
      <c r="TUZ214" s="633"/>
      <c r="TVA214" s="633"/>
      <c r="TVB214" s="633"/>
      <c r="TVC214" s="633"/>
      <c r="TVD214" s="633"/>
      <c r="TVE214" s="632" t="s">
        <v>634</v>
      </c>
      <c r="TVF214" s="633"/>
      <c r="TVG214" s="633"/>
      <c r="TVH214" s="633"/>
      <c r="TVI214" s="633"/>
      <c r="TVJ214" s="633"/>
      <c r="TVK214" s="633"/>
      <c r="TVL214" s="633"/>
      <c r="TVM214" s="633"/>
      <c r="TVN214" s="633"/>
      <c r="TVO214" s="633"/>
      <c r="TVP214" s="633"/>
      <c r="TVQ214" s="633"/>
      <c r="TVR214" s="633"/>
      <c r="TVS214" s="633"/>
      <c r="TVT214" s="633"/>
      <c r="TVU214" s="632" t="s">
        <v>634</v>
      </c>
      <c r="TVV214" s="633"/>
      <c r="TVW214" s="633"/>
      <c r="TVX214" s="633"/>
      <c r="TVY214" s="633"/>
      <c r="TVZ214" s="633"/>
      <c r="TWA214" s="633"/>
      <c r="TWB214" s="633"/>
      <c r="TWC214" s="633"/>
      <c r="TWD214" s="633"/>
      <c r="TWE214" s="633"/>
      <c r="TWF214" s="633"/>
      <c r="TWG214" s="633"/>
      <c r="TWH214" s="633"/>
      <c r="TWI214" s="633"/>
      <c r="TWJ214" s="633"/>
      <c r="TWK214" s="632" t="s">
        <v>634</v>
      </c>
      <c r="TWL214" s="633"/>
      <c r="TWM214" s="633"/>
      <c r="TWN214" s="633"/>
      <c r="TWO214" s="633"/>
      <c r="TWP214" s="633"/>
      <c r="TWQ214" s="633"/>
      <c r="TWR214" s="633"/>
      <c r="TWS214" s="633"/>
      <c r="TWT214" s="633"/>
      <c r="TWU214" s="633"/>
      <c r="TWV214" s="633"/>
      <c r="TWW214" s="633"/>
      <c r="TWX214" s="633"/>
      <c r="TWY214" s="633"/>
      <c r="TWZ214" s="633"/>
      <c r="TXA214" s="632" t="s">
        <v>634</v>
      </c>
      <c r="TXB214" s="633"/>
      <c r="TXC214" s="633"/>
      <c r="TXD214" s="633"/>
      <c r="TXE214" s="633"/>
      <c r="TXF214" s="633"/>
      <c r="TXG214" s="633"/>
      <c r="TXH214" s="633"/>
      <c r="TXI214" s="633"/>
      <c r="TXJ214" s="633"/>
      <c r="TXK214" s="633"/>
      <c r="TXL214" s="633"/>
      <c r="TXM214" s="633"/>
      <c r="TXN214" s="633"/>
      <c r="TXO214" s="633"/>
      <c r="TXP214" s="633"/>
      <c r="TXQ214" s="632" t="s">
        <v>634</v>
      </c>
      <c r="TXR214" s="633"/>
      <c r="TXS214" s="633"/>
      <c r="TXT214" s="633"/>
      <c r="TXU214" s="633"/>
      <c r="TXV214" s="633"/>
      <c r="TXW214" s="633"/>
      <c r="TXX214" s="633"/>
      <c r="TXY214" s="633"/>
      <c r="TXZ214" s="633"/>
      <c r="TYA214" s="633"/>
      <c r="TYB214" s="633"/>
      <c r="TYC214" s="633"/>
      <c r="TYD214" s="633"/>
      <c r="TYE214" s="633"/>
      <c r="TYF214" s="633"/>
      <c r="TYG214" s="632" t="s">
        <v>634</v>
      </c>
      <c r="TYH214" s="633"/>
      <c r="TYI214" s="633"/>
      <c r="TYJ214" s="633"/>
      <c r="TYK214" s="633"/>
      <c r="TYL214" s="633"/>
      <c r="TYM214" s="633"/>
      <c r="TYN214" s="633"/>
      <c r="TYO214" s="633"/>
      <c r="TYP214" s="633"/>
      <c r="TYQ214" s="633"/>
      <c r="TYR214" s="633"/>
      <c r="TYS214" s="633"/>
      <c r="TYT214" s="633"/>
      <c r="TYU214" s="633"/>
      <c r="TYV214" s="633"/>
      <c r="TYW214" s="632" t="s">
        <v>634</v>
      </c>
      <c r="TYX214" s="633"/>
      <c r="TYY214" s="633"/>
      <c r="TYZ214" s="633"/>
      <c r="TZA214" s="633"/>
      <c r="TZB214" s="633"/>
      <c r="TZC214" s="633"/>
      <c r="TZD214" s="633"/>
      <c r="TZE214" s="633"/>
      <c r="TZF214" s="633"/>
      <c r="TZG214" s="633"/>
      <c r="TZH214" s="633"/>
      <c r="TZI214" s="633"/>
      <c r="TZJ214" s="633"/>
      <c r="TZK214" s="633"/>
      <c r="TZL214" s="633"/>
      <c r="TZM214" s="632" t="s">
        <v>634</v>
      </c>
      <c r="TZN214" s="633"/>
      <c r="TZO214" s="633"/>
      <c r="TZP214" s="633"/>
      <c r="TZQ214" s="633"/>
      <c r="TZR214" s="633"/>
      <c r="TZS214" s="633"/>
      <c r="TZT214" s="633"/>
      <c r="TZU214" s="633"/>
      <c r="TZV214" s="633"/>
      <c r="TZW214" s="633"/>
      <c r="TZX214" s="633"/>
      <c r="TZY214" s="633"/>
      <c r="TZZ214" s="633"/>
      <c r="UAA214" s="633"/>
      <c r="UAB214" s="633"/>
      <c r="UAC214" s="632" t="s">
        <v>634</v>
      </c>
      <c r="UAD214" s="633"/>
      <c r="UAE214" s="633"/>
      <c r="UAF214" s="633"/>
      <c r="UAG214" s="633"/>
      <c r="UAH214" s="633"/>
      <c r="UAI214" s="633"/>
      <c r="UAJ214" s="633"/>
      <c r="UAK214" s="633"/>
      <c r="UAL214" s="633"/>
      <c r="UAM214" s="633"/>
      <c r="UAN214" s="633"/>
      <c r="UAO214" s="633"/>
      <c r="UAP214" s="633"/>
      <c r="UAQ214" s="633"/>
      <c r="UAR214" s="633"/>
      <c r="UAS214" s="632" t="s">
        <v>634</v>
      </c>
      <c r="UAT214" s="633"/>
      <c r="UAU214" s="633"/>
      <c r="UAV214" s="633"/>
      <c r="UAW214" s="633"/>
      <c r="UAX214" s="633"/>
      <c r="UAY214" s="633"/>
      <c r="UAZ214" s="633"/>
      <c r="UBA214" s="633"/>
      <c r="UBB214" s="633"/>
      <c r="UBC214" s="633"/>
      <c r="UBD214" s="633"/>
      <c r="UBE214" s="633"/>
      <c r="UBF214" s="633"/>
      <c r="UBG214" s="633"/>
      <c r="UBH214" s="633"/>
      <c r="UBI214" s="632" t="s">
        <v>634</v>
      </c>
      <c r="UBJ214" s="633"/>
      <c r="UBK214" s="633"/>
      <c r="UBL214" s="633"/>
      <c r="UBM214" s="633"/>
      <c r="UBN214" s="633"/>
      <c r="UBO214" s="633"/>
      <c r="UBP214" s="633"/>
      <c r="UBQ214" s="633"/>
      <c r="UBR214" s="633"/>
      <c r="UBS214" s="633"/>
      <c r="UBT214" s="633"/>
      <c r="UBU214" s="633"/>
      <c r="UBV214" s="633"/>
      <c r="UBW214" s="633"/>
      <c r="UBX214" s="633"/>
      <c r="UBY214" s="632" t="s">
        <v>634</v>
      </c>
      <c r="UBZ214" s="633"/>
      <c r="UCA214" s="633"/>
      <c r="UCB214" s="633"/>
      <c r="UCC214" s="633"/>
      <c r="UCD214" s="633"/>
      <c r="UCE214" s="633"/>
      <c r="UCF214" s="633"/>
      <c r="UCG214" s="633"/>
      <c r="UCH214" s="633"/>
      <c r="UCI214" s="633"/>
      <c r="UCJ214" s="633"/>
      <c r="UCK214" s="633"/>
      <c r="UCL214" s="633"/>
      <c r="UCM214" s="633"/>
      <c r="UCN214" s="633"/>
      <c r="UCO214" s="632" t="s">
        <v>634</v>
      </c>
      <c r="UCP214" s="633"/>
      <c r="UCQ214" s="633"/>
      <c r="UCR214" s="633"/>
      <c r="UCS214" s="633"/>
      <c r="UCT214" s="633"/>
      <c r="UCU214" s="633"/>
      <c r="UCV214" s="633"/>
      <c r="UCW214" s="633"/>
      <c r="UCX214" s="633"/>
      <c r="UCY214" s="633"/>
      <c r="UCZ214" s="633"/>
      <c r="UDA214" s="633"/>
      <c r="UDB214" s="633"/>
      <c r="UDC214" s="633"/>
      <c r="UDD214" s="633"/>
      <c r="UDE214" s="632" t="s">
        <v>634</v>
      </c>
      <c r="UDF214" s="633"/>
      <c r="UDG214" s="633"/>
      <c r="UDH214" s="633"/>
      <c r="UDI214" s="633"/>
      <c r="UDJ214" s="633"/>
      <c r="UDK214" s="633"/>
      <c r="UDL214" s="633"/>
      <c r="UDM214" s="633"/>
      <c r="UDN214" s="633"/>
      <c r="UDO214" s="633"/>
      <c r="UDP214" s="633"/>
      <c r="UDQ214" s="633"/>
      <c r="UDR214" s="633"/>
      <c r="UDS214" s="633"/>
      <c r="UDT214" s="633"/>
      <c r="UDU214" s="632" t="s">
        <v>634</v>
      </c>
      <c r="UDV214" s="633"/>
      <c r="UDW214" s="633"/>
      <c r="UDX214" s="633"/>
      <c r="UDY214" s="633"/>
      <c r="UDZ214" s="633"/>
      <c r="UEA214" s="633"/>
      <c r="UEB214" s="633"/>
      <c r="UEC214" s="633"/>
      <c r="UED214" s="633"/>
      <c r="UEE214" s="633"/>
      <c r="UEF214" s="633"/>
      <c r="UEG214" s="633"/>
      <c r="UEH214" s="633"/>
      <c r="UEI214" s="633"/>
      <c r="UEJ214" s="633"/>
      <c r="UEK214" s="632" t="s">
        <v>634</v>
      </c>
      <c r="UEL214" s="633"/>
      <c r="UEM214" s="633"/>
      <c r="UEN214" s="633"/>
      <c r="UEO214" s="633"/>
      <c r="UEP214" s="633"/>
      <c r="UEQ214" s="633"/>
      <c r="UER214" s="633"/>
      <c r="UES214" s="633"/>
      <c r="UET214" s="633"/>
      <c r="UEU214" s="633"/>
      <c r="UEV214" s="633"/>
      <c r="UEW214" s="633"/>
      <c r="UEX214" s="633"/>
      <c r="UEY214" s="633"/>
      <c r="UEZ214" s="633"/>
      <c r="UFA214" s="632" t="s">
        <v>634</v>
      </c>
      <c r="UFB214" s="633"/>
      <c r="UFC214" s="633"/>
      <c r="UFD214" s="633"/>
      <c r="UFE214" s="633"/>
      <c r="UFF214" s="633"/>
      <c r="UFG214" s="633"/>
      <c r="UFH214" s="633"/>
      <c r="UFI214" s="633"/>
      <c r="UFJ214" s="633"/>
      <c r="UFK214" s="633"/>
      <c r="UFL214" s="633"/>
      <c r="UFM214" s="633"/>
      <c r="UFN214" s="633"/>
      <c r="UFO214" s="633"/>
      <c r="UFP214" s="633"/>
      <c r="UFQ214" s="632" t="s">
        <v>634</v>
      </c>
      <c r="UFR214" s="633"/>
      <c r="UFS214" s="633"/>
      <c r="UFT214" s="633"/>
      <c r="UFU214" s="633"/>
      <c r="UFV214" s="633"/>
      <c r="UFW214" s="633"/>
      <c r="UFX214" s="633"/>
      <c r="UFY214" s="633"/>
      <c r="UFZ214" s="633"/>
      <c r="UGA214" s="633"/>
      <c r="UGB214" s="633"/>
      <c r="UGC214" s="633"/>
      <c r="UGD214" s="633"/>
      <c r="UGE214" s="633"/>
      <c r="UGF214" s="633"/>
      <c r="UGG214" s="632" t="s">
        <v>634</v>
      </c>
      <c r="UGH214" s="633"/>
      <c r="UGI214" s="633"/>
      <c r="UGJ214" s="633"/>
      <c r="UGK214" s="633"/>
      <c r="UGL214" s="633"/>
      <c r="UGM214" s="633"/>
      <c r="UGN214" s="633"/>
      <c r="UGO214" s="633"/>
      <c r="UGP214" s="633"/>
      <c r="UGQ214" s="633"/>
      <c r="UGR214" s="633"/>
      <c r="UGS214" s="633"/>
      <c r="UGT214" s="633"/>
      <c r="UGU214" s="633"/>
      <c r="UGV214" s="633"/>
      <c r="UGW214" s="632" t="s">
        <v>634</v>
      </c>
      <c r="UGX214" s="633"/>
      <c r="UGY214" s="633"/>
      <c r="UGZ214" s="633"/>
      <c r="UHA214" s="633"/>
      <c r="UHB214" s="633"/>
      <c r="UHC214" s="633"/>
      <c r="UHD214" s="633"/>
      <c r="UHE214" s="633"/>
      <c r="UHF214" s="633"/>
      <c r="UHG214" s="633"/>
      <c r="UHH214" s="633"/>
      <c r="UHI214" s="633"/>
      <c r="UHJ214" s="633"/>
      <c r="UHK214" s="633"/>
      <c r="UHL214" s="633"/>
      <c r="UHM214" s="632" t="s">
        <v>634</v>
      </c>
      <c r="UHN214" s="633"/>
      <c r="UHO214" s="633"/>
      <c r="UHP214" s="633"/>
      <c r="UHQ214" s="633"/>
      <c r="UHR214" s="633"/>
      <c r="UHS214" s="633"/>
      <c r="UHT214" s="633"/>
      <c r="UHU214" s="633"/>
      <c r="UHV214" s="633"/>
      <c r="UHW214" s="633"/>
      <c r="UHX214" s="633"/>
      <c r="UHY214" s="633"/>
      <c r="UHZ214" s="633"/>
      <c r="UIA214" s="633"/>
      <c r="UIB214" s="633"/>
      <c r="UIC214" s="632" t="s">
        <v>634</v>
      </c>
      <c r="UID214" s="633"/>
      <c r="UIE214" s="633"/>
      <c r="UIF214" s="633"/>
      <c r="UIG214" s="633"/>
      <c r="UIH214" s="633"/>
      <c r="UII214" s="633"/>
      <c r="UIJ214" s="633"/>
      <c r="UIK214" s="633"/>
      <c r="UIL214" s="633"/>
      <c r="UIM214" s="633"/>
      <c r="UIN214" s="633"/>
      <c r="UIO214" s="633"/>
      <c r="UIP214" s="633"/>
      <c r="UIQ214" s="633"/>
      <c r="UIR214" s="633"/>
      <c r="UIS214" s="632" t="s">
        <v>634</v>
      </c>
      <c r="UIT214" s="633"/>
      <c r="UIU214" s="633"/>
      <c r="UIV214" s="633"/>
      <c r="UIW214" s="633"/>
      <c r="UIX214" s="633"/>
      <c r="UIY214" s="633"/>
      <c r="UIZ214" s="633"/>
      <c r="UJA214" s="633"/>
      <c r="UJB214" s="633"/>
      <c r="UJC214" s="633"/>
      <c r="UJD214" s="633"/>
      <c r="UJE214" s="633"/>
      <c r="UJF214" s="633"/>
      <c r="UJG214" s="633"/>
      <c r="UJH214" s="633"/>
      <c r="UJI214" s="632" t="s">
        <v>634</v>
      </c>
      <c r="UJJ214" s="633"/>
      <c r="UJK214" s="633"/>
      <c r="UJL214" s="633"/>
      <c r="UJM214" s="633"/>
      <c r="UJN214" s="633"/>
      <c r="UJO214" s="633"/>
      <c r="UJP214" s="633"/>
      <c r="UJQ214" s="633"/>
      <c r="UJR214" s="633"/>
      <c r="UJS214" s="633"/>
      <c r="UJT214" s="633"/>
      <c r="UJU214" s="633"/>
      <c r="UJV214" s="633"/>
      <c r="UJW214" s="633"/>
      <c r="UJX214" s="633"/>
      <c r="UJY214" s="632" t="s">
        <v>634</v>
      </c>
      <c r="UJZ214" s="633"/>
      <c r="UKA214" s="633"/>
      <c r="UKB214" s="633"/>
      <c r="UKC214" s="633"/>
      <c r="UKD214" s="633"/>
      <c r="UKE214" s="633"/>
      <c r="UKF214" s="633"/>
      <c r="UKG214" s="633"/>
      <c r="UKH214" s="633"/>
      <c r="UKI214" s="633"/>
      <c r="UKJ214" s="633"/>
      <c r="UKK214" s="633"/>
      <c r="UKL214" s="633"/>
      <c r="UKM214" s="633"/>
      <c r="UKN214" s="633"/>
      <c r="UKO214" s="632" t="s">
        <v>634</v>
      </c>
      <c r="UKP214" s="633"/>
      <c r="UKQ214" s="633"/>
      <c r="UKR214" s="633"/>
      <c r="UKS214" s="633"/>
      <c r="UKT214" s="633"/>
      <c r="UKU214" s="633"/>
      <c r="UKV214" s="633"/>
      <c r="UKW214" s="633"/>
      <c r="UKX214" s="633"/>
      <c r="UKY214" s="633"/>
      <c r="UKZ214" s="633"/>
      <c r="ULA214" s="633"/>
      <c r="ULB214" s="633"/>
      <c r="ULC214" s="633"/>
      <c r="ULD214" s="633"/>
      <c r="ULE214" s="632" t="s">
        <v>634</v>
      </c>
      <c r="ULF214" s="633"/>
      <c r="ULG214" s="633"/>
      <c r="ULH214" s="633"/>
      <c r="ULI214" s="633"/>
      <c r="ULJ214" s="633"/>
      <c r="ULK214" s="633"/>
      <c r="ULL214" s="633"/>
      <c r="ULM214" s="633"/>
      <c r="ULN214" s="633"/>
      <c r="ULO214" s="633"/>
      <c r="ULP214" s="633"/>
      <c r="ULQ214" s="633"/>
      <c r="ULR214" s="633"/>
      <c r="ULS214" s="633"/>
      <c r="ULT214" s="633"/>
      <c r="ULU214" s="632" t="s">
        <v>634</v>
      </c>
      <c r="ULV214" s="633"/>
      <c r="ULW214" s="633"/>
      <c r="ULX214" s="633"/>
      <c r="ULY214" s="633"/>
      <c r="ULZ214" s="633"/>
      <c r="UMA214" s="633"/>
      <c r="UMB214" s="633"/>
      <c r="UMC214" s="633"/>
      <c r="UMD214" s="633"/>
      <c r="UME214" s="633"/>
      <c r="UMF214" s="633"/>
      <c r="UMG214" s="633"/>
      <c r="UMH214" s="633"/>
      <c r="UMI214" s="633"/>
      <c r="UMJ214" s="633"/>
      <c r="UMK214" s="632" t="s">
        <v>634</v>
      </c>
      <c r="UML214" s="633"/>
      <c r="UMM214" s="633"/>
      <c r="UMN214" s="633"/>
      <c r="UMO214" s="633"/>
      <c r="UMP214" s="633"/>
      <c r="UMQ214" s="633"/>
      <c r="UMR214" s="633"/>
      <c r="UMS214" s="633"/>
      <c r="UMT214" s="633"/>
      <c r="UMU214" s="633"/>
      <c r="UMV214" s="633"/>
      <c r="UMW214" s="633"/>
      <c r="UMX214" s="633"/>
      <c r="UMY214" s="633"/>
      <c r="UMZ214" s="633"/>
      <c r="UNA214" s="632" t="s">
        <v>634</v>
      </c>
      <c r="UNB214" s="633"/>
      <c r="UNC214" s="633"/>
      <c r="UND214" s="633"/>
      <c r="UNE214" s="633"/>
      <c r="UNF214" s="633"/>
      <c r="UNG214" s="633"/>
      <c r="UNH214" s="633"/>
      <c r="UNI214" s="633"/>
      <c r="UNJ214" s="633"/>
      <c r="UNK214" s="633"/>
      <c r="UNL214" s="633"/>
      <c r="UNM214" s="633"/>
      <c r="UNN214" s="633"/>
      <c r="UNO214" s="633"/>
      <c r="UNP214" s="633"/>
      <c r="UNQ214" s="632" t="s">
        <v>634</v>
      </c>
      <c r="UNR214" s="633"/>
      <c r="UNS214" s="633"/>
      <c r="UNT214" s="633"/>
      <c r="UNU214" s="633"/>
      <c r="UNV214" s="633"/>
      <c r="UNW214" s="633"/>
      <c r="UNX214" s="633"/>
      <c r="UNY214" s="633"/>
      <c r="UNZ214" s="633"/>
      <c r="UOA214" s="633"/>
      <c r="UOB214" s="633"/>
      <c r="UOC214" s="633"/>
      <c r="UOD214" s="633"/>
      <c r="UOE214" s="633"/>
      <c r="UOF214" s="633"/>
      <c r="UOG214" s="632" t="s">
        <v>634</v>
      </c>
      <c r="UOH214" s="633"/>
      <c r="UOI214" s="633"/>
      <c r="UOJ214" s="633"/>
      <c r="UOK214" s="633"/>
      <c r="UOL214" s="633"/>
      <c r="UOM214" s="633"/>
      <c r="UON214" s="633"/>
      <c r="UOO214" s="633"/>
      <c r="UOP214" s="633"/>
      <c r="UOQ214" s="633"/>
      <c r="UOR214" s="633"/>
      <c r="UOS214" s="633"/>
      <c r="UOT214" s="633"/>
      <c r="UOU214" s="633"/>
      <c r="UOV214" s="633"/>
      <c r="UOW214" s="632" t="s">
        <v>634</v>
      </c>
      <c r="UOX214" s="633"/>
      <c r="UOY214" s="633"/>
      <c r="UOZ214" s="633"/>
      <c r="UPA214" s="633"/>
      <c r="UPB214" s="633"/>
      <c r="UPC214" s="633"/>
      <c r="UPD214" s="633"/>
      <c r="UPE214" s="633"/>
      <c r="UPF214" s="633"/>
      <c r="UPG214" s="633"/>
      <c r="UPH214" s="633"/>
      <c r="UPI214" s="633"/>
      <c r="UPJ214" s="633"/>
      <c r="UPK214" s="633"/>
      <c r="UPL214" s="633"/>
      <c r="UPM214" s="632" t="s">
        <v>634</v>
      </c>
      <c r="UPN214" s="633"/>
      <c r="UPO214" s="633"/>
      <c r="UPP214" s="633"/>
      <c r="UPQ214" s="633"/>
      <c r="UPR214" s="633"/>
      <c r="UPS214" s="633"/>
      <c r="UPT214" s="633"/>
      <c r="UPU214" s="633"/>
      <c r="UPV214" s="633"/>
      <c r="UPW214" s="633"/>
      <c r="UPX214" s="633"/>
      <c r="UPY214" s="633"/>
      <c r="UPZ214" s="633"/>
      <c r="UQA214" s="633"/>
      <c r="UQB214" s="633"/>
      <c r="UQC214" s="632" t="s">
        <v>634</v>
      </c>
      <c r="UQD214" s="633"/>
      <c r="UQE214" s="633"/>
      <c r="UQF214" s="633"/>
      <c r="UQG214" s="633"/>
      <c r="UQH214" s="633"/>
      <c r="UQI214" s="633"/>
      <c r="UQJ214" s="633"/>
      <c r="UQK214" s="633"/>
      <c r="UQL214" s="633"/>
      <c r="UQM214" s="633"/>
      <c r="UQN214" s="633"/>
      <c r="UQO214" s="633"/>
      <c r="UQP214" s="633"/>
      <c r="UQQ214" s="633"/>
      <c r="UQR214" s="633"/>
      <c r="UQS214" s="632" t="s">
        <v>634</v>
      </c>
      <c r="UQT214" s="633"/>
      <c r="UQU214" s="633"/>
      <c r="UQV214" s="633"/>
      <c r="UQW214" s="633"/>
      <c r="UQX214" s="633"/>
      <c r="UQY214" s="633"/>
      <c r="UQZ214" s="633"/>
      <c r="URA214" s="633"/>
      <c r="URB214" s="633"/>
      <c r="URC214" s="633"/>
      <c r="URD214" s="633"/>
      <c r="URE214" s="633"/>
      <c r="URF214" s="633"/>
      <c r="URG214" s="633"/>
      <c r="URH214" s="633"/>
      <c r="URI214" s="632" t="s">
        <v>634</v>
      </c>
      <c r="URJ214" s="633"/>
      <c r="URK214" s="633"/>
      <c r="URL214" s="633"/>
      <c r="URM214" s="633"/>
      <c r="URN214" s="633"/>
      <c r="URO214" s="633"/>
      <c r="URP214" s="633"/>
      <c r="URQ214" s="633"/>
      <c r="URR214" s="633"/>
      <c r="URS214" s="633"/>
      <c r="URT214" s="633"/>
      <c r="URU214" s="633"/>
      <c r="URV214" s="633"/>
      <c r="URW214" s="633"/>
      <c r="URX214" s="633"/>
      <c r="URY214" s="632" t="s">
        <v>634</v>
      </c>
      <c r="URZ214" s="633"/>
      <c r="USA214" s="633"/>
      <c r="USB214" s="633"/>
      <c r="USC214" s="633"/>
      <c r="USD214" s="633"/>
      <c r="USE214" s="633"/>
      <c r="USF214" s="633"/>
      <c r="USG214" s="633"/>
      <c r="USH214" s="633"/>
      <c r="USI214" s="633"/>
      <c r="USJ214" s="633"/>
      <c r="USK214" s="633"/>
      <c r="USL214" s="633"/>
      <c r="USM214" s="633"/>
      <c r="USN214" s="633"/>
      <c r="USO214" s="632" t="s">
        <v>634</v>
      </c>
      <c r="USP214" s="633"/>
      <c r="USQ214" s="633"/>
      <c r="USR214" s="633"/>
      <c r="USS214" s="633"/>
      <c r="UST214" s="633"/>
      <c r="USU214" s="633"/>
      <c r="USV214" s="633"/>
      <c r="USW214" s="633"/>
      <c r="USX214" s="633"/>
      <c r="USY214" s="633"/>
      <c r="USZ214" s="633"/>
      <c r="UTA214" s="633"/>
      <c r="UTB214" s="633"/>
      <c r="UTC214" s="633"/>
      <c r="UTD214" s="633"/>
      <c r="UTE214" s="632" t="s">
        <v>634</v>
      </c>
      <c r="UTF214" s="633"/>
      <c r="UTG214" s="633"/>
      <c r="UTH214" s="633"/>
      <c r="UTI214" s="633"/>
      <c r="UTJ214" s="633"/>
      <c r="UTK214" s="633"/>
      <c r="UTL214" s="633"/>
      <c r="UTM214" s="633"/>
      <c r="UTN214" s="633"/>
      <c r="UTO214" s="633"/>
      <c r="UTP214" s="633"/>
      <c r="UTQ214" s="633"/>
      <c r="UTR214" s="633"/>
      <c r="UTS214" s="633"/>
      <c r="UTT214" s="633"/>
      <c r="UTU214" s="632" t="s">
        <v>634</v>
      </c>
      <c r="UTV214" s="633"/>
      <c r="UTW214" s="633"/>
      <c r="UTX214" s="633"/>
      <c r="UTY214" s="633"/>
      <c r="UTZ214" s="633"/>
      <c r="UUA214" s="633"/>
      <c r="UUB214" s="633"/>
      <c r="UUC214" s="633"/>
      <c r="UUD214" s="633"/>
      <c r="UUE214" s="633"/>
      <c r="UUF214" s="633"/>
      <c r="UUG214" s="633"/>
      <c r="UUH214" s="633"/>
      <c r="UUI214" s="633"/>
      <c r="UUJ214" s="633"/>
      <c r="UUK214" s="632" t="s">
        <v>634</v>
      </c>
      <c r="UUL214" s="633"/>
      <c r="UUM214" s="633"/>
      <c r="UUN214" s="633"/>
      <c r="UUO214" s="633"/>
      <c r="UUP214" s="633"/>
      <c r="UUQ214" s="633"/>
      <c r="UUR214" s="633"/>
      <c r="UUS214" s="633"/>
      <c r="UUT214" s="633"/>
      <c r="UUU214" s="633"/>
      <c r="UUV214" s="633"/>
      <c r="UUW214" s="633"/>
      <c r="UUX214" s="633"/>
      <c r="UUY214" s="633"/>
      <c r="UUZ214" s="633"/>
      <c r="UVA214" s="632" t="s">
        <v>634</v>
      </c>
      <c r="UVB214" s="633"/>
      <c r="UVC214" s="633"/>
      <c r="UVD214" s="633"/>
      <c r="UVE214" s="633"/>
      <c r="UVF214" s="633"/>
      <c r="UVG214" s="633"/>
      <c r="UVH214" s="633"/>
      <c r="UVI214" s="633"/>
      <c r="UVJ214" s="633"/>
      <c r="UVK214" s="633"/>
      <c r="UVL214" s="633"/>
      <c r="UVM214" s="633"/>
      <c r="UVN214" s="633"/>
      <c r="UVO214" s="633"/>
      <c r="UVP214" s="633"/>
      <c r="UVQ214" s="632" t="s">
        <v>634</v>
      </c>
      <c r="UVR214" s="633"/>
      <c r="UVS214" s="633"/>
      <c r="UVT214" s="633"/>
      <c r="UVU214" s="633"/>
      <c r="UVV214" s="633"/>
      <c r="UVW214" s="633"/>
      <c r="UVX214" s="633"/>
      <c r="UVY214" s="633"/>
      <c r="UVZ214" s="633"/>
      <c r="UWA214" s="633"/>
      <c r="UWB214" s="633"/>
      <c r="UWC214" s="633"/>
      <c r="UWD214" s="633"/>
      <c r="UWE214" s="633"/>
      <c r="UWF214" s="633"/>
      <c r="UWG214" s="632" t="s">
        <v>634</v>
      </c>
      <c r="UWH214" s="633"/>
      <c r="UWI214" s="633"/>
      <c r="UWJ214" s="633"/>
      <c r="UWK214" s="633"/>
      <c r="UWL214" s="633"/>
      <c r="UWM214" s="633"/>
      <c r="UWN214" s="633"/>
      <c r="UWO214" s="633"/>
      <c r="UWP214" s="633"/>
      <c r="UWQ214" s="633"/>
      <c r="UWR214" s="633"/>
      <c r="UWS214" s="633"/>
      <c r="UWT214" s="633"/>
      <c r="UWU214" s="633"/>
      <c r="UWV214" s="633"/>
      <c r="UWW214" s="632" t="s">
        <v>634</v>
      </c>
      <c r="UWX214" s="633"/>
      <c r="UWY214" s="633"/>
      <c r="UWZ214" s="633"/>
      <c r="UXA214" s="633"/>
      <c r="UXB214" s="633"/>
      <c r="UXC214" s="633"/>
      <c r="UXD214" s="633"/>
      <c r="UXE214" s="633"/>
      <c r="UXF214" s="633"/>
      <c r="UXG214" s="633"/>
      <c r="UXH214" s="633"/>
      <c r="UXI214" s="633"/>
      <c r="UXJ214" s="633"/>
      <c r="UXK214" s="633"/>
      <c r="UXL214" s="633"/>
      <c r="UXM214" s="632" t="s">
        <v>634</v>
      </c>
      <c r="UXN214" s="633"/>
      <c r="UXO214" s="633"/>
      <c r="UXP214" s="633"/>
      <c r="UXQ214" s="633"/>
      <c r="UXR214" s="633"/>
      <c r="UXS214" s="633"/>
      <c r="UXT214" s="633"/>
      <c r="UXU214" s="633"/>
      <c r="UXV214" s="633"/>
      <c r="UXW214" s="633"/>
      <c r="UXX214" s="633"/>
      <c r="UXY214" s="633"/>
      <c r="UXZ214" s="633"/>
      <c r="UYA214" s="633"/>
      <c r="UYB214" s="633"/>
      <c r="UYC214" s="632" t="s">
        <v>634</v>
      </c>
      <c r="UYD214" s="633"/>
      <c r="UYE214" s="633"/>
      <c r="UYF214" s="633"/>
      <c r="UYG214" s="633"/>
      <c r="UYH214" s="633"/>
      <c r="UYI214" s="633"/>
      <c r="UYJ214" s="633"/>
      <c r="UYK214" s="633"/>
      <c r="UYL214" s="633"/>
      <c r="UYM214" s="633"/>
      <c r="UYN214" s="633"/>
      <c r="UYO214" s="633"/>
      <c r="UYP214" s="633"/>
      <c r="UYQ214" s="633"/>
      <c r="UYR214" s="633"/>
      <c r="UYS214" s="632" t="s">
        <v>634</v>
      </c>
      <c r="UYT214" s="633"/>
      <c r="UYU214" s="633"/>
      <c r="UYV214" s="633"/>
      <c r="UYW214" s="633"/>
      <c r="UYX214" s="633"/>
      <c r="UYY214" s="633"/>
      <c r="UYZ214" s="633"/>
      <c r="UZA214" s="633"/>
      <c r="UZB214" s="633"/>
      <c r="UZC214" s="633"/>
      <c r="UZD214" s="633"/>
      <c r="UZE214" s="633"/>
      <c r="UZF214" s="633"/>
      <c r="UZG214" s="633"/>
      <c r="UZH214" s="633"/>
      <c r="UZI214" s="632" t="s">
        <v>634</v>
      </c>
      <c r="UZJ214" s="633"/>
      <c r="UZK214" s="633"/>
      <c r="UZL214" s="633"/>
      <c r="UZM214" s="633"/>
      <c r="UZN214" s="633"/>
      <c r="UZO214" s="633"/>
      <c r="UZP214" s="633"/>
      <c r="UZQ214" s="633"/>
      <c r="UZR214" s="633"/>
      <c r="UZS214" s="633"/>
      <c r="UZT214" s="633"/>
      <c r="UZU214" s="633"/>
      <c r="UZV214" s="633"/>
      <c r="UZW214" s="633"/>
      <c r="UZX214" s="633"/>
      <c r="UZY214" s="632" t="s">
        <v>634</v>
      </c>
      <c r="UZZ214" s="633"/>
      <c r="VAA214" s="633"/>
      <c r="VAB214" s="633"/>
      <c r="VAC214" s="633"/>
      <c r="VAD214" s="633"/>
      <c r="VAE214" s="633"/>
      <c r="VAF214" s="633"/>
      <c r="VAG214" s="633"/>
      <c r="VAH214" s="633"/>
      <c r="VAI214" s="633"/>
      <c r="VAJ214" s="633"/>
      <c r="VAK214" s="633"/>
      <c r="VAL214" s="633"/>
      <c r="VAM214" s="633"/>
      <c r="VAN214" s="633"/>
      <c r="VAO214" s="632" t="s">
        <v>634</v>
      </c>
      <c r="VAP214" s="633"/>
      <c r="VAQ214" s="633"/>
      <c r="VAR214" s="633"/>
      <c r="VAS214" s="633"/>
      <c r="VAT214" s="633"/>
      <c r="VAU214" s="633"/>
      <c r="VAV214" s="633"/>
      <c r="VAW214" s="633"/>
      <c r="VAX214" s="633"/>
      <c r="VAY214" s="633"/>
      <c r="VAZ214" s="633"/>
      <c r="VBA214" s="633"/>
      <c r="VBB214" s="633"/>
      <c r="VBC214" s="633"/>
      <c r="VBD214" s="633"/>
      <c r="VBE214" s="632" t="s">
        <v>634</v>
      </c>
      <c r="VBF214" s="633"/>
      <c r="VBG214" s="633"/>
      <c r="VBH214" s="633"/>
      <c r="VBI214" s="633"/>
      <c r="VBJ214" s="633"/>
      <c r="VBK214" s="633"/>
      <c r="VBL214" s="633"/>
      <c r="VBM214" s="633"/>
      <c r="VBN214" s="633"/>
      <c r="VBO214" s="633"/>
      <c r="VBP214" s="633"/>
      <c r="VBQ214" s="633"/>
      <c r="VBR214" s="633"/>
      <c r="VBS214" s="633"/>
      <c r="VBT214" s="633"/>
      <c r="VBU214" s="632" t="s">
        <v>634</v>
      </c>
      <c r="VBV214" s="633"/>
      <c r="VBW214" s="633"/>
      <c r="VBX214" s="633"/>
      <c r="VBY214" s="633"/>
      <c r="VBZ214" s="633"/>
      <c r="VCA214" s="633"/>
      <c r="VCB214" s="633"/>
      <c r="VCC214" s="633"/>
      <c r="VCD214" s="633"/>
      <c r="VCE214" s="633"/>
      <c r="VCF214" s="633"/>
      <c r="VCG214" s="633"/>
      <c r="VCH214" s="633"/>
      <c r="VCI214" s="633"/>
      <c r="VCJ214" s="633"/>
      <c r="VCK214" s="632" t="s">
        <v>634</v>
      </c>
      <c r="VCL214" s="633"/>
      <c r="VCM214" s="633"/>
      <c r="VCN214" s="633"/>
      <c r="VCO214" s="633"/>
      <c r="VCP214" s="633"/>
      <c r="VCQ214" s="633"/>
      <c r="VCR214" s="633"/>
      <c r="VCS214" s="633"/>
      <c r="VCT214" s="633"/>
      <c r="VCU214" s="633"/>
      <c r="VCV214" s="633"/>
      <c r="VCW214" s="633"/>
      <c r="VCX214" s="633"/>
      <c r="VCY214" s="633"/>
      <c r="VCZ214" s="633"/>
      <c r="VDA214" s="632" t="s">
        <v>634</v>
      </c>
      <c r="VDB214" s="633"/>
      <c r="VDC214" s="633"/>
      <c r="VDD214" s="633"/>
      <c r="VDE214" s="633"/>
      <c r="VDF214" s="633"/>
      <c r="VDG214" s="633"/>
      <c r="VDH214" s="633"/>
      <c r="VDI214" s="633"/>
      <c r="VDJ214" s="633"/>
      <c r="VDK214" s="633"/>
      <c r="VDL214" s="633"/>
      <c r="VDM214" s="633"/>
      <c r="VDN214" s="633"/>
      <c r="VDO214" s="633"/>
      <c r="VDP214" s="633"/>
      <c r="VDQ214" s="632" t="s">
        <v>634</v>
      </c>
      <c r="VDR214" s="633"/>
      <c r="VDS214" s="633"/>
      <c r="VDT214" s="633"/>
      <c r="VDU214" s="633"/>
      <c r="VDV214" s="633"/>
      <c r="VDW214" s="633"/>
      <c r="VDX214" s="633"/>
      <c r="VDY214" s="633"/>
      <c r="VDZ214" s="633"/>
      <c r="VEA214" s="633"/>
      <c r="VEB214" s="633"/>
      <c r="VEC214" s="633"/>
      <c r="VED214" s="633"/>
      <c r="VEE214" s="633"/>
      <c r="VEF214" s="633"/>
      <c r="VEG214" s="632" t="s">
        <v>634</v>
      </c>
      <c r="VEH214" s="633"/>
      <c r="VEI214" s="633"/>
      <c r="VEJ214" s="633"/>
      <c r="VEK214" s="633"/>
      <c r="VEL214" s="633"/>
      <c r="VEM214" s="633"/>
      <c r="VEN214" s="633"/>
      <c r="VEO214" s="633"/>
      <c r="VEP214" s="633"/>
      <c r="VEQ214" s="633"/>
      <c r="VER214" s="633"/>
      <c r="VES214" s="633"/>
      <c r="VET214" s="633"/>
      <c r="VEU214" s="633"/>
      <c r="VEV214" s="633"/>
      <c r="VEW214" s="632" t="s">
        <v>634</v>
      </c>
      <c r="VEX214" s="633"/>
      <c r="VEY214" s="633"/>
      <c r="VEZ214" s="633"/>
      <c r="VFA214" s="633"/>
      <c r="VFB214" s="633"/>
      <c r="VFC214" s="633"/>
      <c r="VFD214" s="633"/>
      <c r="VFE214" s="633"/>
      <c r="VFF214" s="633"/>
      <c r="VFG214" s="633"/>
      <c r="VFH214" s="633"/>
      <c r="VFI214" s="633"/>
      <c r="VFJ214" s="633"/>
      <c r="VFK214" s="633"/>
      <c r="VFL214" s="633"/>
      <c r="VFM214" s="632" t="s">
        <v>634</v>
      </c>
      <c r="VFN214" s="633"/>
      <c r="VFO214" s="633"/>
      <c r="VFP214" s="633"/>
      <c r="VFQ214" s="633"/>
      <c r="VFR214" s="633"/>
      <c r="VFS214" s="633"/>
      <c r="VFT214" s="633"/>
      <c r="VFU214" s="633"/>
      <c r="VFV214" s="633"/>
      <c r="VFW214" s="633"/>
      <c r="VFX214" s="633"/>
      <c r="VFY214" s="633"/>
      <c r="VFZ214" s="633"/>
      <c r="VGA214" s="633"/>
      <c r="VGB214" s="633"/>
      <c r="VGC214" s="632" t="s">
        <v>634</v>
      </c>
      <c r="VGD214" s="633"/>
      <c r="VGE214" s="633"/>
      <c r="VGF214" s="633"/>
      <c r="VGG214" s="633"/>
      <c r="VGH214" s="633"/>
      <c r="VGI214" s="633"/>
      <c r="VGJ214" s="633"/>
      <c r="VGK214" s="633"/>
      <c r="VGL214" s="633"/>
      <c r="VGM214" s="633"/>
      <c r="VGN214" s="633"/>
      <c r="VGO214" s="633"/>
      <c r="VGP214" s="633"/>
      <c r="VGQ214" s="633"/>
      <c r="VGR214" s="633"/>
      <c r="VGS214" s="632" t="s">
        <v>634</v>
      </c>
      <c r="VGT214" s="633"/>
      <c r="VGU214" s="633"/>
      <c r="VGV214" s="633"/>
      <c r="VGW214" s="633"/>
      <c r="VGX214" s="633"/>
      <c r="VGY214" s="633"/>
      <c r="VGZ214" s="633"/>
      <c r="VHA214" s="633"/>
      <c r="VHB214" s="633"/>
      <c r="VHC214" s="633"/>
      <c r="VHD214" s="633"/>
      <c r="VHE214" s="633"/>
      <c r="VHF214" s="633"/>
      <c r="VHG214" s="633"/>
      <c r="VHH214" s="633"/>
      <c r="VHI214" s="632" t="s">
        <v>634</v>
      </c>
      <c r="VHJ214" s="633"/>
      <c r="VHK214" s="633"/>
      <c r="VHL214" s="633"/>
      <c r="VHM214" s="633"/>
      <c r="VHN214" s="633"/>
      <c r="VHO214" s="633"/>
      <c r="VHP214" s="633"/>
      <c r="VHQ214" s="633"/>
      <c r="VHR214" s="633"/>
      <c r="VHS214" s="633"/>
      <c r="VHT214" s="633"/>
      <c r="VHU214" s="633"/>
      <c r="VHV214" s="633"/>
      <c r="VHW214" s="633"/>
      <c r="VHX214" s="633"/>
      <c r="VHY214" s="632" t="s">
        <v>634</v>
      </c>
      <c r="VHZ214" s="633"/>
      <c r="VIA214" s="633"/>
      <c r="VIB214" s="633"/>
      <c r="VIC214" s="633"/>
      <c r="VID214" s="633"/>
      <c r="VIE214" s="633"/>
      <c r="VIF214" s="633"/>
      <c r="VIG214" s="633"/>
      <c r="VIH214" s="633"/>
      <c r="VII214" s="633"/>
      <c r="VIJ214" s="633"/>
      <c r="VIK214" s="633"/>
      <c r="VIL214" s="633"/>
      <c r="VIM214" s="633"/>
      <c r="VIN214" s="633"/>
      <c r="VIO214" s="632" t="s">
        <v>634</v>
      </c>
      <c r="VIP214" s="633"/>
      <c r="VIQ214" s="633"/>
      <c r="VIR214" s="633"/>
      <c r="VIS214" s="633"/>
      <c r="VIT214" s="633"/>
      <c r="VIU214" s="633"/>
      <c r="VIV214" s="633"/>
      <c r="VIW214" s="633"/>
      <c r="VIX214" s="633"/>
      <c r="VIY214" s="633"/>
      <c r="VIZ214" s="633"/>
      <c r="VJA214" s="633"/>
      <c r="VJB214" s="633"/>
      <c r="VJC214" s="633"/>
      <c r="VJD214" s="633"/>
      <c r="VJE214" s="632" t="s">
        <v>634</v>
      </c>
      <c r="VJF214" s="633"/>
      <c r="VJG214" s="633"/>
      <c r="VJH214" s="633"/>
      <c r="VJI214" s="633"/>
      <c r="VJJ214" s="633"/>
      <c r="VJK214" s="633"/>
      <c r="VJL214" s="633"/>
      <c r="VJM214" s="633"/>
      <c r="VJN214" s="633"/>
      <c r="VJO214" s="633"/>
      <c r="VJP214" s="633"/>
      <c r="VJQ214" s="633"/>
      <c r="VJR214" s="633"/>
      <c r="VJS214" s="633"/>
      <c r="VJT214" s="633"/>
      <c r="VJU214" s="632" t="s">
        <v>634</v>
      </c>
      <c r="VJV214" s="633"/>
      <c r="VJW214" s="633"/>
      <c r="VJX214" s="633"/>
      <c r="VJY214" s="633"/>
      <c r="VJZ214" s="633"/>
      <c r="VKA214" s="633"/>
      <c r="VKB214" s="633"/>
      <c r="VKC214" s="633"/>
      <c r="VKD214" s="633"/>
      <c r="VKE214" s="633"/>
      <c r="VKF214" s="633"/>
      <c r="VKG214" s="633"/>
      <c r="VKH214" s="633"/>
      <c r="VKI214" s="633"/>
      <c r="VKJ214" s="633"/>
      <c r="VKK214" s="632" t="s">
        <v>634</v>
      </c>
      <c r="VKL214" s="633"/>
      <c r="VKM214" s="633"/>
      <c r="VKN214" s="633"/>
      <c r="VKO214" s="633"/>
      <c r="VKP214" s="633"/>
      <c r="VKQ214" s="633"/>
      <c r="VKR214" s="633"/>
      <c r="VKS214" s="633"/>
      <c r="VKT214" s="633"/>
      <c r="VKU214" s="633"/>
      <c r="VKV214" s="633"/>
      <c r="VKW214" s="633"/>
      <c r="VKX214" s="633"/>
      <c r="VKY214" s="633"/>
      <c r="VKZ214" s="633"/>
      <c r="VLA214" s="632" t="s">
        <v>634</v>
      </c>
      <c r="VLB214" s="633"/>
      <c r="VLC214" s="633"/>
      <c r="VLD214" s="633"/>
      <c r="VLE214" s="633"/>
      <c r="VLF214" s="633"/>
      <c r="VLG214" s="633"/>
      <c r="VLH214" s="633"/>
      <c r="VLI214" s="633"/>
      <c r="VLJ214" s="633"/>
      <c r="VLK214" s="633"/>
      <c r="VLL214" s="633"/>
      <c r="VLM214" s="633"/>
      <c r="VLN214" s="633"/>
      <c r="VLO214" s="633"/>
      <c r="VLP214" s="633"/>
      <c r="VLQ214" s="632" t="s">
        <v>634</v>
      </c>
      <c r="VLR214" s="633"/>
      <c r="VLS214" s="633"/>
      <c r="VLT214" s="633"/>
      <c r="VLU214" s="633"/>
      <c r="VLV214" s="633"/>
      <c r="VLW214" s="633"/>
      <c r="VLX214" s="633"/>
      <c r="VLY214" s="633"/>
      <c r="VLZ214" s="633"/>
      <c r="VMA214" s="633"/>
      <c r="VMB214" s="633"/>
      <c r="VMC214" s="633"/>
      <c r="VMD214" s="633"/>
      <c r="VME214" s="633"/>
      <c r="VMF214" s="633"/>
      <c r="VMG214" s="632" t="s">
        <v>634</v>
      </c>
      <c r="VMH214" s="633"/>
      <c r="VMI214" s="633"/>
      <c r="VMJ214" s="633"/>
      <c r="VMK214" s="633"/>
      <c r="VML214" s="633"/>
      <c r="VMM214" s="633"/>
      <c r="VMN214" s="633"/>
      <c r="VMO214" s="633"/>
      <c r="VMP214" s="633"/>
      <c r="VMQ214" s="633"/>
      <c r="VMR214" s="633"/>
      <c r="VMS214" s="633"/>
      <c r="VMT214" s="633"/>
      <c r="VMU214" s="633"/>
      <c r="VMV214" s="633"/>
      <c r="VMW214" s="632" t="s">
        <v>634</v>
      </c>
      <c r="VMX214" s="633"/>
      <c r="VMY214" s="633"/>
      <c r="VMZ214" s="633"/>
      <c r="VNA214" s="633"/>
      <c r="VNB214" s="633"/>
      <c r="VNC214" s="633"/>
      <c r="VND214" s="633"/>
      <c r="VNE214" s="633"/>
      <c r="VNF214" s="633"/>
      <c r="VNG214" s="633"/>
      <c r="VNH214" s="633"/>
      <c r="VNI214" s="633"/>
      <c r="VNJ214" s="633"/>
      <c r="VNK214" s="633"/>
      <c r="VNL214" s="633"/>
      <c r="VNM214" s="632" t="s">
        <v>634</v>
      </c>
      <c r="VNN214" s="633"/>
      <c r="VNO214" s="633"/>
      <c r="VNP214" s="633"/>
      <c r="VNQ214" s="633"/>
      <c r="VNR214" s="633"/>
      <c r="VNS214" s="633"/>
      <c r="VNT214" s="633"/>
      <c r="VNU214" s="633"/>
      <c r="VNV214" s="633"/>
      <c r="VNW214" s="633"/>
      <c r="VNX214" s="633"/>
      <c r="VNY214" s="633"/>
      <c r="VNZ214" s="633"/>
      <c r="VOA214" s="633"/>
      <c r="VOB214" s="633"/>
      <c r="VOC214" s="632" t="s">
        <v>634</v>
      </c>
      <c r="VOD214" s="633"/>
      <c r="VOE214" s="633"/>
      <c r="VOF214" s="633"/>
      <c r="VOG214" s="633"/>
      <c r="VOH214" s="633"/>
      <c r="VOI214" s="633"/>
      <c r="VOJ214" s="633"/>
      <c r="VOK214" s="633"/>
      <c r="VOL214" s="633"/>
      <c r="VOM214" s="633"/>
      <c r="VON214" s="633"/>
      <c r="VOO214" s="633"/>
      <c r="VOP214" s="633"/>
      <c r="VOQ214" s="633"/>
      <c r="VOR214" s="633"/>
      <c r="VOS214" s="632" t="s">
        <v>634</v>
      </c>
      <c r="VOT214" s="633"/>
      <c r="VOU214" s="633"/>
      <c r="VOV214" s="633"/>
      <c r="VOW214" s="633"/>
      <c r="VOX214" s="633"/>
      <c r="VOY214" s="633"/>
      <c r="VOZ214" s="633"/>
      <c r="VPA214" s="633"/>
      <c r="VPB214" s="633"/>
      <c r="VPC214" s="633"/>
      <c r="VPD214" s="633"/>
      <c r="VPE214" s="633"/>
      <c r="VPF214" s="633"/>
      <c r="VPG214" s="633"/>
      <c r="VPH214" s="633"/>
      <c r="VPI214" s="632" t="s">
        <v>634</v>
      </c>
      <c r="VPJ214" s="633"/>
      <c r="VPK214" s="633"/>
      <c r="VPL214" s="633"/>
      <c r="VPM214" s="633"/>
      <c r="VPN214" s="633"/>
      <c r="VPO214" s="633"/>
      <c r="VPP214" s="633"/>
      <c r="VPQ214" s="633"/>
      <c r="VPR214" s="633"/>
      <c r="VPS214" s="633"/>
      <c r="VPT214" s="633"/>
      <c r="VPU214" s="633"/>
      <c r="VPV214" s="633"/>
      <c r="VPW214" s="633"/>
      <c r="VPX214" s="633"/>
      <c r="VPY214" s="632" t="s">
        <v>634</v>
      </c>
      <c r="VPZ214" s="633"/>
      <c r="VQA214" s="633"/>
      <c r="VQB214" s="633"/>
      <c r="VQC214" s="633"/>
      <c r="VQD214" s="633"/>
      <c r="VQE214" s="633"/>
      <c r="VQF214" s="633"/>
      <c r="VQG214" s="633"/>
      <c r="VQH214" s="633"/>
      <c r="VQI214" s="633"/>
      <c r="VQJ214" s="633"/>
      <c r="VQK214" s="633"/>
      <c r="VQL214" s="633"/>
      <c r="VQM214" s="633"/>
      <c r="VQN214" s="633"/>
      <c r="VQO214" s="632" t="s">
        <v>634</v>
      </c>
      <c r="VQP214" s="633"/>
      <c r="VQQ214" s="633"/>
      <c r="VQR214" s="633"/>
      <c r="VQS214" s="633"/>
      <c r="VQT214" s="633"/>
      <c r="VQU214" s="633"/>
      <c r="VQV214" s="633"/>
      <c r="VQW214" s="633"/>
      <c r="VQX214" s="633"/>
      <c r="VQY214" s="633"/>
      <c r="VQZ214" s="633"/>
      <c r="VRA214" s="633"/>
      <c r="VRB214" s="633"/>
      <c r="VRC214" s="633"/>
      <c r="VRD214" s="633"/>
      <c r="VRE214" s="632" t="s">
        <v>634</v>
      </c>
      <c r="VRF214" s="633"/>
      <c r="VRG214" s="633"/>
      <c r="VRH214" s="633"/>
      <c r="VRI214" s="633"/>
      <c r="VRJ214" s="633"/>
      <c r="VRK214" s="633"/>
      <c r="VRL214" s="633"/>
      <c r="VRM214" s="633"/>
      <c r="VRN214" s="633"/>
      <c r="VRO214" s="633"/>
      <c r="VRP214" s="633"/>
      <c r="VRQ214" s="633"/>
      <c r="VRR214" s="633"/>
      <c r="VRS214" s="633"/>
      <c r="VRT214" s="633"/>
      <c r="VRU214" s="632" t="s">
        <v>634</v>
      </c>
      <c r="VRV214" s="633"/>
      <c r="VRW214" s="633"/>
      <c r="VRX214" s="633"/>
      <c r="VRY214" s="633"/>
      <c r="VRZ214" s="633"/>
      <c r="VSA214" s="633"/>
      <c r="VSB214" s="633"/>
      <c r="VSC214" s="633"/>
      <c r="VSD214" s="633"/>
      <c r="VSE214" s="633"/>
      <c r="VSF214" s="633"/>
      <c r="VSG214" s="633"/>
      <c r="VSH214" s="633"/>
      <c r="VSI214" s="633"/>
      <c r="VSJ214" s="633"/>
      <c r="VSK214" s="632" t="s">
        <v>634</v>
      </c>
      <c r="VSL214" s="633"/>
      <c r="VSM214" s="633"/>
      <c r="VSN214" s="633"/>
      <c r="VSO214" s="633"/>
      <c r="VSP214" s="633"/>
      <c r="VSQ214" s="633"/>
      <c r="VSR214" s="633"/>
      <c r="VSS214" s="633"/>
      <c r="VST214" s="633"/>
      <c r="VSU214" s="633"/>
      <c r="VSV214" s="633"/>
      <c r="VSW214" s="633"/>
      <c r="VSX214" s="633"/>
      <c r="VSY214" s="633"/>
      <c r="VSZ214" s="633"/>
      <c r="VTA214" s="632" t="s">
        <v>634</v>
      </c>
      <c r="VTB214" s="633"/>
      <c r="VTC214" s="633"/>
      <c r="VTD214" s="633"/>
      <c r="VTE214" s="633"/>
      <c r="VTF214" s="633"/>
      <c r="VTG214" s="633"/>
      <c r="VTH214" s="633"/>
      <c r="VTI214" s="633"/>
      <c r="VTJ214" s="633"/>
      <c r="VTK214" s="633"/>
      <c r="VTL214" s="633"/>
      <c r="VTM214" s="633"/>
      <c r="VTN214" s="633"/>
      <c r="VTO214" s="633"/>
      <c r="VTP214" s="633"/>
      <c r="VTQ214" s="632" t="s">
        <v>634</v>
      </c>
      <c r="VTR214" s="633"/>
      <c r="VTS214" s="633"/>
      <c r="VTT214" s="633"/>
      <c r="VTU214" s="633"/>
      <c r="VTV214" s="633"/>
      <c r="VTW214" s="633"/>
      <c r="VTX214" s="633"/>
      <c r="VTY214" s="633"/>
      <c r="VTZ214" s="633"/>
      <c r="VUA214" s="633"/>
      <c r="VUB214" s="633"/>
      <c r="VUC214" s="633"/>
      <c r="VUD214" s="633"/>
      <c r="VUE214" s="633"/>
      <c r="VUF214" s="633"/>
      <c r="VUG214" s="632" t="s">
        <v>634</v>
      </c>
      <c r="VUH214" s="633"/>
      <c r="VUI214" s="633"/>
      <c r="VUJ214" s="633"/>
      <c r="VUK214" s="633"/>
      <c r="VUL214" s="633"/>
      <c r="VUM214" s="633"/>
      <c r="VUN214" s="633"/>
      <c r="VUO214" s="633"/>
      <c r="VUP214" s="633"/>
      <c r="VUQ214" s="633"/>
      <c r="VUR214" s="633"/>
      <c r="VUS214" s="633"/>
      <c r="VUT214" s="633"/>
      <c r="VUU214" s="633"/>
      <c r="VUV214" s="633"/>
      <c r="VUW214" s="632" t="s">
        <v>634</v>
      </c>
      <c r="VUX214" s="633"/>
      <c r="VUY214" s="633"/>
      <c r="VUZ214" s="633"/>
      <c r="VVA214" s="633"/>
      <c r="VVB214" s="633"/>
      <c r="VVC214" s="633"/>
      <c r="VVD214" s="633"/>
      <c r="VVE214" s="633"/>
      <c r="VVF214" s="633"/>
      <c r="VVG214" s="633"/>
      <c r="VVH214" s="633"/>
      <c r="VVI214" s="633"/>
      <c r="VVJ214" s="633"/>
      <c r="VVK214" s="633"/>
      <c r="VVL214" s="633"/>
      <c r="VVM214" s="632" t="s">
        <v>634</v>
      </c>
      <c r="VVN214" s="633"/>
      <c r="VVO214" s="633"/>
      <c r="VVP214" s="633"/>
      <c r="VVQ214" s="633"/>
      <c r="VVR214" s="633"/>
      <c r="VVS214" s="633"/>
      <c r="VVT214" s="633"/>
      <c r="VVU214" s="633"/>
      <c r="VVV214" s="633"/>
      <c r="VVW214" s="633"/>
      <c r="VVX214" s="633"/>
      <c r="VVY214" s="633"/>
      <c r="VVZ214" s="633"/>
      <c r="VWA214" s="633"/>
      <c r="VWB214" s="633"/>
      <c r="VWC214" s="632" t="s">
        <v>634</v>
      </c>
      <c r="VWD214" s="633"/>
      <c r="VWE214" s="633"/>
      <c r="VWF214" s="633"/>
      <c r="VWG214" s="633"/>
      <c r="VWH214" s="633"/>
      <c r="VWI214" s="633"/>
      <c r="VWJ214" s="633"/>
      <c r="VWK214" s="633"/>
      <c r="VWL214" s="633"/>
      <c r="VWM214" s="633"/>
      <c r="VWN214" s="633"/>
      <c r="VWO214" s="633"/>
      <c r="VWP214" s="633"/>
      <c r="VWQ214" s="633"/>
      <c r="VWR214" s="633"/>
      <c r="VWS214" s="632" t="s">
        <v>634</v>
      </c>
      <c r="VWT214" s="633"/>
      <c r="VWU214" s="633"/>
      <c r="VWV214" s="633"/>
      <c r="VWW214" s="633"/>
      <c r="VWX214" s="633"/>
      <c r="VWY214" s="633"/>
      <c r="VWZ214" s="633"/>
      <c r="VXA214" s="633"/>
      <c r="VXB214" s="633"/>
      <c r="VXC214" s="633"/>
      <c r="VXD214" s="633"/>
      <c r="VXE214" s="633"/>
      <c r="VXF214" s="633"/>
      <c r="VXG214" s="633"/>
      <c r="VXH214" s="633"/>
      <c r="VXI214" s="632" t="s">
        <v>634</v>
      </c>
      <c r="VXJ214" s="633"/>
      <c r="VXK214" s="633"/>
      <c r="VXL214" s="633"/>
      <c r="VXM214" s="633"/>
      <c r="VXN214" s="633"/>
      <c r="VXO214" s="633"/>
      <c r="VXP214" s="633"/>
      <c r="VXQ214" s="633"/>
      <c r="VXR214" s="633"/>
      <c r="VXS214" s="633"/>
      <c r="VXT214" s="633"/>
      <c r="VXU214" s="633"/>
      <c r="VXV214" s="633"/>
      <c r="VXW214" s="633"/>
      <c r="VXX214" s="633"/>
      <c r="VXY214" s="632" t="s">
        <v>634</v>
      </c>
      <c r="VXZ214" s="633"/>
      <c r="VYA214" s="633"/>
      <c r="VYB214" s="633"/>
      <c r="VYC214" s="633"/>
      <c r="VYD214" s="633"/>
      <c r="VYE214" s="633"/>
      <c r="VYF214" s="633"/>
      <c r="VYG214" s="633"/>
      <c r="VYH214" s="633"/>
      <c r="VYI214" s="633"/>
      <c r="VYJ214" s="633"/>
      <c r="VYK214" s="633"/>
      <c r="VYL214" s="633"/>
      <c r="VYM214" s="633"/>
      <c r="VYN214" s="633"/>
      <c r="VYO214" s="632" t="s">
        <v>634</v>
      </c>
      <c r="VYP214" s="633"/>
      <c r="VYQ214" s="633"/>
      <c r="VYR214" s="633"/>
      <c r="VYS214" s="633"/>
      <c r="VYT214" s="633"/>
      <c r="VYU214" s="633"/>
      <c r="VYV214" s="633"/>
      <c r="VYW214" s="633"/>
      <c r="VYX214" s="633"/>
      <c r="VYY214" s="633"/>
      <c r="VYZ214" s="633"/>
      <c r="VZA214" s="633"/>
      <c r="VZB214" s="633"/>
      <c r="VZC214" s="633"/>
      <c r="VZD214" s="633"/>
      <c r="VZE214" s="632" t="s">
        <v>634</v>
      </c>
      <c r="VZF214" s="633"/>
      <c r="VZG214" s="633"/>
      <c r="VZH214" s="633"/>
      <c r="VZI214" s="633"/>
      <c r="VZJ214" s="633"/>
      <c r="VZK214" s="633"/>
      <c r="VZL214" s="633"/>
      <c r="VZM214" s="633"/>
      <c r="VZN214" s="633"/>
      <c r="VZO214" s="633"/>
      <c r="VZP214" s="633"/>
      <c r="VZQ214" s="633"/>
      <c r="VZR214" s="633"/>
      <c r="VZS214" s="633"/>
      <c r="VZT214" s="633"/>
      <c r="VZU214" s="632" t="s">
        <v>634</v>
      </c>
      <c r="VZV214" s="633"/>
      <c r="VZW214" s="633"/>
      <c r="VZX214" s="633"/>
      <c r="VZY214" s="633"/>
      <c r="VZZ214" s="633"/>
      <c r="WAA214" s="633"/>
      <c r="WAB214" s="633"/>
      <c r="WAC214" s="633"/>
      <c r="WAD214" s="633"/>
      <c r="WAE214" s="633"/>
      <c r="WAF214" s="633"/>
      <c r="WAG214" s="633"/>
      <c r="WAH214" s="633"/>
      <c r="WAI214" s="633"/>
      <c r="WAJ214" s="633"/>
      <c r="WAK214" s="632" t="s">
        <v>634</v>
      </c>
      <c r="WAL214" s="633"/>
      <c r="WAM214" s="633"/>
      <c r="WAN214" s="633"/>
      <c r="WAO214" s="633"/>
      <c r="WAP214" s="633"/>
      <c r="WAQ214" s="633"/>
      <c r="WAR214" s="633"/>
      <c r="WAS214" s="633"/>
      <c r="WAT214" s="633"/>
      <c r="WAU214" s="633"/>
      <c r="WAV214" s="633"/>
      <c r="WAW214" s="633"/>
      <c r="WAX214" s="633"/>
      <c r="WAY214" s="633"/>
      <c r="WAZ214" s="633"/>
      <c r="WBA214" s="632" t="s">
        <v>634</v>
      </c>
      <c r="WBB214" s="633"/>
      <c r="WBC214" s="633"/>
      <c r="WBD214" s="633"/>
      <c r="WBE214" s="633"/>
      <c r="WBF214" s="633"/>
      <c r="WBG214" s="633"/>
      <c r="WBH214" s="633"/>
      <c r="WBI214" s="633"/>
      <c r="WBJ214" s="633"/>
      <c r="WBK214" s="633"/>
      <c r="WBL214" s="633"/>
      <c r="WBM214" s="633"/>
      <c r="WBN214" s="633"/>
      <c r="WBO214" s="633"/>
      <c r="WBP214" s="633"/>
      <c r="WBQ214" s="632" t="s">
        <v>634</v>
      </c>
      <c r="WBR214" s="633"/>
      <c r="WBS214" s="633"/>
      <c r="WBT214" s="633"/>
      <c r="WBU214" s="633"/>
      <c r="WBV214" s="633"/>
      <c r="WBW214" s="633"/>
      <c r="WBX214" s="633"/>
      <c r="WBY214" s="633"/>
      <c r="WBZ214" s="633"/>
      <c r="WCA214" s="633"/>
      <c r="WCB214" s="633"/>
      <c r="WCC214" s="633"/>
      <c r="WCD214" s="633"/>
      <c r="WCE214" s="633"/>
      <c r="WCF214" s="633"/>
      <c r="WCG214" s="632" t="s">
        <v>634</v>
      </c>
      <c r="WCH214" s="633"/>
      <c r="WCI214" s="633"/>
      <c r="WCJ214" s="633"/>
      <c r="WCK214" s="633"/>
      <c r="WCL214" s="633"/>
      <c r="WCM214" s="633"/>
      <c r="WCN214" s="633"/>
      <c r="WCO214" s="633"/>
      <c r="WCP214" s="633"/>
      <c r="WCQ214" s="633"/>
      <c r="WCR214" s="633"/>
      <c r="WCS214" s="633"/>
      <c r="WCT214" s="633"/>
      <c r="WCU214" s="633"/>
      <c r="WCV214" s="633"/>
      <c r="WCW214" s="632" t="s">
        <v>634</v>
      </c>
      <c r="WCX214" s="633"/>
      <c r="WCY214" s="633"/>
      <c r="WCZ214" s="633"/>
      <c r="WDA214" s="633"/>
      <c r="WDB214" s="633"/>
      <c r="WDC214" s="633"/>
      <c r="WDD214" s="633"/>
      <c r="WDE214" s="633"/>
      <c r="WDF214" s="633"/>
      <c r="WDG214" s="633"/>
      <c r="WDH214" s="633"/>
      <c r="WDI214" s="633"/>
      <c r="WDJ214" s="633"/>
      <c r="WDK214" s="633"/>
      <c r="WDL214" s="633"/>
      <c r="WDM214" s="632" t="s">
        <v>634</v>
      </c>
      <c r="WDN214" s="633"/>
      <c r="WDO214" s="633"/>
      <c r="WDP214" s="633"/>
      <c r="WDQ214" s="633"/>
      <c r="WDR214" s="633"/>
      <c r="WDS214" s="633"/>
      <c r="WDT214" s="633"/>
      <c r="WDU214" s="633"/>
      <c r="WDV214" s="633"/>
      <c r="WDW214" s="633"/>
      <c r="WDX214" s="633"/>
      <c r="WDY214" s="633"/>
      <c r="WDZ214" s="633"/>
      <c r="WEA214" s="633"/>
      <c r="WEB214" s="633"/>
      <c r="WEC214" s="632" t="s">
        <v>634</v>
      </c>
      <c r="WED214" s="633"/>
      <c r="WEE214" s="633"/>
      <c r="WEF214" s="633"/>
      <c r="WEG214" s="633"/>
      <c r="WEH214" s="633"/>
      <c r="WEI214" s="633"/>
      <c r="WEJ214" s="633"/>
      <c r="WEK214" s="633"/>
      <c r="WEL214" s="633"/>
      <c r="WEM214" s="633"/>
      <c r="WEN214" s="633"/>
      <c r="WEO214" s="633"/>
      <c r="WEP214" s="633"/>
      <c r="WEQ214" s="633"/>
      <c r="WER214" s="633"/>
      <c r="WES214" s="632" t="s">
        <v>634</v>
      </c>
      <c r="WET214" s="633"/>
      <c r="WEU214" s="633"/>
      <c r="WEV214" s="633"/>
      <c r="WEW214" s="633"/>
      <c r="WEX214" s="633"/>
      <c r="WEY214" s="633"/>
      <c r="WEZ214" s="633"/>
      <c r="WFA214" s="633"/>
      <c r="WFB214" s="633"/>
      <c r="WFC214" s="633"/>
      <c r="WFD214" s="633"/>
      <c r="WFE214" s="633"/>
      <c r="WFF214" s="633"/>
      <c r="WFG214" s="633"/>
      <c r="WFH214" s="633"/>
      <c r="WFI214" s="632" t="s">
        <v>634</v>
      </c>
      <c r="WFJ214" s="633"/>
      <c r="WFK214" s="633"/>
      <c r="WFL214" s="633"/>
      <c r="WFM214" s="633"/>
      <c r="WFN214" s="633"/>
      <c r="WFO214" s="633"/>
      <c r="WFP214" s="633"/>
      <c r="WFQ214" s="633"/>
      <c r="WFR214" s="633"/>
      <c r="WFS214" s="633"/>
      <c r="WFT214" s="633"/>
      <c r="WFU214" s="633"/>
      <c r="WFV214" s="633"/>
      <c r="WFW214" s="633"/>
      <c r="WFX214" s="633"/>
      <c r="WFY214" s="632" t="s">
        <v>634</v>
      </c>
      <c r="WFZ214" s="633"/>
      <c r="WGA214" s="633"/>
      <c r="WGB214" s="633"/>
      <c r="WGC214" s="633"/>
      <c r="WGD214" s="633"/>
      <c r="WGE214" s="633"/>
      <c r="WGF214" s="633"/>
      <c r="WGG214" s="633"/>
      <c r="WGH214" s="633"/>
      <c r="WGI214" s="633"/>
      <c r="WGJ214" s="633"/>
      <c r="WGK214" s="633"/>
      <c r="WGL214" s="633"/>
      <c r="WGM214" s="633"/>
      <c r="WGN214" s="633"/>
      <c r="WGO214" s="632" t="s">
        <v>634</v>
      </c>
      <c r="WGP214" s="633"/>
      <c r="WGQ214" s="633"/>
      <c r="WGR214" s="633"/>
      <c r="WGS214" s="633"/>
      <c r="WGT214" s="633"/>
      <c r="WGU214" s="633"/>
      <c r="WGV214" s="633"/>
      <c r="WGW214" s="633"/>
      <c r="WGX214" s="633"/>
      <c r="WGY214" s="633"/>
      <c r="WGZ214" s="633"/>
      <c r="WHA214" s="633"/>
      <c r="WHB214" s="633"/>
      <c r="WHC214" s="633"/>
      <c r="WHD214" s="633"/>
      <c r="WHE214" s="632" t="s">
        <v>634</v>
      </c>
      <c r="WHF214" s="633"/>
      <c r="WHG214" s="633"/>
      <c r="WHH214" s="633"/>
      <c r="WHI214" s="633"/>
      <c r="WHJ214" s="633"/>
      <c r="WHK214" s="633"/>
      <c r="WHL214" s="633"/>
      <c r="WHM214" s="633"/>
      <c r="WHN214" s="633"/>
      <c r="WHO214" s="633"/>
      <c r="WHP214" s="633"/>
      <c r="WHQ214" s="633"/>
      <c r="WHR214" s="633"/>
      <c r="WHS214" s="633"/>
      <c r="WHT214" s="633"/>
      <c r="WHU214" s="632" t="s">
        <v>634</v>
      </c>
      <c r="WHV214" s="633"/>
      <c r="WHW214" s="633"/>
      <c r="WHX214" s="633"/>
      <c r="WHY214" s="633"/>
      <c r="WHZ214" s="633"/>
      <c r="WIA214" s="633"/>
      <c r="WIB214" s="633"/>
      <c r="WIC214" s="633"/>
      <c r="WID214" s="633"/>
      <c r="WIE214" s="633"/>
      <c r="WIF214" s="633"/>
      <c r="WIG214" s="633"/>
      <c r="WIH214" s="633"/>
      <c r="WII214" s="633"/>
      <c r="WIJ214" s="633"/>
      <c r="WIK214" s="632" t="s">
        <v>634</v>
      </c>
      <c r="WIL214" s="633"/>
      <c r="WIM214" s="633"/>
      <c r="WIN214" s="633"/>
      <c r="WIO214" s="633"/>
      <c r="WIP214" s="633"/>
      <c r="WIQ214" s="633"/>
      <c r="WIR214" s="633"/>
      <c r="WIS214" s="633"/>
      <c r="WIT214" s="633"/>
      <c r="WIU214" s="633"/>
      <c r="WIV214" s="633"/>
      <c r="WIW214" s="633"/>
      <c r="WIX214" s="633"/>
      <c r="WIY214" s="633"/>
      <c r="WIZ214" s="633"/>
      <c r="WJA214" s="632" t="s">
        <v>634</v>
      </c>
      <c r="WJB214" s="633"/>
      <c r="WJC214" s="633"/>
      <c r="WJD214" s="633"/>
      <c r="WJE214" s="633"/>
      <c r="WJF214" s="633"/>
      <c r="WJG214" s="633"/>
      <c r="WJH214" s="633"/>
      <c r="WJI214" s="633"/>
      <c r="WJJ214" s="633"/>
      <c r="WJK214" s="633"/>
      <c r="WJL214" s="633"/>
      <c r="WJM214" s="633"/>
      <c r="WJN214" s="633"/>
      <c r="WJO214" s="633"/>
      <c r="WJP214" s="633"/>
      <c r="WJQ214" s="632" t="s">
        <v>634</v>
      </c>
      <c r="WJR214" s="633"/>
      <c r="WJS214" s="633"/>
      <c r="WJT214" s="633"/>
      <c r="WJU214" s="633"/>
      <c r="WJV214" s="633"/>
      <c r="WJW214" s="633"/>
      <c r="WJX214" s="633"/>
      <c r="WJY214" s="633"/>
      <c r="WJZ214" s="633"/>
      <c r="WKA214" s="633"/>
      <c r="WKB214" s="633"/>
      <c r="WKC214" s="633"/>
      <c r="WKD214" s="633"/>
      <c r="WKE214" s="633"/>
      <c r="WKF214" s="633"/>
      <c r="WKG214" s="632" t="s">
        <v>634</v>
      </c>
      <c r="WKH214" s="633"/>
      <c r="WKI214" s="633"/>
      <c r="WKJ214" s="633"/>
      <c r="WKK214" s="633"/>
      <c r="WKL214" s="633"/>
      <c r="WKM214" s="633"/>
      <c r="WKN214" s="633"/>
      <c r="WKO214" s="633"/>
      <c r="WKP214" s="633"/>
      <c r="WKQ214" s="633"/>
      <c r="WKR214" s="633"/>
      <c r="WKS214" s="633"/>
      <c r="WKT214" s="633"/>
      <c r="WKU214" s="633"/>
      <c r="WKV214" s="633"/>
      <c r="WKW214" s="632" t="s">
        <v>634</v>
      </c>
      <c r="WKX214" s="633"/>
      <c r="WKY214" s="633"/>
      <c r="WKZ214" s="633"/>
      <c r="WLA214" s="633"/>
      <c r="WLB214" s="633"/>
      <c r="WLC214" s="633"/>
      <c r="WLD214" s="633"/>
      <c r="WLE214" s="633"/>
      <c r="WLF214" s="633"/>
      <c r="WLG214" s="633"/>
      <c r="WLH214" s="633"/>
      <c r="WLI214" s="633"/>
      <c r="WLJ214" s="633"/>
      <c r="WLK214" s="633"/>
      <c r="WLL214" s="633"/>
      <c r="WLM214" s="632" t="s">
        <v>634</v>
      </c>
      <c r="WLN214" s="633"/>
      <c r="WLO214" s="633"/>
      <c r="WLP214" s="633"/>
      <c r="WLQ214" s="633"/>
      <c r="WLR214" s="633"/>
      <c r="WLS214" s="633"/>
      <c r="WLT214" s="633"/>
      <c r="WLU214" s="633"/>
      <c r="WLV214" s="633"/>
      <c r="WLW214" s="633"/>
      <c r="WLX214" s="633"/>
      <c r="WLY214" s="633"/>
      <c r="WLZ214" s="633"/>
      <c r="WMA214" s="633"/>
      <c r="WMB214" s="633"/>
      <c r="WMC214" s="632" t="s">
        <v>634</v>
      </c>
      <c r="WMD214" s="633"/>
      <c r="WME214" s="633"/>
      <c r="WMF214" s="633"/>
      <c r="WMG214" s="633"/>
      <c r="WMH214" s="633"/>
      <c r="WMI214" s="633"/>
      <c r="WMJ214" s="633"/>
      <c r="WMK214" s="633"/>
      <c r="WML214" s="633"/>
      <c r="WMM214" s="633"/>
      <c r="WMN214" s="633"/>
      <c r="WMO214" s="633"/>
      <c r="WMP214" s="633"/>
      <c r="WMQ214" s="633"/>
      <c r="WMR214" s="633"/>
      <c r="WMS214" s="632" t="s">
        <v>634</v>
      </c>
      <c r="WMT214" s="633"/>
      <c r="WMU214" s="633"/>
      <c r="WMV214" s="633"/>
      <c r="WMW214" s="633"/>
      <c r="WMX214" s="633"/>
      <c r="WMY214" s="633"/>
      <c r="WMZ214" s="633"/>
      <c r="WNA214" s="633"/>
      <c r="WNB214" s="633"/>
      <c r="WNC214" s="633"/>
      <c r="WND214" s="633"/>
      <c r="WNE214" s="633"/>
      <c r="WNF214" s="633"/>
      <c r="WNG214" s="633"/>
      <c r="WNH214" s="633"/>
      <c r="WNI214" s="632" t="s">
        <v>634</v>
      </c>
      <c r="WNJ214" s="633"/>
      <c r="WNK214" s="633"/>
      <c r="WNL214" s="633"/>
      <c r="WNM214" s="633"/>
      <c r="WNN214" s="633"/>
      <c r="WNO214" s="633"/>
      <c r="WNP214" s="633"/>
      <c r="WNQ214" s="633"/>
      <c r="WNR214" s="633"/>
      <c r="WNS214" s="633"/>
      <c r="WNT214" s="633"/>
      <c r="WNU214" s="633"/>
      <c r="WNV214" s="633"/>
      <c r="WNW214" s="633"/>
      <c r="WNX214" s="633"/>
      <c r="WNY214" s="632" t="s">
        <v>634</v>
      </c>
      <c r="WNZ214" s="633"/>
      <c r="WOA214" s="633"/>
      <c r="WOB214" s="633"/>
      <c r="WOC214" s="633"/>
      <c r="WOD214" s="633"/>
      <c r="WOE214" s="633"/>
      <c r="WOF214" s="633"/>
      <c r="WOG214" s="633"/>
      <c r="WOH214" s="633"/>
      <c r="WOI214" s="633"/>
      <c r="WOJ214" s="633"/>
      <c r="WOK214" s="633"/>
      <c r="WOL214" s="633"/>
      <c r="WOM214" s="633"/>
      <c r="WON214" s="633"/>
      <c r="WOO214" s="632" t="s">
        <v>634</v>
      </c>
      <c r="WOP214" s="633"/>
      <c r="WOQ214" s="633"/>
      <c r="WOR214" s="633"/>
      <c r="WOS214" s="633"/>
      <c r="WOT214" s="633"/>
      <c r="WOU214" s="633"/>
      <c r="WOV214" s="633"/>
      <c r="WOW214" s="633"/>
      <c r="WOX214" s="633"/>
      <c r="WOY214" s="633"/>
      <c r="WOZ214" s="633"/>
      <c r="WPA214" s="633"/>
      <c r="WPB214" s="633"/>
      <c r="WPC214" s="633"/>
      <c r="WPD214" s="633"/>
      <c r="WPE214" s="632" t="s">
        <v>634</v>
      </c>
      <c r="WPF214" s="633"/>
      <c r="WPG214" s="633"/>
      <c r="WPH214" s="633"/>
      <c r="WPI214" s="633"/>
      <c r="WPJ214" s="633"/>
      <c r="WPK214" s="633"/>
      <c r="WPL214" s="633"/>
      <c r="WPM214" s="633"/>
      <c r="WPN214" s="633"/>
      <c r="WPO214" s="633"/>
      <c r="WPP214" s="633"/>
      <c r="WPQ214" s="633"/>
      <c r="WPR214" s="633"/>
      <c r="WPS214" s="633"/>
      <c r="WPT214" s="633"/>
      <c r="WPU214" s="632" t="s">
        <v>634</v>
      </c>
      <c r="WPV214" s="633"/>
      <c r="WPW214" s="633"/>
      <c r="WPX214" s="633"/>
      <c r="WPY214" s="633"/>
      <c r="WPZ214" s="633"/>
      <c r="WQA214" s="633"/>
      <c r="WQB214" s="633"/>
      <c r="WQC214" s="633"/>
      <c r="WQD214" s="633"/>
      <c r="WQE214" s="633"/>
      <c r="WQF214" s="633"/>
      <c r="WQG214" s="633"/>
      <c r="WQH214" s="633"/>
      <c r="WQI214" s="633"/>
      <c r="WQJ214" s="633"/>
      <c r="WQK214" s="632" t="s">
        <v>634</v>
      </c>
      <c r="WQL214" s="633"/>
      <c r="WQM214" s="633"/>
      <c r="WQN214" s="633"/>
      <c r="WQO214" s="633"/>
      <c r="WQP214" s="633"/>
      <c r="WQQ214" s="633"/>
      <c r="WQR214" s="633"/>
      <c r="WQS214" s="633"/>
      <c r="WQT214" s="633"/>
      <c r="WQU214" s="633"/>
      <c r="WQV214" s="633"/>
      <c r="WQW214" s="633"/>
      <c r="WQX214" s="633"/>
      <c r="WQY214" s="633"/>
      <c r="WQZ214" s="633"/>
      <c r="WRA214" s="632" t="s">
        <v>634</v>
      </c>
      <c r="WRB214" s="633"/>
      <c r="WRC214" s="633"/>
      <c r="WRD214" s="633"/>
      <c r="WRE214" s="633"/>
      <c r="WRF214" s="633"/>
      <c r="WRG214" s="633"/>
      <c r="WRH214" s="633"/>
      <c r="WRI214" s="633"/>
      <c r="WRJ214" s="633"/>
      <c r="WRK214" s="633"/>
      <c r="WRL214" s="633"/>
      <c r="WRM214" s="633"/>
      <c r="WRN214" s="633"/>
      <c r="WRO214" s="633"/>
      <c r="WRP214" s="633"/>
      <c r="WRQ214" s="632" t="s">
        <v>634</v>
      </c>
      <c r="WRR214" s="633"/>
      <c r="WRS214" s="633"/>
      <c r="WRT214" s="633"/>
      <c r="WRU214" s="633"/>
      <c r="WRV214" s="633"/>
      <c r="WRW214" s="633"/>
      <c r="WRX214" s="633"/>
      <c r="WRY214" s="633"/>
      <c r="WRZ214" s="633"/>
      <c r="WSA214" s="633"/>
      <c r="WSB214" s="633"/>
      <c r="WSC214" s="633"/>
      <c r="WSD214" s="633"/>
      <c r="WSE214" s="633"/>
      <c r="WSF214" s="633"/>
      <c r="WSG214" s="632" t="s">
        <v>634</v>
      </c>
      <c r="WSH214" s="633"/>
      <c r="WSI214" s="633"/>
      <c r="WSJ214" s="633"/>
      <c r="WSK214" s="633"/>
      <c r="WSL214" s="633"/>
      <c r="WSM214" s="633"/>
      <c r="WSN214" s="633"/>
      <c r="WSO214" s="633"/>
      <c r="WSP214" s="633"/>
      <c r="WSQ214" s="633"/>
      <c r="WSR214" s="633"/>
      <c r="WSS214" s="633"/>
      <c r="WST214" s="633"/>
      <c r="WSU214" s="633"/>
      <c r="WSV214" s="633"/>
      <c r="WSW214" s="632" t="s">
        <v>634</v>
      </c>
      <c r="WSX214" s="633"/>
      <c r="WSY214" s="633"/>
      <c r="WSZ214" s="633"/>
      <c r="WTA214" s="633"/>
      <c r="WTB214" s="633"/>
      <c r="WTC214" s="633"/>
      <c r="WTD214" s="633"/>
      <c r="WTE214" s="633"/>
      <c r="WTF214" s="633"/>
      <c r="WTG214" s="633"/>
      <c r="WTH214" s="633"/>
      <c r="WTI214" s="633"/>
      <c r="WTJ214" s="633"/>
      <c r="WTK214" s="633"/>
      <c r="WTL214" s="633"/>
      <c r="WTM214" s="632" t="s">
        <v>634</v>
      </c>
      <c r="WTN214" s="633"/>
      <c r="WTO214" s="633"/>
      <c r="WTP214" s="633"/>
      <c r="WTQ214" s="633"/>
      <c r="WTR214" s="633"/>
      <c r="WTS214" s="633"/>
      <c r="WTT214" s="633"/>
      <c r="WTU214" s="633"/>
      <c r="WTV214" s="633"/>
      <c r="WTW214" s="633"/>
      <c r="WTX214" s="633"/>
      <c r="WTY214" s="633"/>
      <c r="WTZ214" s="633"/>
      <c r="WUA214" s="633"/>
      <c r="WUB214" s="633"/>
      <c r="WUC214" s="632" t="s">
        <v>634</v>
      </c>
      <c r="WUD214" s="633"/>
      <c r="WUE214" s="633"/>
      <c r="WUF214" s="633"/>
      <c r="WUG214" s="633"/>
      <c r="WUH214" s="633"/>
      <c r="WUI214" s="633"/>
      <c r="WUJ214" s="633"/>
      <c r="WUK214" s="633"/>
      <c r="WUL214" s="633"/>
      <c r="WUM214" s="633"/>
      <c r="WUN214" s="633"/>
      <c r="WUO214" s="633"/>
      <c r="WUP214" s="633"/>
      <c r="WUQ214" s="633"/>
      <c r="WUR214" s="633"/>
      <c r="WUS214" s="632" t="s">
        <v>634</v>
      </c>
      <c r="WUT214" s="633"/>
      <c r="WUU214" s="633"/>
      <c r="WUV214" s="633"/>
      <c r="WUW214" s="633"/>
      <c r="WUX214" s="633"/>
      <c r="WUY214" s="633"/>
      <c r="WUZ214" s="633"/>
      <c r="WVA214" s="633"/>
      <c r="WVB214" s="633"/>
      <c r="WVC214" s="633"/>
      <c r="WVD214" s="633"/>
      <c r="WVE214" s="633"/>
      <c r="WVF214" s="633"/>
      <c r="WVG214" s="633"/>
      <c r="WVH214" s="633"/>
      <c r="WVI214" s="632" t="s">
        <v>634</v>
      </c>
      <c r="WVJ214" s="633"/>
      <c r="WVK214" s="633"/>
      <c r="WVL214" s="633"/>
      <c r="WVM214" s="633"/>
      <c r="WVN214" s="633"/>
      <c r="WVO214" s="633"/>
      <c r="WVP214" s="633"/>
      <c r="WVQ214" s="633"/>
      <c r="WVR214" s="633"/>
      <c r="WVS214" s="633"/>
      <c r="WVT214" s="633"/>
      <c r="WVU214" s="633"/>
      <c r="WVV214" s="633"/>
      <c r="WVW214" s="633"/>
      <c r="WVX214" s="633"/>
      <c r="WVY214" s="632" t="s">
        <v>634</v>
      </c>
      <c r="WVZ214" s="633"/>
      <c r="WWA214" s="633"/>
      <c r="WWB214" s="633"/>
      <c r="WWC214" s="633"/>
      <c r="WWD214" s="633"/>
      <c r="WWE214" s="633"/>
      <c r="WWF214" s="633"/>
      <c r="WWG214" s="633"/>
      <c r="WWH214" s="633"/>
      <c r="WWI214" s="633"/>
      <c r="WWJ214" s="633"/>
      <c r="WWK214" s="633"/>
      <c r="WWL214" s="633"/>
      <c r="WWM214" s="633"/>
      <c r="WWN214" s="633"/>
      <c r="WWO214" s="632" t="s">
        <v>634</v>
      </c>
      <c r="WWP214" s="633"/>
      <c r="WWQ214" s="633"/>
      <c r="WWR214" s="633"/>
      <c r="WWS214" s="633"/>
      <c r="WWT214" s="633"/>
      <c r="WWU214" s="633"/>
      <c r="WWV214" s="633"/>
      <c r="WWW214" s="633"/>
      <c r="WWX214" s="633"/>
      <c r="WWY214" s="633"/>
      <c r="WWZ214" s="633"/>
      <c r="WXA214" s="633"/>
      <c r="WXB214" s="633"/>
      <c r="WXC214" s="633"/>
      <c r="WXD214" s="633"/>
      <c r="WXE214" s="632" t="s">
        <v>634</v>
      </c>
      <c r="WXF214" s="633"/>
      <c r="WXG214" s="633"/>
      <c r="WXH214" s="633"/>
      <c r="WXI214" s="633"/>
      <c r="WXJ214" s="633"/>
      <c r="WXK214" s="633"/>
      <c r="WXL214" s="633"/>
      <c r="WXM214" s="633"/>
      <c r="WXN214" s="633"/>
      <c r="WXO214" s="633"/>
      <c r="WXP214" s="633"/>
      <c r="WXQ214" s="633"/>
      <c r="WXR214" s="633"/>
      <c r="WXS214" s="633"/>
      <c r="WXT214" s="633"/>
      <c r="WXU214" s="632" t="s">
        <v>634</v>
      </c>
      <c r="WXV214" s="633"/>
      <c r="WXW214" s="633"/>
      <c r="WXX214" s="633"/>
      <c r="WXY214" s="633"/>
      <c r="WXZ214" s="633"/>
      <c r="WYA214" s="633"/>
      <c r="WYB214" s="633"/>
      <c r="WYC214" s="633"/>
      <c r="WYD214" s="633"/>
      <c r="WYE214" s="633"/>
      <c r="WYF214" s="633"/>
      <c r="WYG214" s="633"/>
      <c r="WYH214" s="633"/>
      <c r="WYI214" s="633"/>
      <c r="WYJ214" s="633"/>
      <c r="WYK214" s="632" t="s">
        <v>634</v>
      </c>
      <c r="WYL214" s="633"/>
      <c r="WYM214" s="633"/>
      <c r="WYN214" s="633"/>
      <c r="WYO214" s="633"/>
      <c r="WYP214" s="633"/>
      <c r="WYQ214" s="633"/>
      <c r="WYR214" s="633"/>
      <c r="WYS214" s="633"/>
      <c r="WYT214" s="633"/>
      <c r="WYU214" s="633"/>
      <c r="WYV214" s="633"/>
      <c r="WYW214" s="633"/>
      <c r="WYX214" s="633"/>
      <c r="WYY214" s="633"/>
      <c r="WYZ214" s="633"/>
      <c r="WZA214" s="632" t="s">
        <v>634</v>
      </c>
      <c r="WZB214" s="633"/>
      <c r="WZC214" s="633"/>
      <c r="WZD214" s="633"/>
      <c r="WZE214" s="633"/>
      <c r="WZF214" s="633"/>
      <c r="WZG214" s="633"/>
      <c r="WZH214" s="633"/>
      <c r="WZI214" s="633"/>
      <c r="WZJ214" s="633"/>
      <c r="WZK214" s="633"/>
      <c r="WZL214" s="633"/>
      <c r="WZM214" s="633"/>
      <c r="WZN214" s="633"/>
      <c r="WZO214" s="633"/>
      <c r="WZP214" s="633"/>
      <c r="WZQ214" s="632" t="s">
        <v>634</v>
      </c>
      <c r="WZR214" s="633"/>
      <c r="WZS214" s="633"/>
      <c r="WZT214" s="633"/>
      <c r="WZU214" s="633"/>
      <c r="WZV214" s="633"/>
      <c r="WZW214" s="633"/>
      <c r="WZX214" s="633"/>
      <c r="WZY214" s="633"/>
      <c r="WZZ214" s="633"/>
      <c r="XAA214" s="633"/>
      <c r="XAB214" s="633"/>
      <c r="XAC214" s="633"/>
      <c r="XAD214" s="633"/>
      <c r="XAE214" s="633"/>
      <c r="XAF214" s="633"/>
      <c r="XAG214" s="632" t="s">
        <v>634</v>
      </c>
      <c r="XAH214" s="633"/>
      <c r="XAI214" s="633"/>
      <c r="XAJ214" s="633"/>
      <c r="XAK214" s="633"/>
      <c r="XAL214" s="633"/>
      <c r="XAM214" s="633"/>
      <c r="XAN214" s="633"/>
      <c r="XAO214" s="633"/>
      <c r="XAP214" s="633"/>
      <c r="XAQ214" s="633"/>
      <c r="XAR214" s="633"/>
      <c r="XAS214" s="633"/>
      <c r="XAT214" s="633"/>
      <c r="XAU214" s="633"/>
      <c r="XAV214" s="633"/>
      <c r="XAW214" s="632" t="s">
        <v>634</v>
      </c>
      <c r="XAX214" s="633"/>
      <c r="XAY214" s="633"/>
      <c r="XAZ214" s="633"/>
      <c r="XBA214" s="633"/>
      <c r="XBB214" s="633"/>
      <c r="XBC214" s="633"/>
      <c r="XBD214" s="633"/>
      <c r="XBE214" s="633"/>
      <c r="XBF214" s="633"/>
      <c r="XBG214" s="633"/>
      <c r="XBH214" s="633"/>
      <c r="XBI214" s="633"/>
      <c r="XBJ214" s="633"/>
      <c r="XBK214" s="633"/>
      <c r="XBL214" s="633"/>
      <c r="XBM214" s="632" t="s">
        <v>634</v>
      </c>
      <c r="XBN214" s="633"/>
      <c r="XBO214" s="633"/>
      <c r="XBP214" s="633"/>
      <c r="XBQ214" s="633"/>
      <c r="XBR214" s="633"/>
      <c r="XBS214" s="633"/>
      <c r="XBT214" s="633"/>
      <c r="XBU214" s="633"/>
      <c r="XBV214" s="633"/>
      <c r="XBW214" s="633"/>
      <c r="XBX214" s="633"/>
      <c r="XBY214" s="633"/>
      <c r="XBZ214" s="633"/>
      <c r="XCA214" s="633"/>
      <c r="XCB214" s="633"/>
      <c r="XCC214" s="632" t="s">
        <v>634</v>
      </c>
      <c r="XCD214" s="633"/>
      <c r="XCE214" s="633"/>
      <c r="XCF214" s="633"/>
      <c r="XCG214" s="633"/>
      <c r="XCH214" s="633"/>
      <c r="XCI214" s="633"/>
      <c r="XCJ214" s="633"/>
      <c r="XCK214" s="633"/>
      <c r="XCL214" s="633"/>
      <c r="XCM214" s="633"/>
      <c r="XCN214" s="633"/>
      <c r="XCO214" s="633"/>
      <c r="XCP214" s="633"/>
      <c r="XCQ214" s="633"/>
      <c r="XCR214" s="633"/>
      <c r="XCS214" s="632" t="s">
        <v>634</v>
      </c>
      <c r="XCT214" s="633"/>
      <c r="XCU214" s="633"/>
      <c r="XCV214" s="633"/>
      <c r="XCW214" s="633"/>
      <c r="XCX214" s="633"/>
      <c r="XCY214" s="633"/>
      <c r="XCZ214" s="633"/>
      <c r="XDA214" s="633"/>
      <c r="XDB214" s="633"/>
      <c r="XDC214" s="633"/>
      <c r="XDD214" s="633"/>
      <c r="XDE214" s="633"/>
      <c r="XDF214" s="633"/>
      <c r="XDG214" s="633"/>
      <c r="XDH214" s="633"/>
      <c r="XDI214" s="632" t="s">
        <v>634</v>
      </c>
      <c r="XDJ214" s="633"/>
      <c r="XDK214" s="633"/>
      <c r="XDL214" s="633"/>
      <c r="XDM214" s="633"/>
      <c r="XDN214" s="633"/>
      <c r="XDO214" s="633"/>
      <c r="XDP214" s="633"/>
      <c r="XDQ214" s="633"/>
      <c r="XDR214" s="633"/>
      <c r="XDS214" s="633"/>
      <c r="XDT214" s="633"/>
      <c r="XDU214" s="633"/>
      <c r="XDV214" s="633"/>
      <c r="XDW214" s="633"/>
      <c r="XDX214" s="633"/>
      <c r="XDY214" s="632" t="s">
        <v>634</v>
      </c>
      <c r="XDZ214" s="633"/>
      <c r="XEA214" s="633"/>
      <c r="XEB214" s="633"/>
      <c r="XEC214" s="633"/>
      <c r="XED214" s="633"/>
      <c r="XEE214" s="633"/>
      <c r="XEF214" s="633"/>
      <c r="XEG214" s="633"/>
      <c r="XEH214" s="633"/>
      <c r="XEI214" s="633"/>
      <c r="XEJ214" s="633"/>
      <c r="XEK214" s="633"/>
      <c r="XEL214" s="633"/>
      <c r="XEM214" s="633"/>
      <c r="XEN214" s="633"/>
      <c r="XEO214" s="632" t="s">
        <v>634</v>
      </c>
      <c r="XEP214" s="633"/>
      <c r="XEQ214" s="633"/>
      <c r="XER214" s="633"/>
      <c r="XES214" s="633"/>
      <c r="XET214" s="633"/>
      <c r="XEU214" s="633"/>
      <c r="XEV214" s="633"/>
      <c r="XEW214" s="633"/>
      <c r="XEX214" s="633"/>
      <c r="XEY214" s="633"/>
      <c r="XEZ214" s="633"/>
      <c r="XFA214" s="633"/>
      <c r="XFB214" s="633"/>
      <c r="XFC214" s="633"/>
      <c r="XFD214" s="633"/>
    </row>
    <row r="215" spans="1:16384" ht="18.75" x14ac:dyDescent="0.3">
      <c r="A215" s="29"/>
      <c r="B215" s="658"/>
      <c r="C215" s="658"/>
      <c r="D215" s="658"/>
      <c r="E215" s="658"/>
      <c r="F215" s="658"/>
      <c r="G215" s="658"/>
      <c r="H215" s="658"/>
      <c r="I215" s="658"/>
      <c r="J215" s="658"/>
      <c r="K215" s="658"/>
      <c r="L215" s="658"/>
      <c r="M215" s="658"/>
      <c r="N215" s="658"/>
      <c r="AW215" s="206"/>
      <c r="AX215" s="206"/>
      <c r="AY215" s="206"/>
      <c r="AZ215" s="206"/>
      <c r="BA215" s="206"/>
      <c r="BB215" s="206"/>
      <c r="BC215" s="206"/>
      <c r="BD215" s="206"/>
      <c r="BE215" s="206"/>
      <c r="BF215" s="206"/>
      <c r="BG215" s="206"/>
      <c r="BH215" s="206"/>
      <c r="BI215" s="206"/>
      <c r="BJ215" s="206"/>
      <c r="BK215" s="206"/>
      <c r="BL215" s="206"/>
      <c r="BM215" s="206"/>
      <c r="BN215" s="206"/>
      <c r="BO215" s="206"/>
      <c r="BP215" s="206"/>
      <c r="BQ215" s="206"/>
      <c r="BR215" s="206"/>
      <c r="BS215" s="206"/>
      <c r="BT215" s="206"/>
      <c r="BU215" s="206"/>
      <c r="BV215" s="206"/>
      <c r="BW215" s="206"/>
      <c r="BX215" s="206"/>
      <c r="BY215" s="206"/>
      <c r="BZ215" s="206"/>
      <c r="CA215" s="206"/>
      <c r="CB215" s="206"/>
      <c r="CC215" s="206"/>
      <c r="CD215" s="206"/>
      <c r="CE215" s="206"/>
      <c r="CF215" s="206"/>
      <c r="CG215" s="206"/>
      <c r="CH215" s="206"/>
      <c r="CI215" s="206"/>
      <c r="CJ215" s="206"/>
      <c r="CK215" s="206"/>
      <c r="CL215" s="206"/>
      <c r="CM215" s="206"/>
      <c r="CN215" s="206"/>
      <c r="CO215" s="206"/>
      <c r="CP215" s="206"/>
      <c r="CQ215" s="206"/>
      <c r="CR215" s="206"/>
      <c r="CS215" s="206"/>
      <c r="CT215" s="206"/>
      <c r="CU215" s="206"/>
      <c r="CV215" s="206"/>
      <c r="CW215" s="206"/>
      <c r="CX215" s="206"/>
      <c r="CY215" s="206"/>
      <c r="CZ215" s="206"/>
      <c r="DA215" s="206"/>
      <c r="DB215" s="206"/>
      <c r="DC215" s="206"/>
      <c r="DD215" s="206"/>
      <c r="DE215" s="206"/>
      <c r="DF215" s="206"/>
      <c r="DG215" s="206"/>
      <c r="DH215" s="206"/>
      <c r="DI215" s="206"/>
      <c r="DJ215" s="206"/>
      <c r="DK215" s="206"/>
      <c r="DL215" s="206"/>
      <c r="DM215" s="206"/>
      <c r="DN215" s="206"/>
      <c r="DO215" s="206"/>
      <c r="DP215" s="206"/>
      <c r="DQ215" s="206"/>
      <c r="DR215" s="206"/>
      <c r="DS215" s="206"/>
      <c r="DT215" s="206"/>
      <c r="DU215" s="206"/>
      <c r="DV215" s="206"/>
      <c r="DW215" s="206"/>
      <c r="DX215" s="206"/>
      <c r="DY215" s="206"/>
      <c r="DZ215" s="206"/>
      <c r="EA215" s="206"/>
      <c r="EB215" s="206"/>
      <c r="EC215" s="206"/>
      <c r="ED215" s="206"/>
      <c r="EE215" s="206"/>
      <c r="EF215" s="206"/>
      <c r="EG215" s="206"/>
      <c r="EH215" s="206"/>
      <c r="EI215" s="206"/>
      <c r="EJ215" s="206"/>
      <c r="EK215" s="206"/>
      <c r="EL215" s="206"/>
      <c r="EM215" s="206"/>
      <c r="EN215" s="206"/>
      <c r="EO215" s="206"/>
      <c r="EP215" s="206"/>
      <c r="EQ215" s="206"/>
      <c r="ER215" s="206"/>
      <c r="ES215" s="206"/>
      <c r="ET215" s="206"/>
      <c r="EU215" s="206"/>
      <c r="EV215" s="206"/>
      <c r="EW215" s="206"/>
      <c r="EX215" s="206"/>
      <c r="EY215" s="206"/>
      <c r="EZ215" s="206"/>
      <c r="FA215" s="206"/>
      <c r="FB215" s="206"/>
      <c r="FC215" s="206"/>
      <c r="FD215" s="206"/>
      <c r="FE215" s="206"/>
      <c r="FF215" s="206"/>
      <c r="FG215" s="206"/>
      <c r="FH215" s="206"/>
      <c r="FI215" s="206"/>
      <c r="FJ215" s="206"/>
      <c r="FK215" s="206"/>
      <c r="FL215" s="206"/>
      <c r="FM215" s="206"/>
      <c r="FN215" s="206"/>
      <c r="FO215" s="206"/>
      <c r="FP215" s="206"/>
      <c r="FQ215" s="206"/>
      <c r="FR215" s="206"/>
      <c r="FS215" s="206"/>
      <c r="FT215" s="206"/>
      <c r="FU215" s="206"/>
      <c r="FV215" s="206"/>
      <c r="FW215" s="206"/>
      <c r="FX215" s="206"/>
      <c r="FY215" s="206"/>
      <c r="FZ215" s="206"/>
      <c r="GA215" s="206"/>
      <c r="GB215" s="206"/>
      <c r="GC215" s="206"/>
      <c r="GD215" s="206"/>
      <c r="GE215" s="206"/>
      <c r="GF215" s="206"/>
      <c r="GG215" s="206"/>
      <c r="GH215" s="206"/>
      <c r="GI215" s="206"/>
      <c r="GJ215" s="206"/>
    </row>
    <row r="216" spans="1:16384" ht="15" x14ac:dyDescent="0.25">
      <c r="C216" s="616" t="s">
        <v>1050</v>
      </c>
      <c r="D216" s="616"/>
      <c r="E216" s="616"/>
      <c r="F216" s="616"/>
      <c r="G216" s="616"/>
      <c r="H216" s="616"/>
      <c r="I216" s="616"/>
      <c r="J216" s="616"/>
      <c r="K216" s="616"/>
      <c r="L216" s="616"/>
      <c r="M216" s="616"/>
      <c r="N216" s="616"/>
      <c r="O216" s="616"/>
      <c r="AW216" s="206"/>
      <c r="AX216" s="206"/>
      <c r="AY216" s="206"/>
      <c r="AZ216" s="206"/>
      <c r="BA216" s="206"/>
      <c r="BB216" s="206"/>
      <c r="BC216" s="206"/>
      <c r="BD216" s="206"/>
      <c r="BE216" s="206"/>
      <c r="BF216" s="206"/>
      <c r="BG216" s="206"/>
      <c r="BH216" s="206"/>
      <c r="BI216" s="206"/>
      <c r="BJ216" s="206"/>
      <c r="BK216" s="206"/>
      <c r="BL216" s="206"/>
      <c r="BM216" s="206"/>
      <c r="BN216" s="206"/>
      <c r="BO216" s="206"/>
      <c r="BP216" s="206"/>
      <c r="BQ216" s="206"/>
      <c r="BR216" s="206"/>
      <c r="BS216" s="206"/>
      <c r="BT216" s="206"/>
      <c r="BU216" s="206"/>
      <c r="BV216" s="206"/>
      <c r="BW216" s="206"/>
      <c r="BX216" s="206"/>
      <c r="BY216" s="206"/>
      <c r="BZ216" s="206"/>
      <c r="CA216" s="206"/>
      <c r="CB216" s="206"/>
      <c r="CC216" s="206"/>
      <c r="CD216" s="206"/>
      <c r="CE216" s="206"/>
      <c r="CF216" s="206"/>
      <c r="CG216" s="206"/>
      <c r="CH216" s="206"/>
      <c r="CI216" s="206"/>
      <c r="CJ216" s="206"/>
      <c r="CK216" s="206"/>
      <c r="CL216" s="206"/>
      <c r="CM216" s="206"/>
      <c r="CN216" s="206"/>
      <c r="CO216" s="206"/>
      <c r="CP216" s="206"/>
      <c r="CQ216" s="206"/>
      <c r="CR216" s="206"/>
      <c r="CS216" s="206"/>
      <c r="CT216" s="206"/>
      <c r="CU216" s="206"/>
      <c r="CV216" s="206"/>
      <c r="CW216" s="206"/>
      <c r="CX216" s="206"/>
      <c r="CY216" s="206"/>
      <c r="CZ216" s="206"/>
      <c r="DA216" s="206"/>
      <c r="DB216" s="206"/>
      <c r="DC216" s="206"/>
      <c r="DD216" s="206"/>
      <c r="DE216" s="206"/>
      <c r="DF216" s="206"/>
      <c r="DG216" s="206"/>
      <c r="DH216" s="206"/>
      <c r="DI216" s="206"/>
      <c r="DJ216" s="206"/>
      <c r="DK216" s="206"/>
      <c r="DL216" s="206"/>
      <c r="DM216" s="206"/>
      <c r="DN216" s="206"/>
      <c r="DO216" s="206"/>
      <c r="DP216" s="206"/>
      <c r="DQ216" s="206"/>
      <c r="DR216" s="206"/>
      <c r="DS216" s="206"/>
      <c r="DT216" s="206"/>
      <c r="DU216" s="206"/>
      <c r="DV216" s="206"/>
      <c r="DW216" s="206"/>
      <c r="DX216" s="206"/>
      <c r="DY216" s="206"/>
      <c r="DZ216" s="206"/>
      <c r="EA216" s="206"/>
      <c r="EB216" s="206"/>
      <c r="EC216" s="206"/>
      <c r="ED216" s="206"/>
      <c r="EE216" s="206"/>
      <c r="EF216" s="206"/>
      <c r="EG216" s="206"/>
      <c r="EH216" s="206"/>
      <c r="EI216" s="206"/>
      <c r="EJ216" s="206"/>
      <c r="EK216" s="206"/>
      <c r="EL216" s="206"/>
      <c r="EM216" s="206"/>
      <c r="EN216" s="206"/>
      <c r="EO216" s="206"/>
      <c r="EP216" s="206"/>
      <c r="EQ216" s="206"/>
      <c r="ER216" s="206"/>
      <c r="ES216" s="206"/>
      <c r="ET216" s="206"/>
      <c r="EU216" s="206"/>
      <c r="EV216" s="206"/>
      <c r="EW216" s="206"/>
      <c r="EX216" s="206"/>
      <c r="EY216" s="206"/>
      <c r="EZ216" s="206"/>
      <c r="FA216" s="206"/>
      <c r="FB216" s="206"/>
      <c r="FC216" s="206"/>
      <c r="FD216" s="206"/>
      <c r="FE216" s="206"/>
      <c r="FF216" s="206"/>
      <c r="FG216" s="206"/>
      <c r="FH216" s="206"/>
      <c r="FI216" s="206"/>
      <c r="FJ216" s="206"/>
      <c r="FK216" s="206"/>
      <c r="FL216" s="206"/>
      <c r="FM216" s="206"/>
      <c r="FN216" s="206"/>
      <c r="FO216" s="206"/>
      <c r="FP216" s="206"/>
      <c r="FQ216" s="206"/>
      <c r="FR216" s="206"/>
      <c r="FS216" s="206"/>
      <c r="FT216" s="206"/>
      <c r="FU216" s="206"/>
      <c r="FV216" s="206"/>
      <c r="FW216" s="206"/>
      <c r="FX216" s="206"/>
      <c r="FY216" s="206"/>
      <c r="FZ216" s="206"/>
      <c r="GA216" s="206"/>
      <c r="GB216" s="206"/>
      <c r="GC216" s="206"/>
      <c r="GD216" s="206"/>
      <c r="GE216" s="206"/>
      <c r="GF216" s="206"/>
      <c r="GG216" s="206"/>
      <c r="GH216" s="206"/>
      <c r="GI216" s="206"/>
      <c r="GJ216" s="206"/>
    </row>
    <row r="217" spans="1:16384" ht="15" x14ac:dyDescent="0.2">
      <c r="C217" s="386"/>
      <c r="D217" s="387"/>
      <c r="E217" s="388"/>
      <c r="F217" s="386"/>
      <c r="G217" s="386"/>
      <c r="H217" s="389"/>
      <c r="I217" s="390"/>
      <c r="J217" s="389"/>
      <c r="K217" s="386"/>
      <c r="L217" s="386"/>
      <c r="M217" s="388"/>
      <c r="N217" s="391"/>
      <c r="O217" s="387"/>
      <c r="AW217" s="206"/>
      <c r="AX217" s="206"/>
      <c r="AY217" s="206"/>
      <c r="AZ217" s="206"/>
      <c r="BA217" s="206"/>
      <c r="BB217" s="206"/>
      <c r="BC217" s="206"/>
      <c r="BD217" s="206"/>
      <c r="BE217" s="206"/>
      <c r="BF217" s="206"/>
      <c r="BG217" s="206"/>
      <c r="BH217" s="206"/>
      <c r="BI217" s="206"/>
      <c r="BJ217" s="206"/>
      <c r="BK217" s="206"/>
      <c r="BL217" s="206"/>
      <c r="BM217" s="206"/>
      <c r="BN217" s="206"/>
      <c r="BO217" s="206"/>
      <c r="BP217" s="206"/>
      <c r="BQ217" s="206"/>
      <c r="BR217" s="206"/>
      <c r="BS217" s="206"/>
      <c r="BT217" s="206"/>
      <c r="BU217" s="206"/>
      <c r="BV217" s="206"/>
      <c r="BW217" s="206"/>
      <c r="BX217" s="206"/>
      <c r="BY217" s="206"/>
      <c r="BZ217" s="206"/>
      <c r="CA217" s="206"/>
      <c r="CB217" s="206"/>
      <c r="CC217" s="206"/>
      <c r="CD217" s="206"/>
      <c r="CE217" s="206"/>
      <c r="CF217" s="206"/>
      <c r="CG217" s="206"/>
      <c r="CH217" s="206"/>
      <c r="CI217" s="206"/>
      <c r="CJ217" s="206"/>
      <c r="CK217" s="206"/>
      <c r="CL217" s="206"/>
      <c r="CM217" s="206"/>
      <c r="CN217" s="206"/>
      <c r="CO217" s="206"/>
      <c r="CP217" s="206"/>
      <c r="CQ217" s="206"/>
      <c r="CR217" s="206"/>
      <c r="CS217" s="206"/>
      <c r="CT217" s="206"/>
      <c r="CU217" s="206"/>
      <c r="CV217" s="206"/>
      <c r="CW217" s="206"/>
      <c r="CX217" s="206"/>
      <c r="CY217" s="206"/>
      <c r="CZ217" s="206"/>
      <c r="DA217" s="206"/>
      <c r="DB217" s="206"/>
      <c r="DC217" s="206"/>
      <c r="DD217" s="206"/>
      <c r="DE217" s="206"/>
      <c r="DF217" s="206"/>
      <c r="DG217" s="206"/>
      <c r="DH217" s="206"/>
      <c r="DI217" s="206"/>
      <c r="DJ217" s="206"/>
      <c r="DK217" s="206"/>
      <c r="DL217" s="206"/>
      <c r="DM217" s="206"/>
      <c r="DN217" s="206"/>
      <c r="DO217" s="206"/>
      <c r="DP217" s="206"/>
      <c r="DQ217" s="206"/>
      <c r="DR217" s="206"/>
      <c r="DS217" s="206"/>
      <c r="DT217" s="206"/>
      <c r="DU217" s="206"/>
      <c r="DV217" s="206"/>
      <c r="DW217" s="206"/>
      <c r="DX217" s="206"/>
      <c r="DY217" s="206"/>
      <c r="DZ217" s="206"/>
      <c r="EA217" s="206"/>
      <c r="EB217" s="206"/>
      <c r="EC217" s="206"/>
      <c r="ED217" s="206"/>
      <c r="EE217" s="206"/>
      <c r="EF217" s="206"/>
      <c r="EG217" s="206"/>
      <c r="EH217" s="206"/>
      <c r="EI217" s="206"/>
      <c r="EJ217" s="206"/>
      <c r="EK217" s="206"/>
      <c r="EL217" s="206"/>
      <c r="EM217" s="206"/>
      <c r="EN217" s="206"/>
      <c r="EO217" s="206"/>
      <c r="EP217" s="206"/>
      <c r="EQ217" s="206"/>
      <c r="ER217" s="206"/>
      <c r="ES217" s="206"/>
      <c r="ET217" s="206"/>
      <c r="EU217" s="206"/>
      <c r="EV217" s="206"/>
      <c r="EW217" s="206"/>
      <c r="EX217" s="206"/>
      <c r="EY217" s="206"/>
      <c r="EZ217" s="206"/>
      <c r="FA217" s="206"/>
      <c r="FB217" s="206"/>
      <c r="FC217" s="206"/>
      <c r="FD217" s="206"/>
      <c r="FE217" s="206"/>
      <c r="FF217" s="206"/>
      <c r="FG217" s="206"/>
      <c r="FH217" s="206"/>
      <c r="FI217" s="206"/>
      <c r="FJ217" s="206"/>
      <c r="FK217" s="206"/>
      <c r="FL217" s="206"/>
      <c r="FM217" s="206"/>
      <c r="FN217" s="206"/>
      <c r="FO217" s="206"/>
      <c r="FP217" s="206"/>
      <c r="FQ217" s="206"/>
      <c r="FR217" s="206"/>
      <c r="FS217" s="206"/>
      <c r="FT217" s="206"/>
      <c r="FU217" s="206"/>
      <c r="FV217" s="206"/>
      <c r="FW217" s="206"/>
      <c r="FX217" s="206"/>
      <c r="FY217" s="206"/>
      <c r="FZ217" s="206"/>
      <c r="GA217" s="206"/>
      <c r="GB217" s="206"/>
      <c r="GC217" s="206"/>
      <c r="GD217" s="206"/>
      <c r="GE217" s="206"/>
      <c r="GF217" s="206"/>
      <c r="GG217" s="206"/>
      <c r="GH217" s="206"/>
      <c r="GI217" s="206"/>
      <c r="GJ217" s="206"/>
    </row>
    <row r="218" spans="1:16384" ht="15" x14ac:dyDescent="0.25">
      <c r="C218" s="616" t="s">
        <v>1019</v>
      </c>
      <c r="D218" s="616"/>
      <c r="E218" s="616"/>
      <c r="F218" s="616"/>
      <c r="G218" s="616"/>
      <c r="H218" s="616"/>
      <c r="I218" s="616"/>
      <c r="J218" s="616"/>
      <c r="K218" s="616"/>
      <c r="L218" s="616"/>
      <c r="M218" s="616"/>
      <c r="N218" s="616"/>
      <c r="O218" s="616"/>
      <c r="AW218" s="206"/>
      <c r="AX218" s="206"/>
      <c r="AY218" s="206"/>
      <c r="AZ218" s="206"/>
      <c r="BA218" s="206"/>
      <c r="BB218" s="206"/>
      <c r="BC218" s="206"/>
      <c r="BD218" s="206"/>
      <c r="BE218" s="206"/>
      <c r="BF218" s="206"/>
      <c r="BG218" s="206"/>
      <c r="BH218" s="206"/>
      <c r="BI218" s="206"/>
      <c r="BJ218" s="206"/>
      <c r="BK218" s="206"/>
      <c r="BL218" s="206"/>
      <c r="BM218" s="206"/>
      <c r="BN218" s="206"/>
      <c r="BO218" s="206"/>
      <c r="BP218" s="206"/>
      <c r="BQ218" s="206"/>
      <c r="BR218" s="206"/>
      <c r="BS218" s="206"/>
      <c r="BT218" s="206"/>
      <c r="BU218" s="206"/>
      <c r="BV218" s="206"/>
      <c r="BW218" s="206"/>
      <c r="BX218" s="206"/>
      <c r="BY218" s="206"/>
      <c r="BZ218" s="206"/>
      <c r="CA218" s="206"/>
      <c r="CB218" s="206"/>
      <c r="CC218" s="206"/>
      <c r="CD218" s="206"/>
      <c r="CE218" s="206"/>
      <c r="CF218" s="206"/>
      <c r="CG218" s="206"/>
      <c r="CH218" s="206"/>
      <c r="CI218" s="206"/>
      <c r="CJ218" s="206"/>
      <c r="CK218" s="206"/>
      <c r="CL218" s="206"/>
      <c r="CM218" s="206"/>
      <c r="CN218" s="206"/>
      <c r="CO218" s="206"/>
      <c r="CP218" s="206"/>
      <c r="CQ218" s="206"/>
      <c r="CR218" s="206"/>
      <c r="CS218" s="206"/>
      <c r="CT218" s="206"/>
      <c r="CU218" s="206"/>
      <c r="CV218" s="206"/>
      <c r="CW218" s="206"/>
      <c r="CX218" s="206"/>
      <c r="CY218" s="206"/>
      <c r="CZ218" s="206"/>
      <c r="DA218" s="206"/>
      <c r="DB218" s="206"/>
      <c r="DC218" s="206"/>
      <c r="DD218" s="206"/>
      <c r="DE218" s="206"/>
      <c r="DF218" s="206"/>
      <c r="DG218" s="206"/>
      <c r="DH218" s="206"/>
      <c r="DI218" s="206"/>
      <c r="DJ218" s="206"/>
      <c r="DK218" s="206"/>
      <c r="DL218" s="206"/>
      <c r="DM218" s="206"/>
      <c r="DN218" s="206"/>
      <c r="DO218" s="206"/>
      <c r="DP218" s="206"/>
      <c r="DQ218" s="206"/>
      <c r="DR218" s="206"/>
      <c r="DS218" s="206"/>
      <c r="DT218" s="206"/>
      <c r="DU218" s="206"/>
      <c r="DV218" s="206"/>
      <c r="DW218" s="206"/>
      <c r="DX218" s="206"/>
      <c r="DY218" s="206"/>
      <c r="DZ218" s="206"/>
      <c r="EA218" s="206"/>
      <c r="EB218" s="206"/>
      <c r="EC218" s="206"/>
      <c r="ED218" s="206"/>
      <c r="EE218" s="206"/>
      <c r="EF218" s="206"/>
      <c r="EG218" s="206"/>
      <c r="EH218" s="206"/>
      <c r="EI218" s="206"/>
      <c r="EJ218" s="206"/>
      <c r="EK218" s="206"/>
      <c r="EL218" s="206"/>
      <c r="EM218" s="206"/>
      <c r="EN218" s="206"/>
      <c r="EO218" s="206"/>
      <c r="EP218" s="206"/>
      <c r="EQ218" s="206"/>
      <c r="ER218" s="206"/>
      <c r="ES218" s="206"/>
      <c r="ET218" s="206"/>
      <c r="EU218" s="206"/>
      <c r="EV218" s="206"/>
      <c r="EW218" s="206"/>
      <c r="EX218" s="206"/>
      <c r="EY218" s="206"/>
      <c r="EZ218" s="206"/>
      <c r="FA218" s="206"/>
      <c r="FB218" s="206"/>
      <c r="FC218" s="206"/>
      <c r="FD218" s="206"/>
      <c r="FE218" s="206"/>
      <c r="FF218" s="206"/>
      <c r="FG218" s="206"/>
      <c r="FH218" s="206"/>
      <c r="FI218" s="206"/>
      <c r="FJ218" s="206"/>
      <c r="FK218" s="206"/>
      <c r="FL218" s="206"/>
      <c r="FM218" s="206"/>
      <c r="FN218" s="206"/>
      <c r="FO218" s="206"/>
      <c r="FP218" s="206"/>
      <c r="FQ218" s="206"/>
      <c r="FR218" s="206"/>
      <c r="FS218" s="206"/>
      <c r="FT218" s="206"/>
      <c r="FU218" s="206"/>
      <c r="FV218" s="206"/>
      <c r="FW218" s="206"/>
      <c r="FX218" s="206"/>
      <c r="FY218" s="206"/>
      <c r="FZ218" s="206"/>
      <c r="GA218" s="206"/>
      <c r="GB218" s="206"/>
      <c r="GC218" s="206"/>
      <c r="GD218" s="206"/>
      <c r="GE218" s="206"/>
      <c r="GF218" s="206"/>
      <c r="GG218" s="206"/>
      <c r="GH218" s="206"/>
      <c r="GI218" s="206"/>
      <c r="GJ218" s="206"/>
    </row>
    <row r="219" spans="1:16384" ht="15" x14ac:dyDescent="0.2">
      <c r="C219" s="386"/>
      <c r="D219" s="387"/>
      <c r="E219" s="388"/>
      <c r="F219" s="386"/>
      <c r="G219" s="386"/>
      <c r="H219" s="389"/>
      <c r="I219" s="387"/>
      <c r="J219" s="389"/>
      <c r="K219" s="386"/>
      <c r="L219" s="386"/>
      <c r="M219" s="389"/>
      <c r="N219" s="391"/>
      <c r="O219" s="392"/>
      <c r="AW219" s="206"/>
      <c r="AX219" s="206"/>
      <c r="AY219" s="206"/>
      <c r="AZ219" s="206"/>
      <c r="BA219" s="206"/>
      <c r="BB219" s="206"/>
      <c r="BC219" s="206"/>
      <c r="BD219" s="206"/>
      <c r="BE219" s="206"/>
      <c r="BF219" s="206"/>
      <c r="BG219" s="206"/>
      <c r="BH219" s="206"/>
      <c r="BI219" s="206"/>
      <c r="BJ219" s="206"/>
      <c r="BK219" s="206"/>
      <c r="BL219" s="206"/>
      <c r="BM219" s="206"/>
      <c r="BN219" s="206"/>
      <c r="BO219" s="206"/>
      <c r="BP219" s="206"/>
      <c r="BQ219" s="206"/>
      <c r="BR219" s="206"/>
      <c r="BS219" s="206"/>
      <c r="BT219" s="206"/>
      <c r="BU219" s="206"/>
      <c r="BV219" s="206"/>
      <c r="BW219" s="206"/>
      <c r="BX219" s="206"/>
      <c r="BY219" s="206"/>
      <c r="BZ219" s="206"/>
      <c r="CA219" s="206"/>
      <c r="CB219" s="206"/>
      <c r="CC219" s="206"/>
      <c r="CD219" s="206"/>
      <c r="CE219" s="206"/>
      <c r="CF219" s="206"/>
      <c r="CG219" s="206"/>
      <c r="CH219" s="206"/>
      <c r="CI219" s="206"/>
      <c r="CJ219" s="206"/>
      <c r="CK219" s="206"/>
      <c r="CL219" s="206"/>
      <c r="CM219" s="206"/>
      <c r="CN219" s="206"/>
      <c r="CO219" s="206"/>
      <c r="CP219" s="206"/>
      <c r="CQ219" s="206"/>
      <c r="CR219" s="206"/>
      <c r="CS219" s="206"/>
      <c r="CT219" s="206"/>
      <c r="CU219" s="206"/>
      <c r="CV219" s="206"/>
      <c r="CW219" s="206"/>
      <c r="CX219" s="206"/>
      <c r="CY219" s="206"/>
      <c r="CZ219" s="206"/>
      <c r="DA219" s="206"/>
      <c r="DB219" s="206"/>
      <c r="DC219" s="206"/>
      <c r="DD219" s="206"/>
      <c r="DE219" s="206"/>
      <c r="DF219" s="206"/>
      <c r="DG219" s="206"/>
      <c r="DH219" s="206"/>
      <c r="DI219" s="206"/>
      <c r="DJ219" s="206"/>
      <c r="DK219" s="206"/>
      <c r="DL219" s="206"/>
      <c r="DM219" s="206"/>
      <c r="DN219" s="206"/>
      <c r="DO219" s="206"/>
      <c r="DP219" s="206"/>
      <c r="DQ219" s="206"/>
      <c r="DR219" s="206"/>
      <c r="DS219" s="206"/>
      <c r="DT219" s="206"/>
      <c r="DU219" s="206"/>
      <c r="DV219" s="206"/>
      <c r="DW219" s="206"/>
      <c r="DX219" s="206"/>
      <c r="DY219" s="206"/>
      <c r="DZ219" s="206"/>
      <c r="EA219" s="206"/>
      <c r="EB219" s="206"/>
      <c r="EC219" s="206"/>
      <c r="ED219" s="206"/>
      <c r="EE219" s="206"/>
      <c r="EF219" s="206"/>
      <c r="EG219" s="206"/>
      <c r="EH219" s="206"/>
      <c r="EI219" s="206"/>
      <c r="EJ219" s="206"/>
      <c r="EK219" s="206"/>
      <c r="EL219" s="206"/>
      <c r="EM219" s="206"/>
      <c r="EN219" s="206"/>
      <c r="EO219" s="206"/>
      <c r="EP219" s="206"/>
      <c r="EQ219" s="206"/>
      <c r="ER219" s="206"/>
      <c r="ES219" s="206"/>
      <c r="ET219" s="206"/>
      <c r="EU219" s="206"/>
      <c r="EV219" s="206"/>
      <c r="EW219" s="206"/>
      <c r="EX219" s="206"/>
      <c r="EY219" s="206"/>
      <c r="EZ219" s="206"/>
      <c r="FA219" s="206"/>
      <c r="FB219" s="206"/>
      <c r="FC219" s="206"/>
      <c r="FD219" s="206"/>
      <c r="FE219" s="206"/>
      <c r="FF219" s="206"/>
      <c r="FG219" s="206"/>
      <c r="FH219" s="206"/>
      <c r="FI219" s="206"/>
      <c r="FJ219" s="206"/>
      <c r="FK219" s="206"/>
      <c r="FL219" s="206"/>
      <c r="FM219" s="206"/>
      <c r="FN219" s="206"/>
      <c r="FO219" s="206"/>
      <c r="FP219" s="206"/>
      <c r="FQ219" s="206"/>
      <c r="FR219" s="206"/>
      <c r="FS219" s="206"/>
      <c r="FT219" s="206"/>
      <c r="FU219" s="206"/>
      <c r="FV219" s="206"/>
      <c r="FW219" s="206"/>
      <c r="FX219" s="206"/>
      <c r="FY219" s="206"/>
      <c r="FZ219" s="206"/>
      <c r="GA219" s="206"/>
      <c r="GB219" s="206"/>
      <c r="GC219" s="206"/>
      <c r="GD219" s="206"/>
      <c r="GE219" s="206"/>
      <c r="GF219" s="206"/>
      <c r="GG219" s="206"/>
      <c r="GH219" s="206"/>
      <c r="GI219" s="206"/>
      <c r="GJ219" s="206"/>
    </row>
    <row r="220" spans="1:16384" x14ac:dyDescent="0.2">
      <c r="AW220" s="206"/>
      <c r="AX220" s="206"/>
      <c r="AY220" s="206"/>
      <c r="AZ220" s="206"/>
      <c r="BA220" s="206"/>
      <c r="BB220" s="206"/>
      <c r="BC220" s="206"/>
      <c r="BD220" s="206"/>
      <c r="BE220" s="206"/>
      <c r="BF220" s="206"/>
      <c r="BG220" s="206"/>
      <c r="BH220" s="206"/>
      <c r="BI220" s="206"/>
      <c r="BJ220" s="206"/>
      <c r="BK220" s="206"/>
      <c r="BL220" s="206"/>
      <c r="BM220" s="206"/>
      <c r="BN220" s="206"/>
      <c r="BO220" s="206"/>
      <c r="BP220" s="206"/>
      <c r="BQ220" s="206"/>
      <c r="BR220" s="206"/>
      <c r="BS220" s="206"/>
      <c r="BT220" s="206"/>
      <c r="BU220" s="206"/>
      <c r="BV220" s="206"/>
      <c r="BW220" s="206"/>
      <c r="BX220" s="206"/>
      <c r="BY220" s="206"/>
      <c r="BZ220" s="206"/>
      <c r="CA220" s="206"/>
      <c r="CB220" s="206"/>
      <c r="CC220" s="206"/>
      <c r="CD220" s="206"/>
      <c r="CE220" s="206"/>
      <c r="CF220" s="206"/>
      <c r="CG220" s="206"/>
      <c r="CH220" s="206"/>
      <c r="CI220" s="206"/>
      <c r="CJ220" s="206"/>
      <c r="CK220" s="206"/>
      <c r="CL220" s="206"/>
      <c r="CM220" s="206"/>
      <c r="CN220" s="206"/>
      <c r="CO220" s="206"/>
      <c r="CP220" s="206"/>
      <c r="CQ220" s="206"/>
      <c r="CR220" s="206"/>
      <c r="CS220" s="206"/>
      <c r="CT220" s="206"/>
      <c r="CU220" s="206"/>
      <c r="CV220" s="206"/>
      <c r="CW220" s="206"/>
      <c r="CX220" s="206"/>
      <c r="CY220" s="206"/>
      <c r="CZ220" s="206"/>
      <c r="DA220" s="206"/>
      <c r="DB220" s="206"/>
      <c r="DC220" s="206"/>
      <c r="DD220" s="206"/>
      <c r="DE220" s="206"/>
      <c r="DF220" s="206"/>
      <c r="DG220" s="206"/>
      <c r="DH220" s="206"/>
      <c r="DI220" s="206"/>
      <c r="DJ220" s="206"/>
      <c r="DK220" s="206"/>
      <c r="DL220" s="206"/>
      <c r="DM220" s="206"/>
      <c r="DN220" s="206"/>
      <c r="DO220" s="206"/>
      <c r="DP220" s="206"/>
      <c r="DQ220" s="206"/>
      <c r="DR220" s="206"/>
      <c r="DS220" s="206"/>
      <c r="DT220" s="206"/>
      <c r="DU220" s="206"/>
      <c r="DV220" s="206"/>
      <c r="DW220" s="206"/>
      <c r="DX220" s="206"/>
      <c r="DY220" s="206"/>
      <c r="DZ220" s="206"/>
      <c r="EA220" s="206"/>
      <c r="EB220" s="206"/>
      <c r="EC220" s="206"/>
      <c r="ED220" s="206"/>
      <c r="EE220" s="206"/>
      <c r="EF220" s="206"/>
      <c r="EG220" s="206"/>
      <c r="EH220" s="206"/>
      <c r="EI220" s="206"/>
      <c r="EJ220" s="206"/>
      <c r="EK220" s="206"/>
      <c r="EL220" s="206"/>
      <c r="EM220" s="206"/>
      <c r="EN220" s="206"/>
      <c r="EO220" s="206"/>
      <c r="EP220" s="206"/>
      <c r="EQ220" s="206"/>
      <c r="ER220" s="206"/>
      <c r="ES220" s="206"/>
      <c r="ET220" s="206"/>
      <c r="EU220" s="206"/>
      <c r="EV220" s="206"/>
      <c r="EW220" s="206"/>
      <c r="EX220" s="206"/>
      <c r="EY220" s="206"/>
      <c r="EZ220" s="206"/>
      <c r="FA220" s="206"/>
      <c r="FB220" s="206"/>
      <c r="FC220" s="206"/>
      <c r="FD220" s="206"/>
      <c r="FE220" s="206"/>
      <c r="FF220" s="206"/>
      <c r="FG220" s="206"/>
      <c r="FH220" s="206"/>
      <c r="FI220" s="206"/>
      <c r="FJ220" s="206"/>
      <c r="FK220" s="206"/>
      <c r="FL220" s="206"/>
      <c r="FM220" s="206"/>
      <c r="FN220" s="206"/>
      <c r="FO220" s="206"/>
      <c r="FP220" s="206"/>
      <c r="FQ220" s="206"/>
      <c r="FR220" s="206"/>
      <c r="FS220" s="206"/>
      <c r="FT220" s="206"/>
      <c r="FU220" s="206"/>
      <c r="FV220" s="206"/>
      <c r="FW220" s="206"/>
      <c r="FX220" s="206"/>
      <c r="FY220" s="206"/>
      <c r="FZ220" s="206"/>
      <c r="GA220" s="206"/>
      <c r="GB220" s="206"/>
      <c r="GC220" s="206"/>
      <c r="GD220" s="206"/>
      <c r="GE220" s="206"/>
      <c r="GF220" s="206"/>
      <c r="GG220" s="206"/>
      <c r="GH220" s="206"/>
      <c r="GI220" s="206"/>
      <c r="GJ220" s="206"/>
    </row>
    <row r="221" spans="1:16384" x14ac:dyDescent="0.2">
      <c r="AW221" s="206"/>
      <c r="AX221" s="206"/>
      <c r="AY221" s="206"/>
      <c r="AZ221" s="206"/>
      <c r="BA221" s="206"/>
      <c r="BB221" s="206"/>
      <c r="BC221" s="206"/>
      <c r="BD221" s="206"/>
      <c r="BE221" s="206"/>
      <c r="BF221" s="206"/>
      <c r="BG221" s="206"/>
      <c r="BH221" s="206"/>
      <c r="BI221" s="206"/>
      <c r="BJ221" s="206"/>
      <c r="BK221" s="206"/>
      <c r="BL221" s="206"/>
      <c r="BM221" s="206"/>
      <c r="BN221" s="206"/>
      <c r="BO221" s="206"/>
      <c r="BP221" s="206"/>
      <c r="BQ221" s="206"/>
      <c r="BR221" s="206"/>
      <c r="BS221" s="206"/>
      <c r="BT221" s="206"/>
      <c r="BU221" s="206"/>
      <c r="BV221" s="206"/>
      <c r="BW221" s="206"/>
      <c r="BX221" s="206"/>
      <c r="BY221" s="206"/>
      <c r="BZ221" s="206"/>
      <c r="CA221" s="206"/>
      <c r="CB221" s="206"/>
      <c r="CC221" s="206"/>
      <c r="CD221" s="206"/>
      <c r="CE221" s="206"/>
      <c r="CF221" s="206"/>
      <c r="CG221" s="206"/>
      <c r="CH221" s="206"/>
      <c r="CI221" s="206"/>
      <c r="CJ221" s="206"/>
      <c r="CK221" s="206"/>
      <c r="CL221" s="206"/>
      <c r="CM221" s="206"/>
      <c r="CN221" s="206"/>
      <c r="CO221" s="206"/>
      <c r="CP221" s="206"/>
      <c r="CQ221" s="206"/>
      <c r="CR221" s="206"/>
      <c r="CS221" s="206"/>
      <c r="CT221" s="206"/>
      <c r="CU221" s="206"/>
      <c r="CV221" s="206"/>
      <c r="CW221" s="206"/>
      <c r="CX221" s="206"/>
      <c r="CY221" s="206"/>
      <c r="CZ221" s="206"/>
      <c r="DA221" s="206"/>
      <c r="DB221" s="206"/>
      <c r="DC221" s="206"/>
      <c r="DD221" s="206"/>
      <c r="DE221" s="206"/>
      <c r="DF221" s="206"/>
      <c r="DG221" s="206"/>
      <c r="DH221" s="206"/>
      <c r="DI221" s="206"/>
      <c r="DJ221" s="206"/>
      <c r="DK221" s="206"/>
      <c r="DL221" s="206"/>
      <c r="DM221" s="206"/>
      <c r="DN221" s="206"/>
      <c r="DO221" s="206"/>
      <c r="DP221" s="206"/>
      <c r="DQ221" s="206"/>
      <c r="DR221" s="206"/>
      <c r="DS221" s="206"/>
      <c r="DT221" s="206"/>
      <c r="DU221" s="206"/>
      <c r="DV221" s="206"/>
      <c r="DW221" s="206"/>
      <c r="DX221" s="206"/>
      <c r="DY221" s="206"/>
      <c r="DZ221" s="206"/>
      <c r="EA221" s="206"/>
      <c r="EB221" s="206"/>
      <c r="EC221" s="206"/>
      <c r="ED221" s="206"/>
      <c r="EE221" s="206"/>
      <c r="EF221" s="206"/>
      <c r="EG221" s="206"/>
      <c r="EH221" s="206"/>
      <c r="EI221" s="206"/>
      <c r="EJ221" s="206"/>
      <c r="EK221" s="206"/>
      <c r="EL221" s="206"/>
      <c r="EM221" s="206"/>
      <c r="EN221" s="206"/>
      <c r="EO221" s="206"/>
      <c r="EP221" s="206"/>
      <c r="EQ221" s="206"/>
      <c r="ER221" s="206"/>
      <c r="ES221" s="206"/>
      <c r="ET221" s="206"/>
      <c r="EU221" s="206"/>
      <c r="EV221" s="206"/>
      <c r="EW221" s="206"/>
      <c r="EX221" s="206"/>
      <c r="EY221" s="206"/>
      <c r="EZ221" s="206"/>
      <c r="FA221" s="206"/>
      <c r="FB221" s="206"/>
      <c r="FC221" s="206"/>
      <c r="FD221" s="206"/>
      <c r="FE221" s="206"/>
      <c r="FF221" s="206"/>
      <c r="FG221" s="206"/>
      <c r="FH221" s="206"/>
      <c r="FI221" s="206"/>
      <c r="FJ221" s="206"/>
      <c r="FK221" s="206"/>
      <c r="FL221" s="206"/>
      <c r="FM221" s="206"/>
      <c r="FN221" s="206"/>
      <c r="FO221" s="206"/>
      <c r="FP221" s="206"/>
      <c r="FQ221" s="206"/>
      <c r="FR221" s="206"/>
      <c r="FS221" s="206"/>
      <c r="FT221" s="206"/>
      <c r="FU221" s="206"/>
      <c r="FV221" s="206"/>
      <c r="FW221" s="206"/>
      <c r="FX221" s="206"/>
      <c r="FY221" s="206"/>
      <c r="FZ221" s="206"/>
      <c r="GA221" s="206"/>
      <c r="GB221" s="206"/>
      <c r="GC221" s="206"/>
      <c r="GD221" s="206"/>
      <c r="GE221" s="206"/>
      <c r="GF221" s="206"/>
      <c r="GG221" s="206"/>
      <c r="GH221" s="206"/>
      <c r="GI221" s="206"/>
      <c r="GJ221" s="206"/>
    </row>
    <row r="222" spans="1:16384" x14ac:dyDescent="0.2">
      <c r="AW222" s="206"/>
      <c r="AX222" s="206"/>
      <c r="AY222" s="206"/>
      <c r="AZ222" s="206"/>
      <c r="BA222" s="206"/>
      <c r="BB222" s="206"/>
      <c r="BC222" s="206"/>
      <c r="BD222" s="206"/>
      <c r="BE222" s="206"/>
      <c r="BF222" s="206"/>
      <c r="BG222" s="206"/>
      <c r="BH222" s="206"/>
      <c r="BI222" s="206"/>
      <c r="BJ222" s="206"/>
      <c r="BK222" s="206"/>
      <c r="BL222" s="206"/>
      <c r="BM222" s="206"/>
      <c r="BN222" s="206"/>
      <c r="BO222" s="206"/>
      <c r="BP222" s="206"/>
      <c r="BQ222" s="206"/>
      <c r="BR222" s="206"/>
      <c r="BS222" s="206"/>
      <c r="BT222" s="206"/>
      <c r="BU222" s="206"/>
      <c r="BV222" s="206"/>
      <c r="BW222" s="206"/>
      <c r="BX222" s="206"/>
      <c r="BY222" s="206"/>
      <c r="BZ222" s="206"/>
      <c r="CA222" s="206"/>
      <c r="CB222" s="206"/>
      <c r="CC222" s="206"/>
      <c r="CD222" s="206"/>
      <c r="CE222" s="206"/>
      <c r="CF222" s="206"/>
      <c r="CG222" s="206"/>
      <c r="CH222" s="206"/>
      <c r="CI222" s="206"/>
      <c r="CJ222" s="206"/>
      <c r="CK222" s="206"/>
      <c r="CL222" s="206"/>
      <c r="CM222" s="206"/>
      <c r="CN222" s="206"/>
      <c r="CO222" s="206"/>
      <c r="CP222" s="206"/>
      <c r="CQ222" s="206"/>
      <c r="CR222" s="206"/>
      <c r="CS222" s="206"/>
      <c r="CT222" s="206"/>
      <c r="CU222" s="206"/>
      <c r="CV222" s="206"/>
      <c r="CW222" s="206"/>
      <c r="CX222" s="206"/>
      <c r="CY222" s="206"/>
      <c r="CZ222" s="206"/>
      <c r="DA222" s="206"/>
      <c r="DB222" s="206"/>
      <c r="DC222" s="206"/>
      <c r="DD222" s="206"/>
      <c r="DE222" s="206"/>
      <c r="DF222" s="206"/>
      <c r="DG222" s="206"/>
      <c r="DH222" s="206"/>
      <c r="DI222" s="206"/>
      <c r="DJ222" s="206"/>
      <c r="DK222" s="206"/>
      <c r="DL222" s="206"/>
      <c r="DM222" s="206"/>
      <c r="DN222" s="206"/>
      <c r="DO222" s="206"/>
      <c r="DP222" s="206"/>
      <c r="DQ222" s="206"/>
      <c r="DR222" s="206"/>
      <c r="DS222" s="206"/>
      <c r="DT222" s="206"/>
      <c r="DU222" s="206"/>
      <c r="DV222" s="206"/>
      <c r="DW222" s="206"/>
      <c r="DX222" s="206"/>
      <c r="DY222" s="206"/>
      <c r="DZ222" s="206"/>
      <c r="EA222" s="206"/>
      <c r="EB222" s="206"/>
      <c r="EC222" s="206"/>
      <c r="ED222" s="206"/>
      <c r="EE222" s="206"/>
      <c r="EF222" s="206"/>
      <c r="EG222" s="206"/>
      <c r="EH222" s="206"/>
      <c r="EI222" s="206"/>
      <c r="EJ222" s="206"/>
      <c r="EK222" s="206"/>
      <c r="EL222" s="206"/>
      <c r="EM222" s="206"/>
      <c r="EN222" s="206"/>
      <c r="EO222" s="206"/>
      <c r="EP222" s="206"/>
      <c r="EQ222" s="206"/>
      <c r="ER222" s="206"/>
      <c r="ES222" s="206"/>
      <c r="ET222" s="206"/>
      <c r="EU222" s="206"/>
      <c r="EV222" s="206"/>
      <c r="EW222" s="206"/>
      <c r="EX222" s="206"/>
      <c r="EY222" s="206"/>
      <c r="EZ222" s="206"/>
      <c r="FA222" s="206"/>
      <c r="FB222" s="206"/>
      <c r="FC222" s="206"/>
      <c r="FD222" s="206"/>
      <c r="FE222" s="206"/>
      <c r="FF222" s="206"/>
      <c r="FG222" s="206"/>
      <c r="FH222" s="206"/>
      <c r="FI222" s="206"/>
      <c r="FJ222" s="206"/>
      <c r="FK222" s="206"/>
      <c r="FL222" s="206"/>
      <c r="FM222" s="206"/>
      <c r="FN222" s="206"/>
      <c r="FO222" s="206"/>
      <c r="FP222" s="206"/>
      <c r="FQ222" s="206"/>
      <c r="FR222" s="206"/>
      <c r="FS222" s="206"/>
      <c r="FT222" s="206"/>
      <c r="FU222" s="206"/>
      <c r="FV222" s="206"/>
      <c r="FW222" s="206"/>
      <c r="FX222" s="206"/>
      <c r="FY222" s="206"/>
      <c r="FZ222" s="206"/>
      <c r="GA222" s="206"/>
      <c r="GB222" s="206"/>
      <c r="GC222" s="206"/>
      <c r="GD222" s="206"/>
      <c r="GE222" s="206"/>
      <c r="GF222" s="206"/>
      <c r="GG222" s="206"/>
      <c r="GH222" s="206"/>
      <c r="GI222" s="206"/>
      <c r="GJ222" s="206"/>
    </row>
    <row r="223" spans="1:16384" x14ac:dyDescent="0.2">
      <c r="AW223" s="206"/>
      <c r="AX223" s="206"/>
      <c r="AY223" s="206"/>
      <c r="AZ223" s="206"/>
      <c r="BA223" s="206"/>
      <c r="BB223" s="206"/>
      <c r="BC223" s="206"/>
      <c r="BD223" s="206"/>
      <c r="BE223" s="206"/>
      <c r="BF223" s="206"/>
      <c r="BG223" s="206"/>
      <c r="BH223" s="206"/>
      <c r="BI223" s="206"/>
      <c r="BJ223" s="206"/>
      <c r="BK223" s="206"/>
      <c r="BL223" s="206"/>
      <c r="BM223" s="206"/>
      <c r="BN223" s="206"/>
      <c r="BO223" s="206"/>
      <c r="BP223" s="206"/>
      <c r="BQ223" s="206"/>
      <c r="BR223" s="206"/>
      <c r="BS223" s="206"/>
      <c r="BT223" s="206"/>
      <c r="BU223" s="206"/>
      <c r="BV223" s="206"/>
      <c r="BW223" s="206"/>
      <c r="BX223" s="206"/>
      <c r="BY223" s="206"/>
      <c r="BZ223" s="206"/>
      <c r="CA223" s="206"/>
      <c r="CB223" s="206"/>
      <c r="CC223" s="206"/>
      <c r="CD223" s="206"/>
      <c r="CE223" s="206"/>
      <c r="CF223" s="206"/>
      <c r="CG223" s="206"/>
      <c r="CH223" s="206"/>
      <c r="CI223" s="206"/>
      <c r="CJ223" s="206"/>
      <c r="CK223" s="206"/>
      <c r="CL223" s="206"/>
      <c r="CM223" s="206"/>
      <c r="CN223" s="206"/>
      <c r="CO223" s="206"/>
      <c r="CP223" s="206"/>
      <c r="CQ223" s="206"/>
      <c r="CR223" s="206"/>
      <c r="CS223" s="206"/>
      <c r="CT223" s="206"/>
      <c r="CU223" s="206"/>
      <c r="CV223" s="206"/>
      <c r="CW223" s="206"/>
      <c r="CX223" s="206"/>
      <c r="CY223" s="206"/>
      <c r="CZ223" s="206"/>
      <c r="DA223" s="206"/>
      <c r="DB223" s="206"/>
      <c r="DC223" s="206"/>
      <c r="DD223" s="206"/>
      <c r="DE223" s="206"/>
      <c r="DF223" s="206"/>
      <c r="DG223" s="206"/>
      <c r="DH223" s="206"/>
      <c r="DI223" s="206"/>
      <c r="DJ223" s="206"/>
      <c r="DK223" s="206"/>
      <c r="DL223" s="206"/>
      <c r="DM223" s="206"/>
      <c r="DN223" s="206"/>
      <c r="DO223" s="206"/>
      <c r="DP223" s="206"/>
      <c r="DQ223" s="206"/>
      <c r="DR223" s="206"/>
      <c r="DS223" s="206"/>
      <c r="DT223" s="206"/>
      <c r="DU223" s="206"/>
      <c r="DV223" s="206"/>
      <c r="DW223" s="206"/>
      <c r="DX223" s="206"/>
      <c r="DY223" s="206"/>
      <c r="DZ223" s="206"/>
      <c r="EA223" s="206"/>
      <c r="EB223" s="206"/>
      <c r="EC223" s="206"/>
      <c r="ED223" s="206"/>
      <c r="EE223" s="206"/>
      <c r="EF223" s="206"/>
      <c r="EG223" s="206"/>
      <c r="EH223" s="206"/>
      <c r="EI223" s="206"/>
      <c r="EJ223" s="206"/>
      <c r="EK223" s="206"/>
      <c r="EL223" s="206"/>
      <c r="EM223" s="206"/>
      <c r="EN223" s="206"/>
      <c r="EO223" s="206"/>
      <c r="EP223" s="206"/>
      <c r="EQ223" s="206"/>
      <c r="ER223" s="206"/>
      <c r="ES223" s="206"/>
      <c r="ET223" s="206"/>
      <c r="EU223" s="206"/>
      <c r="EV223" s="206"/>
      <c r="EW223" s="206"/>
      <c r="EX223" s="206"/>
      <c r="EY223" s="206"/>
      <c r="EZ223" s="206"/>
      <c r="FA223" s="206"/>
      <c r="FB223" s="206"/>
      <c r="FC223" s="206"/>
      <c r="FD223" s="206"/>
      <c r="FE223" s="206"/>
      <c r="FF223" s="206"/>
      <c r="FG223" s="206"/>
      <c r="FH223" s="206"/>
      <c r="FI223" s="206"/>
      <c r="FJ223" s="206"/>
      <c r="FK223" s="206"/>
      <c r="FL223" s="206"/>
      <c r="FM223" s="206"/>
      <c r="FN223" s="206"/>
      <c r="FO223" s="206"/>
      <c r="FP223" s="206"/>
      <c r="FQ223" s="206"/>
      <c r="FR223" s="206"/>
      <c r="FS223" s="206"/>
      <c r="FT223" s="206"/>
      <c r="FU223" s="206"/>
      <c r="FV223" s="206"/>
      <c r="FW223" s="206"/>
      <c r="FX223" s="206"/>
      <c r="FY223" s="206"/>
      <c r="FZ223" s="206"/>
      <c r="GA223" s="206"/>
      <c r="GB223" s="206"/>
      <c r="GC223" s="206"/>
      <c r="GD223" s="206"/>
      <c r="GE223" s="206"/>
      <c r="GF223" s="206"/>
      <c r="GG223" s="206"/>
      <c r="GH223" s="206"/>
      <c r="GI223" s="206"/>
      <c r="GJ223" s="206"/>
    </row>
    <row r="224" spans="1:16384" x14ac:dyDescent="0.2">
      <c r="AW224" s="206"/>
      <c r="AX224" s="206"/>
      <c r="AY224" s="206"/>
      <c r="AZ224" s="206"/>
      <c r="BA224" s="206"/>
      <c r="BB224" s="206"/>
      <c r="BC224" s="206"/>
      <c r="BD224" s="206"/>
      <c r="BE224" s="206"/>
      <c r="BF224" s="206"/>
      <c r="BG224" s="206"/>
      <c r="BH224" s="206"/>
      <c r="BI224" s="206"/>
      <c r="BJ224" s="206"/>
      <c r="BK224" s="206"/>
      <c r="BL224" s="206"/>
      <c r="BM224" s="206"/>
      <c r="BN224" s="206"/>
      <c r="BO224" s="206"/>
      <c r="BP224" s="206"/>
      <c r="BQ224" s="206"/>
      <c r="BR224" s="206"/>
      <c r="BS224" s="206"/>
      <c r="BT224" s="206"/>
      <c r="BU224" s="206"/>
      <c r="BV224" s="206"/>
      <c r="BW224" s="206"/>
      <c r="BX224" s="206"/>
      <c r="BY224" s="206"/>
      <c r="BZ224" s="206"/>
      <c r="CA224" s="206"/>
      <c r="CB224" s="206"/>
      <c r="CC224" s="206"/>
      <c r="CD224" s="206"/>
      <c r="CE224" s="206"/>
      <c r="CF224" s="206"/>
      <c r="CG224" s="206"/>
      <c r="CH224" s="206"/>
      <c r="CI224" s="206"/>
      <c r="CJ224" s="206"/>
      <c r="CK224" s="206"/>
      <c r="CL224" s="206"/>
      <c r="CM224" s="206"/>
      <c r="CN224" s="206"/>
      <c r="CO224" s="206"/>
      <c r="CP224" s="206"/>
      <c r="CQ224" s="206"/>
      <c r="CR224" s="206"/>
      <c r="CS224" s="206"/>
      <c r="CT224" s="206"/>
      <c r="CU224" s="206"/>
      <c r="CV224" s="206"/>
      <c r="CW224" s="206"/>
      <c r="CX224" s="206"/>
      <c r="CY224" s="206"/>
      <c r="CZ224" s="206"/>
      <c r="DA224" s="206"/>
      <c r="DB224" s="206"/>
      <c r="DC224" s="206"/>
      <c r="DD224" s="206"/>
      <c r="DE224" s="206"/>
      <c r="DF224" s="206"/>
      <c r="DG224" s="206"/>
      <c r="DH224" s="206"/>
      <c r="DI224" s="206"/>
      <c r="DJ224" s="206"/>
      <c r="DK224" s="206"/>
      <c r="DL224" s="206"/>
      <c r="DM224" s="206"/>
      <c r="DN224" s="206"/>
      <c r="DO224" s="206"/>
      <c r="DP224" s="206"/>
      <c r="DQ224" s="206"/>
      <c r="DR224" s="206"/>
      <c r="DS224" s="206"/>
      <c r="DT224" s="206"/>
      <c r="DU224" s="206"/>
      <c r="DV224" s="206"/>
      <c r="DW224" s="206"/>
      <c r="DX224" s="206"/>
      <c r="DY224" s="206"/>
      <c r="DZ224" s="206"/>
      <c r="EA224" s="206"/>
      <c r="EB224" s="206"/>
      <c r="EC224" s="206"/>
      <c r="ED224" s="206"/>
      <c r="EE224" s="206"/>
      <c r="EF224" s="206"/>
      <c r="EG224" s="206"/>
      <c r="EH224" s="206"/>
      <c r="EI224" s="206"/>
      <c r="EJ224" s="206"/>
      <c r="EK224" s="206"/>
      <c r="EL224" s="206"/>
      <c r="EM224" s="206"/>
      <c r="EN224" s="206"/>
      <c r="EO224" s="206"/>
      <c r="EP224" s="206"/>
      <c r="EQ224" s="206"/>
      <c r="ER224" s="206"/>
      <c r="ES224" s="206"/>
      <c r="ET224" s="206"/>
      <c r="EU224" s="206"/>
      <c r="EV224" s="206"/>
      <c r="EW224" s="206"/>
      <c r="EX224" s="206"/>
      <c r="EY224" s="206"/>
      <c r="EZ224" s="206"/>
      <c r="FA224" s="206"/>
      <c r="FB224" s="206"/>
      <c r="FC224" s="206"/>
      <c r="FD224" s="206"/>
      <c r="FE224" s="206"/>
      <c r="FF224" s="206"/>
      <c r="FG224" s="206"/>
      <c r="FH224" s="206"/>
      <c r="FI224" s="206"/>
      <c r="FJ224" s="206"/>
      <c r="FK224" s="206"/>
      <c r="FL224" s="206"/>
      <c r="FM224" s="206"/>
      <c r="FN224" s="206"/>
      <c r="FO224" s="206"/>
      <c r="FP224" s="206"/>
      <c r="FQ224" s="206"/>
      <c r="FR224" s="206"/>
      <c r="FS224" s="206"/>
      <c r="FT224" s="206"/>
      <c r="FU224" s="206"/>
      <c r="FV224" s="206"/>
      <c r="FW224" s="206"/>
      <c r="FX224" s="206"/>
      <c r="FY224" s="206"/>
      <c r="FZ224" s="206"/>
      <c r="GA224" s="206"/>
      <c r="GB224" s="206"/>
      <c r="GC224" s="206"/>
      <c r="GD224" s="206"/>
      <c r="GE224" s="206"/>
      <c r="GF224" s="206"/>
      <c r="GG224" s="206"/>
      <c r="GH224" s="206"/>
      <c r="GI224" s="206"/>
      <c r="GJ224" s="206"/>
    </row>
    <row r="225" spans="49:192" x14ac:dyDescent="0.2">
      <c r="AW225" s="206"/>
      <c r="AX225" s="206"/>
      <c r="AY225" s="206"/>
      <c r="AZ225" s="206"/>
      <c r="BA225" s="206"/>
      <c r="BB225" s="206"/>
      <c r="BC225" s="206"/>
      <c r="BD225" s="206"/>
      <c r="BE225" s="206"/>
      <c r="BF225" s="206"/>
      <c r="BG225" s="206"/>
      <c r="BH225" s="206"/>
      <c r="BI225" s="206"/>
      <c r="BJ225" s="206"/>
      <c r="BK225" s="206"/>
      <c r="BL225" s="206"/>
      <c r="BM225" s="206"/>
      <c r="BN225" s="206"/>
      <c r="BO225" s="206"/>
      <c r="BP225" s="206"/>
      <c r="BQ225" s="206"/>
      <c r="BR225" s="206"/>
      <c r="BS225" s="206"/>
      <c r="BT225" s="206"/>
      <c r="BU225" s="206"/>
      <c r="BV225" s="206"/>
      <c r="BW225" s="206"/>
      <c r="BX225" s="206"/>
      <c r="BY225" s="206"/>
      <c r="BZ225" s="206"/>
      <c r="CA225" s="206"/>
      <c r="CB225" s="206"/>
      <c r="CC225" s="206"/>
      <c r="CD225" s="206"/>
      <c r="CE225" s="206"/>
      <c r="CF225" s="206"/>
      <c r="CG225" s="206"/>
      <c r="CH225" s="206"/>
      <c r="CI225" s="206"/>
      <c r="CJ225" s="206"/>
      <c r="CK225" s="206"/>
      <c r="CL225" s="206"/>
      <c r="CM225" s="206"/>
      <c r="CN225" s="206"/>
      <c r="CO225" s="206"/>
      <c r="CP225" s="206"/>
      <c r="CQ225" s="206"/>
      <c r="CR225" s="206"/>
      <c r="CS225" s="206"/>
      <c r="CT225" s="206"/>
      <c r="CU225" s="206"/>
      <c r="CV225" s="206"/>
      <c r="CW225" s="206"/>
      <c r="CX225" s="206"/>
      <c r="CY225" s="206"/>
      <c r="CZ225" s="206"/>
      <c r="DA225" s="206"/>
      <c r="DB225" s="206"/>
      <c r="DC225" s="206"/>
      <c r="DD225" s="206"/>
      <c r="DE225" s="206"/>
      <c r="DF225" s="206"/>
      <c r="DG225" s="206"/>
      <c r="DH225" s="206"/>
      <c r="DI225" s="206"/>
      <c r="DJ225" s="206"/>
      <c r="DK225" s="206"/>
      <c r="DL225" s="206"/>
      <c r="DM225" s="206"/>
      <c r="DN225" s="206"/>
      <c r="DO225" s="206"/>
      <c r="DP225" s="206"/>
      <c r="DQ225" s="206"/>
      <c r="DR225" s="206"/>
      <c r="DS225" s="206"/>
      <c r="DT225" s="206"/>
      <c r="DU225" s="206"/>
      <c r="DV225" s="206"/>
      <c r="DW225" s="206"/>
      <c r="DX225" s="206"/>
      <c r="DY225" s="206"/>
      <c r="DZ225" s="206"/>
      <c r="EA225" s="206"/>
      <c r="EB225" s="206"/>
      <c r="EC225" s="206"/>
      <c r="ED225" s="206"/>
      <c r="EE225" s="206"/>
      <c r="EF225" s="206"/>
      <c r="EG225" s="206"/>
      <c r="EH225" s="206"/>
      <c r="EI225" s="206"/>
      <c r="EJ225" s="206"/>
      <c r="EK225" s="206"/>
      <c r="EL225" s="206"/>
      <c r="EM225" s="206"/>
      <c r="EN225" s="206"/>
      <c r="EO225" s="206"/>
      <c r="EP225" s="206"/>
      <c r="EQ225" s="206"/>
      <c r="ER225" s="206"/>
      <c r="ES225" s="206"/>
      <c r="ET225" s="206"/>
      <c r="EU225" s="206"/>
      <c r="EV225" s="206"/>
      <c r="EW225" s="206"/>
      <c r="EX225" s="206"/>
      <c r="EY225" s="206"/>
      <c r="EZ225" s="206"/>
      <c r="FA225" s="206"/>
      <c r="FB225" s="206"/>
      <c r="FC225" s="206"/>
      <c r="FD225" s="206"/>
      <c r="FE225" s="206"/>
      <c r="FF225" s="206"/>
      <c r="FG225" s="206"/>
      <c r="FH225" s="206"/>
      <c r="FI225" s="206"/>
      <c r="FJ225" s="206"/>
      <c r="FK225" s="206"/>
      <c r="FL225" s="206"/>
      <c r="FM225" s="206"/>
      <c r="FN225" s="206"/>
      <c r="FO225" s="206"/>
      <c r="FP225" s="206"/>
      <c r="FQ225" s="206"/>
      <c r="FR225" s="206"/>
      <c r="FS225" s="206"/>
      <c r="FT225" s="206"/>
      <c r="FU225" s="206"/>
      <c r="FV225" s="206"/>
      <c r="FW225" s="206"/>
      <c r="FX225" s="206"/>
      <c r="FY225" s="206"/>
      <c r="FZ225" s="206"/>
      <c r="GA225" s="206"/>
      <c r="GB225" s="206"/>
      <c r="GC225" s="206"/>
      <c r="GD225" s="206"/>
      <c r="GE225" s="206"/>
      <c r="GF225" s="206"/>
      <c r="GG225" s="206"/>
      <c r="GH225" s="206"/>
      <c r="GI225" s="206"/>
      <c r="GJ225" s="206"/>
    </row>
    <row r="226" spans="49:192" x14ac:dyDescent="0.2">
      <c r="AW226" s="206"/>
      <c r="AX226" s="206"/>
      <c r="AY226" s="206"/>
      <c r="AZ226" s="206"/>
      <c r="BA226" s="206"/>
      <c r="BB226" s="206"/>
      <c r="BC226" s="206"/>
      <c r="BD226" s="206"/>
      <c r="BE226" s="206"/>
      <c r="BF226" s="206"/>
      <c r="BG226" s="206"/>
      <c r="BH226" s="206"/>
      <c r="BI226" s="206"/>
      <c r="BJ226" s="206"/>
      <c r="BK226" s="206"/>
      <c r="BL226" s="206"/>
      <c r="BM226" s="206"/>
      <c r="BN226" s="206"/>
      <c r="BO226" s="206"/>
      <c r="BP226" s="206"/>
      <c r="BQ226" s="206"/>
      <c r="BR226" s="206"/>
      <c r="BS226" s="206"/>
      <c r="BT226" s="206"/>
      <c r="BU226" s="206"/>
      <c r="BV226" s="206"/>
      <c r="BW226" s="206"/>
      <c r="BX226" s="206"/>
      <c r="BY226" s="206"/>
      <c r="BZ226" s="206"/>
      <c r="CA226" s="206"/>
      <c r="CB226" s="206"/>
      <c r="CC226" s="206"/>
      <c r="CD226" s="206"/>
      <c r="CE226" s="206"/>
      <c r="CF226" s="206"/>
      <c r="CG226" s="206"/>
      <c r="CH226" s="206"/>
      <c r="CI226" s="206"/>
      <c r="CJ226" s="206"/>
      <c r="CK226" s="206"/>
      <c r="CL226" s="206"/>
      <c r="CM226" s="206"/>
      <c r="CN226" s="206"/>
      <c r="CO226" s="206"/>
      <c r="CP226" s="206"/>
      <c r="CQ226" s="206"/>
      <c r="CR226" s="206"/>
      <c r="CS226" s="206"/>
      <c r="CT226" s="206"/>
      <c r="CU226" s="206"/>
      <c r="CV226" s="206"/>
      <c r="CW226" s="206"/>
      <c r="CX226" s="206"/>
      <c r="CY226" s="206"/>
      <c r="CZ226" s="206"/>
      <c r="DA226" s="206"/>
      <c r="DB226" s="206"/>
      <c r="DC226" s="206"/>
      <c r="DD226" s="206"/>
      <c r="DE226" s="206"/>
      <c r="DF226" s="206"/>
      <c r="DG226" s="206"/>
      <c r="DH226" s="206"/>
      <c r="DI226" s="206"/>
      <c r="DJ226" s="206"/>
      <c r="DK226" s="206"/>
      <c r="DL226" s="206"/>
      <c r="DM226" s="206"/>
      <c r="DN226" s="206"/>
      <c r="DO226" s="206"/>
      <c r="DP226" s="206"/>
      <c r="DQ226" s="206"/>
      <c r="DR226" s="206"/>
      <c r="DS226" s="206"/>
      <c r="DT226" s="206"/>
      <c r="DU226" s="206"/>
      <c r="DV226" s="206"/>
      <c r="DW226" s="206"/>
      <c r="DX226" s="206"/>
      <c r="DY226" s="206"/>
      <c r="DZ226" s="206"/>
      <c r="EA226" s="206"/>
      <c r="EB226" s="206"/>
      <c r="EC226" s="206"/>
      <c r="ED226" s="206"/>
      <c r="EE226" s="206"/>
      <c r="EF226" s="206"/>
      <c r="EG226" s="206"/>
      <c r="EH226" s="206"/>
      <c r="EI226" s="206"/>
      <c r="EJ226" s="206"/>
      <c r="EK226" s="206"/>
      <c r="EL226" s="206"/>
      <c r="EM226" s="206"/>
      <c r="EN226" s="206"/>
      <c r="EO226" s="206"/>
      <c r="EP226" s="206"/>
      <c r="EQ226" s="206"/>
      <c r="ER226" s="206"/>
      <c r="ES226" s="206"/>
      <c r="ET226" s="206"/>
      <c r="EU226" s="206"/>
      <c r="EV226" s="206"/>
      <c r="EW226" s="206"/>
      <c r="EX226" s="206"/>
      <c r="EY226" s="206"/>
      <c r="EZ226" s="206"/>
      <c r="FA226" s="206"/>
      <c r="FB226" s="206"/>
      <c r="FC226" s="206"/>
      <c r="FD226" s="206"/>
      <c r="FE226" s="206"/>
      <c r="FF226" s="206"/>
      <c r="FG226" s="206"/>
      <c r="FH226" s="206"/>
      <c r="FI226" s="206"/>
      <c r="FJ226" s="206"/>
      <c r="FK226" s="206"/>
      <c r="FL226" s="206"/>
      <c r="FM226" s="206"/>
      <c r="FN226" s="206"/>
      <c r="FO226" s="206"/>
      <c r="FP226" s="206"/>
      <c r="FQ226" s="206"/>
      <c r="FR226" s="206"/>
      <c r="FS226" s="206"/>
      <c r="FT226" s="206"/>
      <c r="FU226" s="206"/>
      <c r="FV226" s="206"/>
      <c r="FW226" s="206"/>
      <c r="FX226" s="206"/>
      <c r="FY226" s="206"/>
      <c r="FZ226" s="206"/>
      <c r="GA226" s="206"/>
      <c r="GB226" s="206"/>
      <c r="GC226" s="206"/>
      <c r="GD226" s="206"/>
      <c r="GE226" s="206"/>
      <c r="GF226" s="206"/>
      <c r="GG226" s="206"/>
      <c r="GH226" s="206"/>
      <c r="GI226" s="206"/>
      <c r="GJ226" s="206"/>
    </row>
    <row r="227" spans="49:192" x14ac:dyDescent="0.2">
      <c r="AW227" s="206"/>
      <c r="AX227" s="206"/>
      <c r="AY227" s="206"/>
      <c r="AZ227" s="206"/>
      <c r="BA227" s="206"/>
      <c r="BB227" s="206"/>
      <c r="BC227" s="206"/>
      <c r="BD227" s="206"/>
      <c r="BE227" s="206"/>
      <c r="BF227" s="206"/>
      <c r="BG227" s="206"/>
      <c r="BH227" s="206"/>
      <c r="BI227" s="206"/>
      <c r="BJ227" s="206"/>
      <c r="BK227" s="206"/>
      <c r="BL227" s="206"/>
      <c r="BM227" s="206"/>
      <c r="BN227" s="206"/>
      <c r="BO227" s="206"/>
      <c r="BP227" s="206"/>
      <c r="BQ227" s="206"/>
      <c r="BR227" s="206"/>
      <c r="BS227" s="206"/>
      <c r="BT227" s="206"/>
      <c r="BU227" s="206"/>
      <c r="BV227" s="206"/>
      <c r="BW227" s="206"/>
      <c r="BX227" s="206"/>
      <c r="BY227" s="206"/>
      <c r="BZ227" s="206"/>
      <c r="CA227" s="206"/>
      <c r="CB227" s="206"/>
      <c r="CC227" s="206"/>
      <c r="CD227" s="206"/>
      <c r="CE227" s="206"/>
      <c r="CF227" s="206"/>
      <c r="CG227" s="206"/>
      <c r="CH227" s="206"/>
      <c r="CI227" s="206"/>
      <c r="CJ227" s="206"/>
      <c r="CK227" s="206"/>
      <c r="CL227" s="206"/>
      <c r="CM227" s="206"/>
      <c r="CN227" s="206"/>
      <c r="CO227" s="206"/>
      <c r="CP227" s="206"/>
      <c r="CQ227" s="206"/>
      <c r="CR227" s="206"/>
      <c r="CS227" s="206"/>
      <c r="CT227" s="206"/>
      <c r="CU227" s="206"/>
      <c r="CV227" s="206"/>
      <c r="CW227" s="206"/>
      <c r="CX227" s="206"/>
      <c r="CY227" s="206"/>
      <c r="CZ227" s="206"/>
      <c r="DA227" s="206"/>
      <c r="DB227" s="206"/>
      <c r="DC227" s="206"/>
      <c r="DD227" s="206"/>
      <c r="DE227" s="206"/>
      <c r="DF227" s="206"/>
      <c r="DG227" s="206"/>
      <c r="DH227" s="206"/>
      <c r="DI227" s="206"/>
      <c r="DJ227" s="206"/>
      <c r="DK227" s="206"/>
      <c r="DL227" s="206"/>
      <c r="DM227" s="206"/>
      <c r="DN227" s="206"/>
      <c r="DO227" s="206"/>
      <c r="DP227" s="206"/>
      <c r="DQ227" s="206"/>
      <c r="DR227" s="206"/>
      <c r="DS227" s="206"/>
      <c r="DT227" s="206"/>
      <c r="DU227" s="206"/>
      <c r="DV227" s="206"/>
      <c r="DW227" s="206"/>
      <c r="DX227" s="206"/>
      <c r="DY227" s="206"/>
      <c r="DZ227" s="206"/>
      <c r="EA227" s="206"/>
      <c r="EB227" s="206"/>
      <c r="EC227" s="206"/>
      <c r="ED227" s="206"/>
      <c r="EE227" s="206"/>
      <c r="EF227" s="206"/>
      <c r="EG227" s="206"/>
      <c r="EH227" s="206"/>
      <c r="EI227" s="206"/>
      <c r="EJ227" s="206"/>
      <c r="EK227" s="206"/>
      <c r="EL227" s="206"/>
      <c r="EM227" s="206"/>
      <c r="EN227" s="206"/>
      <c r="EO227" s="206"/>
      <c r="EP227" s="206"/>
      <c r="EQ227" s="206"/>
      <c r="ER227" s="206"/>
      <c r="ES227" s="206"/>
      <c r="ET227" s="206"/>
      <c r="EU227" s="206"/>
      <c r="EV227" s="206"/>
      <c r="EW227" s="206"/>
      <c r="EX227" s="206"/>
      <c r="EY227" s="206"/>
      <c r="EZ227" s="206"/>
      <c r="FA227" s="206"/>
      <c r="FB227" s="206"/>
      <c r="FC227" s="206"/>
      <c r="FD227" s="206"/>
      <c r="FE227" s="206"/>
      <c r="FF227" s="206"/>
      <c r="FG227" s="206"/>
      <c r="FH227" s="206"/>
      <c r="FI227" s="206"/>
      <c r="FJ227" s="206"/>
      <c r="FK227" s="206"/>
      <c r="FL227" s="206"/>
      <c r="FM227" s="206"/>
      <c r="FN227" s="206"/>
      <c r="FO227" s="206"/>
      <c r="FP227" s="206"/>
      <c r="FQ227" s="206"/>
      <c r="FR227" s="206"/>
      <c r="FS227" s="206"/>
      <c r="FT227" s="206"/>
      <c r="FU227" s="206"/>
      <c r="FV227" s="206"/>
      <c r="FW227" s="206"/>
      <c r="FX227" s="206"/>
      <c r="FY227" s="206"/>
      <c r="FZ227" s="206"/>
      <c r="GA227" s="206"/>
      <c r="GB227" s="206"/>
      <c r="GC227" s="206"/>
      <c r="GD227" s="206"/>
      <c r="GE227" s="206"/>
      <c r="GF227" s="206"/>
      <c r="GG227" s="206"/>
      <c r="GH227" s="206"/>
      <c r="GI227" s="206"/>
      <c r="GJ227" s="206"/>
    </row>
    <row r="228" spans="49:192" x14ac:dyDescent="0.2">
      <c r="AW228" s="206"/>
      <c r="AX228" s="206"/>
      <c r="AY228" s="206"/>
      <c r="AZ228" s="206"/>
      <c r="BA228" s="206"/>
      <c r="BB228" s="206"/>
      <c r="BC228" s="206"/>
      <c r="BD228" s="206"/>
      <c r="BE228" s="206"/>
      <c r="BF228" s="206"/>
      <c r="BG228" s="206"/>
      <c r="BH228" s="206"/>
      <c r="BI228" s="206"/>
      <c r="BJ228" s="206"/>
      <c r="BK228" s="206"/>
      <c r="BL228" s="206"/>
      <c r="BM228" s="206"/>
      <c r="BN228" s="206"/>
      <c r="BO228" s="206"/>
      <c r="BP228" s="206"/>
      <c r="BQ228" s="206"/>
      <c r="BR228" s="206"/>
      <c r="BS228" s="206"/>
      <c r="BT228" s="206"/>
      <c r="BU228" s="206"/>
      <c r="BV228" s="206"/>
      <c r="BW228" s="206"/>
      <c r="BX228" s="206"/>
      <c r="BY228" s="206"/>
      <c r="BZ228" s="206"/>
      <c r="CA228" s="206"/>
      <c r="CB228" s="206"/>
      <c r="CC228" s="206"/>
      <c r="CD228" s="206"/>
      <c r="CE228" s="206"/>
      <c r="CF228" s="206"/>
      <c r="CG228" s="206"/>
      <c r="CH228" s="206"/>
      <c r="CI228" s="206"/>
      <c r="CJ228" s="206"/>
      <c r="CK228" s="206"/>
      <c r="CL228" s="206"/>
      <c r="CM228" s="206"/>
      <c r="CN228" s="206"/>
      <c r="CO228" s="206"/>
      <c r="CP228" s="206"/>
      <c r="CQ228" s="206"/>
      <c r="CR228" s="206"/>
      <c r="CS228" s="206"/>
      <c r="CT228" s="206"/>
      <c r="CU228" s="206"/>
      <c r="CV228" s="206"/>
      <c r="CW228" s="206"/>
      <c r="CX228" s="206"/>
      <c r="CY228" s="206"/>
      <c r="CZ228" s="206"/>
      <c r="DA228" s="206"/>
      <c r="DB228" s="206"/>
      <c r="DC228" s="206"/>
      <c r="DD228" s="206"/>
      <c r="DE228" s="206"/>
      <c r="DF228" s="206"/>
      <c r="DG228" s="206"/>
      <c r="DH228" s="206"/>
      <c r="DI228" s="206"/>
      <c r="DJ228" s="206"/>
      <c r="DK228" s="206"/>
      <c r="DL228" s="206"/>
      <c r="DM228" s="206"/>
      <c r="DN228" s="206"/>
      <c r="DO228" s="206"/>
      <c r="DP228" s="206"/>
      <c r="DQ228" s="206"/>
      <c r="DR228" s="206"/>
      <c r="DS228" s="206"/>
      <c r="DT228" s="206"/>
      <c r="DU228" s="206"/>
      <c r="DV228" s="206"/>
      <c r="DW228" s="206"/>
      <c r="DX228" s="206"/>
      <c r="DY228" s="206"/>
      <c r="DZ228" s="206"/>
      <c r="EA228" s="206"/>
      <c r="EB228" s="206"/>
      <c r="EC228" s="206"/>
      <c r="ED228" s="206"/>
      <c r="EE228" s="206"/>
      <c r="EF228" s="206"/>
      <c r="EG228" s="206"/>
      <c r="EH228" s="206"/>
      <c r="EI228" s="206"/>
      <c r="EJ228" s="206"/>
      <c r="EK228" s="206"/>
      <c r="EL228" s="206"/>
      <c r="EM228" s="206"/>
      <c r="EN228" s="206"/>
      <c r="EO228" s="206"/>
      <c r="EP228" s="206"/>
      <c r="EQ228" s="206"/>
      <c r="ER228" s="206"/>
      <c r="ES228" s="206"/>
      <c r="ET228" s="206"/>
      <c r="EU228" s="206"/>
      <c r="EV228" s="206"/>
      <c r="EW228" s="206"/>
      <c r="EX228" s="206"/>
      <c r="EY228" s="206"/>
      <c r="EZ228" s="206"/>
      <c r="FA228" s="206"/>
      <c r="FB228" s="206"/>
      <c r="FC228" s="206"/>
      <c r="FD228" s="206"/>
      <c r="FE228" s="206"/>
      <c r="FF228" s="206"/>
      <c r="FG228" s="206"/>
      <c r="FH228" s="206"/>
      <c r="FI228" s="206"/>
      <c r="FJ228" s="206"/>
      <c r="FK228" s="206"/>
      <c r="FL228" s="206"/>
      <c r="FM228" s="206"/>
      <c r="FN228" s="206"/>
      <c r="FO228" s="206"/>
      <c r="FP228" s="206"/>
      <c r="FQ228" s="206"/>
      <c r="FR228" s="206"/>
      <c r="FS228" s="206"/>
      <c r="FT228" s="206"/>
      <c r="FU228" s="206"/>
      <c r="FV228" s="206"/>
      <c r="FW228" s="206"/>
      <c r="FX228" s="206"/>
      <c r="FY228" s="206"/>
      <c r="FZ228" s="206"/>
      <c r="GA228" s="206"/>
      <c r="GB228" s="206"/>
      <c r="GC228" s="206"/>
      <c r="GD228" s="206"/>
      <c r="GE228" s="206"/>
      <c r="GF228" s="206"/>
      <c r="GG228" s="206"/>
      <c r="GH228" s="206"/>
      <c r="GI228" s="206"/>
      <c r="GJ228" s="206"/>
    </row>
    <row r="229" spans="49:192" x14ac:dyDescent="0.2">
      <c r="AW229" s="206"/>
      <c r="AX229" s="206"/>
      <c r="AY229" s="206"/>
      <c r="AZ229" s="206"/>
      <c r="BA229" s="206"/>
      <c r="BB229" s="206"/>
      <c r="BC229" s="206"/>
      <c r="BD229" s="206"/>
      <c r="BE229" s="206"/>
      <c r="BF229" s="206"/>
      <c r="BG229" s="206"/>
      <c r="BH229" s="206"/>
      <c r="BI229" s="206"/>
      <c r="BJ229" s="206"/>
      <c r="BK229" s="206"/>
      <c r="BL229" s="206"/>
      <c r="BM229" s="206"/>
      <c r="BN229" s="206"/>
      <c r="BO229" s="206"/>
      <c r="BP229" s="206"/>
      <c r="BQ229" s="206"/>
      <c r="BR229" s="206"/>
      <c r="BS229" s="206"/>
      <c r="BT229" s="206"/>
      <c r="BU229" s="206"/>
      <c r="BV229" s="206"/>
      <c r="BW229" s="206"/>
      <c r="BX229" s="206"/>
      <c r="BY229" s="206"/>
      <c r="BZ229" s="206"/>
      <c r="CA229" s="206"/>
      <c r="CB229" s="206"/>
      <c r="CC229" s="206"/>
      <c r="CD229" s="206"/>
      <c r="CE229" s="206"/>
      <c r="CF229" s="206"/>
      <c r="CG229" s="206"/>
      <c r="CH229" s="206"/>
      <c r="CI229" s="206"/>
      <c r="CJ229" s="206"/>
      <c r="CK229" s="206"/>
      <c r="CL229" s="206"/>
      <c r="CM229" s="206"/>
      <c r="CN229" s="206"/>
      <c r="CO229" s="206"/>
      <c r="CP229" s="206"/>
      <c r="CQ229" s="206"/>
      <c r="CR229" s="206"/>
      <c r="CS229" s="206"/>
      <c r="CT229" s="206"/>
      <c r="CU229" s="206"/>
      <c r="CV229" s="206"/>
      <c r="CW229" s="206"/>
      <c r="CX229" s="206"/>
      <c r="CY229" s="206"/>
      <c r="CZ229" s="206"/>
      <c r="DA229" s="206"/>
      <c r="DB229" s="206"/>
      <c r="DC229" s="206"/>
      <c r="DD229" s="206"/>
      <c r="DE229" s="206"/>
      <c r="DF229" s="206"/>
      <c r="DG229" s="206"/>
      <c r="DH229" s="206"/>
      <c r="DI229" s="206"/>
      <c r="DJ229" s="206"/>
      <c r="DK229" s="206"/>
      <c r="DL229" s="206"/>
      <c r="DM229" s="206"/>
      <c r="DN229" s="206"/>
      <c r="DO229" s="206"/>
      <c r="DP229" s="206"/>
      <c r="DQ229" s="206"/>
      <c r="DR229" s="206"/>
      <c r="DS229" s="206"/>
      <c r="DT229" s="206"/>
      <c r="DU229" s="206"/>
      <c r="DV229" s="206"/>
      <c r="DW229" s="206"/>
      <c r="DX229" s="206"/>
      <c r="DY229" s="206"/>
      <c r="DZ229" s="206"/>
      <c r="EA229" s="206"/>
      <c r="EB229" s="206"/>
      <c r="EC229" s="206"/>
      <c r="ED229" s="206"/>
      <c r="EE229" s="206"/>
      <c r="EF229" s="206"/>
      <c r="EG229" s="206"/>
      <c r="EH229" s="206"/>
      <c r="EI229" s="206"/>
      <c r="EJ229" s="206"/>
      <c r="EK229" s="206"/>
      <c r="EL229" s="206"/>
      <c r="EM229" s="206"/>
      <c r="EN229" s="206"/>
      <c r="EO229" s="206"/>
      <c r="EP229" s="206"/>
      <c r="EQ229" s="206"/>
      <c r="ER229" s="206"/>
      <c r="ES229" s="206"/>
      <c r="ET229" s="206"/>
      <c r="EU229" s="206"/>
      <c r="EV229" s="206"/>
      <c r="EW229" s="206"/>
      <c r="EX229" s="206"/>
      <c r="EY229" s="206"/>
      <c r="EZ229" s="206"/>
      <c r="FA229" s="206"/>
      <c r="FB229" s="206"/>
      <c r="FC229" s="206"/>
      <c r="FD229" s="206"/>
      <c r="FE229" s="206"/>
      <c r="FF229" s="206"/>
      <c r="FG229" s="206"/>
      <c r="FH229" s="206"/>
      <c r="FI229" s="206"/>
      <c r="FJ229" s="206"/>
      <c r="FK229" s="206"/>
      <c r="FL229" s="206"/>
      <c r="FM229" s="206"/>
      <c r="FN229" s="206"/>
      <c r="FO229" s="206"/>
      <c r="FP229" s="206"/>
      <c r="FQ229" s="206"/>
      <c r="FR229" s="206"/>
      <c r="FS229" s="206"/>
      <c r="FT229" s="206"/>
      <c r="FU229" s="206"/>
      <c r="FV229" s="206"/>
      <c r="FW229" s="206"/>
      <c r="FX229" s="206"/>
      <c r="FY229" s="206"/>
      <c r="FZ229" s="206"/>
      <c r="GA229" s="206"/>
      <c r="GB229" s="206"/>
      <c r="GC229" s="206"/>
      <c r="GD229" s="206"/>
      <c r="GE229" s="206"/>
      <c r="GF229" s="206"/>
      <c r="GG229" s="206"/>
      <c r="GH229" s="206"/>
      <c r="GI229" s="206"/>
      <c r="GJ229" s="206"/>
    </row>
    <row r="230" spans="49:192" x14ac:dyDescent="0.2">
      <c r="AW230" s="206"/>
      <c r="AX230" s="206"/>
      <c r="AY230" s="206"/>
      <c r="AZ230" s="206"/>
      <c r="BA230" s="206"/>
      <c r="BB230" s="206"/>
      <c r="BC230" s="206"/>
      <c r="BD230" s="206"/>
      <c r="BE230" s="206"/>
      <c r="BF230" s="206"/>
      <c r="BG230" s="206"/>
      <c r="BH230" s="206"/>
      <c r="BI230" s="206"/>
      <c r="BJ230" s="206"/>
      <c r="BK230" s="206"/>
      <c r="BL230" s="206"/>
      <c r="BM230" s="206"/>
      <c r="BN230" s="206"/>
      <c r="BO230" s="206"/>
      <c r="BP230" s="206"/>
      <c r="BQ230" s="206"/>
      <c r="BR230" s="206"/>
      <c r="BS230" s="206"/>
      <c r="BT230" s="206"/>
      <c r="BU230" s="206"/>
      <c r="BV230" s="206"/>
      <c r="BW230" s="206"/>
      <c r="BX230" s="206"/>
      <c r="BY230" s="206"/>
      <c r="BZ230" s="206"/>
      <c r="CA230" s="206"/>
      <c r="CB230" s="206"/>
      <c r="CC230" s="206"/>
      <c r="CD230" s="206"/>
      <c r="CE230" s="206"/>
      <c r="CF230" s="206"/>
      <c r="CG230" s="206"/>
      <c r="CH230" s="206"/>
      <c r="CI230" s="206"/>
      <c r="CJ230" s="206"/>
      <c r="CK230" s="206"/>
      <c r="CL230" s="206"/>
      <c r="CM230" s="206"/>
      <c r="CN230" s="206"/>
      <c r="CO230" s="206"/>
      <c r="CP230" s="206"/>
      <c r="CQ230" s="206"/>
      <c r="CR230" s="206"/>
      <c r="CS230" s="206"/>
      <c r="CT230" s="206"/>
      <c r="CU230" s="206"/>
      <c r="CV230" s="206"/>
      <c r="CW230" s="206"/>
      <c r="CX230" s="206"/>
      <c r="CY230" s="206"/>
      <c r="CZ230" s="206"/>
      <c r="DA230" s="206"/>
      <c r="DB230" s="206"/>
      <c r="DC230" s="206"/>
      <c r="DD230" s="206"/>
      <c r="DE230" s="206"/>
      <c r="DF230" s="206"/>
      <c r="DG230" s="206"/>
      <c r="DH230" s="206"/>
      <c r="DI230" s="206"/>
      <c r="DJ230" s="206"/>
      <c r="DK230" s="206"/>
      <c r="DL230" s="206"/>
      <c r="DM230" s="206"/>
      <c r="DN230" s="206"/>
      <c r="DO230" s="206"/>
      <c r="DP230" s="206"/>
      <c r="DQ230" s="206"/>
      <c r="DR230" s="206"/>
      <c r="DS230" s="206"/>
      <c r="DT230" s="206"/>
      <c r="DU230" s="206"/>
      <c r="DV230" s="206"/>
      <c r="DW230" s="206"/>
      <c r="DX230" s="206"/>
      <c r="DY230" s="206"/>
      <c r="DZ230" s="206"/>
      <c r="EA230" s="206"/>
      <c r="EB230" s="206"/>
      <c r="EC230" s="206"/>
      <c r="ED230" s="206"/>
      <c r="EE230" s="206"/>
      <c r="EF230" s="206"/>
      <c r="EG230" s="206"/>
      <c r="EH230" s="206"/>
      <c r="EI230" s="206"/>
      <c r="EJ230" s="206"/>
      <c r="EK230" s="206"/>
      <c r="EL230" s="206"/>
      <c r="EM230" s="206"/>
      <c r="EN230" s="206"/>
      <c r="EO230" s="206"/>
      <c r="EP230" s="206"/>
      <c r="EQ230" s="206"/>
      <c r="ER230" s="206"/>
      <c r="ES230" s="206"/>
      <c r="ET230" s="206"/>
      <c r="EU230" s="206"/>
      <c r="EV230" s="206"/>
      <c r="EW230" s="206"/>
      <c r="EX230" s="206"/>
      <c r="EY230" s="206"/>
      <c r="EZ230" s="206"/>
      <c r="FA230" s="206"/>
      <c r="FB230" s="206"/>
      <c r="FC230" s="206"/>
      <c r="FD230" s="206"/>
      <c r="FE230" s="206"/>
      <c r="FF230" s="206"/>
      <c r="FG230" s="206"/>
      <c r="FH230" s="206"/>
      <c r="FI230" s="206"/>
      <c r="FJ230" s="206"/>
      <c r="FK230" s="206"/>
      <c r="FL230" s="206"/>
      <c r="FM230" s="206"/>
      <c r="FN230" s="206"/>
      <c r="FO230" s="206"/>
      <c r="FP230" s="206"/>
      <c r="FQ230" s="206"/>
      <c r="FR230" s="206"/>
      <c r="FS230" s="206"/>
      <c r="FT230" s="206"/>
      <c r="FU230" s="206"/>
      <c r="FV230" s="206"/>
      <c r="FW230" s="206"/>
      <c r="FX230" s="206"/>
      <c r="FY230" s="206"/>
      <c r="FZ230" s="206"/>
      <c r="GA230" s="206"/>
      <c r="GB230" s="206"/>
      <c r="GC230" s="206"/>
      <c r="GD230" s="206"/>
      <c r="GE230" s="206"/>
      <c r="GF230" s="206"/>
      <c r="GG230" s="206"/>
      <c r="GH230" s="206"/>
      <c r="GI230" s="206"/>
      <c r="GJ230" s="206"/>
    </row>
    <row r="231" spans="49:192" x14ac:dyDescent="0.2">
      <c r="AW231" s="206"/>
      <c r="AX231" s="206"/>
      <c r="AY231" s="206"/>
      <c r="AZ231" s="206"/>
      <c r="BA231" s="206"/>
      <c r="BB231" s="206"/>
      <c r="BC231" s="206"/>
      <c r="BD231" s="206"/>
      <c r="BE231" s="206"/>
      <c r="BF231" s="206"/>
      <c r="BG231" s="206"/>
      <c r="BH231" s="206"/>
      <c r="BI231" s="206"/>
      <c r="BJ231" s="206"/>
      <c r="BK231" s="206"/>
      <c r="BL231" s="206"/>
      <c r="BM231" s="206"/>
      <c r="BN231" s="206"/>
      <c r="BO231" s="206"/>
      <c r="BP231" s="206"/>
      <c r="BQ231" s="206"/>
      <c r="BR231" s="206"/>
      <c r="BS231" s="206"/>
      <c r="BT231" s="206"/>
      <c r="BU231" s="206"/>
      <c r="BV231" s="206"/>
      <c r="BW231" s="206"/>
      <c r="BX231" s="206"/>
      <c r="BY231" s="206"/>
      <c r="BZ231" s="206"/>
      <c r="CA231" s="206"/>
      <c r="CB231" s="206"/>
      <c r="CC231" s="206"/>
      <c r="CD231" s="206"/>
      <c r="CE231" s="206"/>
      <c r="CF231" s="206"/>
      <c r="CG231" s="206"/>
      <c r="CH231" s="206"/>
      <c r="CI231" s="206"/>
      <c r="CJ231" s="206"/>
      <c r="CK231" s="206"/>
      <c r="CL231" s="206"/>
      <c r="CM231" s="206"/>
      <c r="CN231" s="206"/>
      <c r="CO231" s="206"/>
      <c r="CP231" s="206"/>
      <c r="CQ231" s="206"/>
      <c r="CR231" s="206"/>
      <c r="CS231" s="206"/>
      <c r="CT231" s="206"/>
      <c r="CU231" s="206"/>
      <c r="CV231" s="206"/>
      <c r="CW231" s="206"/>
      <c r="CX231" s="206"/>
      <c r="CY231" s="206"/>
      <c r="CZ231" s="206"/>
      <c r="DA231" s="206"/>
      <c r="DB231" s="206"/>
      <c r="DC231" s="206"/>
      <c r="DD231" s="206"/>
      <c r="DE231" s="206"/>
      <c r="DF231" s="206"/>
      <c r="DG231" s="206"/>
      <c r="DH231" s="206"/>
      <c r="DI231" s="206"/>
      <c r="DJ231" s="206"/>
      <c r="DK231" s="206"/>
      <c r="DL231" s="206"/>
      <c r="DM231" s="206"/>
      <c r="DN231" s="206"/>
      <c r="DO231" s="206"/>
      <c r="DP231" s="206"/>
      <c r="DQ231" s="206"/>
      <c r="DR231" s="206"/>
      <c r="DS231" s="206"/>
      <c r="DT231" s="206"/>
      <c r="DU231" s="206"/>
      <c r="DV231" s="206"/>
      <c r="DW231" s="206"/>
      <c r="DX231" s="206"/>
      <c r="DY231" s="206"/>
      <c r="DZ231" s="206"/>
      <c r="EA231" s="206"/>
      <c r="EB231" s="206"/>
      <c r="EC231" s="206"/>
      <c r="ED231" s="206"/>
      <c r="EE231" s="206"/>
      <c r="EF231" s="206"/>
      <c r="EG231" s="206"/>
      <c r="EH231" s="206"/>
      <c r="EI231" s="206"/>
      <c r="EJ231" s="206"/>
      <c r="EK231" s="206"/>
      <c r="EL231" s="206"/>
      <c r="EM231" s="206"/>
      <c r="EN231" s="206"/>
      <c r="EO231" s="206"/>
      <c r="EP231" s="206"/>
      <c r="EQ231" s="206"/>
      <c r="ER231" s="206"/>
      <c r="ES231" s="206"/>
      <c r="ET231" s="206"/>
      <c r="EU231" s="206"/>
      <c r="EV231" s="206"/>
      <c r="EW231" s="206"/>
      <c r="EX231" s="206"/>
      <c r="EY231" s="206"/>
      <c r="EZ231" s="206"/>
      <c r="FA231" s="206"/>
      <c r="FB231" s="206"/>
      <c r="FC231" s="206"/>
      <c r="FD231" s="206"/>
      <c r="FE231" s="206"/>
      <c r="FF231" s="206"/>
      <c r="FG231" s="206"/>
      <c r="FH231" s="206"/>
      <c r="FI231" s="206"/>
      <c r="FJ231" s="206"/>
      <c r="FK231" s="206"/>
      <c r="FL231" s="206"/>
      <c r="FM231" s="206"/>
      <c r="FN231" s="206"/>
      <c r="FO231" s="206"/>
      <c r="FP231" s="206"/>
      <c r="FQ231" s="206"/>
      <c r="FR231" s="206"/>
      <c r="FS231" s="206"/>
      <c r="FT231" s="206"/>
      <c r="FU231" s="206"/>
      <c r="FV231" s="206"/>
      <c r="FW231" s="206"/>
      <c r="FX231" s="206"/>
      <c r="FY231" s="206"/>
      <c r="FZ231" s="206"/>
      <c r="GA231" s="206"/>
      <c r="GB231" s="206"/>
      <c r="GC231" s="206"/>
      <c r="GD231" s="206"/>
      <c r="GE231" s="206"/>
      <c r="GF231" s="206"/>
      <c r="GG231" s="206"/>
      <c r="GH231" s="206"/>
      <c r="GI231" s="206"/>
      <c r="GJ231" s="206"/>
    </row>
    <row r="232" spans="49:192" x14ac:dyDescent="0.2">
      <c r="AW232" s="206"/>
      <c r="AX232" s="206"/>
      <c r="AY232" s="206"/>
      <c r="AZ232" s="206"/>
      <c r="BA232" s="206"/>
      <c r="BB232" s="206"/>
      <c r="BC232" s="206"/>
      <c r="BD232" s="206"/>
      <c r="BE232" s="206"/>
      <c r="BF232" s="206"/>
      <c r="BG232" s="206"/>
      <c r="BH232" s="206"/>
      <c r="BI232" s="206"/>
      <c r="BJ232" s="206"/>
      <c r="BK232" s="206"/>
      <c r="BL232" s="206"/>
      <c r="BM232" s="206"/>
      <c r="BN232" s="206"/>
      <c r="BO232" s="206"/>
      <c r="BP232" s="206"/>
      <c r="BQ232" s="206"/>
      <c r="BR232" s="206"/>
      <c r="BS232" s="206"/>
      <c r="BT232" s="206"/>
      <c r="BU232" s="206"/>
      <c r="BV232" s="206"/>
      <c r="BW232" s="206"/>
      <c r="BX232" s="206"/>
      <c r="BY232" s="206"/>
      <c r="BZ232" s="206"/>
      <c r="CA232" s="206"/>
      <c r="CB232" s="206"/>
      <c r="CC232" s="206"/>
      <c r="CD232" s="206"/>
      <c r="CE232" s="206"/>
      <c r="CF232" s="206"/>
      <c r="CG232" s="206"/>
      <c r="CH232" s="206"/>
      <c r="CI232" s="206"/>
      <c r="CJ232" s="206"/>
      <c r="CK232" s="206"/>
      <c r="CL232" s="206"/>
      <c r="CM232" s="206"/>
      <c r="CN232" s="206"/>
      <c r="CO232" s="206"/>
      <c r="CP232" s="206"/>
      <c r="CQ232" s="206"/>
      <c r="CR232" s="206"/>
      <c r="CS232" s="206"/>
      <c r="CT232" s="206"/>
      <c r="CU232" s="206"/>
      <c r="CV232" s="206"/>
      <c r="CW232" s="206"/>
      <c r="CX232" s="206"/>
      <c r="CY232" s="206"/>
      <c r="CZ232" s="206"/>
      <c r="DA232" s="206"/>
      <c r="DB232" s="206"/>
      <c r="DC232" s="206"/>
      <c r="DD232" s="206"/>
      <c r="DE232" s="206"/>
      <c r="DF232" s="206"/>
      <c r="DG232" s="206"/>
      <c r="DH232" s="206"/>
      <c r="DI232" s="206"/>
      <c r="DJ232" s="206"/>
      <c r="DK232" s="206"/>
      <c r="DL232" s="206"/>
      <c r="DM232" s="206"/>
      <c r="DN232" s="206"/>
      <c r="DO232" s="206"/>
      <c r="DP232" s="206"/>
      <c r="DQ232" s="206"/>
      <c r="DR232" s="206"/>
      <c r="DS232" s="206"/>
      <c r="DT232" s="206"/>
      <c r="DU232" s="206"/>
      <c r="DV232" s="206"/>
      <c r="DW232" s="206"/>
      <c r="DX232" s="206"/>
      <c r="DY232" s="206"/>
      <c r="DZ232" s="206"/>
      <c r="EA232" s="206"/>
      <c r="EB232" s="206"/>
      <c r="EC232" s="206"/>
      <c r="ED232" s="206"/>
      <c r="EE232" s="206"/>
      <c r="EF232" s="206"/>
      <c r="EG232" s="206"/>
      <c r="EH232" s="206"/>
      <c r="EI232" s="206"/>
      <c r="EJ232" s="206"/>
      <c r="EK232" s="206"/>
      <c r="EL232" s="206"/>
      <c r="EM232" s="206"/>
      <c r="EN232" s="206"/>
      <c r="EO232" s="206"/>
      <c r="EP232" s="206"/>
      <c r="EQ232" s="206"/>
      <c r="ER232" s="206"/>
      <c r="ES232" s="206"/>
      <c r="ET232" s="206"/>
      <c r="EU232" s="206"/>
      <c r="EV232" s="206"/>
      <c r="EW232" s="206"/>
      <c r="EX232" s="206"/>
      <c r="EY232" s="206"/>
      <c r="EZ232" s="206"/>
      <c r="FA232" s="206"/>
      <c r="FB232" s="206"/>
      <c r="FC232" s="206"/>
      <c r="FD232" s="206"/>
      <c r="FE232" s="206"/>
      <c r="FF232" s="206"/>
      <c r="FG232" s="206"/>
      <c r="FH232" s="206"/>
      <c r="FI232" s="206"/>
      <c r="FJ232" s="206"/>
      <c r="FK232" s="206"/>
      <c r="FL232" s="206"/>
      <c r="FM232" s="206"/>
      <c r="FN232" s="206"/>
      <c r="FO232" s="206"/>
      <c r="FP232" s="206"/>
      <c r="FQ232" s="206"/>
      <c r="FR232" s="206"/>
      <c r="FS232" s="206"/>
      <c r="FT232" s="206"/>
      <c r="FU232" s="206"/>
      <c r="FV232" s="206"/>
      <c r="FW232" s="206"/>
      <c r="FX232" s="206"/>
      <c r="FY232" s="206"/>
      <c r="FZ232" s="206"/>
      <c r="GA232" s="206"/>
      <c r="GB232" s="206"/>
      <c r="GC232" s="206"/>
      <c r="GD232" s="206"/>
      <c r="GE232" s="206"/>
      <c r="GF232" s="206"/>
      <c r="GG232" s="206"/>
      <c r="GH232" s="206"/>
      <c r="GI232" s="206"/>
      <c r="GJ232" s="206"/>
    </row>
    <row r="233" spans="49:192" x14ac:dyDescent="0.2">
      <c r="AW233" s="206"/>
      <c r="AX233" s="206"/>
      <c r="AY233" s="206"/>
      <c r="AZ233" s="206"/>
      <c r="BA233" s="206"/>
      <c r="BB233" s="206"/>
      <c r="BC233" s="206"/>
      <c r="BD233" s="206"/>
      <c r="BE233" s="206"/>
      <c r="BF233" s="206"/>
      <c r="BG233" s="206"/>
      <c r="BH233" s="206"/>
      <c r="BI233" s="206"/>
      <c r="BJ233" s="206"/>
      <c r="BK233" s="206"/>
      <c r="BL233" s="206"/>
      <c r="BM233" s="206"/>
      <c r="BN233" s="206"/>
      <c r="BO233" s="206"/>
      <c r="BP233" s="206"/>
      <c r="BQ233" s="206"/>
      <c r="BR233" s="206"/>
      <c r="BS233" s="206"/>
      <c r="BT233" s="206"/>
      <c r="BU233" s="206"/>
      <c r="BV233" s="206"/>
      <c r="BW233" s="206"/>
      <c r="BX233" s="206"/>
      <c r="BY233" s="206"/>
      <c r="BZ233" s="206"/>
      <c r="CA233" s="206"/>
      <c r="CB233" s="206"/>
      <c r="CC233" s="206"/>
      <c r="CD233" s="206"/>
      <c r="CE233" s="206"/>
      <c r="CF233" s="206"/>
      <c r="CG233" s="206"/>
      <c r="CH233" s="206"/>
      <c r="CI233" s="206"/>
      <c r="CJ233" s="206"/>
      <c r="CK233" s="206"/>
      <c r="CL233" s="206"/>
      <c r="CM233" s="206"/>
      <c r="CN233" s="206"/>
      <c r="CO233" s="206"/>
      <c r="CP233" s="206"/>
      <c r="CQ233" s="206"/>
      <c r="CR233" s="206"/>
      <c r="CS233" s="206"/>
      <c r="CT233" s="206"/>
      <c r="CU233" s="206"/>
      <c r="CV233" s="206"/>
      <c r="CW233" s="206"/>
      <c r="CX233" s="206"/>
      <c r="CY233" s="206"/>
      <c r="CZ233" s="206"/>
      <c r="DA233" s="206"/>
      <c r="DB233" s="206"/>
      <c r="DC233" s="206"/>
      <c r="DD233" s="206"/>
      <c r="DE233" s="206"/>
      <c r="DF233" s="206"/>
      <c r="DG233" s="206"/>
      <c r="DH233" s="206"/>
      <c r="DI233" s="206"/>
      <c r="DJ233" s="206"/>
      <c r="DK233" s="206"/>
      <c r="DL233" s="206"/>
      <c r="DM233" s="206"/>
      <c r="DN233" s="206"/>
      <c r="DO233" s="206"/>
      <c r="DP233" s="206"/>
      <c r="DQ233" s="206"/>
      <c r="DR233" s="206"/>
      <c r="DS233" s="206"/>
      <c r="DT233" s="206"/>
      <c r="DU233" s="206"/>
      <c r="DV233" s="206"/>
      <c r="DW233" s="206"/>
      <c r="DX233" s="206"/>
      <c r="DY233" s="206"/>
      <c r="DZ233" s="206"/>
      <c r="EA233" s="206"/>
      <c r="EB233" s="206"/>
      <c r="EC233" s="206"/>
      <c r="ED233" s="206"/>
      <c r="EE233" s="206"/>
      <c r="EF233" s="206"/>
      <c r="EG233" s="206"/>
      <c r="EH233" s="206"/>
      <c r="EI233" s="206"/>
      <c r="EJ233" s="206"/>
      <c r="EK233" s="206"/>
      <c r="EL233" s="206"/>
      <c r="EM233" s="206"/>
      <c r="EN233" s="206"/>
      <c r="EO233" s="206"/>
      <c r="EP233" s="206"/>
      <c r="EQ233" s="206"/>
      <c r="ER233" s="206"/>
      <c r="ES233" s="206"/>
      <c r="ET233" s="206"/>
      <c r="EU233" s="206"/>
      <c r="EV233" s="206"/>
      <c r="EW233" s="206"/>
      <c r="EX233" s="206"/>
      <c r="EY233" s="206"/>
      <c r="EZ233" s="206"/>
      <c r="FA233" s="206"/>
      <c r="FB233" s="206"/>
      <c r="FC233" s="206"/>
      <c r="FD233" s="206"/>
      <c r="FE233" s="206"/>
      <c r="FF233" s="206"/>
      <c r="FG233" s="206"/>
      <c r="FH233" s="206"/>
      <c r="FI233" s="206"/>
      <c r="FJ233" s="206"/>
      <c r="FK233" s="206"/>
      <c r="FL233" s="206"/>
      <c r="FM233" s="206"/>
      <c r="FN233" s="206"/>
      <c r="FO233" s="206"/>
      <c r="FP233" s="206"/>
      <c r="FQ233" s="206"/>
      <c r="FR233" s="206"/>
      <c r="FS233" s="206"/>
      <c r="FT233" s="206"/>
      <c r="FU233" s="206"/>
      <c r="FV233" s="206"/>
      <c r="FW233" s="206"/>
      <c r="FX233" s="206"/>
      <c r="FY233" s="206"/>
      <c r="FZ233" s="206"/>
      <c r="GA233" s="206"/>
      <c r="GB233" s="206"/>
      <c r="GC233" s="206"/>
      <c r="GD233" s="206"/>
      <c r="GE233" s="206"/>
      <c r="GF233" s="206"/>
      <c r="GG233" s="206"/>
      <c r="GH233" s="206"/>
      <c r="GI233" s="206"/>
      <c r="GJ233" s="206"/>
    </row>
    <row r="234" spans="49:192" x14ac:dyDescent="0.2">
      <c r="AW234" s="206"/>
      <c r="AX234" s="206"/>
      <c r="AY234" s="206"/>
      <c r="AZ234" s="206"/>
      <c r="BA234" s="206"/>
      <c r="BB234" s="206"/>
      <c r="BC234" s="206"/>
      <c r="BD234" s="206"/>
      <c r="BE234" s="206"/>
      <c r="BF234" s="206"/>
      <c r="BG234" s="206"/>
      <c r="BH234" s="206"/>
      <c r="BI234" s="206"/>
      <c r="BJ234" s="206"/>
      <c r="BK234" s="206"/>
      <c r="BL234" s="206"/>
      <c r="BM234" s="206"/>
      <c r="BN234" s="206"/>
      <c r="BO234" s="206"/>
      <c r="BP234" s="206"/>
      <c r="BQ234" s="206"/>
      <c r="BR234" s="206"/>
      <c r="BS234" s="206"/>
      <c r="BT234" s="206"/>
      <c r="BU234" s="206"/>
      <c r="BV234" s="206"/>
      <c r="BW234" s="206"/>
      <c r="BX234" s="206"/>
      <c r="BY234" s="206"/>
      <c r="BZ234" s="206"/>
      <c r="CA234" s="206"/>
      <c r="CB234" s="206"/>
      <c r="CC234" s="206"/>
      <c r="CD234" s="206"/>
      <c r="CE234" s="206"/>
      <c r="CF234" s="206"/>
      <c r="CG234" s="206"/>
      <c r="CH234" s="206"/>
      <c r="CI234" s="206"/>
      <c r="CJ234" s="206"/>
      <c r="CK234" s="206"/>
      <c r="CL234" s="206"/>
      <c r="CM234" s="206"/>
      <c r="CN234" s="206"/>
      <c r="CO234" s="206"/>
      <c r="CP234" s="206"/>
      <c r="CQ234" s="206"/>
      <c r="CR234" s="206"/>
      <c r="CS234" s="206"/>
      <c r="CT234" s="206"/>
      <c r="CU234" s="206"/>
      <c r="CV234" s="206"/>
      <c r="CW234" s="206"/>
      <c r="CX234" s="206"/>
      <c r="CY234" s="206"/>
      <c r="CZ234" s="206"/>
      <c r="DA234" s="206"/>
      <c r="DB234" s="206"/>
      <c r="DC234" s="206"/>
      <c r="DD234" s="206"/>
      <c r="DE234" s="206"/>
      <c r="DF234" s="206"/>
      <c r="DG234" s="206"/>
      <c r="DH234" s="206"/>
      <c r="DI234" s="206"/>
      <c r="DJ234" s="206"/>
      <c r="DK234" s="206"/>
      <c r="DL234" s="206"/>
      <c r="DM234" s="206"/>
      <c r="DN234" s="206"/>
      <c r="DO234" s="206"/>
      <c r="DP234" s="206"/>
      <c r="DQ234" s="206"/>
      <c r="DR234" s="206"/>
      <c r="DS234" s="206"/>
      <c r="DT234" s="206"/>
      <c r="DU234" s="206"/>
      <c r="DV234" s="206"/>
      <c r="DW234" s="206"/>
      <c r="DX234" s="206"/>
      <c r="DY234" s="206"/>
      <c r="DZ234" s="206"/>
      <c r="EA234" s="206"/>
      <c r="EB234" s="206"/>
      <c r="EC234" s="206"/>
      <c r="ED234" s="206"/>
      <c r="EE234" s="206"/>
      <c r="EF234" s="206"/>
      <c r="EG234" s="206"/>
      <c r="EH234" s="206"/>
      <c r="EI234" s="206"/>
      <c r="EJ234" s="206"/>
      <c r="EK234" s="206"/>
      <c r="EL234" s="206"/>
      <c r="EM234" s="206"/>
      <c r="EN234" s="206"/>
      <c r="EO234" s="206"/>
      <c r="EP234" s="206"/>
      <c r="EQ234" s="206"/>
      <c r="ER234" s="206"/>
      <c r="ES234" s="206"/>
      <c r="ET234" s="206"/>
      <c r="EU234" s="206"/>
      <c r="EV234" s="206"/>
      <c r="EW234" s="206"/>
      <c r="EX234" s="206"/>
      <c r="EY234" s="206"/>
      <c r="EZ234" s="206"/>
      <c r="FA234" s="206"/>
      <c r="FB234" s="206"/>
      <c r="FC234" s="206"/>
      <c r="FD234" s="206"/>
      <c r="FE234" s="206"/>
      <c r="FF234" s="206"/>
      <c r="FG234" s="206"/>
      <c r="FH234" s="206"/>
      <c r="FI234" s="206"/>
      <c r="FJ234" s="206"/>
      <c r="FK234" s="206"/>
      <c r="FL234" s="206"/>
      <c r="FM234" s="206"/>
      <c r="FN234" s="206"/>
      <c r="FO234" s="206"/>
      <c r="FP234" s="206"/>
      <c r="FQ234" s="206"/>
      <c r="FR234" s="206"/>
      <c r="FS234" s="206"/>
      <c r="FT234" s="206"/>
      <c r="FU234" s="206"/>
      <c r="FV234" s="206"/>
      <c r="FW234" s="206"/>
      <c r="FX234" s="206"/>
      <c r="FY234" s="206"/>
      <c r="FZ234" s="206"/>
      <c r="GA234" s="206"/>
      <c r="GB234" s="206"/>
      <c r="GC234" s="206"/>
      <c r="GD234" s="206"/>
      <c r="GE234" s="206"/>
      <c r="GF234" s="206"/>
      <c r="GG234" s="206"/>
      <c r="GH234" s="206"/>
      <c r="GI234" s="206"/>
      <c r="GJ234" s="206"/>
    </row>
    <row r="235" spans="49:192" x14ac:dyDescent="0.2">
      <c r="AW235" s="206"/>
      <c r="AX235" s="206"/>
      <c r="AY235" s="206"/>
      <c r="AZ235" s="206"/>
      <c r="BA235" s="206"/>
      <c r="BB235" s="206"/>
      <c r="BC235" s="206"/>
      <c r="BD235" s="206"/>
      <c r="BE235" s="206"/>
      <c r="BF235" s="206"/>
      <c r="BG235" s="206"/>
      <c r="BH235" s="206"/>
      <c r="BI235" s="206"/>
      <c r="BJ235" s="206"/>
      <c r="BK235" s="206"/>
      <c r="BL235" s="206"/>
      <c r="BM235" s="206"/>
      <c r="BN235" s="206"/>
      <c r="BO235" s="206"/>
      <c r="BP235" s="206"/>
      <c r="BQ235" s="206"/>
      <c r="BR235" s="206"/>
      <c r="BS235" s="206"/>
      <c r="BT235" s="206"/>
      <c r="BU235" s="206"/>
      <c r="BV235" s="206"/>
      <c r="BW235" s="206"/>
      <c r="BX235" s="206"/>
      <c r="BY235" s="206"/>
      <c r="BZ235" s="206"/>
      <c r="CA235" s="206"/>
      <c r="CB235" s="206"/>
      <c r="CC235" s="206"/>
      <c r="CD235" s="206"/>
      <c r="CE235" s="206"/>
      <c r="CF235" s="206"/>
      <c r="CG235" s="206"/>
      <c r="CH235" s="206"/>
      <c r="CI235" s="206"/>
      <c r="CJ235" s="206"/>
      <c r="CK235" s="206"/>
      <c r="CL235" s="206"/>
      <c r="CM235" s="206"/>
      <c r="CN235" s="206"/>
      <c r="CO235" s="206"/>
      <c r="CP235" s="206"/>
      <c r="CQ235" s="206"/>
      <c r="CR235" s="206"/>
      <c r="CS235" s="206"/>
      <c r="CT235" s="206"/>
      <c r="CU235" s="206"/>
      <c r="CV235" s="206"/>
      <c r="CW235" s="206"/>
      <c r="CX235" s="206"/>
      <c r="CY235" s="206"/>
      <c r="CZ235" s="206"/>
      <c r="DA235" s="206"/>
      <c r="DB235" s="206"/>
      <c r="DC235" s="206"/>
      <c r="DD235" s="206"/>
      <c r="DE235" s="206"/>
      <c r="DF235" s="206"/>
      <c r="DG235" s="206"/>
      <c r="DH235" s="206"/>
      <c r="DI235" s="206"/>
      <c r="DJ235" s="206"/>
      <c r="DK235" s="206"/>
      <c r="DL235" s="206"/>
      <c r="DM235" s="206"/>
      <c r="DN235" s="206"/>
      <c r="DO235" s="206"/>
      <c r="DP235" s="206"/>
      <c r="DQ235" s="206"/>
      <c r="DR235" s="206"/>
      <c r="DS235" s="206"/>
      <c r="DT235" s="206"/>
      <c r="DU235" s="206"/>
      <c r="DV235" s="206"/>
      <c r="DW235" s="206"/>
      <c r="DX235" s="206"/>
      <c r="DY235" s="206"/>
      <c r="DZ235" s="206"/>
      <c r="EA235" s="206"/>
      <c r="EB235" s="206"/>
      <c r="EC235" s="206"/>
      <c r="ED235" s="206"/>
      <c r="EE235" s="206"/>
      <c r="EF235" s="206"/>
      <c r="EG235" s="206"/>
      <c r="EH235" s="206"/>
      <c r="EI235" s="206"/>
      <c r="EJ235" s="206"/>
      <c r="EK235" s="206"/>
      <c r="EL235" s="206"/>
      <c r="EM235" s="206"/>
      <c r="EN235" s="206"/>
      <c r="EO235" s="206"/>
      <c r="EP235" s="206"/>
      <c r="EQ235" s="206"/>
      <c r="ER235" s="206"/>
      <c r="ES235" s="206"/>
      <c r="ET235" s="206"/>
      <c r="EU235" s="206"/>
      <c r="EV235" s="206"/>
      <c r="EW235" s="206"/>
      <c r="EX235" s="206"/>
      <c r="EY235" s="206"/>
      <c r="EZ235" s="206"/>
      <c r="FA235" s="206"/>
      <c r="FB235" s="206"/>
      <c r="FC235" s="206"/>
      <c r="FD235" s="206"/>
      <c r="FE235" s="206"/>
      <c r="FF235" s="206"/>
      <c r="FG235" s="206"/>
      <c r="FH235" s="206"/>
      <c r="FI235" s="206"/>
      <c r="FJ235" s="206"/>
      <c r="FK235" s="206"/>
      <c r="FL235" s="206"/>
      <c r="FM235" s="206"/>
      <c r="FN235" s="206"/>
      <c r="FO235" s="206"/>
      <c r="FP235" s="206"/>
      <c r="FQ235" s="206"/>
      <c r="FR235" s="206"/>
      <c r="FS235" s="206"/>
      <c r="FT235" s="206"/>
      <c r="FU235" s="206"/>
      <c r="FV235" s="206"/>
      <c r="FW235" s="206"/>
      <c r="FX235" s="206"/>
      <c r="FY235" s="206"/>
      <c r="FZ235" s="206"/>
      <c r="GA235" s="206"/>
      <c r="GB235" s="206"/>
      <c r="GC235" s="206"/>
      <c r="GD235" s="206"/>
      <c r="GE235" s="206"/>
      <c r="GF235" s="206"/>
      <c r="GG235" s="206"/>
      <c r="GH235" s="206"/>
      <c r="GI235" s="206"/>
      <c r="GJ235" s="206"/>
    </row>
    <row r="236" spans="49:192" x14ac:dyDescent="0.2">
      <c r="AW236" s="206"/>
      <c r="AX236" s="206"/>
      <c r="AY236" s="206"/>
      <c r="AZ236" s="206"/>
      <c r="BA236" s="206"/>
      <c r="BB236" s="206"/>
      <c r="BC236" s="206"/>
      <c r="BD236" s="206"/>
      <c r="BE236" s="206"/>
      <c r="BF236" s="206"/>
      <c r="BG236" s="206"/>
      <c r="BH236" s="206"/>
      <c r="BI236" s="206"/>
      <c r="BJ236" s="206"/>
      <c r="BK236" s="206"/>
      <c r="BL236" s="206"/>
      <c r="BM236" s="206"/>
      <c r="BN236" s="206"/>
      <c r="BO236" s="206"/>
      <c r="BP236" s="206"/>
      <c r="BQ236" s="206"/>
      <c r="BR236" s="206"/>
      <c r="BS236" s="206"/>
      <c r="BT236" s="206"/>
      <c r="BU236" s="206"/>
      <c r="BV236" s="206"/>
      <c r="BW236" s="206"/>
      <c r="BX236" s="206"/>
      <c r="BY236" s="206"/>
      <c r="BZ236" s="206"/>
      <c r="CA236" s="206"/>
      <c r="CB236" s="206"/>
      <c r="CC236" s="206"/>
      <c r="CD236" s="206"/>
      <c r="CE236" s="206"/>
      <c r="CF236" s="206"/>
      <c r="CG236" s="206"/>
      <c r="CH236" s="206"/>
      <c r="CI236" s="206"/>
      <c r="CJ236" s="206"/>
      <c r="CK236" s="206"/>
      <c r="CL236" s="206"/>
      <c r="CM236" s="206"/>
      <c r="CN236" s="206"/>
      <c r="CO236" s="206"/>
      <c r="CP236" s="206"/>
      <c r="CQ236" s="206"/>
      <c r="CR236" s="206"/>
      <c r="CS236" s="206"/>
      <c r="CT236" s="206"/>
      <c r="CU236" s="206"/>
      <c r="CV236" s="206"/>
      <c r="CW236" s="206"/>
      <c r="CX236" s="206"/>
      <c r="CY236" s="206"/>
      <c r="CZ236" s="206"/>
      <c r="DA236" s="206"/>
      <c r="DB236" s="206"/>
      <c r="DC236" s="206"/>
      <c r="DD236" s="206"/>
      <c r="DE236" s="206"/>
      <c r="DF236" s="206"/>
      <c r="DG236" s="206"/>
      <c r="DH236" s="206"/>
      <c r="DI236" s="206"/>
      <c r="DJ236" s="206"/>
      <c r="DK236" s="206"/>
      <c r="DL236" s="206"/>
      <c r="DM236" s="206"/>
      <c r="DN236" s="206"/>
      <c r="DO236" s="206"/>
      <c r="DP236" s="206"/>
      <c r="DQ236" s="206"/>
      <c r="DR236" s="206"/>
      <c r="DS236" s="206"/>
      <c r="DT236" s="206"/>
      <c r="DU236" s="206"/>
      <c r="DV236" s="206"/>
      <c r="DW236" s="206"/>
      <c r="DX236" s="206"/>
      <c r="DY236" s="206"/>
      <c r="DZ236" s="206"/>
      <c r="EA236" s="206"/>
      <c r="EB236" s="206"/>
      <c r="EC236" s="206"/>
      <c r="ED236" s="206"/>
      <c r="EE236" s="206"/>
      <c r="EF236" s="206"/>
      <c r="EG236" s="206"/>
      <c r="EH236" s="206"/>
      <c r="EI236" s="206"/>
      <c r="EJ236" s="206"/>
      <c r="EK236" s="206"/>
      <c r="EL236" s="206"/>
      <c r="EM236" s="206"/>
      <c r="EN236" s="206"/>
      <c r="EO236" s="206"/>
      <c r="EP236" s="206"/>
      <c r="EQ236" s="206"/>
      <c r="ER236" s="206"/>
      <c r="ES236" s="206"/>
      <c r="ET236" s="206"/>
      <c r="EU236" s="206"/>
      <c r="EV236" s="206"/>
      <c r="EW236" s="206"/>
      <c r="EX236" s="206"/>
      <c r="EY236" s="206"/>
      <c r="EZ236" s="206"/>
      <c r="FA236" s="206"/>
      <c r="FB236" s="206"/>
      <c r="FC236" s="206"/>
      <c r="FD236" s="206"/>
      <c r="FE236" s="206"/>
      <c r="FF236" s="206"/>
      <c r="FG236" s="206"/>
      <c r="FH236" s="206"/>
      <c r="FI236" s="206"/>
      <c r="FJ236" s="206"/>
      <c r="FK236" s="206"/>
      <c r="FL236" s="206"/>
      <c r="FM236" s="206"/>
      <c r="FN236" s="206"/>
      <c r="FO236" s="206"/>
      <c r="FP236" s="206"/>
      <c r="FQ236" s="206"/>
      <c r="FR236" s="206"/>
      <c r="FS236" s="206"/>
      <c r="FT236" s="206"/>
      <c r="FU236" s="206"/>
      <c r="FV236" s="206"/>
      <c r="FW236" s="206"/>
      <c r="FX236" s="206"/>
      <c r="FY236" s="206"/>
      <c r="FZ236" s="206"/>
      <c r="GA236" s="206"/>
      <c r="GB236" s="206"/>
      <c r="GC236" s="206"/>
      <c r="GD236" s="206"/>
      <c r="GE236" s="206"/>
      <c r="GF236" s="206"/>
      <c r="GG236" s="206"/>
      <c r="GH236" s="206"/>
      <c r="GI236" s="206"/>
      <c r="GJ236" s="206"/>
    </row>
  </sheetData>
  <mergeCells count="1043">
    <mergeCell ref="C216:O216"/>
    <mergeCell ref="C218:O218"/>
    <mergeCell ref="D103:D104"/>
    <mergeCell ref="A214:P214"/>
    <mergeCell ref="Q214:AF214"/>
    <mergeCell ref="AG214:AV214"/>
    <mergeCell ref="AW214:BL214"/>
    <mergeCell ref="F103:F104"/>
    <mergeCell ref="G103:G104"/>
    <mergeCell ref="B215:N215"/>
    <mergeCell ref="G1:I1"/>
    <mergeCell ref="B2:I2"/>
    <mergeCell ref="H103:H104"/>
    <mergeCell ref="I103:I104"/>
    <mergeCell ref="B103:B104"/>
    <mergeCell ref="C103:C104"/>
    <mergeCell ref="B85:B86"/>
    <mergeCell ref="C85:C86"/>
    <mergeCell ref="D85:D86"/>
    <mergeCell ref="F85:F86"/>
    <mergeCell ref="G85:G86"/>
    <mergeCell ref="H85:H86"/>
    <mergeCell ref="I85:I86"/>
    <mergeCell ref="KS214:LH214"/>
    <mergeCell ref="LI214:LX214"/>
    <mergeCell ref="LY214:MN214"/>
    <mergeCell ref="MO214:ND214"/>
    <mergeCell ref="NE214:NT214"/>
    <mergeCell ref="HQ214:IF214"/>
    <mergeCell ref="IG214:IV214"/>
    <mergeCell ref="IW214:JL214"/>
    <mergeCell ref="JM214:KB214"/>
    <mergeCell ref="KC214:KR214"/>
    <mergeCell ref="EO214:FD214"/>
    <mergeCell ref="FE214:FT214"/>
    <mergeCell ref="FU214:GJ214"/>
    <mergeCell ref="GK214:GZ214"/>
    <mergeCell ref="HA214:HP214"/>
    <mergeCell ref="BM214:CB214"/>
    <mergeCell ref="CC214:CR214"/>
    <mergeCell ref="CS214:DH214"/>
    <mergeCell ref="DI214:DX214"/>
    <mergeCell ref="DY214:EN214"/>
    <mergeCell ref="XA214:XP214"/>
    <mergeCell ref="XQ214:YF214"/>
    <mergeCell ref="YG214:YV214"/>
    <mergeCell ref="YW214:ZL214"/>
    <mergeCell ref="ZM214:AAB214"/>
    <mergeCell ref="TY214:UN214"/>
    <mergeCell ref="UO214:VD214"/>
    <mergeCell ref="VE214:VT214"/>
    <mergeCell ref="VU214:WJ214"/>
    <mergeCell ref="WK214:WZ214"/>
    <mergeCell ref="QW214:RL214"/>
    <mergeCell ref="RM214:SB214"/>
    <mergeCell ref="SC214:SR214"/>
    <mergeCell ref="SS214:TH214"/>
    <mergeCell ref="TI214:TX214"/>
    <mergeCell ref="NU214:OJ214"/>
    <mergeCell ref="OK214:OZ214"/>
    <mergeCell ref="PA214:PP214"/>
    <mergeCell ref="PQ214:QF214"/>
    <mergeCell ref="QG214:QV214"/>
    <mergeCell ref="AJI214:AJX214"/>
    <mergeCell ref="AJY214:AKN214"/>
    <mergeCell ref="AKO214:ALD214"/>
    <mergeCell ref="ALE214:ALT214"/>
    <mergeCell ref="ALU214:AMJ214"/>
    <mergeCell ref="AGG214:AGV214"/>
    <mergeCell ref="AGW214:AHL214"/>
    <mergeCell ref="AHM214:AIB214"/>
    <mergeCell ref="AIC214:AIR214"/>
    <mergeCell ref="AIS214:AJH214"/>
    <mergeCell ref="ADE214:ADT214"/>
    <mergeCell ref="ADU214:AEJ214"/>
    <mergeCell ref="AEK214:AEZ214"/>
    <mergeCell ref="AFA214:AFP214"/>
    <mergeCell ref="AFQ214:AGF214"/>
    <mergeCell ref="AAC214:AAR214"/>
    <mergeCell ref="AAS214:ABH214"/>
    <mergeCell ref="ABI214:ABX214"/>
    <mergeCell ref="ABY214:ACN214"/>
    <mergeCell ref="ACO214:ADD214"/>
    <mergeCell ref="AVQ214:AWF214"/>
    <mergeCell ref="AWG214:AWV214"/>
    <mergeCell ref="AWW214:AXL214"/>
    <mergeCell ref="AXM214:AYB214"/>
    <mergeCell ref="AYC214:AYR214"/>
    <mergeCell ref="ASO214:ATD214"/>
    <mergeCell ref="ATE214:ATT214"/>
    <mergeCell ref="ATU214:AUJ214"/>
    <mergeCell ref="AUK214:AUZ214"/>
    <mergeCell ref="AVA214:AVP214"/>
    <mergeCell ref="APM214:AQB214"/>
    <mergeCell ref="AQC214:AQR214"/>
    <mergeCell ref="AQS214:ARH214"/>
    <mergeCell ref="ARI214:ARX214"/>
    <mergeCell ref="ARY214:ASN214"/>
    <mergeCell ref="AMK214:AMZ214"/>
    <mergeCell ref="ANA214:ANP214"/>
    <mergeCell ref="ANQ214:AOF214"/>
    <mergeCell ref="AOG214:AOV214"/>
    <mergeCell ref="AOW214:APL214"/>
    <mergeCell ref="BHY214:BIN214"/>
    <mergeCell ref="BIO214:BJD214"/>
    <mergeCell ref="BJE214:BJT214"/>
    <mergeCell ref="BJU214:BKJ214"/>
    <mergeCell ref="BKK214:BKZ214"/>
    <mergeCell ref="BEW214:BFL214"/>
    <mergeCell ref="BFM214:BGB214"/>
    <mergeCell ref="BGC214:BGR214"/>
    <mergeCell ref="BGS214:BHH214"/>
    <mergeCell ref="BHI214:BHX214"/>
    <mergeCell ref="BBU214:BCJ214"/>
    <mergeCell ref="BCK214:BCZ214"/>
    <mergeCell ref="BDA214:BDP214"/>
    <mergeCell ref="BDQ214:BEF214"/>
    <mergeCell ref="BEG214:BEV214"/>
    <mergeCell ref="AYS214:AZH214"/>
    <mergeCell ref="AZI214:AZX214"/>
    <mergeCell ref="AZY214:BAN214"/>
    <mergeCell ref="BAO214:BBD214"/>
    <mergeCell ref="BBE214:BBT214"/>
    <mergeCell ref="BUG214:BUV214"/>
    <mergeCell ref="BUW214:BVL214"/>
    <mergeCell ref="BVM214:BWB214"/>
    <mergeCell ref="BWC214:BWR214"/>
    <mergeCell ref="BWS214:BXH214"/>
    <mergeCell ref="BRE214:BRT214"/>
    <mergeCell ref="BRU214:BSJ214"/>
    <mergeCell ref="BSK214:BSZ214"/>
    <mergeCell ref="BTA214:BTP214"/>
    <mergeCell ref="BTQ214:BUF214"/>
    <mergeCell ref="BOC214:BOR214"/>
    <mergeCell ref="BOS214:BPH214"/>
    <mergeCell ref="BPI214:BPX214"/>
    <mergeCell ref="BPY214:BQN214"/>
    <mergeCell ref="BQO214:BRD214"/>
    <mergeCell ref="BLA214:BLP214"/>
    <mergeCell ref="BLQ214:BMF214"/>
    <mergeCell ref="BMG214:BMV214"/>
    <mergeCell ref="BMW214:BNL214"/>
    <mergeCell ref="BNM214:BOB214"/>
    <mergeCell ref="CGO214:CHD214"/>
    <mergeCell ref="CHE214:CHT214"/>
    <mergeCell ref="CHU214:CIJ214"/>
    <mergeCell ref="CIK214:CIZ214"/>
    <mergeCell ref="CJA214:CJP214"/>
    <mergeCell ref="CDM214:CEB214"/>
    <mergeCell ref="CEC214:CER214"/>
    <mergeCell ref="CES214:CFH214"/>
    <mergeCell ref="CFI214:CFX214"/>
    <mergeCell ref="CFY214:CGN214"/>
    <mergeCell ref="CAK214:CAZ214"/>
    <mergeCell ref="CBA214:CBP214"/>
    <mergeCell ref="CBQ214:CCF214"/>
    <mergeCell ref="CCG214:CCV214"/>
    <mergeCell ref="CCW214:CDL214"/>
    <mergeCell ref="BXI214:BXX214"/>
    <mergeCell ref="BXY214:BYN214"/>
    <mergeCell ref="BYO214:BZD214"/>
    <mergeCell ref="BZE214:BZT214"/>
    <mergeCell ref="BZU214:CAJ214"/>
    <mergeCell ref="CSW214:CTL214"/>
    <mergeCell ref="CTM214:CUB214"/>
    <mergeCell ref="CUC214:CUR214"/>
    <mergeCell ref="CUS214:CVH214"/>
    <mergeCell ref="CVI214:CVX214"/>
    <mergeCell ref="CPU214:CQJ214"/>
    <mergeCell ref="CQK214:CQZ214"/>
    <mergeCell ref="CRA214:CRP214"/>
    <mergeCell ref="CRQ214:CSF214"/>
    <mergeCell ref="CSG214:CSV214"/>
    <mergeCell ref="CMS214:CNH214"/>
    <mergeCell ref="CNI214:CNX214"/>
    <mergeCell ref="CNY214:CON214"/>
    <mergeCell ref="COO214:CPD214"/>
    <mergeCell ref="CPE214:CPT214"/>
    <mergeCell ref="CJQ214:CKF214"/>
    <mergeCell ref="CKG214:CKV214"/>
    <mergeCell ref="CKW214:CLL214"/>
    <mergeCell ref="CLM214:CMB214"/>
    <mergeCell ref="CMC214:CMR214"/>
    <mergeCell ref="DFE214:DFT214"/>
    <mergeCell ref="DFU214:DGJ214"/>
    <mergeCell ref="DGK214:DGZ214"/>
    <mergeCell ref="DHA214:DHP214"/>
    <mergeCell ref="DHQ214:DIF214"/>
    <mergeCell ref="DCC214:DCR214"/>
    <mergeCell ref="DCS214:DDH214"/>
    <mergeCell ref="DDI214:DDX214"/>
    <mergeCell ref="DDY214:DEN214"/>
    <mergeCell ref="DEO214:DFD214"/>
    <mergeCell ref="CZA214:CZP214"/>
    <mergeCell ref="CZQ214:DAF214"/>
    <mergeCell ref="DAG214:DAV214"/>
    <mergeCell ref="DAW214:DBL214"/>
    <mergeCell ref="DBM214:DCB214"/>
    <mergeCell ref="CVY214:CWN214"/>
    <mergeCell ref="CWO214:CXD214"/>
    <mergeCell ref="CXE214:CXT214"/>
    <mergeCell ref="CXU214:CYJ214"/>
    <mergeCell ref="CYK214:CYZ214"/>
    <mergeCell ref="DRM214:DSB214"/>
    <mergeCell ref="DSC214:DSR214"/>
    <mergeCell ref="DSS214:DTH214"/>
    <mergeCell ref="DTI214:DTX214"/>
    <mergeCell ref="DTY214:DUN214"/>
    <mergeCell ref="DOK214:DOZ214"/>
    <mergeCell ref="DPA214:DPP214"/>
    <mergeCell ref="DPQ214:DQF214"/>
    <mergeCell ref="DQG214:DQV214"/>
    <mergeCell ref="DQW214:DRL214"/>
    <mergeCell ref="DLI214:DLX214"/>
    <mergeCell ref="DLY214:DMN214"/>
    <mergeCell ref="DMO214:DND214"/>
    <mergeCell ref="DNE214:DNT214"/>
    <mergeCell ref="DNU214:DOJ214"/>
    <mergeCell ref="DIG214:DIV214"/>
    <mergeCell ref="DIW214:DJL214"/>
    <mergeCell ref="DJM214:DKB214"/>
    <mergeCell ref="DKC214:DKR214"/>
    <mergeCell ref="DKS214:DLH214"/>
    <mergeCell ref="EDU214:EEJ214"/>
    <mergeCell ref="EEK214:EEZ214"/>
    <mergeCell ref="EFA214:EFP214"/>
    <mergeCell ref="EFQ214:EGF214"/>
    <mergeCell ref="EGG214:EGV214"/>
    <mergeCell ref="EAS214:EBH214"/>
    <mergeCell ref="EBI214:EBX214"/>
    <mergeCell ref="EBY214:ECN214"/>
    <mergeCell ref="ECO214:EDD214"/>
    <mergeCell ref="EDE214:EDT214"/>
    <mergeCell ref="DXQ214:DYF214"/>
    <mergeCell ref="DYG214:DYV214"/>
    <mergeCell ref="DYW214:DZL214"/>
    <mergeCell ref="DZM214:EAB214"/>
    <mergeCell ref="EAC214:EAR214"/>
    <mergeCell ref="DUO214:DVD214"/>
    <mergeCell ref="DVE214:DVT214"/>
    <mergeCell ref="DVU214:DWJ214"/>
    <mergeCell ref="DWK214:DWZ214"/>
    <mergeCell ref="DXA214:DXP214"/>
    <mergeCell ref="EQC214:EQR214"/>
    <mergeCell ref="EQS214:ERH214"/>
    <mergeCell ref="ERI214:ERX214"/>
    <mergeCell ref="ERY214:ESN214"/>
    <mergeCell ref="ESO214:ETD214"/>
    <mergeCell ref="ENA214:ENP214"/>
    <mergeCell ref="ENQ214:EOF214"/>
    <mergeCell ref="EOG214:EOV214"/>
    <mergeCell ref="EOW214:EPL214"/>
    <mergeCell ref="EPM214:EQB214"/>
    <mergeCell ref="EJY214:EKN214"/>
    <mergeCell ref="EKO214:ELD214"/>
    <mergeCell ref="ELE214:ELT214"/>
    <mergeCell ref="ELU214:EMJ214"/>
    <mergeCell ref="EMK214:EMZ214"/>
    <mergeCell ref="EGW214:EHL214"/>
    <mergeCell ref="EHM214:EIB214"/>
    <mergeCell ref="EIC214:EIR214"/>
    <mergeCell ref="EIS214:EJH214"/>
    <mergeCell ref="EJI214:EJX214"/>
    <mergeCell ref="FCK214:FCZ214"/>
    <mergeCell ref="FDA214:FDP214"/>
    <mergeCell ref="FDQ214:FEF214"/>
    <mergeCell ref="FEG214:FEV214"/>
    <mergeCell ref="FEW214:FFL214"/>
    <mergeCell ref="EZI214:EZX214"/>
    <mergeCell ref="EZY214:FAN214"/>
    <mergeCell ref="FAO214:FBD214"/>
    <mergeCell ref="FBE214:FBT214"/>
    <mergeCell ref="FBU214:FCJ214"/>
    <mergeCell ref="EWG214:EWV214"/>
    <mergeCell ref="EWW214:EXL214"/>
    <mergeCell ref="EXM214:EYB214"/>
    <mergeCell ref="EYC214:EYR214"/>
    <mergeCell ref="EYS214:EZH214"/>
    <mergeCell ref="ETE214:ETT214"/>
    <mergeCell ref="ETU214:EUJ214"/>
    <mergeCell ref="EUK214:EUZ214"/>
    <mergeCell ref="EVA214:EVP214"/>
    <mergeCell ref="EVQ214:EWF214"/>
    <mergeCell ref="FOS214:FPH214"/>
    <mergeCell ref="FPI214:FPX214"/>
    <mergeCell ref="FPY214:FQN214"/>
    <mergeCell ref="FQO214:FRD214"/>
    <mergeCell ref="FRE214:FRT214"/>
    <mergeCell ref="FLQ214:FMF214"/>
    <mergeCell ref="FMG214:FMV214"/>
    <mergeCell ref="FMW214:FNL214"/>
    <mergeCell ref="FNM214:FOB214"/>
    <mergeCell ref="FOC214:FOR214"/>
    <mergeCell ref="FIO214:FJD214"/>
    <mergeCell ref="FJE214:FJT214"/>
    <mergeCell ref="FJU214:FKJ214"/>
    <mergeCell ref="FKK214:FKZ214"/>
    <mergeCell ref="FLA214:FLP214"/>
    <mergeCell ref="FFM214:FGB214"/>
    <mergeCell ref="FGC214:FGR214"/>
    <mergeCell ref="FGS214:FHH214"/>
    <mergeCell ref="FHI214:FHX214"/>
    <mergeCell ref="FHY214:FIN214"/>
    <mergeCell ref="GBA214:GBP214"/>
    <mergeCell ref="GBQ214:GCF214"/>
    <mergeCell ref="GCG214:GCV214"/>
    <mergeCell ref="GCW214:GDL214"/>
    <mergeCell ref="GDM214:GEB214"/>
    <mergeCell ref="FXY214:FYN214"/>
    <mergeCell ref="FYO214:FZD214"/>
    <mergeCell ref="FZE214:FZT214"/>
    <mergeCell ref="FZU214:GAJ214"/>
    <mergeCell ref="GAK214:GAZ214"/>
    <mergeCell ref="FUW214:FVL214"/>
    <mergeCell ref="FVM214:FWB214"/>
    <mergeCell ref="FWC214:FWR214"/>
    <mergeCell ref="FWS214:FXH214"/>
    <mergeCell ref="FXI214:FXX214"/>
    <mergeCell ref="FRU214:FSJ214"/>
    <mergeCell ref="FSK214:FSZ214"/>
    <mergeCell ref="FTA214:FTP214"/>
    <mergeCell ref="FTQ214:FUF214"/>
    <mergeCell ref="FUG214:FUV214"/>
    <mergeCell ref="GNI214:GNX214"/>
    <mergeCell ref="GNY214:GON214"/>
    <mergeCell ref="GOO214:GPD214"/>
    <mergeCell ref="GPE214:GPT214"/>
    <mergeCell ref="GPU214:GQJ214"/>
    <mergeCell ref="GKG214:GKV214"/>
    <mergeCell ref="GKW214:GLL214"/>
    <mergeCell ref="GLM214:GMB214"/>
    <mergeCell ref="GMC214:GMR214"/>
    <mergeCell ref="GMS214:GNH214"/>
    <mergeCell ref="GHE214:GHT214"/>
    <mergeCell ref="GHU214:GIJ214"/>
    <mergeCell ref="GIK214:GIZ214"/>
    <mergeCell ref="GJA214:GJP214"/>
    <mergeCell ref="GJQ214:GKF214"/>
    <mergeCell ref="GEC214:GER214"/>
    <mergeCell ref="GES214:GFH214"/>
    <mergeCell ref="GFI214:GFX214"/>
    <mergeCell ref="GFY214:GGN214"/>
    <mergeCell ref="GGO214:GHD214"/>
    <mergeCell ref="GZQ214:HAF214"/>
    <mergeCell ref="HAG214:HAV214"/>
    <mergeCell ref="HAW214:HBL214"/>
    <mergeCell ref="HBM214:HCB214"/>
    <mergeCell ref="HCC214:HCR214"/>
    <mergeCell ref="GWO214:GXD214"/>
    <mergeCell ref="GXE214:GXT214"/>
    <mergeCell ref="GXU214:GYJ214"/>
    <mergeCell ref="GYK214:GYZ214"/>
    <mergeCell ref="GZA214:GZP214"/>
    <mergeCell ref="GTM214:GUB214"/>
    <mergeCell ref="GUC214:GUR214"/>
    <mergeCell ref="GUS214:GVH214"/>
    <mergeCell ref="GVI214:GVX214"/>
    <mergeCell ref="GVY214:GWN214"/>
    <mergeCell ref="GQK214:GQZ214"/>
    <mergeCell ref="GRA214:GRP214"/>
    <mergeCell ref="GRQ214:GSF214"/>
    <mergeCell ref="GSG214:GSV214"/>
    <mergeCell ref="GSW214:GTL214"/>
    <mergeCell ref="HLY214:HMN214"/>
    <mergeCell ref="HMO214:HND214"/>
    <mergeCell ref="HNE214:HNT214"/>
    <mergeCell ref="HNU214:HOJ214"/>
    <mergeCell ref="HOK214:HOZ214"/>
    <mergeCell ref="HIW214:HJL214"/>
    <mergeCell ref="HJM214:HKB214"/>
    <mergeCell ref="HKC214:HKR214"/>
    <mergeCell ref="HKS214:HLH214"/>
    <mergeCell ref="HLI214:HLX214"/>
    <mergeCell ref="HFU214:HGJ214"/>
    <mergeCell ref="HGK214:HGZ214"/>
    <mergeCell ref="HHA214:HHP214"/>
    <mergeCell ref="HHQ214:HIF214"/>
    <mergeCell ref="HIG214:HIV214"/>
    <mergeCell ref="HCS214:HDH214"/>
    <mergeCell ref="HDI214:HDX214"/>
    <mergeCell ref="HDY214:HEN214"/>
    <mergeCell ref="HEO214:HFD214"/>
    <mergeCell ref="HFE214:HFT214"/>
    <mergeCell ref="HYG214:HYV214"/>
    <mergeCell ref="HYW214:HZL214"/>
    <mergeCell ref="HZM214:IAB214"/>
    <mergeCell ref="IAC214:IAR214"/>
    <mergeCell ref="IAS214:IBH214"/>
    <mergeCell ref="HVE214:HVT214"/>
    <mergeCell ref="HVU214:HWJ214"/>
    <mergeCell ref="HWK214:HWZ214"/>
    <mergeCell ref="HXA214:HXP214"/>
    <mergeCell ref="HXQ214:HYF214"/>
    <mergeCell ref="HSC214:HSR214"/>
    <mergeCell ref="HSS214:HTH214"/>
    <mergeCell ref="HTI214:HTX214"/>
    <mergeCell ref="HTY214:HUN214"/>
    <mergeCell ref="HUO214:HVD214"/>
    <mergeCell ref="HPA214:HPP214"/>
    <mergeCell ref="HPQ214:HQF214"/>
    <mergeCell ref="HQG214:HQV214"/>
    <mergeCell ref="HQW214:HRL214"/>
    <mergeCell ref="HRM214:HSB214"/>
    <mergeCell ref="IKO214:ILD214"/>
    <mergeCell ref="ILE214:ILT214"/>
    <mergeCell ref="ILU214:IMJ214"/>
    <mergeCell ref="IMK214:IMZ214"/>
    <mergeCell ref="INA214:INP214"/>
    <mergeCell ref="IHM214:IIB214"/>
    <mergeCell ref="IIC214:IIR214"/>
    <mergeCell ref="IIS214:IJH214"/>
    <mergeCell ref="IJI214:IJX214"/>
    <mergeCell ref="IJY214:IKN214"/>
    <mergeCell ref="IEK214:IEZ214"/>
    <mergeCell ref="IFA214:IFP214"/>
    <mergeCell ref="IFQ214:IGF214"/>
    <mergeCell ref="IGG214:IGV214"/>
    <mergeCell ref="IGW214:IHL214"/>
    <mergeCell ref="IBI214:IBX214"/>
    <mergeCell ref="IBY214:ICN214"/>
    <mergeCell ref="ICO214:IDD214"/>
    <mergeCell ref="IDE214:IDT214"/>
    <mergeCell ref="IDU214:IEJ214"/>
    <mergeCell ref="IWW214:IXL214"/>
    <mergeCell ref="IXM214:IYB214"/>
    <mergeCell ref="IYC214:IYR214"/>
    <mergeCell ref="IYS214:IZH214"/>
    <mergeCell ref="IZI214:IZX214"/>
    <mergeCell ref="ITU214:IUJ214"/>
    <mergeCell ref="IUK214:IUZ214"/>
    <mergeCell ref="IVA214:IVP214"/>
    <mergeCell ref="IVQ214:IWF214"/>
    <mergeCell ref="IWG214:IWV214"/>
    <mergeCell ref="IQS214:IRH214"/>
    <mergeCell ref="IRI214:IRX214"/>
    <mergeCell ref="IRY214:ISN214"/>
    <mergeCell ref="ISO214:ITD214"/>
    <mergeCell ref="ITE214:ITT214"/>
    <mergeCell ref="INQ214:IOF214"/>
    <mergeCell ref="IOG214:IOV214"/>
    <mergeCell ref="IOW214:IPL214"/>
    <mergeCell ref="IPM214:IQB214"/>
    <mergeCell ref="IQC214:IQR214"/>
    <mergeCell ref="JJE214:JJT214"/>
    <mergeCell ref="JJU214:JKJ214"/>
    <mergeCell ref="JKK214:JKZ214"/>
    <mergeCell ref="JLA214:JLP214"/>
    <mergeCell ref="JLQ214:JMF214"/>
    <mergeCell ref="JGC214:JGR214"/>
    <mergeCell ref="JGS214:JHH214"/>
    <mergeCell ref="JHI214:JHX214"/>
    <mergeCell ref="JHY214:JIN214"/>
    <mergeCell ref="JIO214:JJD214"/>
    <mergeCell ref="JDA214:JDP214"/>
    <mergeCell ref="JDQ214:JEF214"/>
    <mergeCell ref="JEG214:JEV214"/>
    <mergeCell ref="JEW214:JFL214"/>
    <mergeCell ref="JFM214:JGB214"/>
    <mergeCell ref="IZY214:JAN214"/>
    <mergeCell ref="JAO214:JBD214"/>
    <mergeCell ref="JBE214:JBT214"/>
    <mergeCell ref="JBU214:JCJ214"/>
    <mergeCell ref="JCK214:JCZ214"/>
    <mergeCell ref="JVM214:JWB214"/>
    <mergeCell ref="JWC214:JWR214"/>
    <mergeCell ref="JWS214:JXH214"/>
    <mergeCell ref="JXI214:JXX214"/>
    <mergeCell ref="JXY214:JYN214"/>
    <mergeCell ref="JSK214:JSZ214"/>
    <mergeCell ref="JTA214:JTP214"/>
    <mergeCell ref="JTQ214:JUF214"/>
    <mergeCell ref="JUG214:JUV214"/>
    <mergeCell ref="JUW214:JVL214"/>
    <mergeCell ref="JPI214:JPX214"/>
    <mergeCell ref="JPY214:JQN214"/>
    <mergeCell ref="JQO214:JRD214"/>
    <mergeCell ref="JRE214:JRT214"/>
    <mergeCell ref="JRU214:JSJ214"/>
    <mergeCell ref="JMG214:JMV214"/>
    <mergeCell ref="JMW214:JNL214"/>
    <mergeCell ref="JNM214:JOB214"/>
    <mergeCell ref="JOC214:JOR214"/>
    <mergeCell ref="JOS214:JPH214"/>
    <mergeCell ref="KHU214:KIJ214"/>
    <mergeCell ref="KIK214:KIZ214"/>
    <mergeCell ref="KJA214:KJP214"/>
    <mergeCell ref="KJQ214:KKF214"/>
    <mergeCell ref="KKG214:KKV214"/>
    <mergeCell ref="KES214:KFH214"/>
    <mergeCell ref="KFI214:KFX214"/>
    <mergeCell ref="KFY214:KGN214"/>
    <mergeCell ref="KGO214:KHD214"/>
    <mergeCell ref="KHE214:KHT214"/>
    <mergeCell ref="KBQ214:KCF214"/>
    <mergeCell ref="KCG214:KCV214"/>
    <mergeCell ref="KCW214:KDL214"/>
    <mergeCell ref="KDM214:KEB214"/>
    <mergeCell ref="KEC214:KER214"/>
    <mergeCell ref="JYO214:JZD214"/>
    <mergeCell ref="JZE214:JZT214"/>
    <mergeCell ref="JZU214:KAJ214"/>
    <mergeCell ref="KAK214:KAZ214"/>
    <mergeCell ref="KBA214:KBP214"/>
    <mergeCell ref="KUC214:KUR214"/>
    <mergeCell ref="KUS214:KVH214"/>
    <mergeCell ref="KVI214:KVX214"/>
    <mergeCell ref="KVY214:KWN214"/>
    <mergeCell ref="KWO214:KXD214"/>
    <mergeCell ref="KRA214:KRP214"/>
    <mergeCell ref="KRQ214:KSF214"/>
    <mergeCell ref="KSG214:KSV214"/>
    <mergeCell ref="KSW214:KTL214"/>
    <mergeCell ref="KTM214:KUB214"/>
    <mergeCell ref="KNY214:KON214"/>
    <mergeCell ref="KOO214:KPD214"/>
    <mergeCell ref="KPE214:KPT214"/>
    <mergeCell ref="KPU214:KQJ214"/>
    <mergeCell ref="KQK214:KQZ214"/>
    <mergeCell ref="KKW214:KLL214"/>
    <mergeCell ref="KLM214:KMB214"/>
    <mergeCell ref="KMC214:KMR214"/>
    <mergeCell ref="KMS214:KNH214"/>
    <mergeCell ref="KNI214:KNX214"/>
    <mergeCell ref="LGK214:LGZ214"/>
    <mergeCell ref="LHA214:LHP214"/>
    <mergeCell ref="LHQ214:LIF214"/>
    <mergeCell ref="LIG214:LIV214"/>
    <mergeCell ref="LIW214:LJL214"/>
    <mergeCell ref="LDI214:LDX214"/>
    <mergeCell ref="LDY214:LEN214"/>
    <mergeCell ref="LEO214:LFD214"/>
    <mergeCell ref="LFE214:LFT214"/>
    <mergeCell ref="LFU214:LGJ214"/>
    <mergeCell ref="LAG214:LAV214"/>
    <mergeCell ref="LAW214:LBL214"/>
    <mergeCell ref="LBM214:LCB214"/>
    <mergeCell ref="LCC214:LCR214"/>
    <mergeCell ref="LCS214:LDH214"/>
    <mergeCell ref="KXE214:KXT214"/>
    <mergeCell ref="KXU214:KYJ214"/>
    <mergeCell ref="KYK214:KYZ214"/>
    <mergeCell ref="KZA214:KZP214"/>
    <mergeCell ref="KZQ214:LAF214"/>
    <mergeCell ref="LSS214:LTH214"/>
    <mergeCell ref="LTI214:LTX214"/>
    <mergeCell ref="LTY214:LUN214"/>
    <mergeCell ref="LUO214:LVD214"/>
    <mergeCell ref="LVE214:LVT214"/>
    <mergeCell ref="LPQ214:LQF214"/>
    <mergeCell ref="LQG214:LQV214"/>
    <mergeCell ref="LQW214:LRL214"/>
    <mergeCell ref="LRM214:LSB214"/>
    <mergeCell ref="LSC214:LSR214"/>
    <mergeCell ref="LMO214:LND214"/>
    <mergeCell ref="LNE214:LNT214"/>
    <mergeCell ref="LNU214:LOJ214"/>
    <mergeCell ref="LOK214:LOZ214"/>
    <mergeCell ref="LPA214:LPP214"/>
    <mergeCell ref="LJM214:LKB214"/>
    <mergeCell ref="LKC214:LKR214"/>
    <mergeCell ref="LKS214:LLH214"/>
    <mergeCell ref="LLI214:LLX214"/>
    <mergeCell ref="LLY214:LMN214"/>
    <mergeCell ref="MFA214:MFP214"/>
    <mergeCell ref="MFQ214:MGF214"/>
    <mergeCell ref="MGG214:MGV214"/>
    <mergeCell ref="MGW214:MHL214"/>
    <mergeCell ref="MHM214:MIB214"/>
    <mergeCell ref="MBY214:MCN214"/>
    <mergeCell ref="MCO214:MDD214"/>
    <mergeCell ref="MDE214:MDT214"/>
    <mergeCell ref="MDU214:MEJ214"/>
    <mergeCell ref="MEK214:MEZ214"/>
    <mergeCell ref="LYW214:LZL214"/>
    <mergeCell ref="LZM214:MAB214"/>
    <mergeCell ref="MAC214:MAR214"/>
    <mergeCell ref="MAS214:MBH214"/>
    <mergeCell ref="MBI214:MBX214"/>
    <mergeCell ref="LVU214:LWJ214"/>
    <mergeCell ref="LWK214:LWZ214"/>
    <mergeCell ref="LXA214:LXP214"/>
    <mergeCell ref="LXQ214:LYF214"/>
    <mergeCell ref="LYG214:LYV214"/>
    <mergeCell ref="MRI214:MRX214"/>
    <mergeCell ref="MRY214:MSN214"/>
    <mergeCell ref="MSO214:MTD214"/>
    <mergeCell ref="MTE214:MTT214"/>
    <mergeCell ref="MTU214:MUJ214"/>
    <mergeCell ref="MOG214:MOV214"/>
    <mergeCell ref="MOW214:MPL214"/>
    <mergeCell ref="MPM214:MQB214"/>
    <mergeCell ref="MQC214:MQR214"/>
    <mergeCell ref="MQS214:MRH214"/>
    <mergeCell ref="MLE214:MLT214"/>
    <mergeCell ref="MLU214:MMJ214"/>
    <mergeCell ref="MMK214:MMZ214"/>
    <mergeCell ref="MNA214:MNP214"/>
    <mergeCell ref="MNQ214:MOF214"/>
    <mergeCell ref="MIC214:MIR214"/>
    <mergeCell ref="MIS214:MJH214"/>
    <mergeCell ref="MJI214:MJX214"/>
    <mergeCell ref="MJY214:MKN214"/>
    <mergeCell ref="MKO214:MLD214"/>
    <mergeCell ref="NDQ214:NEF214"/>
    <mergeCell ref="NEG214:NEV214"/>
    <mergeCell ref="NEW214:NFL214"/>
    <mergeCell ref="NFM214:NGB214"/>
    <mergeCell ref="NGC214:NGR214"/>
    <mergeCell ref="NAO214:NBD214"/>
    <mergeCell ref="NBE214:NBT214"/>
    <mergeCell ref="NBU214:NCJ214"/>
    <mergeCell ref="NCK214:NCZ214"/>
    <mergeCell ref="NDA214:NDP214"/>
    <mergeCell ref="MXM214:MYB214"/>
    <mergeCell ref="MYC214:MYR214"/>
    <mergeCell ref="MYS214:MZH214"/>
    <mergeCell ref="MZI214:MZX214"/>
    <mergeCell ref="MZY214:NAN214"/>
    <mergeCell ref="MUK214:MUZ214"/>
    <mergeCell ref="MVA214:MVP214"/>
    <mergeCell ref="MVQ214:MWF214"/>
    <mergeCell ref="MWG214:MWV214"/>
    <mergeCell ref="MWW214:MXL214"/>
    <mergeCell ref="NPY214:NQN214"/>
    <mergeCell ref="NQO214:NRD214"/>
    <mergeCell ref="NRE214:NRT214"/>
    <mergeCell ref="NRU214:NSJ214"/>
    <mergeCell ref="NSK214:NSZ214"/>
    <mergeCell ref="NMW214:NNL214"/>
    <mergeCell ref="NNM214:NOB214"/>
    <mergeCell ref="NOC214:NOR214"/>
    <mergeCell ref="NOS214:NPH214"/>
    <mergeCell ref="NPI214:NPX214"/>
    <mergeCell ref="NJU214:NKJ214"/>
    <mergeCell ref="NKK214:NKZ214"/>
    <mergeCell ref="NLA214:NLP214"/>
    <mergeCell ref="NLQ214:NMF214"/>
    <mergeCell ref="NMG214:NMV214"/>
    <mergeCell ref="NGS214:NHH214"/>
    <mergeCell ref="NHI214:NHX214"/>
    <mergeCell ref="NHY214:NIN214"/>
    <mergeCell ref="NIO214:NJD214"/>
    <mergeCell ref="NJE214:NJT214"/>
    <mergeCell ref="OCG214:OCV214"/>
    <mergeCell ref="OCW214:ODL214"/>
    <mergeCell ref="ODM214:OEB214"/>
    <mergeCell ref="OEC214:OER214"/>
    <mergeCell ref="OES214:OFH214"/>
    <mergeCell ref="NZE214:NZT214"/>
    <mergeCell ref="NZU214:OAJ214"/>
    <mergeCell ref="OAK214:OAZ214"/>
    <mergeCell ref="OBA214:OBP214"/>
    <mergeCell ref="OBQ214:OCF214"/>
    <mergeCell ref="NWC214:NWR214"/>
    <mergeCell ref="NWS214:NXH214"/>
    <mergeCell ref="NXI214:NXX214"/>
    <mergeCell ref="NXY214:NYN214"/>
    <mergeCell ref="NYO214:NZD214"/>
    <mergeCell ref="NTA214:NTP214"/>
    <mergeCell ref="NTQ214:NUF214"/>
    <mergeCell ref="NUG214:NUV214"/>
    <mergeCell ref="NUW214:NVL214"/>
    <mergeCell ref="NVM214:NWB214"/>
    <mergeCell ref="OOO214:OPD214"/>
    <mergeCell ref="OPE214:OPT214"/>
    <mergeCell ref="OPU214:OQJ214"/>
    <mergeCell ref="OQK214:OQZ214"/>
    <mergeCell ref="ORA214:ORP214"/>
    <mergeCell ref="OLM214:OMB214"/>
    <mergeCell ref="OMC214:OMR214"/>
    <mergeCell ref="OMS214:ONH214"/>
    <mergeCell ref="ONI214:ONX214"/>
    <mergeCell ref="ONY214:OON214"/>
    <mergeCell ref="OIK214:OIZ214"/>
    <mergeCell ref="OJA214:OJP214"/>
    <mergeCell ref="OJQ214:OKF214"/>
    <mergeCell ref="OKG214:OKV214"/>
    <mergeCell ref="OKW214:OLL214"/>
    <mergeCell ref="OFI214:OFX214"/>
    <mergeCell ref="OFY214:OGN214"/>
    <mergeCell ref="OGO214:OHD214"/>
    <mergeCell ref="OHE214:OHT214"/>
    <mergeCell ref="OHU214:OIJ214"/>
    <mergeCell ref="PAW214:PBL214"/>
    <mergeCell ref="PBM214:PCB214"/>
    <mergeCell ref="PCC214:PCR214"/>
    <mergeCell ref="PCS214:PDH214"/>
    <mergeCell ref="PDI214:PDX214"/>
    <mergeCell ref="OXU214:OYJ214"/>
    <mergeCell ref="OYK214:OYZ214"/>
    <mergeCell ref="OZA214:OZP214"/>
    <mergeCell ref="OZQ214:PAF214"/>
    <mergeCell ref="PAG214:PAV214"/>
    <mergeCell ref="OUS214:OVH214"/>
    <mergeCell ref="OVI214:OVX214"/>
    <mergeCell ref="OVY214:OWN214"/>
    <mergeCell ref="OWO214:OXD214"/>
    <mergeCell ref="OXE214:OXT214"/>
    <mergeCell ref="ORQ214:OSF214"/>
    <mergeCell ref="OSG214:OSV214"/>
    <mergeCell ref="OSW214:OTL214"/>
    <mergeCell ref="OTM214:OUB214"/>
    <mergeCell ref="OUC214:OUR214"/>
    <mergeCell ref="PNE214:PNT214"/>
    <mergeCell ref="PNU214:POJ214"/>
    <mergeCell ref="POK214:POZ214"/>
    <mergeCell ref="PPA214:PPP214"/>
    <mergeCell ref="PPQ214:PQF214"/>
    <mergeCell ref="PKC214:PKR214"/>
    <mergeCell ref="PKS214:PLH214"/>
    <mergeCell ref="PLI214:PLX214"/>
    <mergeCell ref="PLY214:PMN214"/>
    <mergeCell ref="PMO214:PND214"/>
    <mergeCell ref="PHA214:PHP214"/>
    <mergeCell ref="PHQ214:PIF214"/>
    <mergeCell ref="PIG214:PIV214"/>
    <mergeCell ref="PIW214:PJL214"/>
    <mergeCell ref="PJM214:PKB214"/>
    <mergeCell ref="PDY214:PEN214"/>
    <mergeCell ref="PEO214:PFD214"/>
    <mergeCell ref="PFE214:PFT214"/>
    <mergeCell ref="PFU214:PGJ214"/>
    <mergeCell ref="PGK214:PGZ214"/>
    <mergeCell ref="PZM214:QAB214"/>
    <mergeCell ref="QAC214:QAR214"/>
    <mergeCell ref="QAS214:QBH214"/>
    <mergeCell ref="QBI214:QBX214"/>
    <mergeCell ref="QBY214:QCN214"/>
    <mergeCell ref="PWK214:PWZ214"/>
    <mergeCell ref="PXA214:PXP214"/>
    <mergeCell ref="PXQ214:PYF214"/>
    <mergeCell ref="PYG214:PYV214"/>
    <mergeCell ref="PYW214:PZL214"/>
    <mergeCell ref="PTI214:PTX214"/>
    <mergeCell ref="PTY214:PUN214"/>
    <mergeCell ref="PUO214:PVD214"/>
    <mergeCell ref="PVE214:PVT214"/>
    <mergeCell ref="PVU214:PWJ214"/>
    <mergeCell ref="PQG214:PQV214"/>
    <mergeCell ref="PQW214:PRL214"/>
    <mergeCell ref="PRM214:PSB214"/>
    <mergeCell ref="PSC214:PSR214"/>
    <mergeCell ref="PSS214:PTH214"/>
    <mergeCell ref="QLU214:QMJ214"/>
    <mergeCell ref="QMK214:QMZ214"/>
    <mergeCell ref="QNA214:QNP214"/>
    <mergeCell ref="QNQ214:QOF214"/>
    <mergeCell ref="QOG214:QOV214"/>
    <mergeCell ref="QIS214:QJH214"/>
    <mergeCell ref="QJI214:QJX214"/>
    <mergeCell ref="QJY214:QKN214"/>
    <mergeCell ref="QKO214:QLD214"/>
    <mergeCell ref="QLE214:QLT214"/>
    <mergeCell ref="QFQ214:QGF214"/>
    <mergeCell ref="QGG214:QGV214"/>
    <mergeCell ref="QGW214:QHL214"/>
    <mergeCell ref="QHM214:QIB214"/>
    <mergeCell ref="QIC214:QIR214"/>
    <mergeCell ref="QCO214:QDD214"/>
    <mergeCell ref="QDE214:QDT214"/>
    <mergeCell ref="QDU214:QEJ214"/>
    <mergeCell ref="QEK214:QEZ214"/>
    <mergeCell ref="QFA214:QFP214"/>
    <mergeCell ref="QYC214:QYR214"/>
    <mergeCell ref="QYS214:QZH214"/>
    <mergeCell ref="QZI214:QZX214"/>
    <mergeCell ref="QZY214:RAN214"/>
    <mergeCell ref="RAO214:RBD214"/>
    <mergeCell ref="QVA214:QVP214"/>
    <mergeCell ref="QVQ214:QWF214"/>
    <mergeCell ref="QWG214:QWV214"/>
    <mergeCell ref="QWW214:QXL214"/>
    <mergeCell ref="QXM214:QYB214"/>
    <mergeCell ref="QRY214:QSN214"/>
    <mergeCell ref="QSO214:QTD214"/>
    <mergeCell ref="QTE214:QTT214"/>
    <mergeCell ref="QTU214:QUJ214"/>
    <mergeCell ref="QUK214:QUZ214"/>
    <mergeCell ref="QOW214:QPL214"/>
    <mergeCell ref="QPM214:QQB214"/>
    <mergeCell ref="QQC214:QQR214"/>
    <mergeCell ref="QQS214:QRH214"/>
    <mergeCell ref="QRI214:QRX214"/>
    <mergeCell ref="RKK214:RKZ214"/>
    <mergeCell ref="RLA214:RLP214"/>
    <mergeCell ref="RLQ214:RMF214"/>
    <mergeCell ref="RMG214:RMV214"/>
    <mergeCell ref="RMW214:RNL214"/>
    <mergeCell ref="RHI214:RHX214"/>
    <mergeCell ref="RHY214:RIN214"/>
    <mergeCell ref="RIO214:RJD214"/>
    <mergeCell ref="RJE214:RJT214"/>
    <mergeCell ref="RJU214:RKJ214"/>
    <mergeCell ref="REG214:REV214"/>
    <mergeCell ref="REW214:RFL214"/>
    <mergeCell ref="RFM214:RGB214"/>
    <mergeCell ref="RGC214:RGR214"/>
    <mergeCell ref="RGS214:RHH214"/>
    <mergeCell ref="RBE214:RBT214"/>
    <mergeCell ref="RBU214:RCJ214"/>
    <mergeCell ref="RCK214:RCZ214"/>
    <mergeCell ref="RDA214:RDP214"/>
    <mergeCell ref="RDQ214:REF214"/>
    <mergeCell ref="RWS214:RXH214"/>
    <mergeCell ref="RXI214:RXX214"/>
    <mergeCell ref="RXY214:RYN214"/>
    <mergeCell ref="RYO214:RZD214"/>
    <mergeCell ref="RZE214:RZT214"/>
    <mergeCell ref="RTQ214:RUF214"/>
    <mergeCell ref="RUG214:RUV214"/>
    <mergeCell ref="RUW214:RVL214"/>
    <mergeCell ref="RVM214:RWB214"/>
    <mergeCell ref="RWC214:RWR214"/>
    <mergeCell ref="RQO214:RRD214"/>
    <mergeCell ref="RRE214:RRT214"/>
    <mergeCell ref="RRU214:RSJ214"/>
    <mergeCell ref="RSK214:RSZ214"/>
    <mergeCell ref="RTA214:RTP214"/>
    <mergeCell ref="RNM214:ROB214"/>
    <mergeCell ref="ROC214:ROR214"/>
    <mergeCell ref="ROS214:RPH214"/>
    <mergeCell ref="RPI214:RPX214"/>
    <mergeCell ref="RPY214:RQN214"/>
    <mergeCell ref="SJA214:SJP214"/>
    <mergeCell ref="SJQ214:SKF214"/>
    <mergeCell ref="SKG214:SKV214"/>
    <mergeCell ref="SKW214:SLL214"/>
    <mergeCell ref="SLM214:SMB214"/>
    <mergeCell ref="SFY214:SGN214"/>
    <mergeCell ref="SGO214:SHD214"/>
    <mergeCell ref="SHE214:SHT214"/>
    <mergeCell ref="SHU214:SIJ214"/>
    <mergeCell ref="SIK214:SIZ214"/>
    <mergeCell ref="SCW214:SDL214"/>
    <mergeCell ref="SDM214:SEB214"/>
    <mergeCell ref="SEC214:SER214"/>
    <mergeCell ref="SES214:SFH214"/>
    <mergeCell ref="SFI214:SFX214"/>
    <mergeCell ref="RZU214:SAJ214"/>
    <mergeCell ref="SAK214:SAZ214"/>
    <mergeCell ref="SBA214:SBP214"/>
    <mergeCell ref="SBQ214:SCF214"/>
    <mergeCell ref="SCG214:SCV214"/>
    <mergeCell ref="SVI214:SVX214"/>
    <mergeCell ref="SVY214:SWN214"/>
    <mergeCell ref="SWO214:SXD214"/>
    <mergeCell ref="SXE214:SXT214"/>
    <mergeCell ref="SXU214:SYJ214"/>
    <mergeCell ref="SSG214:SSV214"/>
    <mergeCell ref="SSW214:STL214"/>
    <mergeCell ref="STM214:SUB214"/>
    <mergeCell ref="SUC214:SUR214"/>
    <mergeCell ref="SUS214:SVH214"/>
    <mergeCell ref="SPE214:SPT214"/>
    <mergeCell ref="SPU214:SQJ214"/>
    <mergeCell ref="SQK214:SQZ214"/>
    <mergeCell ref="SRA214:SRP214"/>
    <mergeCell ref="SRQ214:SSF214"/>
    <mergeCell ref="SMC214:SMR214"/>
    <mergeCell ref="SMS214:SNH214"/>
    <mergeCell ref="SNI214:SNX214"/>
    <mergeCell ref="SNY214:SON214"/>
    <mergeCell ref="SOO214:SPD214"/>
    <mergeCell ref="THQ214:TIF214"/>
    <mergeCell ref="TIG214:TIV214"/>
    <mergeCell ref="TIW214:TJL214"/>
    <mergeCell ref="TJM214:TKB214"/>
    <mergeCell ref="TKC214:TKR214"/>
    <mergeCell ref="TEO214:TFD214"/>
    <mergeCell ref="TFE214:TFT214"/>
    <mergeCell ref="TFU214:TGJ214"/>
    <mergeCell ref="TGK214:TGZ214"/>
    <mergeCell ref="THA214:THP214"/>
    <mergeCell ref="TBM214:TCB214"/>
    <mergeCell ref="TCC214:TCR214"/>
    <mergeCell ref="TCS214:TDH214"/>
    <mergeCell ref="TDI214:TDX214"/>
    <mergeCell ref="TDY214:TEN214"/>
    <mergeCell ref="SYK214:SYZ214"/>
    <mergeCell ref="SZA214:SZP214"/>
    <mergeCell ref="SZQ214:TAF214"/>
    <mergeCell ref="TAG214:TAV214"/>
    <mergeCell ref="TAW214:TBL214"/>
    <mergeCell ref="TTY214:TUN214"/>
    <mergeCell ref="TUO214:TVD214"/>
    <mergeCell ref="TVE214:TVT214"/>
    <mergeCell ref="TVU214:TWJ214"/>
    <mergeCell ref="TWK214:TWZ214"/>
    <mergeCell ref="TQW214:TRL214"/>
    <mergeCell ref="TRM214:TSB214"/>
    <mergeCell ref="TSC214:TSR214"/>
    <mergeCell ref="TSS214:TTH214"/>
    <mergeCell ref="TTI214:TTX214"/>
    <mergeCell ref="TNU214:TOJ214"/>
    <mergeCell ref="TOK214:TOZ214"/>
    <mergeCell ref="TPA214:TPP214"/>
    <mergeCell ref="TPQ214:TQF214"/>
    <mergeCell ref="TQG214:TQV214"/>
    <mergeCell ref="TKS214:TLH214"/>
    <mergeCell ref="TLI214:TLX214"/>
    <mergeCell ref="TLY214:TMN214"/>
    <mergeCell ref="TMO214:TND214"/>
    <mergeCell ref="TNE214:TNT214"/>
    <mergeCell ref="UGG214:UGV214"/>
    <mergeCell ref="UGW214:UHL214"/>
    <mergeCell ref="UHM214:UIB214"/>
    <mergeCell ref="UIC214:UIR214"/>
    <mergeCell ref="UIS214:UJH214"/>
    <mergeCell ref="UDE214:UDT214"/>
    <mergeCell ref="UDU214:UEJ214"/>
    <mergeCell ref="UEK214:UEZ214"/>
    <mergeCell ref="UFA214:UFP214"/>
    <mergeCell ref="UFQ214:UGF214"/>
    <mergeCell ref="UAC214:UAR214"/>
    <mergeCell ref="UAS214:UBH214"/>
    <mergeCell ref="UBI214:UBX214"/>
    <mergeCell ref="UBY214:UCN214"/>
    <mergeCell ref="UCO214:UDD214"/>
    <mergeCell ref="TXA214:TXP214"/>
    <mergeCell ref="TXQ214:TYF214"/>
    <mergeCell ref="TYG214:TYV214"/>
    <mergeCell ref="TYW214:TZL214"/>
    <mergeCell ref="TZM214:UAB214"/>
    <mergeCell ref="USO214:UTD214"/>
    <mergeCell ref="UTE214:UTT214"/>
    <mergeCell ref="UTU214:UUJ214"/>
    <mergeCell ref="UUK214:UUZ214"/>
    <mergeCell ref="UVA214:UVP214"/>
    <mergeCell ref="UPM214:UQB214"/>
    <mergeCell ref="UQC214:UQR214"/>
    <mergeCell ref="UQS214:URH214"/>
    <mergeCell ref="URI214:URX214"/>
    <mergeCell ref="URY214:USN214"/>
    <mergeCell ref="UMK214:UMZ214"/>
    <mergeCell ref="UNA214:UNP214"/>
    <mergeCell ref="UNQ214:UOF214"/>
    <mergeCell ref="UOG214:UOV214"/>
    <mergeCell ref="UOW214:UPL214"/>
    <mergeCell ref="UJI214:UJX214"/>
    <mergeCell ref="UJY214:UKN214"/>
    <mergeCell ref="UKO214:ULD214"/>
    <mergeCell ref="ULE214:ULT214"/>
    <mergeCell ref="ULU214:UMJ214"/>
    <mergeCell ref="VEW214:VFL214"/>
    <mergeCell ref="VFM214:VGB214"/>
    <mergeCell ref="VGC214:VGR214"/>
    <mergeCell ref="VGS214:VHH214"/>
    <mergeCell ref="VHI214:VHX214"/>
    <mergeCell ref="VBU214:VCJ214"/>
    <mergeCell ref="VCK214:VCZ214"/>
    <mergeCell ref="VDA214:VDP214"/>
    <mergeCell ref="VDQ214:VEF214"/>
    <mergeCell ref="VEG214:VEV214"/>
    <mergeCell ref="UYS214:UZH214"/>
    <mergeCell ref="UZI214:UZX214"/>
    <mergeCell ref="UZY214:VAN214"/>
    <mergeCell ref="VAO214:VBD214"/>
    <mergeCell ref="VBE214:VBT214"/>
    <mergeCell ref="UVQ214:UWF214"/>
    <mergeCell ref="UWG214:UWV214"/>
    <mergeCell ref="UWW214:UXL214"/>
    <mergeCell ref="UXM214:UYB214"/>
    <mergeCell ref="UYC214:UYR214"/>
    <mergeCell ref="VRE214:VRT214"/>
    <mergeCell ref="VRU214:VSJ214"/>
    <mergeCell ref="VSK214:VSZ214"/>
    <mergeCell ref="VTA214:VTP214"/>
    <mergeCell ref="VTQ214:VUF214"/>
    <mergeCell ref="VOC214:VOR214"/>
    <mergeCell ref="VOS214:VPH214"/>
    <mergeCell ref="VPI214:VPX214"/>
    <mergeCell ref="VPY214:VQN214"/>
    <mergeCell ref="VQO214:VRD214"/>
    <mergeCell ref="VLA214:VLP214"/>
    <mergeCell ref="VLQ214:VMF214"/>
    <mergeCell ref="VMG214:VMV214"/>
    <mergeCell ref="VMW214:VNL214"/>
    <mergeCell ref="VNM214:VOB214"/>
    <mergeCell ref="VHY214:VIN214"/>
    <mergeCell ref="VIO214:VJD214"/>
    <mergeCell ref="VJE214:VJT214"/>
    <mergeCell ref="VJU214:VKJ214"/>
    <mergeCell ref="VKK214:VKZ214"/>
    <mergeCell ref="WDM214:WEB214"/>
    <mergeCell ref="WEC214:WER214"/>
    <mergeCell ref="WES214:WFH214"/>
    <mergeCell ref="WFI214:WFX214"/>
    <mergeCell ref="WFY214:WGN214"/>
    <mergeCell ref="WAK214:WAZ214"/>
    <mergeCell ref="WBA214:WBP214"/>
    <mergeCell ref="WBQ214:WCF214"/>
    <mergeCell ref="WCG214:WCV214"/>
    <mergeCell ref="WCW214:WDL214"/>
    <mergeCell ref="VXI214:VXX214"/>
    <mergeCell ref="VXY214:VYN214"/>
    <mergeCell ref="VYO214:VZD214"/>
    <mergeCell ref="VZE214:VZT214"/>
    <mergeCell ref="VZU214:WAJ214"/>
    <mergeCell ref="VUG214:VUV214"/>
    <mergeCell ref="VUW214:VVL214"/>
    <mergeCell ref="VVM214:VWB214"/>
    <mergeCell ref="VWC214:VWR214"/>
    <mergeCell ref="VWS214:VXH214"/>
    <mergeCell ref="WPU214:WQJ214"/>
    <mergeCell ref="WQK214:WQZ214"/>
    <mergeCell ref="WRA214:WRP214"/>
    <mergeCell ref="WRQ214:WSF214"/>
    <mergeCell ref="WSG214:WSV214"/>
    <mergeCell ref="WMS214:WNH214"/>
    <mergeCell ref="WNI214:WNX214"/>
    <mergeCell ref="WNY214:WON214"/>
    <mergeCell ref="WOO214:WPD214"/>
    <mergeCell ref="WPE214:WPT214"/>
    <mergeCell ref="WJQ214:WKF214"/>
    <mergeCell ref="WKG214:WKV214"/>
    <mergeCell ref="WKW214:WLL214"/>
    <mergeCell ref="WLM214:WMB214"/>
    <mergeCell ref="WMC214:WMR214"/>
    <mergeCell ref="WGO214:WHD214"/>
    <mergeCell ref="WHE214:WHT214"/>
    <mergeCell ref="WHU214:WIJ214"/>
    <mergeCell ref="WIK214:WIZ214"/>
    <mergeCell ref="WJA214:WJP214"/>
    <mergeCell ref="XCC214:XCR214"/>
    <mergeCell ref="XCS214:XDH214"/>
    <mergeCell ref="XDI214:XDX214"/>
    <mergeCell ref="XDY214:XEN214"/>
    <mergeCell ref="XEO214:XFD214"/>
    <mergeCell ref="WZA214:WZP214"/>
    <mergeCell ref="WZQ214:XAF214"/>
    <mergeCell ref="XAG214:XAV214"/>
    <mergeCell ref="XAW214:XBL214"/>
    <mergeCell ref="XBM214:XCB214"/>
    <mergeCell ref="WVY214:WWN214"/>
    <mergeCell ref="WWO214:WXD214"/>
    <mergeCell ref="WXE214:WXT214"/>
    <mergeCell ref="WXU214:WYJ214"/>
    <mergeCell ref="WYK214:WYZ214"/>
    <mergeCell ref="WSW214:WTL214"/>
    <mergeCell ref="WTM214:WUB214"/>
    <mergeCell ref="WUC214:WUR214"/>
    <mergeCell ref="WUS214:WVH214"/>
    <mergeCell ref="WVI214:WVX214"/>
  </mergeCells>
  <phoneticPr fontId="16" type="noConversion"/>
  <pageMargins left="0.31496062992125984" right="0.31496062992125984" top="0.35433070866141736" bottom="0.39370078740157483" header="0.35433070866141736" footer="0.35433070866141736"/>
  <pageSetup paperSize="9" scale="77" fitToHeight="0" orientation="landscape" r:id="rId1"/>
  <headerFooter alignWithMargins="0">
    <oddFooter>&amp;R&amp;P</oddFooter>
  </headerFooter>
  <rowBreaks count="7" manualBreakCount="7">
    <brk id="25" min="1" max="8" man="1"/>
    <brk id="38" min="1" max="8" man="1"/>
    <brk id="58" min="1" max="8" man="1"/>
    <brk id="73" min="1" max="8" man="1"/>
    <brk id="113" min="1" max="8" man="1"/>
    <brk id="127" min="1" max="8" man="1"/>
    <brk id="137" min="1"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V226"/>
  <sheetViews>
    <sheetView view="pageBreakPreview" zoomScale="25" zoomScaleNormal="25" zoomScaleSheetLayoutView="25" zoomScalePageLayoutView="10" workbookViewId="0">
      <pane ySplit="11" topLeftCell="A27" activePane="bottomLeft" state="frozen"/>
      <selection pane="bottomLeft" activeCell="G33" sqref="G33"/>
    </sheetView>
  </sheetViews>
  <sheetFormatPr defaultRowHeight="12.75" x14ac:dyDescent="0.2"/>
  <cols>
    <col min="1" max="3" width="43.42578125" style="2" customWidth="1"/>
    <col min="4" max="4" width="106.28515625" style="2" customWidth="1"/>
    <col min="5" max="5" width="66.42578125" style="8" customWidth="1"/>
    <col min="6" max="6" width="58.5703125" style="12" customWidth="1"/>
    <col min="7" max="7" width="55.42578125" style="2" customWidth="1"/>
    <col min="8" max="8" width="48.140625" style="2" customWidth="1"/>
    <col min="9" max="9" width="32.7109375" style="12" customWidth="1"/>
    <col min="10" max="10" width="50.5703125" style="8" customWidth="1"/>
    <col min="11" max="11" width="56.140625" style="12" customWidth="1"/>
    <col min="12" max="12" width="54.85546875" style="2" customWidth="1"/>
    <col min="13" max="13" width="44.28515625" style="2" customWidth="1"/>
    <col min="14" max="14" width="54.7109375" style="12" customWidth="1"/>
    <col min="15" max="15" width="55.5703125" style="2" customWidth="1"/>
    <col min="16" max="16" width="86.28515625" style="8" customWidth="1"/>
    <col min="17" max="17" width="31" customWidth="1"/>
    <col min="18" max="18" width="123" bestFit="1" customWidth="1"/>
    <col min="20" max="20" width="24.7109375" bestFit="1" customWidth="1"/>
  </cols>
  <sheetData>
    <row r="1" spans="1:18" ht="45.75" x14ac:dyDescent="0.2">
      <c r="D1" s="513"/>
      <c r="E1" s="514"/>
      <c r="F1" s="16"/>
      <c r="G1" s="17"/>
      <c r="H1" s="17"/>
      <c r="I1" s="17"/>
      <c r="J1" s="514"/>
      <c r="K1" s="17"/>
      <c r="L1" s="17"/>
      <c r="M1" s="17"/>
      <c r="N1" s="593" t="s">
        <v>129</v>
      </c>
      <c r="O1" s="593"/>
      <c r="P1" s="593"/>
    </row>
    <row r="2" spans="1:18" ht="45.75" x14ac:dyDescent="0.2">
      <c r="A2" s="513"/>
      <c r="B2" s="513"/>
      <c r="C2" s="513"/>
      <c r="D2" s="513"/>
      <c r="E2" s="514"/>
      <c r="F2" s="16"/>
      <c r="G2" s="17"/>
      <c r="H2" s="17"/>
      <c r="I2" s="17"/>
      <c r="J2" s="514"/>
      <c r="K2" s="17"/>
      <c r="L2" s="17"/>
      <c r="M2" s="17"/>
      <c r="N2" s="593" t="s">
        <v>893</v>
      </c>
      <c r="O2" s="594"/>
      <c r="P2" s="594"/>
    </row>
    <row r="3" spans="1:18" ht="40.700000000000003" customHeight="1" x14ac:dyDescent="0.2">
      <c r="A3" s="513"/>
      <c r="B3" s="513"/>
      <c r="C3" s="513"/>
      <c r="D3" s="513"/>
      <c r="E3" s="514"/>
      <c r="F3" s="16"/>
      <c r="G3" s="17"/>
      <c r="H3" s="17"/>
      <c r="I3" s="17"/>
      <c r="J3" s="514"/>
      <c r="K3" s="17"/>
      <c r="L3" s="17"/>
      <c r="M3" s="17"/>
      <c r="N3" s="593"/>
      <c r="O3" s="594"/>
      <c r="P3" s="594"/>
    </row>
    <row r="4" spans="1:18" ht="45.75" hidden="1" x14ac:dyDescent="0.2">
      <c r="A4" s="513"/>
      <c r="B4" s="513"/>
      <c r="C4" s="513"/>
      <c r="D4" s="513"/>
      <c r="E4" s="514"/>
      <c r="F4" s="16"/>
      <c r="G4" s="17"/>
      <c r="H4" s="17"/>
      <c r="I4" s="17"/>
      <c r="J4" s="514"/>
      <c r="K4" s="17"/>
      <c r="L4" s="17"/>
      <c r="M4" s="17"/>
      <c r="N4" s="197"/>
      <c r="O4" s="513"/>
      <c r="P4" s="512"/>
    </row>
    <row r="5" spans="1:18" ht="45" x14ac:dyDescent="0.2">
      <c r="A5" s="596" t="s">
        <v>128</v>
      </c>
      <c r="B5" s="596"/>
      <c r="C5" s="596"/>
      <c r="D5" s="596"/>
      <c r="E5" s="596"/>
      <c r="F5" s="596"/>
      <c r="G5" s="596"/>
      <c r="H5" s="596"/>
      <c r="I5" s="596"/>
      <c r="J5" s="596"/>
      <c r="K5" s="596"/>
      <c r="L5" s="596"/>
      <c r="M5" s="596"/>
      <c r="N5" s="596"/>
      <c r="O5" s="596"/>
      <c r="P5" s="596"/>
    </row>
    <row r="6" spans="1:18" ht="45" x14ac:dyDescent="0.2">
      <c r="A6" s="596" t="s">
        <v>641</v>
      </c>
      <c r="B6" s="596"/>
      <c r="C6" s="596"/>
      <c r="D6" s="596"/>
      <c r="E6" s="596"/>
      <c r="F6" s="596"/>
      <c r="G6" s="596"/>
      <c r="H6" s="596"/>
      <c r="I6" s="596"/>
      <c r="J6" s="596"/>
      <c r="K6" s="596"/>
      <c r="L6" s="596"/>
      <c r="M6" s="596"/>
      <c r="N6" s="596"/>
      <c r="O6" s="596"/>
      <c r="P6" s="596"/>
    </row>
    <row r="7" spans="1:18" ht="53.45" customHeight="1" x14ac:dyDescent="0.2">
      <c r="A7" s="514"/>
      <c r="B7" s="514"/>
      <c r="C7" s="514"/>
      <c r="D7" s="514"/>
      <c r="E7" s="514"/>
      <c r="F7" s="16"/>
      <c r="G7" s="514"/>
      <c r="H7" s="514"/>
      <c r="I7" s="17"/>
      <c r="J7" s="514"/>
      <c r="K7" s="17"/>
      <c r="L7" s="514"/>
      <c r="M7" s="514"/>
      <c r="N7" s="17"/>
      <c r="O7" s="514"/>
      <c r="P7" s="19" t="s">
        <v>134</v>
      </c>
    </row>
    <row r="8" spans="1:18" ht="62.45" customHeight="1" x14ac:dyDescent="0.2">
      <c r="A8" s="597" t="s">
        <v>41</v>
      </c>
      <c r="B8" s="597" t="s">
        <v>42</v>
      </c>
      <c r="C8" s="601" t="s">
        <v>43</v>
      </c>
      <c r="D8" s="597" t="s">
        <v>45</v>
      </c>
      <c r="E8" s="595" t="s">
        <v>36</v>
      </c>
      <c r="F8" s="595"/>
      <c r="G8" s="595"/>
      <c r="H8" s="595"/>
      <c r="I8" s="595"/>
      <c r="J8" s="595" t="s">
        <v>124</v>
      </c>
      <c r="K8" s="595"/>
      <c r="L8" s="595"/>
      <c r="M8" s="595"/>
      <c r="N8" s="595"/>
      <c r="O8" s="20"/>
      <c r="P8" s="595" t="s">
        <v>35</v>
      </c>
    </row>
    <row r="9" spans="1:18" ht="255" customHeight="1" x14ac:dyDescent="0.2">
      <c r="A9" s="598"/>
      <c r="B9" s="600"/>
      <c r="C9" s="600"/>
      <c r="D9" s="598"/>
      <c r="E9" s="578" t="s">
        <v>7</v>
      </c>
      <c r="F9" s="579" t="s">
        <v>125</v>
      </c>
      <c r="G9" s="578" t="s">
        <v>37</v>
      </c>
      <c r="H9" s="578"/>
      <c r="I9" s="579" t="s">
        <v>127</v>
      </c>
      <c r="J9" s="578" t="s">
        <v>7</v>
      </c>
      <c r="K9" s="579" t="s">
        <v>125</v>
      </c>
      <c r="L9" s="578" t="s">
        <v>37</v>
      </c>
      <c r="M9" s="578"/>
      <c r="N9" s="579" t="s">
        <v>127</v>
      </c>
      <c r="O9" s="504" t="s">
        <v>37</v>
      </c>
      <c r="P9" s="595"/>
    </row>
    <row r="10" spans="1:18" ht="137.25" x14ac:dyDescent="0.2">
      <c r="A10" s="599"/>
      <c r="B10" s="599"/>
      <c r="C10" s="599"/>
      <c r="D10" s="599"/>
      <c r="E10" s="578"/>
      <c r="F10" s="579"/>
      <c r="G10" s="504" t="s">
        <v>126</v>
      </c>
      <c r="H10" s="504" t="s">
        <v>40</v>
      </c>
      <c r="I10" s="579"/>
      <c r="J10" s="578"/>
      <c r="K10" s="579"/>
      <c r="L10" s="504" t="s">
        <v>126</v>
      </c>
      <c r="M10" s="504" t="s">
        <v>40</v>
      </c>
      <c r="N10" s="579"/>
      <c r="O10" s="504" t="s">
        <v>32</v>
      </c>
      <c r="P10" s="595"/>
    </row>
    <row r="11" spans="1:18" s="3" customFormat="1" ht="45.75" x14ac:dyDescent="0.2">
      <c r="A11" s="21" t="s">
        <v>9</v>
      </c>
      <c r="B11" s="21" t="s">
        <v>10</v>
      </c>
      <c r="C11" s="21" t="s">
        <v>39</v>
      </c>
      <c r="D11" s="21" t="s">
        <v>12</v>
      </c>
      <c r="E11" s="22">
        <v>5</v>
      </c>
      <c r="F11" s="505">
        <v>6</v>
      </c>
      <c r="G11" s="22">
        <v>7</v>
      </c>
      <c r="H11" s="22">
        <v>8</v>
      </c>
      <c r="I11" s="195">
        <v>9</v>
      </c>
      <c r="J11" s="22">
        <v>10</v>
      </c>
      <c r="K11" s="195">
        <v>11</v>
      </c>
      <c r="L11" s="22">
        <v>12</v>
      </c>
      <c r="M11" s="22">
        <v>13</v>
      </c>
      <c r="N11" s="195">
        <v>14</v>
      </c>
      <c r="O11" s="22">
        <v>15</v>
      </c>
      <c r="P11" s="22">
        <v>16</v>
      </c>
    </row>
    <row r="12" spans="1:18" s="3" customFormat="1" ht="135" x14ac:dyDescent="0.2">
      <c r="A12" s="517" t="s">
        <v>302</v>
      </c>
      <c r="B12" s="517"/>
      <c r="C12" s="517"/>
      <c r="D12" s="518" t="s">
        <v>304</v>
      </c>
      <c r="E12" s="519">
        <f>E13</f>
        <v>137562698</v>
      </c>
      <c r="F12" s="519">
        <f t="shared" ref="F12:P12" si="0">F13</f>
        <v>137562698</v>
      </c>
      <c r="G12" s="519">
        <f t="shared" si="0"/>
        <v>90413000</v>
      </c>
      <c r="H12" s="519">
        <f t="shared" si="0"/>
        <v>4208100</v>
      </c>
      <c r="I12" s="519">
        <f t="shared" si="0"/>
        <v>0</v>
      </c>
      <c r="J12" s="519">
        <f t="shared" si="0"/>
        <v>17251157.870000001</v>
      </c>
      <c r="K12" s="519">
        <f t="shared" si="0"/>
        <v>3775620.62</v>
      </c>
      <c r="L12" s="519">
        <f t="shared" si="0"/>
        <v>0</v>
      </c>
      <c r="M12" s="519">
        <f t="shared" si="0"/>
        <v>0</v>
      </c>
      <c r="N12" s="519">
        <f t="shared" si="0"/>
        <v>13475537.25</v>
      </c>
      <c r="O12" s="520">
        <f t="shared" si="0"/>
        <v>13135537.25</v>
      </c>
      <c r="P12" s="519">
        <f t="shared" si="0"/>
        <v>154813855.87</v>
      </c>
    </row>
    <row r="13" spans="1:18" s="3" customFormat="1" ht="135" x14ac:dyDescent="0.2">
      <c r="A13" s="521" t="s">
        <v>303</v>
      </c>
      <c r="B13" s="521"/>
      <c r="C13" s="521"/>
      <c r="D13" s="522" t="s">
        <v>305</v>
      </c>
      <c r="E13" s="523">
        <f>F13</f>
        <v>137562698</v>
      </c>
      <c r="F13" s="524">
        <f>F14+F15+F26+F20+F27+F16+F22+F21+F29+F17+F28</f>
        <v>137562698</v>
      </c>
      <c r="G13" s="524">
        <f t="shared" ref="G13:H13" si="1">G14+G15+G26+G20+G27+G16+G22+G21+G29+G17</f>
        <v>90413000</v>
      </c>
      <c r="H13" s="524">
        <f t="shared" si="1"/>
        <v>4208100</v>
      </c>
      <c r="I13" s="524">
        <v>0</v>
      </c>
      <c r="J13" s="525">
        <f t="shared" ref="J13:J29" si="2">K13+N13</f>
        <v>17251157.870000001</v>
      </c>
      <c r="K13" s="524">
        <f>K14+K15+K26+K20+K27+K16+K23+K21+K29+K17+K18+K28</f>
        <v>3775620.62</v>
      </c>
      <c r="L13" s="524">
        <f>L14+L15+L26+L20+L27+L16</f>
        <v>0</v>
      </c>
      <c r="M13" s="524">
        <f>M14+M15+M26+M20+M27+M16</f>
        <v>0</v>
      </c>
      <c r="N13" s="524">
        <f>N14+N15+N26+N20+N27+N16+N23+N21+N29+N18+N28</f>
        <v>13475537.25</v>
      </c>
      <c r="O13" s="524">
        <f>O14+O15+O26+O20+O27+O16+O23+O21+O29+O18+O28</f>
        <v>13135537.25</v>
      </c>
      <c r="P13" s="523">
        <f>J13+E13</f>
        <v>154813855.87</v>
      </c>
      <c r="Q13" s="228" t="b">
        <f>P14+P15+P16+P17+P18+P20+P21+P22+P23+P26+P27+P29+P28=P13</f>
        <v>1</v>
      </c>
      <c r="R13" s="228" t="b">
        <f>O13=[1]dod5!J7</f>
        <v>1</v>
      </c>
    </row>
    <row r="14" spans="1:18" ht="320.25" x14ac:dyDescent="0.2">
      <c r="A14" s="516" t="s">
        <v>428</v>
      </c>
      <c r="B14" s="516" t="s">
        <v>429</v>
      </c>
      <c r="C14" s="516" t="s">
        <v>430</v>
      </c>
      <c r="D14" s="516" t="s">
        <v>427</v>
      </c>
      <c r="E14" s="511">
        <f t="shared" ref="E14:E27" si="3">F14</f>
        <v>67399730</v>
      </c>
      <c r="F14" s="46">
        <f>((61847000)+227100+86000)+5239630</f>
        <v>67399730</v>
      </c>
      <c r="G14" s="177">
        <f>(42799000)+4210430</f>
        <v>47009430</v>
      </c>
      <c r="H14" s="177">
        <f>(2438200)+12500</f>
        <v>2450700</v>
      </c>
      <c r="I14" s="46"/>
      <c r="J14" s="231">
        <f t="shared" si="2"/>
        <v>1745600</v>
      </c>
      <c r="K14" s="424"/>
      <c r="L14" s="425"/>
      <c r="M14" s="425"/>
      <c r="N14" s="510">
        <f t="shared" ref="N14:N29" si="4">O14</f>
        <v>1745600</v>
      </c>
      <c r="O14" s="372">
        <f>((525200)+1807600-86000)-501200</f>
        <v>1745600</v>
      </c>
      <c r="P14" s="511">
        <f>+J14+E14</f>
        <v>69145330</v>
      </c>
    </row>
    <row r="15" spans="1:18" ht="228.75" x14ac:dyDescent="0.2">
      <c r="A15" s="516" t="s">
        <v>432</v>
      </c>
      <c r="B15" s="516" t="s">
        <v>433</v>
      </c>
      <c r="C15" s="516" t="s">
        <v>430</v>
      </c>
      <c r="D15" s="516" t="s">
        <v>431</v>
      </c>
      <c r="E15" s="511">
        <f t="shared" si="3"/>
        <v>59153754</v>
      </c>
      <c r="F15" s="510">
        <f>((49657100+750000+50000)+235184+40000+8000)+8413470</f>
        <v>59153754</v>
      </c>
      <c r="G15" s="372">
        <f>(37157000)+6055570</f>
        <v>43212570</v>
      </c>
      <c r="H15" s="372">
        <f>(1543500)+213900</f>
        <v>1757400</v>
      </c>
      <c r="I15" s="510"/>
      <c r="J15" s="511">
        <f t="shared" si="2"/>
        <v>450000</v>
      </c>
      <c r="K15" s="510"/>
      <c r="L15" s="372"/>
      <c r="M15" s="372"/>
      <c r="N15" s="510">
        <f t="shared" si="4"/>
        <v>450000</v>
      </c>
      <c r="O15" s="372">
        <f>((826000-750000+50000)+318000)+6000</f>
        <v>450000</v>
      </c>
      <c r="P15" s="511">
        <f>E15+J15</f>
        <v>59603754</v>
      </c>
    </row>
    <row r="16" spans="1:18" ht="91.5" x14ac:dyDescent="0.2">
      <c r="A16" s="516" t="s">
        <v>445</v>
      </c>
      <c r="B16" s="516" t="s">
        <v>103</v>
      </c>
      <c r="C16" s="516" t="s">
        <v>102</v>
      </c>
      <c r="D16" s="516" t="s">
        <v>446</v>
      </c>
      <c r="E16" s="511">
        <f t="shared" si="3"/>
        <v>934250</v>
      </c>
      <c r="F16" s="510">
        <f>((1188000-165000)-183000)+94250</f>
        <v>934250</v>
      </c>
      <c r="G16" s="372">
        <f>(150000)-150000</f>
        <v>0</v>
      </c>
      <c r="H16" s="372"/>
      <c r="I16" s="510"/>
      <c r="J16" s="511">
        <f t="shared" si="2"/>
        <v>0</v>
      </c>
      <c r="K16" s="510"/>
      <c r="L16" s="372"/>
      <c r="M16" s="372"/>
      <c r="N16" s="510">
        <f t="shared" si="4"/>
        <v>0</v>
      </c>
      <c r="O16" s="372"/>
      <c r="P16" s="511">
        <f>E16+J16</f>
        <v>934250</v>
      </c>
    </row>
    <row r="17" spans="1:18" ht="91.5" x14ac:dyDescent="0.2">
      <c r="A17" s="516" t="s">
        <v>927</v>
      </c>
      <c r="B17" s="516" t="s">
        <v>928</v>
      </c>
      <c r="C17" s="516" t="s">
        <v>929</v>
      </c>
      <c r="D17" s="516" t="s">
        <v>926</v>
      </c>
      <c r="E17" s="511">
        <f t="shared" si="3"/>
        <v>233000</v>
      </c>
      <c r="F17" s="510">
        <v>233000</v>
      </c>
      <c r="G17" s="372">
        <f>191000</f>
        <v>191000</v>
      </c>
      <c r="H17" s="372"/>
      <c r="I17" s="510"/>
      <c r="J17" s="511">
        <f t="shared" si="2"/>
        <v>0</v>
      </c>
      <c r="K17" s="510"/>
      <c r="L17" s="372"/>
      <c r="M17" s="372"/>
      <c r="N17" s="510">
        <f t="shared" si="4"/>
        <v>0</v>
      </c>
      <c r="O17" s="372"/>
      <c r="P17" s="511">
        <f>E17+J17</f>
        <v>233000</v>
      </c>
    </row>
    <row r="18" spans="1:18" ht="91.5" x14ac:dyDescent="0.2">
      <c r="A18" s="516" t="s">
        <v>940</v>
      </c>
      <c r="B18" s="516" t="s">
        <v>706</v>
      </c>
      <c r="C18" s="516"/>
      <c r="D18" s="516" t="s">
        <v>832</v>
      </c>
      <c r="E18" s="511">
        <f>E19</f>
        <v>0</v>
      </c>
      <c r="F18" s="511">
        <f t="shared" ref="F18:I18" si="5">F19</f>
        <v>0</v>
      </c>
      <c r="G18" s="511">
        <f t="shared" si="5"/>
        <v>0</v>
      </c>
      <c r="H18" s="511">
        <f t="shared" si="5"/>
        <v>0</v>
      </c>
      <c r="I18" s="511">
        <f t="shared" si="5"/>
        <v>0</v>
      </c>
      <c r="J18" s="511">
        <f t="shared" si="2"/>
        <v>660842</v>
      </c>
      <c r="K18" s="510">
        <f>K19</f>
        <v>0</v>
      </c>
      <c r="L18" s="372"/>
      <c r="M18" s="372"/>
      <c r="N18" s="510">
        <f t="shared" si="4"/>
        <v>660842</v>
      </c>
      <c r="O18" s="372">
        <f>O19</f>
        <v>660842</v>
      </c>
      <c r="P18" s="511">
        <f>E18+J18</f>
        <v>660842</v>
      </c>
    </row>
    <row r="19" spans="1:18" ht="366" x14ac:dyDescent="0.2">
      <c r="A19" s="509" t="s">
        <v>937</v>
      </c>
      <c r="B19" s="509" t="s">
        <v>938</v>
      </c>
      <c r="C19" s="509" t="s">
        <v>708</v>
      </c>
      <c r="D19" s="509" t="s">
        <v>939</v>
      </c>
      <c r="E19" s="510"/>
      <c r="F19" s="510"/>
      <c r="G19" s="510"/>
      <c r="H19" s="510"/>
      <c r="I19" s="510"/>
      <c r="J19" s="510">
        <f t="shared" si="2"/>
        <v>660842</v>
      </c>
      <c r="K19" s="510"/>
      <c r="L19" s="510"/>
      <c r="M19" s="510"/>
      <c r="N19" s="510">
        <f t="shared" si="4"/>
        <v>660842</v>
      </c>
      <c r="O19" s="510">
        <v>660842</v>
      </c>
      <c r="P19" s="510">
        <f>E19+J19</f>
        <v>660842</v>
      </c>
    </row>
    <row r="20" spans="1:18" ht="91.5" x14ac:dyDescent="0.2">
      <c r="A20" s="516" t="s">
        <v>435</v>
      </c>
      <c r="B20" s="516" t="s">
        <v>436</v>
      </c>
      <c r="C20" s="516" t="s">
        <v>437</v>
      </c>
      <c r="D20" s="516" t="s">
        <v>434</v>
      </c>
      <c r="E20" s="511">
        <f t="shared" si="3"/>
        <v>4100700</v>
      </c>
      <c r="F20" s="510">
        <f>(1750700)+2350000</f>
        <v>4100700</v>
      </c>
      <c r="G20" s="372"/>
      <c r="H20" s="372"/>
      <c r="I20" s="510"/>
      <c r="J20" s="511">
        <f t="shared" si="2"/>
        <v>0</v>
      </c>
      <c r="K20" s="510"/>
      <c r="L20" s="372"/>
      <c r="M20" s="372"/>
      <c r="N20" s="510">
        <f t="shared" si="4"/>
        <v>0</v>
      </c>
      <c r="O20" s="372"/>
      <c r="P20" s="511">
        <f>+J20+E20</f>
        <v>4100700</v>
      </c>
    </row>
    <row r="21" spans="1:18" ht="91.5" hidden="1" x14ac:dyDescent="0.2">
      <c r="A21" s="526" t="s">
        <v>646</v>
      </c>
      <c r="B21" s="469" t="s">
        <v>373</v>
      </c>
      <c r="C21" s="469" t="s">
        <v>324</v>
      </c>
      <c r="D21" s="526" t="s">
        <v>89</v>
      </c>
      <c r="E21" s="475">
        <f t="shared" si="3"/>
        <v>0</v>
      </c>
      <c r="F21" s="527"/>
      <c r="G21" s="528"/>
      <c r="H21" s="528"/>
      <c r="I21" s="527"/>
      <c r="J21" s="475">
        <f t="shared" si="2"/>
        <v>0</v>
      </c>
      <c r="K21" s="527"/>
      <c r="L21" s="528"/>
      <c r="M21" s="528"/>
      <c r="N21" s="527">
        <f t="shared" si="4"/>
        <v>0</v>
      </c>
      <c r="O21" s="528">
        <f>(2500000)-2500000</f>
        <v>0</v>
      </c>
      <c r="P21" s="475">
        <f>+J21+E21</f>
        <v>0</v>
      </c>
    </row>
    <row r="22" spans="1:18" ht="137.25" x14ac:dyDescent="0.2">
      <c r="A22" s="516" t="s">
        <v>565</v>
      </c>
      <c r="B22" s="516" t="s">
        <v>566</v>
      </c>
      <c r="C22" s="516" t="s">
        <v>324</v>
      </c>
      <c r="D22" s="515" t="s">
        <v>564</v>
      </c>
      <c r="E22" s="511">
        <f t="shared" si="3"/>
        <v>165000</v>
      </c>
      <c r="F22" s="510">
        <v>165000</v>
      </c>
      <c r="G22" s="372"/>
      <c r="H22" s="372"/>
      <c r="I22" s="510"/>
      <c r="J22" s="511">
        <f t="shared" si="2"/>
        <v>0</v>
      </c>
      <c r="K22" s="510"/>
      <c r="L22" s="372"/>
      <c r="M22" s="372"/>
      <c r="N22" s="510">
        <f t="shared" si="4"/>
        <v>0</v>
      </c>
      <c r="O22" s="372"/>
      <c r="P22" s="511">
        <f>+J22+E22</f>
        <v>165000</v>
      </c>
    </row>
    <row r="23" spans="1:18" ht="46.5" x14ac:dyDescent="0.2">
      <c r="A23" s="516" t="s">
        <v>448</v>
      </c>
      <c r="B23" s="516" t="s">
        <v>449</v>
      </c>
      <c r="C23" s="516"/>
      <c r="D23" s="481" t="s">
        <v>447</v>
      </c>
      <c r="E23" s="511">
        <f t="shared" si="3"/>
        <v>0</v>
      </c>
      <c r="F23" s="510"/>
      <c r="G23" s="372"/>
      <c r="H23" s="372"/>
      <c r="I23" s="510"/>
      <c r="J23" s="511">
        <f t="shared" si="2"/>
        <v>4115620.62</v>
      </c>
      <c r="K23" s="510">
        <f>K24</f>
        <v>3775620.62</v>
      </c>
      <c r="L23" s="372"/>
      <c r="M23" s="372"/>
      <c r="N23" s="510">
        <f>N24</f>
        <v>340000</v>
      </c>
      <c r="O23" s="372">
        <f>O24</f>
        <v>0</v>
      </c>
      <c r="P23" s="511">
        <f>+J23+E23</f>
        <v>4115620.62</v>
      </c>
    </row>
    <row r="24" spans="1:18" s="196" customFormat="1" ht="409.5" x14ac:dyDescent="0.2">
      <c r="A24" s="587" t="s">
        <v>700</v>
      </c>
      <c r="B24" s="587" t="s">
        <v>699</v>
      </c>
      <c r="C24" s="587" t="s">
        <v>324</v>
      </c>
      <c r="D24" s="482" t="s">
        <v>727</v>
      </c>
      <c r="E24" s="580">
        <f t="shared" si="3"/>
        <v>0</v>
      </c>
      <c r="F24" s="580"/>
      <c r="G24" s="580"/>
      <c r="H24" s="580"/>
      <c r="I24" s="580"/>
      <c r="J24" s="580">
        <f t="shared" si="2"/>
        <v>4115620.62</v>
      </c>
      <c r="K24" s="580">
        <f>((2667000)+508620.62+(550000))+50000</f>
        <v>3775620.62</v>
      </c>
      <c r="L24" s="580"/>
      <c r="M24" s="580"/>
      <c r="N24" s="580">
        <f>((O24+740000)+200000-(550000))-50000</f>
        <v>340000</v>
      </c>
      <c r="O24" s="580"/>
      <c r="P24" s="580">
        <f>E24+J24</f>
        <v>4115620.62</v>
      </c>
    </row>
    <row r="25" spans="1:18" s="196" customFormat="1" ht="137.25" x14ac:dyDescent="0.2">
      <c r="A25" s="583"/>
      <c r="B25" s="583"/>
      <c r="C25" s="583"/>
      <c r="D25" s="483" t="s">
        <v>728</v>
      </c>
      <c r="E25" s="581"/>
      <c r="F25" s="581"/>
      <c r="G25" s="581"/>
      <c r="H25" s="581"/>
      <c r="I25" s="581"/>
      <c r="J25" s="581"/>
      <c r="K25" s="581"/>
      <c r="L25" s="581"/>
      <c r="M25" s="581"/>
      <c r="N25" s="581"/>
      <c r="O25" s="581"/>
      <c r="P25" s="581"/>
    </row>
    <row r="26" spans="1:18" ht="91.5" x14ac:dyDescent="0.2">
      <c r="A26" s="516" t="s">
        <v>438</v>
      </c>
      <c r="B26" s="516" t="s">
        <v>439</v>
      </c>
      <c r="C26" s="516" t="s">
        <v>440</v>
      </c>
      <c r="D26" s="515" t="s">
        <v>441</v>
      </c>
      <c r="E26" s="511">
        <f>F26</f>
        <v>3725800</v>
      </c>
      <c r="F26" s="510">
        <f>((2555000)+700800)+470000</f>
        <v>3725800</v>
      </c>
      <c r="G26" s="372"/>
      <c r="H26" s="372"/>
      <c r="I26" s="510"/>
      <c r="J26" s="511">
        <f t="shared" si="2"/>
        <v>4000000</v>
      </c>
      <c r="K26" s="510"/>
      <c r="L26" s="372"/>
      <c r="M26" s="372"/>
      <c r="N26" s="510">
        <f t="shared" si="4"/>
        <v>4000000</v>
      </c>
      <c r="O26" s="372">
        <f>(1200000)+2800000</f>
        <v>4000000</v>
      </c>
      <c r="P26" s="511">
        <f t="shared" ref="P26:P29" si="6">E26+J26</f>
        <v>7725800</v>
      </c>
    </row>
    <row r="27" spans="1:18" ht="274.5" x14ac:dyDescent="0.2">
      <c r="A27" s="516" t="s">
        <v>442</v>
      </c>
      <c r="B27" s="516" t="s">
        <v>443</v>
      </c>
      <c r="C27" s="516" t="s">
        <v>103</v>
      </c>
      <c r="D27" s="516" t="s">
        <v>444</v>
      </c>
      <c r="E27" s="511">
        <f t="shared" si="3"/>
        <v>160000</v>
      </c>
      <c r="F27" s="510">
        <v>160000</v>
      </c>
      <c r="G27" s="372"/>
      <c r="H27" s="372"/>
      <c r="I27" s="510"/>
      <c r="J27" s="511"/>
      <c r="K27" s="510"/>
      <c r="L27" s="372"/>
      <c r="M27" s="372"/>
      <c r="N27" s="510">
        <f t="shared" si="4"/>
        <v>0</v>
      </c>
      <c r="O27" s="372"/>
      <c r="P27" s="511">
        <f t="shared" si="6"/>
        <v>160000</v>
      </c>
    </row>
    <row r="28" spans="1:18" ht="91.5" x14ac:dyDescent="0.2">
      <c r="A28" s="516" t="s">
        <v>962</v>
      </c>
      <c r="B28" s="516" t="s">
        <v>799</v>
      </c>
      <c r="C28" s="516" t="s">
        <v>103</v>
      </c>
      <c r="D28" s="516" t="s">
        <v>800</v>
      </c>
      <c r="E28" s="511"/>
      <c r="F28" s="510"/>
      <c r="G28" s="372"/>
      <c r="H28" s="372"/>
      <c r="I28" s="510"/>
      <c r="J28" s="511">
        <f t="shared" si="2"/>
        <v>100000</v>
      </c>
      <c r="K28" s="510"/>
      <c r="L28" s="372"/>
      <c r="M28" s="372"/>
      <c r="N28" s="510">
        <f t="shared" si="4"/>
        <v>100000</v>
      </c>
      <c r="O28" s="372">
        <f>200000-200000+100000</f>
        <v>100000</v>
      </c>
      <c r="P28" s="511">
        <f t="shared" si="6"/>
        <v>100000</v>
      </c>
    </row>
    <row r="29" spans="1:18" ht="228.75" x14ac:dyDescent="0.2">
      <c r="A29" s="516" t="s">
        <v>821</v>
      </c>
      <c r="B29" s="516" t="s">
        <v>822</v>
      </c>
      <c r="C29" s="516" t="s">
        <v>103</v>
      </c>
      <c r="D29" s="516" t="s">
        <v>823</v>
      </c>
      <c r="E29" s="511">
        <f t="shared" ref="E29" si="7">F29</f>
        <v>1690464</v>
      </c>
      <c r="F29" s="510">
        <f>(1317664+100000+50000)+222800</f>
        <v>1690464</v>
      </c>
      <c r="G29" s="372"/>
      <c r="H29" s="372"/>
      <c r="I29" s="510"/>
      <c r="J29" s="511">
        <f t="shared" si="2"/>
        <v>6179095.25</v>
      </c>
      <c r="K29" s="510"/>
      <c r="L29" s="372"/>
      <c r="M29" s="372"/>
      <c r="N29" s="510">
        <f t="shared" si="4"/>
        <v>6179095.25</v>
      </c>
      <c r="O29" s="372">
        <f>(5497336-100000)+38000+743759.25</f>
        <v>6179095.25</v>
      </c>
      <c r="P29" s="511">
        <f t="shared" si="6"/>
        <v>7869559.25</v>
      </c>
    </row>
    <row r="30" spans="1:18" ht="135" x14ac:dyDescent="0.2">
      <c r="A30" s="517" t="s">
        <v>306</v>
      </c>
      <c r="B30" s="517"/>
      <c r="C30" s="517"/>
      <c r="D30" s="518" t="s">
        <v>1</v>
      </c>
      <c r="E30" s="524">
        <f>E31</f>
        <v>899821040</v>
      </c>
      <c r="F30" s="524">
        <f t="shared" ref="F30:P30" si="8">F31</f>
        <v>899821040</v>
      </c>
      <c r="G30" s="524">
        <f t="shared" si="8"/>
        <v>576717521</v>
      </c>
      <c r="H30" s="524">
        <f t="shared" si="8"/>
        <v>87878308</v>
      </c>
      <c r="I30" s="524">
        <f t="shared" si="8"/>
        <v>0</v>
      </c>
      <c r="J30" s="524">
        <f t="shared" si="8"/>
        <v>136989283</v>
      </c>
      <c r="K30" s="524">
        <f t="shared" si="8"/>
        <v>87412249</v>
      </c>
      <c r="L30" s="524">
        <f t="shared" si="8"/>
        <v>22250104</v>
      </c>
      <c r="M30" s="524">
        <f t="shared" si="8"/>
        <v>7540734</v>
      </c>
      <c r="N30" s="524">
        <f t="shared" si="8"/>
        <v>49577034</v>
      </c>
      <c r="O30" s="523">
        <f t="shared" si="8"/>
        <v>48055034</v>
      </c>
      <c r="P30" s="524">
        <f t="shared" si="8"/>
        <v>1036810323</v>
      </c>
    </row>
    <row r="31" spans="1:18" ht="135" x14ac:dyDescent="0.2">
      <c r="A31" s="521" t="s">
        <v>307</v>
      </c>
      <c r="B31" s="521"/>
      <c r="C31" s="521"/>
      <c r="D31" s="522" t="s">
        <v>2</v>
      </c>
      <c r="E31" s="523">
        <f>E32+E33+E34+E35+E36+E38+E39+E37+E42</f>
        <v>899821040</v>
      </c>
      <c r="F31" s="524">
        <f>F32+F33+F34+F35+F36+F38+F39+F37+F42+F400</f>
        <v>899821040</v>
      </c>
      <c r="G31" s="523">
        <f>G32+G33+G34+G35+G36+G38+G39+G37+G42</f>
        <v>576717521</v>
      </c>
      <c r="H31" s="523">
        <f>H32+H33+H34+H35+H36+H38+H39+H37+H42</f>
        <v>87878308</v>
      </c>
      <c r="I31" s="524">
        <f>I32+I33+I34+I35+I36+I38+I39+I37</f>
        <v>0</v>
      </c>
      <c r="J31" s="523">
        <f t="shared" ref="J31:O31" si="9">J32+J33+J34+J35+J36+J38+J39+J37+J42</f>
        <v>136989283</v>
      </c>
      <c r="K31" s="524">
        <f t="shared" si="9"/>
        <v>87412249</v>
      </c>
      <c r="L31" s="523">
        <f t="shared" si="9"/>
        <v>22250104</v>
      </c>
      <c r="M31" s="523">
        <f t="shared" si="9"/>
        <v>7540734</v>
      </c>
      <c r="N31" s="524">
        <f t="shared" si="9"/>
        <v>49577034</v>
      </c>
      <c r="O31" s="523">
        <f t="shared" si="9"/>
        <v>48055034</v>
      </c>
      <c r="P31" s="523">
        <f t="shared" ref="P31:P41" si="10">E31+J31</f>
        <v>1036810323</v>
      </c>
      <c r="Q31" s="228" t="b">
        <f>P31=P32+P33+P34+P35+P36+P37+P38+P39+P42</f>
        <v>1</v>
      </c>
      <c r="R31" s="228" t="b">
        <f>O31=[1]dod5!J21</f>
        <v>1</v>
      </c>
    </row>
    <row r="32" spans="1:18" ht="67.7" customHeight="1" x14ac:dyDescent="0.55000000000000004">
      <c r="A32" s="516" t="s">
        <v>376</v>
      </c>
      <c r="B32" s="516" t="s">
        <v>377</v>
      </c>
      <c r="C32" s="516" t="s">
        <v>379</v>
      </c>
      <c r="D32" s="516" t="s">
        <v>380</v>
      </c>
      <c r="E32" s="511">
        <f>F32</f>
        <v>237786061</v>
      </c>
      <c r="F32" s="510">
        <f>((241481300+165502+120830)+707200+3213800+389000+834500+41349+100000-100000)-9167420</f>
        <v>237786061</v>
      </c>
      <c r="G32" s="372">
        <f>((151576300)+3213800)-3687600</f>
        <v>151102500</v>
      </c>
      <c r="H32" s="372">
        <f>27650500-12000</f>
        <v>27638500</v>
      </c>
      <c r="I32" s="510"/>
      <c r="J32" s="511">
        <f t="shared" ref="J32:J41" si="11">K32+N32</f>
        <v>43062993</v>
      </c>
      <c r="K32" s="510">
        <v>34398400</v>
      </c>
      <c r="L32" s="372">
        <v>6344700</v>
      </c>
      <c r="M32" s="372">
        <v>677200</v>
      </c>
      <c r="N32" s="510">
        <f>O32+525900-(120000)</f>
        <v>8664593</v>
      </c>
      <c r="O32" s="372">
        <f>((2466200+2000000+60000+353242+55000+50000*2)+777000+1256600-41349+80000-100000+100000+(442000))+710000</f>
        <v>8258693</v>
      </c>
      <c r="P32" s="511">
        <f t="shared" si="10"/>
        <v>280849054</v>
      </c>
      <c r="Q32" s="25"/>
      <c r="R32" s="25"/>
    </row>
    <row r="33" spans="1:20" ht="389.25" customHeight="1" x14ac:dyDescent="0.55000000000000004">
      <c r="A33" s="516" t="s">
        <v>382</v>
      </c>
      <c r="B33" s="516" t="s">
        <v>378</v>
      </c>
      <c r="C33" s="516" t="s">
        <v>383</v>
      </c>
      <c r="D33" s="516" t="s">
        <v>912</v>
      </c>
      <c r="E33" s="511">
        <f t="shared" ref="E33:E41" si="12">F33</f>
        <v>503096772.06</v>
      </c>
      <c r="F33" s="510">
        <f>((448765400+1750000+318969+495888+5582500)+15670400+1239421+3447600+272674+4898800+375000+230505+2658152-25000+7000+86612-40000-8000+(5263782))+12707069.06-600000</f>
        <v>503096772.06</v>
      </c>
      <c r="G33" s="372">
        <f>((302091800)+15670400+1239421)+11034000</f>
        <v>330035621</v>
      </c>
      <c r="H33" s="372">
        <f>(36896200+5582500-(20000))+100721</f>
        <v>42559421</v>
      </c>
      <c r="I33" s="510"/>
      <c r="J33" s="511">
        <f t="shared" si="11"/>
        <v>50948484</v>
      </c>
      <c r="K33" s="510">
        <f>(36530400)-1380110</f>
        <v>35150290</v>
      </c>
      <c r="L33" s="372">
        <f>(12782600)-1131270</f>
        <v>11651330</v>
      </c>
      <c r="M33" s="372">
        <v>912900</v>
      </c>
      <c r="N33" s="510">
        <f>O33+802800-(180000)</f>
        <v>15798194</v>
      </c>
      <c r="O33" s="372">
        <f>((1348532+200000+500000+297437+100000+749800*2)+4419450+583700+666579+67900+2794000-86612+250000+(1281056))+653752+600000</f>
        <v>15175394</v>
      </c>
      <c r="P33" s="511">
        <f t="shared" si="10"/>
        <v>554045256.05999994</v>
      </c>
      <c r="Q33" s="25"/>
      <c r="R33" s="25"/>
      <c r="T33" s="179"/>
    </row>
    <row r="34" spans="1:20" ht="137.25" x14ac:dyDescent="0.2">
      <c r="A34" s="516" t="s">
        <v>384</v>
      </c>
      <c r="B34" s="516" t="s">
        <v>385</v>
      </c>
      <c r="C34" s="516" t="s">
        <v>383</v>
      </c>
      <c r="D34" s="516" t="s">
        <v>46</v>
      </c>
      <c r="E34" s="511">
        <f t="shared" si="12"/>
        <v>2009955.94</v>
      </c>
      <c r="F34" s="510">
        <f>((2337100+15700)+146500+32200)-521544.06</f>
        <v>2009955.94</v>
      </c>
      <c r="G34" s="372">
        <f>((1765400)+146500)-300000</f>
        <v>1611900</v>
      </c>
      <c r="H34" s="372">
        <f>(93700+15700)-100721</f>
        <v>8679</v>
      </c>
      <c r="I34" s="510"/>
      <c r="J34" s="511">
        <f t="shared" si="11"/>
        <v>0</v>
      </c>
      <c r="K34" s="510"/>
      <c r="L34" s="372"/>
      <c r="M34" s="372"/>
      <c r="N34" s="510">
        <f t="shared" ref="N34:N38" si="13">O34</f>
        <v>0</v>
      </c>
      <c r="O34" s="372"/>
      <c r="P34" s="511">
        <f t="shared" si="10"/>
        <v>2009955.94</v>
      </c>
    </row>
    <row r="35" spans="1:20" ht="409.6" customHeight="1" x14ac:dyDescent="0.2">
      <c r="A35" s="516" t="s">
        <v>387</v>
      </c>
      <c r="B35" s="516" t="s">
        <v>386</v>
      </c>
      <c r="C35" s="516" t="s">
        <v>388</v>
      </c>
      <c r="D35" s="516" t="s">
        <v>47</v>
      </c>
      <c r="E35" s="511">
        <f t="shared" si="12"/>
        <v>15583400</v>
      </c>
      <c r="F35" s="510">
        <f>((13802000+388300)+691500+152100+82500+307600)+192400-33000</f>
        <v>15583400</v>
      </c>
      <c r="G35" s="372">
        <f>((9727200)+691500)+157000</f>
        <v>10575700</v>
      </c>
      <c r="H35" s="372">
        <f>941200+388300</f>
        <v>1329500</v>
      </c>
      <c r="I35" s="510"/>
      <c r="J35" s="511">
        <f t="shared" si="11"/>
        <v>513449</v>
      </c>
      <c r="K35" s="510">
        <v>35600</v>
      </c>
      <c r="L35" s="372"/>
      <c r="M35" s="372">
        <v>24400</v>
      </c>
      <c r="N35" s="510">
        <f t="shared" si="13"/>
        <v>477849</v>
      </c>
      <c r="O35" s="372">
        <f>(300000)+138200+6849-200+33000</f>
        <v>477849</v>
      </c>
      <c r="P35" s="511">
        <f t="shared" si="10"/>
        <v>16096849</v>
      </c>
    </row>
    <row r="36" spans="1:20" ht="183" x14ac:dyDescent="0.2">
      <c r="A36" s="516" t="s">
        <v>389</v>
      </c>
      <c r="B36" s="516" t="s">
        <v>363</v>
      </c>
      <c r="C36" s="516" t="s">
        <v>344</v>
      </c>
      <c r="D36" s="516" t="s">
        <v>48</v>
      </c>
      <c r="E36" s="511">
        <f t="shared" si="12"/>
        <v>25342420</v>
      </c>
      <c r="F36" s="510">
        <f>((27524100)+334800+73700+6000)-2596180</f>
        <v>25342420</v>
      </c>
      <c r="G36" s="372">
        <f>((19443400)+334800)-2376200</f>
        <v>17402000</v>
      </c>
      <c r="H36" s="372">
        <f>(2247200-(260000))+199000</f>
        <v>2186200</v>
      </c>
      <c r="I36" s="510"/>
      <c r="J36" s="511">
        <f t="shared" si="11"/>
        <v>11763200</v>
      </c>
      <c r="K36" s="510">
        <v>4499900</v>
      </c>
      <c r="L36" s="372">
        <v>928200</v>
      </c>
      <c r="M36" s="372">
        <v>324500</v>
      </c>
      <c r="N36" s="510">
        <f>O36+153300+(300000)</f>
        <v>7263300</v>
      </c>
      <c r="O36" s="372">
        <f>((4000000)+605000+470000-250000+(185000))+1800000</f>
        <v>6810000</v>
      </c>
      <c r="P36" s="511">
        <f t="shared" si="10"/>
        <v>37105620</v>
      </c>
    </row>
    <row r="37" spans="1:20" ht="155.25" customHeight="1" x14ac:dyDescent="0.2">
      <c r="A37" s="516" t="s">
        <v>390</v>
      </c>
      <c r="B37" s="516" t="s">
        <v>391</v>
      </c>
      <c r="C37" s="516" t="s">
        <v>392</v>
      </c>
      <c r="D37" s="516" t="s">
        <v>393</v>
      </c>
      <c r="E37" s="511">
        <f t="shared" si="12"/>
        <v>97256631</v>
      </c>
      <c r="F37" s="510">
        <f>((96795900-6000000+6264431)+3553400+781700)-4138800</f>
        <v>97256631</v>
      </c>
      <c r="G37" s="372">
        <f>((52131100)+3553400)-2818800</f>
        <v>52865700</v>
      </c>
      <c r="H37" s="372">
        <f>10956900-4000000+6264431</f>
        <v>13221331</v>
      </c>
      <c r="I37" s="510"/>
      <c r="J37" s="511">
        <f t="shared" si="11"/>
        <v>12791259</v>
      </c>
      <c r="K37" s="510">
        <f>((8084200)+2479639+(335560))+1851860</f>
        <v>12751259</v>
      </c>
      <c r="L37" s="372">
        <f>((1501800)+823942)+709932</f>
        <v>3035674</v>
      </c>
      <c r="M37" s="372">
        <f>(4165000+(1011312))+401422</f>
        <v>5577734</v>
      </c>
      <c r="N37" s="510">
        <f>(O37+245800)+129760-(335560)</f>
        <v>40000</v>
      </c>
      <c r="O37" s="372"/>
      <c r="P37" s="511">
        <f t="shared" si="10"/>
        <v>110047890</v>
      </c>
    </row>
    <row r="38" spans="1:20" ht="130.69999999999999" customHeight="1" x14ac:dyDescent="0.2">
      <c r="A38" s="516" t="s">
        <v>395</v>
      </c>
      <c r="B38" s="516" t="s">
        <v>396</v>
      </c>
      <c r="C38" s="516" t="s">
        <v>397</v>
      </c>
      <c r="D38" s="516" t="s">
        <v>394</v>
      </c>
      <c r="E38" s="511">
        <f t="shared" si="12"/>
        <v>4275700</v>
      </c>
      <c r="F38" s="510">
        <f>((3952900)+63500+14000+65000+147000)+33300</f>
        <v>4275700</v>
      </c>
      <c r="G38" s="372">
        <f>((2696100)+63500)+5500</f>
        <v>2765100</v>
      </c>
      <c r="H38" s="372">
        <v>197300</v>
      </c>
      <c r="I38" s="510"/>
      <c r="J38" s="511">
        <f t="shared" si="11"/>
        <v>176450</v>
      </c>
      <c r="K38" s="510">
        <v>76000</v>
      </c>
      <c r="L38" s="372"/>
      <c r="M38" s="372"/>
      <c r="N38" s="510">
        <f t="shared" si="13"/>
        <v>100450</v>
      </c>
      <c r="O38" s="372">
        <f>(0)+100450</f>
        <v>100450</v>
      </c>
      <c r="P38" s="511">
        <f t="shared" si="10"/>
        <v>4452150</v>
      </c>
    </row>
    <row r="39" spans="1:20" ht="112.7" customHeight="1" x14ac:dyDescent="0.2">
      <c r="A39" s="516" t="s">
        <v>399</v>
      </c>
      <c r="B39" s="516" t="s">
        <v>400</v>
      </c>
      <c r="C39" s="516"/>
      <c r="D39" s="515" t="s">
        <v>398</v>
      </c>
      <c r="E39" s="511">
        <f t="shared" si="12"/>
        <v>14364100</v>
      </c>
      <c r="F39" s="510">
        <f>F40+F41</f>
        <v>14364100</v>
      </c>
      <c r="G39" s="372">
        <f>G40+G41</f>
        <v>10359000</v>
      </c>
      <c r="H39" s="372">
        <f t="shared" ref="H39" si="14">H40</f>
        <v>737377</v>
      </c>
      <c r="I39" s="510"/>
      <c r="J39" s="511">
        <f t="shared" si="11"/>
        <v>1299700</v>
      </c>
      <c r="K39" s="510">
        <f>K40</f>
        <v>500800</v>
      </c>
      <c r="L39" s="372">
        <f t="shared" ref="L39:M39" si="15">L40</f>
        <v>290200</v>
      </c>
      <c r="M39" s="372">
        <f t="shared" si="15"/>
        <v>24000</v>
      </c>
      <c r="N39" s="510">
        <f>N40</f>
        <v>798900</v>
      </c>
      <c r="O39" s="372">
        <f>O40</f>
        <v>798900</v>
      </c>
      <c r="P39" s="511">
        <f t="shared" si="10"/>
        <v>15663800</v>
      </c>
    </row>
    <row r="40" spans="1:20" s="196" customFormat="1" ht="139.69999999999999" customHeight="1" x14ac:dyDescent="0.2">
      <c r="A40" s="508" t="s">
        <v>656</v>
      </c>
      <c r="B40" s="508" t="s">
        <v>657</v>
      </c>
      <c r="C40" s="508" t="s">
        <v>397</v>
      </c>
      <c r="D40" s="508" t="s">
        <v>655</v>
      </c>
      <c r="E40" s="510">
        <f t="shared" si="12"/>
        <v>14196900</v>
      </c>
      <c r="F40" s="510">
        <f>((13719600)+342300+75300+20000+125900)-86200</f>
        <v>14196900</v>
      </c>
      <c r="G40" s="510">
        <f>(10016700)+342300</f>
        <v>10359000</v>
      </c>
      <c r="H40" s="510">
        <f>764800-(27423)</f>
        <v>737377</v>
      </c>
      <c r="I40" s="506"/>
      <c r="J40" s="510">
        <f t="shared" si="11"/>
        <v>1299700</v>
      </c>
      <c r="K40" s="510">
        <v>500800</v>
      </c>
      <c r="L40" s="510">
        <v>290200</v>
      </c>
      <c r="M40" s="510">
        <v>24000</v>
      </c>
      <c r="N40" s="510">
        <f t="shared" ref="N40" si="16">O40</f>
        <v>798900</v>
      </c>
      <c r="O40" s="506">
        <f>(48000)+750900</f>
        <v>798900</v>
      </c>
      <c r="P40" s="510">
        <f t="shared" si="10"/>
        <v>15496600</v>
      </c>
    </row>
    <row r="41" spans="1:20" s="196" customFormat="1" ht="124.5" customHeight="1" x14ac:dyDescent="0.2">
      <c r="A41" s="508" t="s">
        <v>697</v>
      </c>
      <c r="B41" s="508" t="s">
        <v>698</v>
      </c>
      <c r="C41" s="508" t="s">
        <v>397</v>
      </c>
      <c r="D41" s="509" t="s">
        <v>696</v>
      </c>
      <c r="E41" s="506">
        <f t="shared" si="12"/>
        <v>167200</v>
      </c>
      <c r="F41" s="506">
        <f>(140000+27200-27200)+27200</f>
        <v>167200</v>
      </c>
      <c r="G41" s="506"/>
      <c r="H41" s="506"/>
      <c r="I41" s="506"/>
      <c r="J41" s="510">
        <f t="shared" si="11"/>
        <v>0</v>
      </c>
      <c r="K41" s="506"/>
      <c r="L41" s="506"/>
      <c r="M41" s="506"/>
      <c r="N41" s="506"/>
      <c r="O41" s="506"/>
      <c r="P41" s="510">
        <f t="shared" si="10"/>
        <v>167200</v>
      </c>
    </row>
    <row r="42" spans="1:20" ht="46.5" x14ac:dyDescent="0.2">
      <c r="A42" s="516" t="s">
        <v>402</v>
      </c>
      <c r="B42" s="516" t="s">
        <v>403</v>
      </c>
      <c r="C42" s="516" t="s">
        <v>404</v>
      </c>
      <c r="D42" s="516" t="s">
        <v>99</v>
      </c>
      <c r="E42" s="511">
        <f>F42</f>
        <v>106000</v>
      </c>
      <c r="F42" s="510">
        <v>106000</v>
      </c>
      <c r="G42" s="372"/>
      <c r="H42" s="372"/>
      <c r="I42" s="510"/>
      <c r="J42" s="511">
        <f>K42+N42</f>
        <v>16433748</v>
      </c>
      <c r="K42" s="510"/>
      <c r="L42" s="372"/>
      <c r="M42" s="372"/>
      <c r="N42" s="510">
        <f>O42</f>
        <v>16433748</v>
      </c>
      <c r="O42" s="372">
        <f>(1191000+8287748-106000)+7061000</f>
        <v>16433748</v>
      </c>
      <c r="P42" s="511">
        <f>E42+J42</f>
        <v>16539748</v>
      </c>
    </row>
    <row r="43" spans="1:20" ht="135" x14ac:dyDescent="0.2">
      <c r="A43" s="529" t="s">
        <v>308</v>
      </c>
      <c r="B43" s="530"/>
      <c r="C43" s="530"/>
      <c r="D43" s="518" t="s">
        <v>53</v>
      </c>
      <c r="E43" s="525">
        <f>E44</f>
        <v>350075473</v>
      </c>
      <c r="F43" s="531">
        <f t="shared" ref="F43:P43" si="17">F44</f>
        <v>350075473</v>
      </c>
      <c r="G43" s="525">
        <f t="shared" si="17"/>
        <v>1567600</v>
      </c>
      <c r="H43" s="525">
        <f t="shared" si="17"/>
        <v>99700</v>
      </c>
      <c r="I43" s="531">
        <f t="shared" si="17"/>
        <v>0</v>
      </c>
      <c r="J43" s="525">
        <f t="shared" si="17"/>
        <v>44768973</v>
      </c>
      <c r="K43" s="531">
        <f t="shared" si="17"/>
        <v>16691169</v>
      </c>
      <c r="L43" s="525">
        <f t="shared" si="17"/>
        <v>0</v>
      </c>
      <c r="M43" s="525">
        <f t="shared" si="17"/>
        <v>0</v>
      </c>
      <c r="N43" s="531">
        <f t="shared" si="17"/>
        <v>28077804</v>
      </c>
      <c r="O43" s="525">
        <f t="shared" si="17"/>
        <v>27691255</v>
      </c>
      <c r="P43" s="525">
        <f t="shared" si="17"/>
        <v>394844446</v>
      </c>
    </row>
    <row r="44" spans="1:20" ht="135" x14ac:dyDescent="0.2">
      <c r="A44" s="517" t="s">
        <v>309</v>
      </c>
      <c r="B44" s="517"/>
      <c r="C44" s="517"/>
      <c r="D44" s="522" t="s">
        <v>91</v>
      </c>
      <c r="E44" s="523">
        <f>E45+E46+E47+E48+E54+E49+E51+E57</f>
        <v>350075473</v>
      </c>
      <c r="F44" s="524">
        <f>F45+F46+F47+F48+F54+F49+F51+F57</f>
        <v>350075473</v>
      </c>
      <c r="G44" s="523">
        <f>G45+G46+G47+G48+G54+G49+G51</f>
        <v>1567600</v>
      </c>
      <c r="H44" s="523">
        <f>H45+H46+H47+H48+H54+H49+H51</f>
        <v>99700</v>
      </c>
      <c r="I44" s="524">
        <v>0</v>
      </c>
      <c r="J44" s="523">
        <f t="shared" ref="J44:J57" si="18">K44+N44</f>
        <v>44768973</v>
      </c>
      <c r="K44" s="524">
        <f>K45+K46+K47+K48+K54+K49+K51+K57</f>
        <v>16691169</v>
      </c>
      <c r="L44" s="523">
        <f>L45+L46+L47+L48+L54+L49+L51</f>
        <v>0</v>
      </c>
      <c r="M44" s="523">
        <f>M45+M46+M47+M48+M54+M49+M51</f>
        <v>0</v>
      </c>
      <c r="N44" s="524">
        <f>N45+N46+N47+N48+N54+N49+N51+N57</f>
        <v>28077804</v>
      </c>
      <c r="O44" s="523">
        <f>O45+O46+O47+O48+O54+O49+O57</f>
        <v>27691255</v>
      </c>
      <c r="P44" s="523">
        <f t="shared" ref="P44:P57" si="19">E44+J44</f>
        <v>394844446</v>
      </c>
      <c r="Q44" s="228" t="b">
        <f>P44=P45+P46+P47+P48+P50+P52+P53+P55+P56+P57</f>
        <v>1</v>
      </c>
      <c r="R44" s="228" t="b">
        <f>O44=[1]dod5!J36</f>
        <v>1</v>
      </c>
    </row>
    <row r="45" spans="1:20" ht="91.5" x14ac:dyDescent="0.2">
      <c r="A45" s="516" t="s">
        <v>405</v>
      </c>
      <c r="B45" s="516" t="s">
        <v>401</v>
      </c>
      <c r="C45" s="516" t="s">
        <v>406</v>
      </c>
      <c r="D45" s="516" t="s">
        <v>55</v>
      </c>
      <c r="E45" s="511">
        <f>F45</f>
        <v>176481411</v>
      </c>
      <c r="F45" s="510">
        <f>((169809941+1000000+714000+50000)-714000+2474600-360000+3000000+160000+360000+1000000-(3120000))+2087870+19000</f>
        <v>176481411</v>
      </c>
      <c r="G45" s="372"/>
      <c r="H45" s="372"/>
      <c r="I45" s="510"/>
      <c r="J45" s="511">
        <f t="shared" si="18"/>
        <v>25953925</v>
      </c>
      <c r="K45" s="510">
        <v>5806250</v>
      </c>
      <c r="L45" s="372"/>
      <c r="M45" s="372"/>
      <c r="N45" s="510">
        <f>O45</f>
        <v>20147675</v>
      </c>
      <c r="O45" s="372">
        <f>(((4250000+1000000)+11650768-113-25620-12940+88000)+2678580)+400000+163000-44000</f>
        <v>20147675</v>
      </c>
      <c r="P45" s="511">
        <f t="shared" si="19"/>
        <v>202435336</v>
      </c>
    </row>
    <row r="46" spans="1:20" ht="137.25" x14ac:dyDescent="0.2">
      <c r="A46" s="516" t="s">
        <v>407</v>
      </c>
      <c r="B46" s="516" t="s">
        <v>408</v>
      </c>
      <c r="C46" s="516" t="s">
        <v>409</v>
      </c>
      <c r="D46" s="516" t="s">
        <v>410</v>
      </c>
      <c r="E46" s="511">
        <f t="shared" ref="E46:E57" si="20">F46</f>
        <v>53951300</v>
      </c>
      <c r="F46" s="510">
        <f>((53366300+320000)+115000)+150000</f>
        <v>53951300</v>
      </c>
      <c r="G46" s="372"/>
      <c r="H46" s="372"/>
      <c r="I46" s="510"/>
      <c r="J46" s="511">
        <f t="shared" si="18"/>
        <v>1720650</v>
      </c>
      <c r="K46" s="510">
        <f>((852000)-30000)-11549</f>
        <v>810451</v>
      </c>
      <c r="L46" s="372"/>
      <c r="M46" s="372"/>
      <c r="N46" s="510">
        <f>((O46)+30000)+11549</f>
        <v>910199</v>
      </c>
      <c r="O46" s="372">
        <f>(597150)+181500+90000</f>
        <v>868650</v>
      </c>
      <c r="P46" s="511">
        <f t="shared" si="19"/>
        <v>55671950</v>
      </c>
    </row>
    <row r="47" spans="1:20" ht="137.25" x14ac:dyDescent="0.2">
      <c r="A47" s="516" t="s">
        <v>411</v>
      </c>
      <c r="B47" s="516" t="s">
        <v>412</v>
      </c>
      <c r="C47" s="516" t="s">
        <v>413</v>
      </c>
      <c r="D47" s="516" t="s">
        <v>729</v>
      </c>
      <c r="E47" s="511">
        <f t="shared" si="20"/>
        <v>54131886</v>
      </c>
      <c r="F47" s="510">
        <f>((53234500+5881200)-5881200+502148-12148)+407386</f>
        <v>54131886</v>
      </c>
      <c r="G47" s="372"/>
      <c r="H47" s="372"/>
      <c r="I47" s="510"/>
      <c r="J47" s="511">
        <f t="shared" si="18"/>
        <v>8064761</v>
      </c>
      <c r="K47" s="510">
        <f>((5312168)-249000)-26000</f>
        <v>5037168</v>
      </c>
      <c r="L47" s="372"/>
      <c r="M47" s="372"/>
      <c r="N47" s="510">
        <f>((O47)+249000)+26000</f>
        <v>3027593</v>
      </c>
      <c r="O47" s="372">
        <f>(1617460+12148+22000)+1100985</f>
        <v>2752593</v>
      </c>
      <c r="P47" s="511">
        <f t="shared" si="19"/>
        <v>62196647</v>
      </c>
    </row>
    <row r="48" spans="1:20" ht="91.5" x14ac:dyDescent="0.2">
      <c r="A48" s="516" t="s">
        <v>414</v>
      </c>
      <c r="B48" s="516" t="s">
        <v>415</v>
      </c>
      <c r="C48" s="516" t="s">
        <v>416</v>
      </c>
      <c r="D48" s="516" t="s">
        <v>417</v>
      </c>
      <c r="E48" s="511">
        <f t="shared" si="20"/>
        <v>9470400</v>
      </c>
      <c r="F48" s="510">
        <f>((9008400+22000)-160000)+600000</f>
        <v>9470400</v>
      </c>
      <c r="G48" s="372"/>
      <c r="H48" s="372"/>
      <c r="I48" s="510"/>
      <c r="J48" s="511">
        <f t="shared" si="18"/>
        <v>5210400</v>
      </c>
      <c r="K48" s="510">
        <f>(5000400)-70000</f>
        <v>4930400</v>
      </c>
      <c r="L48" s="372"/>
      <c r="M48" s="372"/>
      <c r="N48" s="510">
        <f>O48+70000</f>
        <v>280000</v>
      </c>
      <c r="O48" s="372">
        <f>(89000)+121000</f>
        <v>210000</v>
      </c>
      <c r="P48" s="511">
        <f t="shared" si="19"/>
        <v>14680800</v>
      </c>
    </row>
    <row r="49" spans="1:22" ht="91.5" x14ac:dyDescent="0.2">
      <c r="A49" s="516" t="s">
        <v>418</v>
      </c>
      <c r="B49" s="516" t="s">
        <v>419</v>
      </c>
      <c r="C49" s="516"/>
      <c r="D49" s="516" t="s">
        <v>730</v>
      </c>
      <c r="E49" s="511">
        <f t="shared" si="20"/>
        <v>36734176</v>
      </c>
      <c r="F49" s="510">
        <f>F50</f>
        <v>36734176</v>
      </c>
      <c r="G49" s="372"/>
      <c r="H49" s="372"/>
      <c r="I49" s="510"/>
      <c r="J49" s="511">
        <f t="shared" si="18"/>
        <v>2374000</v>
      </c>
      <c r="K49" s="510">
        <f>K50</f>
        <v>86500</v>
      </c>
      <c r="L49" s="372"/>
      <c r="M49" s="372"/>
      <c r="N49" s="510">
        <f t="shared" ref="N49:N50" si="21">O49</f>
        <v>2287500</v>
      </c>
      <c r="O49" s="372">
        <f>O50</f>
        <v>2287500</v>
      </c>
      <c r="P49" s="511">
        <f t="shared" si="19"/>
        <v>39108176</v>
      </c>
    </row>
    <row r="50" spans="1:22" ht="183" x14ac:dyDescent="0.2">
      <c r="A50" s="509" t="s">
        <v>420</v>
      </c>
      <c r="B50" s="508" t="s">
        <v>421</v>
      </c>
      <c r="C50" s="508" t="s">
        <v>731</v>
      </c>
      <c r="D50" s="509" t="s">
        <v>422</v>
      </c>
      <c r="E50" s="510">
        <f t="shared" si="20"/>
        <v>36734176</v>
      </c>
      <c r="F50" s="510">
        <f>((6889600+25900000+340000+4561100+2835500)-2835500+70200+(1780000))-2806724</f>
        <v>36734176</v>
      </c>
      <c r="G50" s="510"/>
      <c r="H50" s="510"/>
      <c r="I50" s="510"/>
      <c r="J50" s="510">
        <f t="shared" si="18"/>
        <v>2374000</v>
      </c>
      <c r="K50" s="510">
        <v>86500</v>
      </c>
      <c r="L50" s="510"/>
      <c r="M50" s="510"/>
      <c r="N50" s="510">
        <f t="shared" si="21"/>
        <v>2287500</v>
      </c>
      <c r="O50" s="372">
        <f>((540000+1000000)+715000)+32500</f>
        <v>2287500</v>
      </c>
      <c r="P50" s="510">
        <f t="shared" si="19"/>
        <v>39108176</v>
      </c>
    </row>
    <row r="51" spans="1:22" ht="91.5" x14ac:dyDescent="0.2">
      <c r="A51" s="516" t="s">
        <v>782</v>
      </c>
      <c r="B51" s="515" t="s">
        <v>783</v>
      </c>
      <c r="C51" s="515"/>
      <c r="D51" s="515" t="s">
        <v>784</v>
      </c>
      <c r="E51" s="511">
        <f t="shared" si="20"/>
        <v>16621600</v>
      </c>
      <c r="F51" s="510">
        <f>SUM(F52:F53)</f>
        <v>16621600</v>
      </c>
      <c r="G51" s="372">
        <f t="shared" ref="G51:H51" si="22">SUM(G52:G53)</f>
        <v>0</v>
      </c>
      <c r="H51" s="372">
        <f t="shared" si="22"/>
        <v>0</v>
      </c>
      <c r="I51" s="510"/>
      <c r="J51" s="511">
        <f t="shared" si="18"/>
        <v>0</v>
      </c>
      <c r="K51" s="510">
        <f>SUM(K52:K53)</f>
        <v>0</v>
      </c>
      <c r="L51" s="372">
        <f t="shared" ref="L51:M51" si="23">SUM(L52:L53)</f>
        <v>0</v>
      </c>
      <c r="M51" s="372">
        <f t="shared" si="23"/>
        <v>0</v>
      </c>
      <c r="N51" s="510">
        <f>SUM(N52:N53)</f>
        <v>0</v>
      </c>
      <c r="O51" s="372"/>
      <c r="P51" s="511">
        <f t="shared" si="19"/>
        <v>16621600</v>
      </c>
    </row>
    <row r="52" spans="1:22" ht="137.25" x14ac:dyDescent="0.2">
      <c r="A52" s="509" t="s">
        <v>785</v>
      </c>
      <c r="B52" s="509" t="s">
        <v>786</v>
      </c>
      <c r="C52" s="515" t="s">
        <v>425</v>
      </c>
      <c r="D52" s="432" t="s">
        <v>787</v>
      </c>
      <c r="E52" s="510">
        <f t="shared" si="20"/>
        <v>10295900</v>
      </c>
      <c r="F52" s="510">
        <f>(6595200+(1340000))+2360700</f>
        <v>10295900</v>
      </c>
      <c r="G52" s="510"/>
      <c r="H52" s="510"/>
      <c r="I52" s="510"/>
      <c r="J52" s="510">
        <f t="shared" si="18"/>
        <v>0</v>
      </c>
      <c r="K52" s="510"/>
      <c r="L52" s="510"/>
      <c r="M52" s="510"/>
      <c r="N52" s="510">
        <f t="shared" ref="N52:N53" si="24">O52</f>
        <v>0</v>
      </c>
      <c r="O52" s="510"/>
      <c r="P52" s="510">
        <f t="shared" si="19"/>
        <v>10295900</v>
      </c>
    </row>
    <row r="53" spans="1:22" ht="137.25" x14ac:dyDescent="0.2">
      <c r="A53" s="509" t="s">
        <v>790</v>
      </c>
      <c r="B53" s="509" t="s">
        <v>789</v>
      </c>
      <c r="C53" s="515" t="s">
        <v>425</v>
      </c>
      <c r="D53" s="432" t="s">
        <v>788</v>
      </c>
      <c r="E53" s="510">
        <f t="shared" si="20"/>
        <v>6325700</v>
      </c>
      <c r="F53" s="510">
        <f>2835500+(3490200)</f>
        <v>6325700</v>
      </c>
      <c r="G53" s="510"/>
      <c r="H53" s="510"/>
      <c r="I53" s="510"/>
      <c r="J53" s="510">
        <f t="shared" si="18"/>
        <v>0</v>
      </c>
      <c r="K53" s="510"/>
      <c r="L53" s="510"/>
      <c r="M53" s="510"/>
      <c r="N53" s="510">
        <f t="shared" si="24"/>
        <v>0</v>
      </c>
      <c r="O53" s="510"/>
      <c r="P53" s="510">
        <f t="shared" si="19"/>
        <v>6325700</v>
      </c>
    </row>
    <row r="54" spans="1:22" ht="91.5" customHeight="1" x14ac:dyDescent="0.2">
      <c r="A54" s="516" t="s">
        <v>423</v>
      </c>
      <c r="B54" s="515" t="s">
        <v>424</v>
      </c>
      <c r="C54" s="515"/>
      <c r="D54" s="515" t="s">
        <v>426</v>
      </c>
      <c r="E54" s="511">
        <f t="shared" si="20"/>
        <v>2500300</v>
      </c>
      <c r="F54" s="510">
        <f>SUM(F55:F56)</f>
        <v>2500300</v>
      </c>
      <c r="G54" s="372">
        <f t="shared" ref="G54:H54" si="25">SUM(G55:G56)</f>
        <v>1567600</v>
      </c>
      <c r="H54" s="372">
        <f t="shared" si="25"/>
        <v>99700</v>
      </c>
      <c r="I54" s="510"/>
      <c r="J54" s="511">
        <f t="shared" si="18"/>
        <v>22800</v>
      </c>
      <c r="K54" s="510">
        <f>SUM(K55:K56)</f>
        <v>20400</v>
      </c>
      <c r="L54" s="372">
        <f t="shared" ref="L54:M54" si="26">SUM(L55:L56)</f>
        <v>0</v>
      </c>
      <c r="M54" s="372">
        <f t="shared" si="26"/>
        <v>0</v>
      </c>
      <c r="N54" s="510">
        <f>SUM(N55:N56)</f>
        <v>2400</v>
      </c>
      <c r="O54" s="510">
        <f>SUM(O55:O56)</f>
        <v>2400</v>
      </c>
      <c r="P54" s="511">
        <f t="shared" si="19"/>
        <v>2523100</v>
      </c>
    </row>
    <row r="55" spans="1:22" s="196" customFormat="1" ht="91.5" x14ac:dyDescent="0.2">
      <c r="A55" s="509" t="s">
        <v>660</v>
      </c>
      <c r="B55" s="509" t="s">
        <v>662</v>
      </c>
      <c r="C55" s="508" t="s">
        <v>425</v>
      </c>
      <c r="D55" s="432" t="s">
        <v>658</v>
      </c>
      <c r="E55" s="510">
        <f t="shared" si="20"/>
        <v>2200300</v>
      </c>
      <c r="F55" s="510">
        <f>((2459300-300000)+11000+10000)+20000</f>
        <v>2200300</v>
      </c>
      <c r="G55" s="510">
        <v>1567600</v>
      </c>
      <c r="H55" s="510">
        <v>99700</v>
      </c>
      <c r="I55" s="510"/>
      <c r="J55" s="510">
        <f t="shared" si="18"/>
        <v>22800</v>
      </c>
      <c r="K55" s="510">
        <v>20400</v>
      </c>
      <c r="L55" s="510"/>
      <c r="M55" s="510"/>
      <c r="N55" s="510">
        <f t="shared" ref="N55:N56" si="27">O55</f>
        <v>2400</v>
      </c>
      <c r="O55" s="510">
        <f>(30000-10000)-17600</f>
        <v>2400</v>
      </c>
      <c r="P55" s="510">
        <f t="shared" si="19"/>
        <v>2223100</v>
      </c>
    </row>
    <row r="56" spans="1:22" s="196" customFormat="1" ht="91.5" x14ac:dyDescent="0.2">
      <c r="A56" s="509" t="s">
        <v>661</v>
      </c>
      <c r="B56" s="509" t="s">
        <v>663</v>
      </c>
      <c r="C56" s="508" t="s">
        <v>425</v>
      </c>
      <c r="D56" s="432" t="s">
        <v>659</v>
      </c>
      <c r="E56" s="510">
        <f t="shared" si="20"/>
        <v>300000</v>
      </c>
      <c r="F56" s="510">
        <v>300000</v>
      </c>
      <c r="G56" s="510"/>
      <c r="H56" s="510"/>
      <c r="I56" s="510"/>
      <c r="J56" s="510">
        <f t="shared" si="18"/>
        <v>0</v>
      </c>
      <c r="K56" s="510"/>
      <c r="L56" s="510"/>
      <c r="M56" s="510"/>
      <c r="N56" s="510">
        <f t="shared" si="27"/>
        <v>0</v>
      </c>
      <c r="O56" s="510"/>
      <c r="P56" s="510">
        <f t="shared" si="19"/>
        <v>300000</v>
      </c>
    </row>
    <row r="57" spans="1:22" ht="91.5" x14ac:dyDescent="0.2">
      <c r="A57" s="516" t="s">
        <v>798</v>
      </c>
      <c r="B57" s="515" t="s">
        <v>799</v>
      </c>
      <c r="C57" s="515" t="s">
        <v>103</v>
      </c>
      <c r="D57" s="515" t="s">
        <v>800</v>
      </c>
      <c r="E57" s="511">
        <f t="shared" si="20"/>
        <v>184400</v>
      </c>
      <c r="F57" s="510">
        <f>(0)+184400</f>
        <v>184400</v>
      </c>
      <c r="G57" s="372"/>
      <c r="H57" s="372"/>
      <c r="I57" s="510"/>
      <c r="J57" s="511">
        <f t="shared" si="18"/>
        <v>1422437</v>
      </c>
      <c r="K57" s="510"/>
      <c r="L57" s="372"/>
      <c r="M57" s="372"/>
      <c r="N57" s="510">
        <f>O57</f>
        <v>1422437</v>
      </c>
      <c r="O57" s="372">
        <f>(452800)+921000+48637</f>
        <v>1422437</v>
      </c>
      <c r="P57" s="511">
        <f t="shared" si="19"/>
        <v>1606837</v>
      </c>
    </row>
    <row r="58" spans="1:22" ht="180" x14ac:dyDescent="0.2">
      <c r="A58" s="517" t="s">
        <v>310</v>
      </c>
      <c r="B58" s="517"/>
      <c r="C58" s="517"/>
      <c r="D58" s="518" t="s">
        <v>92</v>
      </c>
      <c r="E58" s="524">
        <f>E59</f>
        <v>987481959</v>
      </c>
      <c r="F58" s="524">
        <f>F59</f>
        <v>987481959</v>
      </c>
      <c r="G58" s="524">
        <f>G59</f>
        <v>14120200</v>
      </c>
      <c r="H58" s="524">
        <f t="shared" ref="H58:O58" si="28">H59</f>
        <v>881300</v>
      </c>
      <c r="I58" s="524">
        <f t="shared" si="28"/>
        <v>0</v>
      </c>
      <c r="J58" s="524">
        <f t="shared" si="28"/>
        <v>10900222.629999999</v>
      </c>
      <c r="K58" s="524">
        <f t="shared" si="28"/>
        <v>94000</v>
      </c>
      <c r="L58" s="524">
        <f t="shared" si="28"/>
        <v>50000</v>
      </c>
      <c r="M58" s="524">
        <f t="shared" si="28"/>
        <v>4000</v>
      </c>
      <c r="N58" s="524">
        <f t="shared" si="28"/>
        <v>10806222.629999999</v>
      </c>
      <c r="O58" s="523">
        <f t="shared" si="28"/>
        <v>10806222.629999999</v>
      </c>
      <c r="P58" s="523">
        <f>P59</f>
        <v>998382181.63</v>
      </c>
    </row>
    <row r="59" spans="1:22" ht="180" x14ac:dyDescent="0.2">
      <c r="A59" s="521" t="s">
        <v>311</v>
      </c>
      <c r="B59" s="521"/>
      <c r="C59" s="521"/>
      <c r="D59" s="522" t="s">
        <v>93</v>
      </c>
      <c r="E59" s="523">
        <f>E97+E89+E105+E92+E72+E81+E66+E60+E63+E103+E80+E88+E93+E96</f>
        <v>987481959</v>
      </c>
      <c r="F59" s="524">
        <f>F97+F89+F105+F92+F72+F81+F66+F60+F63+F103+F80+F88+F93+F96</f>
        <v>987481959</v>
      </c>
      <c r="G59" s="523">
        <f>G97+G89+G105+G92+G72+G81+G66+G60+G63+G103+G80+G88</f>
        <v>14120200</v>
      </c>
      <c r="H59" s="523">
        <f>H97+H89+H105+H92+H72+H81+H66+H60+H63+H103+H80+H88</f>
        <v>881300</v>
      </c>
      <c r="I59" s="524">
        <v>0</v>
      </c>
      <c r="J59" s="523">
        <f t="shared" ref="J59:J66" si="29">K59+N59</f>
        <v>10900222.629999999</v>
      </c>
      <c r="K59" s="524">
        <f>K97+K89+K105+K92+K72+K81+K66+K60+K63+K103+K80+K88+K108+K99</f>
        <v>94000</v>
      </c>
      <c r="L59" s="523">
        <f>L97+L89+L105+L92+L72+L81+L66+L60+L63+L103+L80+L88</f>
        <v>50000</v>
      </c>
      <c r="M59" s="523">
        <f>M97+M89+M105+M92+M72+M81+M66+M60+M63+M103+M80+M88</f>
        <v>4000</v>
      </c>
      <c r="N59" s="524">
        <f>N97+N89+N105+N92+N72+N81+N66+N60+N63+N103+N80+N88+N108+N99</f>
        <v>10806222.629999999</v>
      </c>
      <c r="O59" s="523">
        <f>O97+O89+O105+O92+O72+O81+O66+O60+O63+O103+O80+O88+O108+O99</f>
        <v>10806222.629999999</v>
      </c>
      <c r="P59" s="523">
        <f t="shared" ref="P59:P66" si="30">E59+J59</f>
        <v>998382181.63</v>
      </c>
      <c r="Q59" s="251" t="b">
        <f>P59=P61+P62+P64+P65+P67+P68+P69+P70+P71+P73+P74+P75+P76+P77+P78+P79+P80+P83+P84+P85+P86+P87+P88+P90+P91+P92+P94+P95+P96+P98+P100+P103+P106+P107+P109</f>
        <v>1</v>
      </c>
      <c r="R59" s="253" t="b">
        <f>O59=[1]dod5!J54</f>
        <v>1</v>
      </c>
      <c r="S59" s="252"/>
      <c r="T59" s="251"/>
      <c r="U59" s="252"/>
      <c r="V59" s="252"/>
    </row>
    <row r="60" spans="1:22" ht="320.25" x14ac:dyDescent="0.2">
      <c r="A60" s="515" t="s">
        <v>451</v>
      </c>
      <c r="B60" s="515" t="s">
        <v>452</v>
      </c>
      <c r="C60" s="515"/>
      <c r="D60" s="515" t="s">
        <v>14</v>
      </c>
      <c r="E60" s="511">
        <f t="shared" ref="E60:E66" si="31">F60</f>
        <v>523967300</v>
      </c>
      <c r="F60" s="510">
        <f>F61+F62</f>
        <v>523967300</v>
      </c>
      <c r="G60" s="372">
        <f>G61+G62</f>
        <v>0</v>
      </c>
      <c r="H60" s="372">
        <f>H61+H62</f>
        <v>0</v>
      </c>
      <c r="I60" s="510">
        <f>I61+I62</f>
        <v>0</v>
      </c>
      <c r="J60" s="511">
        <f t="shared" si="29"/>
        <v>0</v>
      </c>
      <c r="K60" s="510">
        <f>K61+K62</f>
        <v>0</v>
      </c>
      <c r="L60" s="372">
        <f>L61+L62</f>
        <v>0</v>
      </c>
      <c r="M60" s="372">
        <f>M61+M62</f>
        <v>0</v>
      </c>
      <c r="N60" s="510">
        <f>N61+N62</f>
        <v>0</v>
      </c>
      <c r="O60" s="372">
        <f>O61+O62</f>
        <v>0</v>
      </c>
      <c r="P60" s="511">
        <f t="shared" si="30"/>
        <v>523967300</v>
      </c>
    </row>
    <row r="61" spans="1:22" ht="183" x14ac:dyDescent="0.2">
      <c r="A61" s="508" t="s">
        <v>453</v>
      </c>
      <c r="B61" s="508" t="s">
        <v>454</v>
      </c>
      <c r="C61" s="508" t="s">
        <v>385</v>
      </c>
      <c r="D61" s="433" t="s">
        <v>450</v>
      </c>
      <c r="E61" s="506">
        <f t="shared" si="31"/>
        <v>57500000</v>
      </c>
      <c r="F61" s="506">
        <v>57500000</v>
      </c>
      <c r="G61" s="506"/>
      <c r="H61" s="506"/>
      <c r="I61" s="506"/>
      <c r="J61" s="506">
        <f t="shared" si="29"/>
        <v>0</v>
      </c>
      <c r="K61" s="506"/>
      <c r="L61" s="506"/>
      <c r="M61" s="506"/>
      <c r="N61" s="506">
        <f>O61</f>
        <v>0</v>
      </c>
      <c r="O61" s="230"/>
      <c r="P61" s="506">
        <f t="shared" si="30"/>
        <v>57500000</v>
      </c>
    </row>
    <row r="62" spans="1:22" ht="183" x14ac:dyDescent="0.2">
      <c r="A62" s="434" t="s">
        <v>476</v>
      </c>
      <c r="B62" s="508" t="s">
        <v>477</v>
      </c>
      <c r="C62" s="508" t="s">
        <v>117</v>
      </c>
      <c r="D62" s="509" t="s">
        <v>15</v>
      </c>
      <c r="E62" s="185">
        <f t="shared" si="31"/>
        <v>466467300</v>
      </c>
      <c r="F62" s="510">
        <v>466467300</v>
      </c>
      <c r="G62" s="510"/>
      <c r="H62" s="510"/>
      <c r="I62" s="510"/>
      <c r="J62" s="506">
        <f t="shared" si="29"/>
        <v>0</v>
      </c>
      <c r="K62" s="510"/>
      <c r="L62" s="510"/>
      <c r="M62" s="510"/>
      <c r="N62" s="510">
        <f>O62</f>
        <v>0</v>
      </c>
      <c r="O62" s="510"/>
      <c r="P62" s="510">
        <f t="shared" si="30"/>
        <v>466467300</v>
      </c>
    </row>
    <row r="63" spans="1:22" ht="228.75" x14ac:dyDescent="0.2">
      <c r="A63" s="516" t="s">
        <v>478</v>
      </c>
      <c r="B63" s="516" t="s">
        <v>479</v>
      </c>
      <c r="C63" s="509"/>
      <c r="D63" s="516" t="s">
        <v>16</v>
      </c>
      <c r="E63" s="511">
        <f t="shared" si="31"/>
        <v>60000</v>
      </c>
      <c r="F63" s="511">
        <f>F64+F65</f>
        <v>60000</v>
      </c>
      <c r="G63" s="372">
        <f>G64+G65</f>
        <v>0</v>
      </c>
      <c r="H63" s="372">
        <f>H64+H65</f>
        <v>0</v>
      </c>
      <c r="I63" s="372">
        <f>I64+I65</f>
        <v>0</v>
      </c>
      <c r="J63" s="511">
        <f t="shared" si="29"/>
        <v>0</v>
      </c>
      <c r="K63" s="372">
        <f>K64+K65</f>
        <v>0</v>
      </c>
      <c r="L63" s="372">
        <f>L64+L65</f>
        <v>0</v>
      </c>
      <c r="M63" s="372">
        <f>M64+M65</f>
        <v>0</v>
      </c>
      <c r="N63" s="372">
        <f>N64+N65</f>
        <v>0</v>
      </c>
      <c r="O63" s="372">
        <f>O64+O65</f>
        <v>0</v>
      </c>
      <c r="P63" s="511">
        <f t="shared" si="30"/>
        <v>60000</v>
      </c>
    </row>
    <row r="64" spans="1:22" ht="274.5" x14ac:dyDescent="0.2">
      <c r="A64" s="509" t="s">
        <v>481</v>
      </c>
      <c r="B64" s="509" t="s">
        <v>482</v>
      </c>
      <c r="C64" s="509" t="s">
        <v>385</v>
      </c>
      <c r="D64" s="435" t="s">
        <v>480</v>
      </c>
      <c r="E64" s="506">
        <f t="shared" si="31"/>
        <v>2000</v>
      </c>
      <c r="F64" s="506">
        <v>2000</v>
      </c>
      <c r="G64" s="506"/>
      <c r="H64" s="506"/>
      <c r="I64" s="506"/>
      <c r="J64" s="506">
        <f t="shared" si="29"/>
        <v>0</v>
      </c>
      <c r="K64" s="506"/>
      <c r="L64" s="506"/>
      <c r="M64" s="506"/>
      <c r="N64" s="506">
        <f>O64</f>
        <v>0</v>
      </c>
      <c r="O64" s="230"/>
      <c r="P64" s="506">
        <f t="shared" si="30"/>
        <v>2000</v>
      </c>
    </row>
    <row r="65" spans="1:16" ht="228.75" x14ac:dyDescent="0.2">
      <c r="A65" s="509" t="s">
        <v>483</v>
      </c>
      <c r="B65" s="509" t="s">
        <v>484</v>
      </c>
      <c r="C65" s="435">
        <v>1060</v>
      </c>
      <c r="D65" s="436" t="s">
        <v>27</v>
      </c>
      <c r="E65" s="510">
        <f t="shared" si="31"/>
        <v>58000</v>
      </c>
      <c r="F65" s="510">
        <f>56400+1600</f>
        <v>58000</v>
      </c>
      <c r="G65" s="510"/>
      <c r="H65" s="510"/>
      <c r="I65" s="510"/>
      <c r="J65" s="510">
        <f t="shared" si="29"/>
        <v>0</v>
      </c>
      <c r="K65" s="510"/>
      <c r="L65" s="510"/>
      <c r="M65" s="510"/>
      <c r="N65" s="510">
        <f>O65</f>
        <v>0</v>
      </c>
      <c r="O65" s="372"/>
      <c r="P65" s="510">
        <f t="shared" si="30"/>
        <v>58000</v>
      </c>
    </row>
    <row r="66" spans="1:16" ht="274.5" x14ac:dyDescent="0.2">
      <c r="A66" s="515" t="s">
        <v>514</v>
      </c>
      <c r="B66" s="515" t="s">
        <v>515</v>
      </c>
      <c r="C66" s="515"/>
      <c r="D66" s="437" t="s">
        <v>513</v>
      </c>
      <c r="E66" s="507">
        <f t="shared" si="31"/>
        <v>73462930</v>
      </c>
      <c r="F66" s="506">
        <f>F67+F68+F69+F70+F71</f>
        <v>73462930</v>
      </c>
      <c r="G66" s="230">
        <f>G67+G68+G69+G70+G71</f>
        <v>0</v>
      </c>
      <c r="H66" s="230">
        <f>H67+H68+H69+H70+H71</f>
        <v>0</v>
      </c>
      <c r="I66" s="506">
        <f>I67+I68+I69+I70+I71</f>
        <v>0</v>
      </c>
      <c r="J66" s="507">
        <f t="shared" si="29"/>
        <v>100000</v>
      </c>
      <c r="K66" s="506">
        <f>K67+K68+K69+K70+K71</f>
        <v>0</v>
      </c>
      <c r="L66" s="230">
        <f>L67+L68+L69+L70+L71</f>
        <v>0</v>
      </c>
      <c r="M66" s="230">
        <f>M67+M68+M69+M70+M71</f>
        <v>0</v>
      </c>
      <c r="N66" s="506">
        <f>N67+N68+N69+N70+N71</f>
        <v>100000</v>
      </c>
      <c r="O66" s="230">
        <f>O67+O68+O69+O70+O71</f>
        <v>100000</v>
      </c>
      <c r="P66" s="507">
        <f t="shared" si="30"/>
        <v>73562930</v>
      </c>
    </row>
    <row r="67" spans="1:16" s="196" customFormat="1" ht="137.25" x14ac:dyDescent="0.2">
      <c r="A67" s="508" t="s">
        <v>516</v>
      </c>
      <c r="B67" s="508" t="s">
        <v>517</v>
      </c>
      <c r="C67" s="508" t="s">
        <v>385</v>
      </c>
      <c r="D67" s="438" t="s">
        <v>518</v>
      </c>
      <c r="E67" s="506">
        <f>F67</f>
        <v>315130</v>
      </c>
      <c r="F67" s="506">
        <v>315130</v>
      </c>
      <c r="G67" s="506"/>
      <c r="H67" s="506"/>
      <c r="I67" s="506"/>
      <c r="J67" s="506">
        <f>K67+N67</f>
        <v>100000</v>
      </c>
      <c r="K67" s="506"/>
      <c r="L67" s="506"/>
      <c r="M67" s="506"/>
      <c r="N67" s="506">
        <f>O67</f>
        <v>100000</v>
      </c>
      <c r="O67" s="506">
        <v>100000</v>
      </c>
      <c r="P67" s="506">
        <f>E67+J67</f>
        <v>415130</v>
      </c>
    </row>
    <row r="68" spans="1:16" s="196" customFormat="1" ht="137.25" x14ac:dyDescent="0.2">
      <c r="A68" s="509" t="s">
        <v>519</v>
      </c>
      <c r="B68" s="509" t="s">
        <v>520</v>
      </c>
      <c r="C68" s="509" t="s">
        <v>386</v>
      </c>
      <c r="D68" s="509" t="s">
        <v>24</v>
      </c>
      <c r="E68" s="510">
        <f t="shared" ref="E68:E109" si="32">F68</f>
        <v>1550000</v>
      </c>
      <c r="F68" s="510">
        <f>(1750000)-200000</f>
        <v>1550000</v>
      </c>
      <c r="G68" s="510"/>
      <c r="H68" s="510"/>
      <c r="I68" s="510"/>
      <c r="J68" s="510">
        <f t="shared" ref="J68:J109" si="33">K68+N68</f>
        <v>0</v>
      </c>
      <c r="K68" s="510"/>
      <c r="L68" s="510"/>
      <c r="M68" s="510"/>
      <c r="N68" s="510">
        <f>O68</f>
        <v>0</v>
      </c>
      <c r="O68" s="510"/>
      <c r="P68" s="510">
        <f t="shared" ref="P68:P91" si="34">E68+J68</f>
        <v>1550000</v>
      </c>
    </row>
    <row r="69" spans="1:16" s="196" customFormat="1" ht="183" x14ac:dyDescent="0.2">
      <c r="A69" s="509" t="s">
        <v>522</v>
      </c>
      <c r="B69" s="509" t="s">
        <v>523</v>
      </c>
      <c r="C69" s="509" t="s">
        <v>386</v>
      </c>
      <c r="D69" s="508" t="s">
        <v>25</v>
      </c>
      <c r="E69" s="510">
        <f t="shared" si="32"/>
        <v>5000000</v>
      </c>
      <c r="F69" s="510">
        <v>5000000</v>
      </c>
      <c r="G69" s="510"/>
      <c r="H69" s="510"/>
      <c r="I69" s="510"/>
      <c r="J69" s="510">
        <f t="shared" si="33"/>
        <v>0</v>
      </c>
      <c r="K69" s="510"/>
      <c r="L69" s="510"/>
      <c r="M69" s="510"/>
      <c r="N69" s="510">
        <f>O69</f>
        <v>0</v>
      </c>
      <c r="O69" s="510"/>
      <c r="P69" s="510">
        <f t="shared" si="34"/>
        <v>5000000</v>
      </c>
    </row>
    <row r="70" spans="1:16" s="196" customFormat="1" ht="183" x14ac:dyDescent="0.2">
      <c r="A70" s="508" t="s">
        <v>524</v>
      </c>
      <c r="B70" s="508" t="s">
        <v>521</v>
      </c>
      <c r="C70" s="508" t="s">
        <v>386</v>
      </c>
      <c r="D70" s="508" t="s">
        <v>26</v>
      </c>
      <c r="E70" s="510">
        <f t="shared" si="32"/>
        <v>400000</v>
      </c>
      <c r="F70" s="510">
        <v>400000</v>
      </c>
      <c r="G70" s="510"/>
      <c r="H70" s="510"/>
      <c r="I70" s="510"/>
      <c r="J70" s="510">
        <f t="shared" si="33"/>
        <v>0</v>
      </c>
      <c r="K70" s="510"/>
      <c r="L70" s="510"/>
      <c r="M70" s="510"/>
      <c r="N70" s="510">
        <f>O70</f>
        <v>0</v>
      </c>
      <c r="O70" s="510"/>
      <c r="P70" s="510">
        <f t="shared" si="34"/>
        <v>400000</v>
      </c>
    </row>
    <row r="71" spans="1:16" s="196" customFormat="1" ht="183" x14ac:dyDescent="0.2">
      <c r="A71" s="508" t="s">
        <v>525</v>
      </c>
      <c r="B71" s="508" t="s">
        <v>526</v>
      </c>
      <c r="C71" s="508" t="s">
        <v>386</v>
      </c>
      <c r="D71" s="508" t="s">
        <v>31</v>
      </c>
      <c r="E71" s="510">
        <f t="shared" si="32"/>
        <v>66197800</v>
      </c>
      <c r="F71" s="510">
        <f>(59197800)+7000000</f>
        <v>66197800</v>
      </c>
      <c r="G71" s="510"/>
      <c r="H71" s="510"/>
      <c r="I71" s="510"/>
      <c r="J71" s="510">
        <f t="shared" si="33"/>
        <v>0</v>
      </c>
      <c r="K71" s="510"/>
      <c r="L71" s="510"/>
      <c r="M71" s="510"/>
      <c r="N71" s="510">
        <f>O71</f>
        <v>0</v>
      </c>
      <c r="O71" s="510"/>
      <c r="P71" s="510">
        <f t="shared" si="34"/>
        <v>66197800</v>
      </c>
    </row>
    <row r="72" spans="1:16" ht="183" x14ac:dyDescent="0.2">
      <c r="A72" s="516" t="s">
        <v>455</v>
      </c>
      <c r="B72" s="516" t="s">
        <v>456</v>
      </c>
      <c r="C72" s="516"/>
      <c r="D72" s="516" t="s">
        <v>732</v>
      </c>
      <c r="E72" s="511">
        <f t="shared" si="32"/>
        <v>231787720</v>
      </c>
      <c r="F72" s="510">
        <f>SUM(F73:F79)</f>
        <v>231787720</v>
      </c>
      <c r="G72" s="372">
        <f>SUM(G73:G79)</f>
        <v>0</v>
      </c>
      <c r="H72" s="372">
        <f>SUM(H73:H79)</f>
        <v>0</v>
      </c>
      <c r="I72" s="510">
        <f>SUM(I73:I79)</f>
        <v>0</v>
      </c>
      <c r="J72" s="511">
        <f t="shared" si="33"/>
        <v>0</v>
      </c>
      <c r="K72" s="510">
        <f>SUM(K73:K79)</f>
        <v>0</v>
      </c>
      <c r="L72" s="372">
        <f>SUM(L73:L79)</f>
        <v>0</v>
      </c>
      <c r="M72" s="372">
        <f>SUM(M73:M79)</f>
        <v>0</v>
      </c>
      <c r="N72" s="510">
        <f>SUM(N73:N79)</f>
        <v>0</v>
      </c>
      <c r="O72" s="372">
        <f>SUM(O73:O79)</f>
        <v>0</v>
      </c>
      <c r="P72" s="511">
        <f t="shared" si="34"/>
        <v>231787720</v>
      </c>
    </row>
    <row r="73" spans="1:16" s="196" customFormat="1" ht="91.5" x14ac:dyDescent="0.2">
      <c r="A73" s="509" t="s">
        <v>465</v>
      </c>
      <c r="B73" s="509" t="s">
        <v>457</v>
      </c>
      <c r="C73" s="509" t="s">
        <v>353</v>
      </c>
      <c r="D73" s="509" t="s">
        <v>18</v>
      </c>
      <c r="E73" s="510">
        <f t="shared" si="32"/>
        <v>2853000</v>
      </c>
      <c r="F73" s="510">
        <v>2853000</v>
      </c>
      <c r="G73" s="510"/>
      <c r="H73" s="510"/>
      <c r="I73" s="510"/>
      <c r="J73" s="510">
        <f t="shared" si="33"/>
        <v>0</v>
      </c>
      <c r="K73" s="510"/>
      <c r="L73" s="510"/>
      <c r="M73" s="510"/>
      <c r="N73" s="510">
        <f t="shared" ref="N73:N88" si="35">O73</f>
        <v>0</v>
      </c>
      <c r="O73" s="510"/>
      <c r="P73" s="510">
        <f t="shared" si="34"/>
        <v>2853000</v>
      </c>
    </row>
    <row r="74" spans="1:16" s="196" customFormat="1" ht="91.5" x14ac:dyDescent="0.2">
      <c r="A74" s="509" t="s">
        <v>466</v>
      </c>
      <c r="B74" s="509" t="s">
        <v>458</v>
      </c>
      <c r="C74" s="509" t="s">
        <v>353</v>
      </c>
      <c r="D74" s="509" t="s">
        <v>464</v>
      </c>
      <c r="E74" s="510">
        <f>F74</f>
        <v>305000</v>
      </c>
      <c r="F74" s="510">
        <v>305000</v>
      </c>
      <c r="G74" s="510"/>
      <c r="H74" s="510"/>
      <c r="I74" s="510"/>
      <c r="J74" s="510">
        <f>K74+N74</f>
        <v>0</v>
      </c>
      <c r="K74" s="510"/>
      <c r="L74" s="510"/>
      <c r="M74" s="510"/>
      <c r="N74" s="510">
        <f>O74</f>
        <v>0</v>
      </c>
      <c r="O74" s="510"/>
      <c r="P74" s="510">
        <f>E74+J74</f>
        <v>305000</v>
      </c>
    </row>
    <row r="75" spans="1:16" s="196" customFormat="1" ht="91.5" x14ac:dyDescent="0.2">
      <c r="A75" s="509" t="s">
        <v>467</v>
      </c>
      <c r="B75" s="509" t="s">
        <v>459</v>
      </c>
      <c r="C75" s="509" t="s">
        <v>353</v>
      </c>
      <c r="D75" s="509" t="s">
        <v>19</v>
      </c>
      <c r="E75" s="510">
        <f t="shared" si="32"/>
        <v>155242720</v>
      </c>
      <c r="F75" s="510">
        <f>155000000+6123900+780000-(6661180)</f>
        <v>155242720</v>
      </c>
      <c r="G75" s="510"/>
      <c r="H75" s="510"/>
      <c r="I75" s="510"/>
      <c r="J75" s="510">
        <f t="shared" si="33"/>
        <v>0</v>
      </c>
      <c r="K75" s="510"/>
      <c r="L75" s="510"/>
      <c r="M75" s="510"/>
      <c r="N75" s="510">
        <f t="shared" si="35"/>
        <v>0</v>
      </c>
      <c r="O75" s="510"/>
      <c r="P75" s="510">
        <f t="shared" si="34"/>
        <v>155242720</v>
      </c>
    </row>
    <row r="76" spans="1:16" s="196" customFormat="1" ht="137.25" x14ac:dyDescent="0.2">
      <c r="A76" s="509" t="s">
        <v>468</v>
      </c>
      <c r="B76" s="509" t="s">
        <v>460</v>
      </c>
      <c r="C76" s="509" t="s">
        <v>353</v>
      </c>
      <c r="D76" s="509" t="s">
        <v>20</v>
      </c>
      <c r="E76" s="510">
        <f t="shared" si="32"/>
        <v>4390000</v>
      </c>
      <c r="F76" s="510">
        <v>4390000</v>
      </c>
      <c r="G76" s="510"/>
      <c r="H76" s="510"/>
      <c r="I76" s="510"/>
      <c r="J76" s="510">
        <f t="shared" si="33"/>
        <v>0</v>
      </c>
      <c r="K76" s="510"/>
      <c r="L76" s="510"/>
      <c r="M76" s="510"/>
      <c r="N76" s="510">
        <f t="shared" si="35"/>
        <v>0</v>
      </c>
      <c r="O76" s="510"/>
      <c r="P76" s="510">
        <f t="shared" si="34"/>
        <v>4390000</v>
      </c>
    </row>
    <row r="77" spans="1:16" s="196" customFormat="1" ht="91.5" x14ac:dyDescent="0.2">
      <c r="A77" s="509" t="s">
        <v>469</v>
      </c>
      <c r="B77" s="509" t="s">
        <v>461</v>
      </c>
      <c r="C77" s="509" t="s">
        <v>353</v>
      </c>
      <c r="D77" s="509" t="s">
        <v>21</v>
      </c>
      <c r="E77" s="510">
        <f t="shared" si="32"/>
        <v>24267000</v>
      </c>
      <c r="F77" s="510">
        <v>24267000</v>
      </c>
      <c r="G77" s="510"/>
      <c r="H77" s="510"/>
      <c r="I77" s="510"/>
      <c r="J77" s="510">
        <f t="shared" si="33"/>
        <v>0</v>
      </c>
      <c r="K77" s="510"/>
      <c r="L77" s="510"/>
      <c r="M77" s="510"/>
      <c r="N77" s="510">
        <f t="shared" si="35"/>
        <v>0</v>
      </c>
      <c r="O77" s="510"/>
      <c r="P77" s="510">
        <f t="shared" si="34"/>
        <v>24267000</v>
      </c>
    </row>
    <row r="78" spans="1:16" s="196" customFormat="1" ht="91.5" x14ac:dyDescent="0.2">
      <c r="A78" s="509" t="s">
        <v>470</v>
      </c>
      <c r="B78" s="509" t="s">
        <v>462</v>
      </c>
      <c r="C78" s="509" t="s">
        <v>353</v>
      </c>
      <c r="D78" s="509" t="s">
        <v>22</v>
      </c>
      <c r="E78" s="510">
        <f t="shared" si="32"/>
        <v>3330000</v>
      </c>
      <c r="F78" s="510">
        <v>3330000</v>
      </c>
      <c r="G78" s="510"/>
      <c r="H78" s="510"/>
      <c r="I78" s="510"/>
      <c r="J78" s="510">
        <f t="shared" si="33"/>
        <v>0</v>
      </c>
      <c r="K78" s="510"/>
      <c r="L78" s="510"/>
      <c r="M78" s="510"/>
      <c r="N78" s="510">
        <f t="shared" si="35"/>
        <v>0</v>
      </c>
      <c r="O78" s="510"/>
      <c r="P78" s="510">
        <f t="shared" si="34"/>
        <v>3330000</v>
      </c>
    </row>
    <row r="79" spans="1:16" s="196" customFormat="1" ht="137.25" x14ac:dyDescent="0.2">
      <c r="A79" s="509" t="s">
        <v>471</v>
      </c>
      <c r="B79" s="509" t="s">
        <v>463</v>
      </c>
      <c r="C79" s="509" t="s">
        <v>353</v>
      </c>
      <c r="D79" s="509" t="s">
        <v>23</v>
      </c>
      <c r="E79" s="510">
        <f t="shared" si="32"/>
        <v>41400000</v>
      </c>
      <c r="F79" s="510">
        <v>41400000</v>
      </c>
      <c r="G79" s="510"/>
      <c r="H79" s="510"/>
      <c r="I79" s="510"/>
      <c r="J79" s="510">
        <f t="shared" si="33"/>
        <v>0</v>
      </c>
      <c r="K79" s="510"/>
      <c r="L79" s="510"/>
      <c r="M79" s="510"/>
      <c r="N79" s="510">
        <f t="shared" si="35"/>
        <v>0</v>
      </c>
      <c r="O79" s="510"/>
      <c r="P79" s="510">
        <f t="shared" si="34"/>
        <v>41400000</v>
      </c>
    </row>
    <row r="80" spans="1:16" ht="183" x14ac:dyDescent="0.2">
      <c r="A80" s="516" t="s">
        <v>485</v>
      </c>
      <c r="B80" s="516" t="s">
        <v>472</v>
      </c>
      <c r="C80" s="516" t="s">
        <v>386</v>
      </c>
      <c r="D80" s="516" t="s">
        <v>17</v>
      </c>
      <c r="E80" s="511">
        <f t="shared" si="32"/>
        <v>174859</v>
      </c>
      <c r="F80" s="510">
        <v>174859</v>
      </c>
      <c r="G80" s="372"/>
      <c r="H80" s="372"/>
      <c r="I80" s="510"/>
      <c r="J80" s="511">
        <f t="shared" si="33"/>
        <v>0</v>
      </c>
      <c r="K80" s="510"/>
      <c r="L80" s="372"/>
      <c r="M80" s="372"/>
      <c r="N80" s="510">
        <f t="shared" si="35"/>
        <v>0</v>
      </c>
      <c r="O80" s="372"/>
      <c r="P80" s="511">
        <f t="shared" si="34"/>
        <v>174859</v>
      </c>
    </row>
    <row r="81" spans="1:16" ht="361.5" customHeight="1" x14ac:dyDescent="0.2">
      <c r="A81" s="604" t="s">
        <v>475</v>
      </c>
      <c r="B81" s="605" t="s">
        <v>473</v>
      </c>
      <c r="C81" s="605"/>
      <c r="D81" s="439" t="s">
        <v>736</v>
      </c>
      <c r="E81" s="591">
        <f t="shared" si="32"/>
        <v>105286800</v>
      </c>
      <c r="F81" s="582">
        <f>SUM(F83:F87)</f>
        <v>105286800</v>
      </c>
      <c r="G81" s="582"/>
      <c r="H81" s="582"/>
      <c r="I81" s="582"/>
      <c r="J81" s="586">
        <f t="shared" si="33"/>
        <v>0</v>
      </c>
      <c r="K81" s="582"/>
      <c r="L81" s="582"/>
      <c r="M81" s="582"/>
      <c r="N81" s="582">
        <f t="shared" si="35"/>
        <v>0</v>
      </c>
      <c r="O81" s="582"/>
      <c r="P81" s="586">
        <f t="shared" si="34"/>
        <v>105286800</v>
      </c>
    </row>
    <row r="82" spans="1:16" ht="336" customHeight="1" x14ac:dyDescent="0.2">
      <c r="A82" s="585"/>
      <c r="B82" s="592"/>
      <c r="C82" s="592"/>
      <c r="D82" s="440" t="s">
        <v>737</v>
      </c>
      <c r="E82" s="592"/>
      <c r="F82" s="583"/>
      <c r="G82" s="585"/>
      <c r="H82" s="585"/>
      <c r="I82" s="583"/>
      <c r="J82" s="585"/>
      <c r="K82" s="583"/>
      <c r="L82" s="585"/>
      <c r="M82" s="585"/>
      <c r="N82" s="583"/>
      <c r="O82" s="585"/>
      <c r="P82" s="585"/>
    </row>
    <row r="83" spans="1:16" s="196" customFormat="1" ht="183" x14ac:dyDescent="0.2">
      <c r="A83" s="509" t="s">
        <v>738</v>
      </c>
      <c r="B83" s="509" t="s">
        <v>739</v>
      </c>
      <c r="C83" s="509" t="s">
        <v>377</v>
      </c>
      <c r="D83" s="509" t="s">
        <v>735</v>
      </c>
      <c r="E83" s="510">
        <f t="shared" ref="E83:E87" si="36">F83</f>
        <v>62560700</v>
      </c>
      <c r="F83" s="510">
        <f>62560700+270822.5-(270822.5)</f>
        <v>62560700</v>
      </c>
      <c r="G83" s="510"/>
      <c r="H83" s="510"/>
      <c r="I83" s="510"/>
      <c r="J83" s="510">
        <f t="shared" ref="J83:J84" si="37">K83+N83</f>
        <v>0</v>
      </c>
      <c r="K83" s="510"/>
      <c r="L83" s="510"/>
      <c r="M83" s="510"/>
      <c r="N83" s="510">
        <f t="shared" ref="N83:N84" si="38">O83</f>
        <v>0</v>
      </c>
      <c r="O83" s="510"/>
      <c r="P83" s="510">
        <f t="shared" ref="P83:P87" si="39">E83+J83</f>
        <v>62560700</v>
      </c>
    </row>
    <row r="84" spans="1:16" s="196" customFormat="1" ht="228.75" x14ac:dyDescent="0.2">
      <c r="A84" s="509" t="s">
        <v>845</v>
      </c>
      <c r="B84" s="509" t="s">
        <v>846</v>
      </c>
      <c r="C84" s="509" t="s">
        <v>377</v>
      </c>
      <c r="D84" s="509" t="s">
        <v>847</v>
      </c>
      <c r="E84" s="510">
        <f t="shared" si="36"/>
        <v>16226448.640000001</v>
      </c>
      <c r="F84" s="510">
        <f>(10757096.4+6300+(963212.07+963052.24-963212.07))+4500000</f>
        <v>16226448.640000001</v>
      </c>
      <c r="G84" s="510"/>
      <c r="H84" s="510"/>
      <c r="I84" s="510"/>
      <c r="J84" s="510">
        <f t="shared" si="37"/>
        <v>0</v>
      </c>
      <c r="K84" s="510"/>
      <c r="L84" s="510"/>
      <c r="M84" s="510"/>
      <c r="N84" s="510">
        <f t="shared" si="38"/>
        <v>0</v>
      </c>
      <c r="O84" s="510"/>
      <c r="P84" s="510">
        <f t="shared" si="39"/>
        <v>16226448.640000001</v>
      </c>
    </row>
    <row r="85" spans="1:16" s="196" customFormat="1" ht="183" x14ac:dyDescent="0.2">
      <c r="A85" s="509" t="s">
        <v>733</v>
      </c>
      <c r="B85" s="509" t="s">
        <v>734</v>
      </c>
      <c r="C85" s="509" t="s">
        <v>377</v>
      </c>
      <c r="D85" s="509" t="s">
        <v>664</v>
      </c>
      <c r="E85" s="510">
        <f t="shared" si="36"/>
        <v>24737747.760000002</v>
      </c>
      <c r="F85" s="510">
        <f>(11605800+18595000-(963052.24))-4500000</f>
        <v>24737747.760000002</v>
      </c>
      <c r="G85" s="510"/>
      <c r="H85" s="510"/>
      <c r="I85" s="510"/>
      <c r="J85" s="510">
        <f>K85+N85</f>
        <v>0</v>
      </c>
      <c r="K85" s="510"/>
      <c r="L85" s="510"/>
      <c r="M85" s="510"/>
      <c r="N85" s="510"/>
      <c r="O85" s="510"/>
      <c r="P85" s="510">
        <f t="shared" si="39"/>
        <v>24737747.760000002</v>
      </c>
    </row>
    <row r="86" spans="1:16" s="196" customFormat="1" ht="274.5" x14ac:dyDescent="0.2">
      <c r="A86" s="509" t="s">
        <v>742</v>
      </c>
      <c r="B86" s="509" t="s">
        <v>743</v>
      </c>
      <c r="C86" s="509" t="s">
        <v>377</v>
      </c>
      <c r="D86" s="509" t="s">
        <v>744</v>
      </c>
      <c r="E86" s="510">
        <f t="shared" si="36"/>
        <v>1521903.5999999996</v>
      </c>
      <c r="F86" s="510">
        <f>(12285300)-10757096.4-6300</f>
        <v>1521903.5999999996</v>
      </c>
      <c r="G86" s="510"/>
      <c r="H86" s="510"/>
      <c r="I86" s="510"/>
      <c r="J86" s="510">
        <f>K86+N86</f>
        <v>0</v>
      </c>
      <c r="K86" s="510"/>
      <c r="L86" s="510"/>
      <c r="M86" s="510"/>
      <c r="N86" s="510"/>
      <c r="O86" s="510"/>
      <c r="P86" s="510">
        <f t="shared" si="39"/>
        <v>1521903.5999999996</v>
      </c>
    </row>
    <row r="87" spans="1:16" s="196" customFormat="1" ht="320.25" x14ac:dyDescent="0.2">
      <c r="A87" s="509" t="s">
        <v>740</v>
      </c>
      <c r="B87" s="509" t="s">
        <v>741</v>
      </c>
      <c r="C87" s="509" t="s">
        <v>377</v>
      </c>
      <c r="D87" s="509" t="s">
        <v>745</v>
      </c>
      <c r="E87" s="510">
        <f t="shared" si="36"/>
        <v>240000</v>
      </c>
      <c r="F87" s="510">
        <v>240000</v>
      </c>
      <c r="G87" s="510"/>
      <c r="H87" s="510"/>
      <c r="I87" s="510"/>
      <c r="J87" s="510">
        <f>K87+N87</f>
        <v>0</v>
      </c>
      <c r="K87" s="510"/>
      <c r="L87" s="510"/>
      <c r="M87" s="510"/>
      <c r="N87" s="510"/>
      <c r="O87" s="510"/>
      <c r="P87" s="510">
        <f t="shared" si="39"/>
        <v>240000</v>
      </c>
    </row>
    <row r="88" spans="1:16" ht="163.5" customHeight="1" x14ac:dyDescent="0.2">
      <c r="A88" s="516" t="s">
        <v>486</v>
      </c>
      <c r="B88" s="516" t="s">
        <v>474</v>
      </c>
      <c r="C88" s="516" t="s">
        <v>385</v>
      </c>
      <c r="D88" s="516" t="s">
        <v>665</v>
      </c>
      <c r="E88" s="511">
        <f t="shared" si="32"/>
        <v>188940</v>
      </c>
      <c r="F88" s="510">
        <v>188940</v>
      </c>
      <c r="G88" s="372"/>
      <c r="H88" s="372"/>
      <c r="I88" s="510"/>
      <c r="J88" s="511">
        <f t="shared" si="33"/>
        <v>0</v>
      </c>
      <c r="K88" s="510"/>
      <c r="L88" s="372"/>
      <c r="M88" s="372"/>
      <c r="N88" s="510">
        <f t="shared" si="35"/>
        <v>0</v>
      </c>
      <c r="O88" s="372"/>
      <c r="P88" s="511">
        <f t="shared" si="34"/>
        <v>188940</v>
      </c>
    </row>
    <row r="89" spans="1:16" ht="274.5" x14ac:dyDescent="0.2">
      <c r="A89" s="516" t="s">
        <v>507</v>
      </c>
      <c r="B89" s="516" t="s">
        <v>508</v>
      </c>
      <c r="C89" s="516"/>
      <c r="D89" s="516" t="s">
        <v>666</v>
      </c>
      <c r="E89" s="511">
        <f>F89</f>
        <v>18569643</v>
      </c>
      <c r="F89" s="229">
        <f>F90+F91</f>
        <v>18569643</v>
      </c>
      <c r="G89" s="372">
        <f>G90+G91</f>
        <v>12084800</v>
      </c>
      <c r="H89" s="372">
        <f>H90+H91</f>
        <v>551100</v>
      </c>
      <c r="I89" s="510">
        <f>I90+I91</f>
        <v>0</v>
      </c>
      <c r="J89" s="511">
        <f t="shared" si="33"/>
        <v>703200</v>
      </c>
      <c r="K89" s="510">
        <f>K90+K91</f>
        <v>94000</v>
      </c>
      <c r="L89" s="372">
        <f>L90+L91</f>
        <v>50000</v>
      </c>
      <c r="M89" s="372">
        <f>M90+M91</f>
        <v>4000</v>
      </c>
      <c r="N89" s="510">
        <f>N90+N91</f>
        <v>609200</v>
      </c>
      <c r="O89" s="372">
        <f>O90+O91</f>
        <v>609200</v>
      </c>
      <c r="P89" s="511">
        <f t="shared" si="34"/>
        <v>19272843</v>
      </c>
    </row>
    <row r="90" spans="1:16" ht="301.7" customHeight="1" x14ac:dyDescent="0.2">
      <c r="A90" s="509" t="s">
        <v>511</v>
      </c>
      <c r="B90" s="509" t="s">
        <v>509</v>
      </c>
      <c r="C90" s="509" t="s">
        <v>378</v>
      </c>
      <c r="D90" s="509" t="s">
        <v>52</v>
      </c>
      <c r="E90" s="510">
        <f t="shared" si="32"/>
        <v>14058400</v>
      </c>
      <c r="F90" s="510">
        <f>((13614700)+180500)+200000+36900+6100+20200</f>
        <v>14058400</v>
      </c>
      <c r="G90" s="510">
        <f>(9134300)+36900</f>
        <v>9171200</v>
      </c>
      <c r="H90" s="510">
        <f>(238000)+20200</f>
        <v>258200</v>
      </c>
      <c r="I90" s="510"/>
      <c r="J90" s="510">
        <f t="shared" si="33"/>
        <v>284500</v>
      </c>
      <c r="K90" s="510">
        <v>94000</v>
      </c>
      <c r="L90" s="510">
        <v>50000</v>
      </c>
      <c r="M90" s="510">
        <v>4000</v>
      </c>
      <c r="N90" s="510">
        <f>O90</f>
        <v>190500</v>
      </c>
      <c r="O90" s="510">
        <f>(112000)+43500+35000</f>
        <v>190500</v>
      </c>
      <c r="P90" s="510">
        <f t="shared" si="34"/>
        <v>14342900</v>
      </c>
    </row>
    <row r="91" spans="1:16" ht="137.25" x14ac:dyDescent="0.2">
      <c r="A91" s="509" t="s">
        <v>512</v>
      </c>
      <c r="B91" s="509" t="s">
        <v>510</v>
      </c>
      <c r="C91" s="509" t="s">
        <v>377</v>
      </c>
      <c r="D91" s="509" t="s">
        <v>667</v>
      </c>
      <c r="E91" s="510">
        <f t="shared" si="32"/>
        <v>4511243</v>
      </c>
      <c r="F91" s="510">
        <f>(2311800+2069300)+75100+16500+500+38043</f>
        <v>4511243</v>
      </c>
      <c r="G91" s="510">
        <f>(1573500+1265000)+75100</f>
        <v>2913600</v>
      </c>
      <c r="H91" s="510">
        <f>(177900+114500)+500</f>
        <v>292900</v>
      </c>
      <c r="I91" s="510"/>
      <c r="J91" s="510">
        <f t="shared" si="33"/>
        <v>418700</v>
      </c>
      <c r="K91" s="510"/>
      <c r="L91" s="510"/>
      <c r="M91" s="510"/>
      <c r="N91" s="510">
        <f>O91</f>
        <v>418700</v>
      </c>
      <c r="O91" s="510">
        <f>(170000)+236700+12000</f>
        <v>418700</v>
      </c>
      <c r="P91" s="510">
        <f t="shared" si="34"/>
        <v>4929943</v>
      </c>
    </row>
    <row r="92" spans="1:16" ht="366" x14ac:dyDescent="0.2">
      <c r="A92" s="516" t="s">
        <v>504</v>
      </c>
      <c r="B92" s="516" t="s">
        <v>505</v>
      </c>
      <c r="C92" s="516" t="s">
        <v>377</v>
      </c>
      <c r="D92" s="516" t="s">
        <v>668</v>
      </c>
      <c r="E92" s="511">
        <f t="shared" si="32"/>
        <v>1375600</v>
      </c>
      <c r="F92" s="510">
        <f>1375600+240000-240000</f>
        <v>1375600</v>
      </c>
      <c r="G92" s="372"/>
      <c r="H92" s="372"/>
      <c r="I92" s="510"/>
      <c r="J92" s="511">
        <f t="shared" si="33"/>
        <v>0</v>
      </c>
      <c r="K92" s="510">
        <v>0</v>
      </c>
      <c r="L92" s="372"/>
      <c r="M92" s="372"/>
      <c r="N92" s="510">
        <f>O92</f>
        <v>0</v>
      </c>
      <c r="O92" s="372">
        <v>0</v>
      </c>
      <c r="P92" s="511">
        <f>+J92+E92</f>
        <v>1375600</v>
      </c>
    </row>
    <row r="93" spans="1:16" ht="91.5" x14ac:dyDescent="0.2">
      <c r="A93" s="516" t="s">
        <v>669</v>
      </c>
      <c r="B93" s="516" t="s">
        <v>670</v>
      </c>
      <c r="C93" s="516"/>
      <c r="D93" s="516" t="s">
        <v>671</v>
      </c>
      <c r="E93" s="511">
        <f t="shared" si="32"/>
        <v>123527</v>
      </c>
      <c r="F93" s="510">
        <f>SUM(F94:F95)</f>
        <v>123527</v>
      </c>
      <c r="G93" s="372"/>
      <c r="H93" s="372"/>
      <c r="I93" s="510"/>
      <c r="J93" s="511">
        <f t="shared" si="33"/>
        <v>0</v>
      </c>
      <c r="K93" s="510">
        <v>0</v>
      </c>
      <c r="L93" s="372"/>
      <c r="M93" s="372"/>
      <c r="N93" s="510">
        <f>O93</f>
        <v>0</v>
      </c>
      <c r="O93" s="372">
        <v>0</v>
      </c>
      <c r="P93" s="511">
        <f>+J93+E93</f>
        <v>123527</v>
      </c>
    </row>
    <row r="94" spans="1:16" ht="228.75" x14ac:dyDescent="0.2">
      <c r="A94" s="509" t="s">
        <v>672</v>
      </c>
      <c r="B94" s="509" t="s">
        <v>673</v>
      </c>
      <c r="C94" s="509" t="s">
        <v>377</v>
      </c>
      <c r="D94" s="509" t="s">
        <v>746</v>
      </c>
      <c r="E94" s="510">
        <f t="shared" si="32"/>
        <v>123359</v>
      </c>
      <c r="F94" s="510">
        <v>123359</v>
      </c>
      <c r="G94" s="510"/>
      <c r="H94" s="510"/>
      <c r="I94" s="510"/>
      <c r="J94" s="510">
        <f t="shared" si="33"/>
        <v>0</v>
      </c>
      <c r="K94" s="510"/>
      <c r="L94" s="510"/>
      <c r="M94" s="510"/>
      <c r="N94" s="510">
        <f t="shared" ref="N94:N100" si="40">O94</f>
        <v>0</v>
      </c>
      <c r="O94" s="372"/>
      <c r="P94" s="510">
        <f>+J94+E94</f>
        <v>123359</v>
      </c>
    </row>
    <row r="95" spans="1:16" ht="112.7" customHeight="1" x14ac:dyDescent="0.2">
      <c r="A95" s="509" t="s">
        <v>674</v>
      </c>
      <c r="B95" s="509" t="s">
        <v>675</v>
      </c>
      <c r="C95" s="509" t="s">
        <v>377</v>
      </c>
      <c r="D95" s="509" t="s">
        <v>747</v>
      </c>
      <c r="E95" s="510">
        <f t="shared" si="32"/>
        <v>168</v>
      </c>
      <c r="F95" s="510">
        <v>168</v>
      </c>
      <c r="G95" s="510"/>
      <c r="H95" s="510"/>
      <c r="I95" s="510"/>
      <c r="J95" s="510">
        <f t="shared" si="33"/>
        <v>0</v>
      </c>
      <c r="K95" s="510"/>
      <c r="L95" s="510"/>
      <c r="M95" s="510"/>
      <c r="N95" s="510">
        <f t="shared" si="40"/>
        <v>0</v>
      </c>
      <c r="O95" s="372"/>
      <c r="P95" s="510">
        <f>+J95+E95</f>
        <v>168</v>
      </c>
    </row>
    <row r="96" spans="1:16" ht="366" x14ac:dyDescent="0.2">
      <c r="A96" s="516" t="s">
        <v>750</v>
      </c>
      <c r="B96" s="516" t="s">
        <v>749</v>
      </c>
      <c r="C96" s="516" t="s">
        <v>117</v>
      </c>
      <c r="D96" s="516" t="s">
        <v>748</v>
      </c>
      <c r="E96" s="511">
        <f t="shared" si="32"/>
        <v>2026990</v>
      </c>
      <c r="F96" s="510">
        <v>2026990</v>
      </c>
      <c r="G96" s="372">
        <f t="shared" ref="G96:H97" si="41">G97</f>
        <v>0</v>
      </c>
      <c r="H96" s="372">
        <f t="shared" si="41"/>
        <v>0</v>
      </c>
      <c r="I96" s="510"/>
      <c r="J96" s="511">
        <f t="shared" si="33"/>
        <v>0</v>
      </c>
      <c r="K96" s="510">
        <f t="shared" ref="K96:M99" si="42">K97</f>
        <v>0</v>
      </c>
      <c r="L96" s="372">
        <f t="shared" si="42"/>
        <v>0</v>
      </c>
      <c r="M96" s="372">
        <f t="shared" si="42"/>
        <v>0</v>
      </c>
      <c r="N96" s="510">
        <f t="shared" si="40"/>
        <v>0</v>
      </c>
      <c r="O96" s="372">
        <f>O97</f>
        <v>0</v>
      </c>
      <c r="P96" s="511">
        <f>E96+J96</f>
        <v>2026990</v>
      </c>
    </row>
    <row r="97" spans="1:18" ht="91.5" x14ac:dyDescent="0.2">
      <c r="A97" s="516" t="s">
        <v>676</v>
      </c>
      <c r="B97" s="516" t="s">
        <v>677</v>
      </c>
      <c r="C97" s="516"/>
      <c r="D97" s="441" t="s">
        <v>50</v>
      </c>
      <c r="E97" s="511">
        <f t="shared" si="32"/>
        <v>500000</v>
      </c>
      <c r="F97" s="510">
        <f>F98</f>
        <v>500000</v>
      </c>
      <c r="G97" s="372">
        <f t="shared" si="41"/>
        <v>0</v>
      </c>
      <c r="H97" s="372">
        <f t="shared" si="41"/>
        <v>0</v>
      </c>
      <c r="I97" s="510"/>
      <c r="J97" s="511">
        <f t="shared" si="33"/>
        <v>0</v>
      </c>
      <c r="K97" s="510">
        <f t="shared" si="42"/>
        <v>0</v>
      </c>
      <c r="L97" s="372">
        <f t="shared" si="42"/>
        <v>0</v>
      </c>
      <c r="M97" s="372">
        <f t="shared" si="42"/>
        <v>0</v>
      </c>
      <c r="N97" s="510">
        <f t="shared" si="40"/>
        <v>0</v>
      </c>
      <c r="O97" s="372">
        <f>O98</f>
        <v>0</v>
      </c>
      <c r="P97" s="511">
        <f>E97+J97</f>
        <v>500000</v>
      </c>
    </row>
    <row r="98" spans="1:18" ht="228.75" x14ac:dyDescent="0.2">
      <c r="A98" s="509" t="s">
        <v>678</v>
      </c>
      <c r="B98" s="509" t="s">
        <v>679</v>
      </c>
      <c r="C98" s="509" t="s">
        <v>385</v>
      </c>
      <c r="D98" s="509" t="s">
        <v>751</v>
      </c>
      <c r="E98" s="510">
        <f t="shared" si="32"/>
        <v>500000</v>
      </c>
      <c r="F98" s="510">
        <f>(400000)+100000</f>
        <v>500000</v>
      </c>
      <c r="G98" s="510"/>
      <c r="H98" s="510"/>
      <c r="I98" s="510"/>
      <c r="J98" s="510">
        <f t="shared" si="33"/>
        <v>0</v>
      </c>
      <c r="K98" s="510"/>
      <c r="L98" s="510"/>
      <c r="M98" s="510"/>
      <c r="N98" s="510">
        <f t="shared" si="40"/>
        <v>0</v>
      </c>
      <c r="O98" s="372"/>
      <c r="P98" s="510">
        <f>E98+J98</f>
        <v>500000</v>
      </c>
    </row>
    <row r="99" spans="1:18" ht="183" x14ac:dyDescent="0.2">
      <c r="A99" s="516" t="s">
        <v>945</v>
      </c>
      <c r="B99" s="516" t="s">
        <v>946</v>
      </c>
      <c r="C99" s="516"/>
      <c r="D99" s="441" t="s">
        <v>944</v>
      </c>
      <c r="E99" s="511"/>
      <c r="F99" s="510"/>
      <c r="G99" s="372"/>
      <c r="H99" s="372"/>
      <c r="I99" s="510"/>
      <c r="J99" s="511">
        <f t="shared" si="33"/>
        <v>6864875.6299999999</v>
      </c>
      <c r="K99" s="510">
        <f t="shared" si="42"/>
        <v>0</v>
      </c>
      <c r="L99" s="372"/>
      <c r="M99" s="372"/>
      <c r="N99" s="510">
        <f t="shared" si="40"/>
        <v>6864875.6299999999</v>
      </c>
      <c r="O99" s="372">
        <f>O100</f>
        <v>6864875.6299999999</v>
      </c>
      <c r="P99" s="511">
        <f>E99+J99</f>
        <v>6864875.6299999999</v>
      </c>
    </row>
    <row r="100" spans="1:18" s="196" customFormat="1" ht="409.5" x14ac:dyDescent="0.2">
      <c r="A100" s="587" t="s">
        <v>947</v>
      </c>
      <c r="B100" s="587" t="s">
        <v>948</v>
      </c>
      <c r="C100" s="588" t="s">
        <v>117</v>
      </c>
      <c r="D100" s="442" t="s">
        <v>949</v>
      </c>
      <c r="E100" s="590"/>
      <c r="F100" s="590"/>
      <c r="G100" s="590"/>
      <c r="H100" s="590"/>
      <c r="I100" s="590"/>
      <c r="J100" s="582">
        <f t="shared" si="33"/>
        <v>6864875.6299999999</v>
      </c>
      <c r="K100" s="582"/>
      <c r="L100" s="582"/>
      <c r="M100" s="582"/>
      <c r="N100" s="582">
        <f t="shared" si="40"/>
        <v>6864875.6299999999</v>
      </c>
      <c r="O100" s="582">
        <v>6864875.6299999999</v>
      </c>
      <c r="P100" s="582">
        <f>E100+J100</f>
        <v>6864875.6299999999</v>
      </c>
    </row>
    <row r="101" spans="1:18" s="196" customFormat="1" ht="409.5" x14ac:dyDescent="0.2">
      <c r="A101" s="584"/>
      <c r="B101" s="584"/>
      <c r="C101" s="589"/>
      <c r="D101" s="442" t="s">
        <v>950</v>
      </c>
      <c r="E101" s="589"/>
      <c r="F101" s="589"/>
      <c r="G101" s="589"/>
      <c r="H101" s="589"/>
      <c r="I101" s="589"/>
      <c r="J101" s="584"/>
      <c r="K101" s="584"/>
      <c r="L101" s="584"/>
      <c r="M101" s="584"/>
      <c r="N101" s="584"/>
      <c r="O101" s="584"/>
      <c r="P101" s="584"/>
    </row>
    <row r="102" spans="1:18" s="196" customFormat="1" ht="94.7" customHeight="1" x14ac:dyDescent="0.2">
      <c r="A102" s="583"/>
      <c r="B102" s="583"/>
      <c r="C102" s="589"/>
      <c r="D102" s="443" t="s">
        <v>951</v>
      </c>
      <c r="E102" s="589"/>
      <c r="F102" s="589"/>
      <c r="G102" s="589"/>
      <c r="H102" s="589"/>
      <c r="I102" s="589"/>
      <c r="J102" s="583"/>
      <c r="K102" s="583"/>
      <c r="L102" s="583"/>
      <c r="M102" s="583"/>
      <c r="N102" s="583"/>
      <c r="O102" s="583"/>
      <c r="P102" s="583"/>
    </row>
    <row r="103" spans="1:18" ht="409.5" x14ac:dyDescent="0.2">
      <c r="A103" s="604" t="s">
        <v>503</v>
      </c>
      <c r="B103" s="604" t="s">
        <v>362</v>
      </c>
      <c r="C103" s="605" t="s">
        <v>353</v>
      </c>
      <c r="D103" s="439" t="s">
        <v>680</v>
      </c>
      <c r="E103" s="591">
        <f>F103</f>
        <v>851000</v>
      </c>
      <c r="F103" s="582">
        <v>851000</v>
      </c>
      <c r="G103" s="582"/>
      <c r="H103" s="582"/>
      <c r="I103" s="582"/>
      <c r="J103" s="586">
        <f>K103+N103</f>
        <v>0</v>
      </c>
      <c r="K103" s="582"/>
      <c r="L103" s="582"/>
      <c r="M103" s="582"/>
      <c r="N103" s="582">
        <f>O103</f>
        <v>0</v>
      </c>
      <c r="O103" s="582"/>
      <c r="P103" s="586">
        <f>E103+J103</f>
        <v>851000</v>
      </c>
    </row>
    <row r="104" spans="1:18" ht="327.75" customHeight="1" x14ac:dyDescent="0.2">
      <c r="A104" s="585"/>
      <c r="B104" s="585"/>
      <c r="C104" s="592"/>
      <c r="D104" s="444" t="s">
        <v>681</v>
      </c>
      <c r="E104" s="592"/>
      <c r="F104" s="583"/>
      <c r="G104" s="585"/>
      <c r="H104" s="585"/>
      <c r="I104" s="583"/>
      <c r="J104" s="585"/>
      <c r="K104" s="583"/>
      <c r="L104" s="585"/>
      <c r="M104" s="585"/>
      <c r="N104" s="583"/>
      <c r="O104" s="585"/>
      <c r="P104" s="585"/>
    </row>
    <row r="105" spans="1:18" ht="46.5" x14ac:dyDescent="0.2">
      <c r="A105" s="516" t="s">
        <v>684</v>
      </c>
      <c r="B105" s="516" t="s">
        <v>685</v>
      </c>
      <c r="C105" s="516"/>
      <c r="D105" s="516" t="s">
        <v>364</v>
      </c>
      <c r="E105" s="511">
        <f t="shared" si="32"/>
        <v>29106650</v>
      </c>
      <c r="F105" s="510">
        <f>F106+F107</f>
        <v>29106650</v>
      </c>
      <c r="G105" s="177">
        <f>G106+G107</f>
        <v>2035400</v>
      </c>
      <c r="H105" s="177">
        <f>H106+H107</f>
        <v>330200</v>
      </c>
      <c r="I105" s="46"/>
      <c r="J105" s="511">
        <f t="shared" si="33"/>
        <v>697800</v>
      </c>
      <c r="K105" s="510">
        <f>K106+K107</f>
        <v>0</v>
      </c>
      <c r="L105" s="177">
        <f>L106+L107</f>
        <v>0</v>
      </c>
      <c r="M105" s="177">
        <f>M106+M107</f>
        <v>0</v>
      </c>
      <c r="N105" s="46">
        <f>N106+N107</f>
        <v>697800</v>
      </c>
      <c r="O105" s="177">
        <f>O106+O107</f>
        <v>697800</v>
      </c>
      <c r="P105" s="511">
        <f>E105+J105</f>
        <v>29804450</v>
      </c>
    </row>
    <row r="106" spans="1:18" ht="183" x14ac:dyDescent="0.2">
      <c r="A106" s="509" t="s">
        <v>682</v>
      </c>
      <c r="B106" s="509" t="s">
        <v>686</v>
      </c>
      <c r="C106" s="509" t="s">
        <v>363</v>
      </c>
      <c r="D106" s="432" t="s">
        <v>688</v>
      </c>
      <c r="E106" s="510">
        <f t="shared" si="32"/>
        <v>3454700</v>
      </c>
      <c r="F106" s="510">
        <f>((5404100-2069300)+23600)+55000+41300</f>
        <v>3454700</v>
      </c>
      <c r="G106" s="46">
        <f>3300400-1265000</f>
        <v>2035400</v>
      </c>
      <c r="H106" s="46">
        <f>444700-114500</f>
        <v>330200</v>
      </c>
      <c r="I106" s="510"/>
      <c r="J106" s="510">
        <f t="shared" si="33"/>
        <v>117800</v>
      </c>
      <c r="K106" s="510"/>
      <c r="L106" s="510"/>
      <c r="M106" s="510"/>
      <c r="N106" s="510">
        <f t="shared" ref="N106:N109" si="43">O106</f>
        <v>117800</v>
      </c>
      <c r="O106" s="510">
        <f>(24000+81800)+12000</f>
        <v>117800</v>
      </c>
      <c r="P106" s="510">
        <f t="shared" ref="P106:P107" si="44">E106+J106</f>
        <v>3572500</v>
      </c>
    </row>
    <row r="107" spans="1:18" ht="137.25" x14ac:dyDescent="0.2">
      <c r="A107" s="509" t="s">
        <v>683</v>
      </c>
      <c r="B107" s="509" t="s">
        <v>687</v>
      </c>
      <c r="C107" s="509" t="s">
        <v>363</v>
      </c>
      <c r="D107" s="432" t="s">
        <v>689</v>
      </c>
      <c r="E107" s="510">
        <f t="shared" si="32"/>
        <v>25651950</v>
      </c>
      <c r="F107" s="510">
        <f>((19868590+12285300-12285300-2026990)+3159700)+200000+20000+199000+4000000+150000+50000+31650</f>
        <v>25651950</v>
      </c>
      <c r="G107" s="510"/>
      <c r="H107" s="510"/>
      <c r="I107" s="510"/>
      <c r="J107" s="510">
        <f t="shared" si="33"/>
        <v>580000</v>
      </c>
      <c r="K107" s="510"/>
      <c r="L107" s="510"/>
      <c r="M107" s="510"/>
      <c r="N107" s="510">
        <f t="shared" si="43"/>
        <v>580000</v>
      </c>
      <c r="O107" s="510">
        <f>(400000)+80000+100000</f>
        <v>580000</v>
      </c>
      <c r="P107" s="510">
        <f t="shared" si="44"/>
        <v>26231950</v>
      </c>
    </row>
    <row r="108" spans="1:18" ht="91.5" x14ac:dyDescent="0.2">
      <c r="A108" s="516" t="s">
        <v>831</v>
      </c>
      <c r="B108" s="516" t="s">
        <v>706</v>
      </c>
      <c r="C108" s="516"/>
      <c r="D108" s="516" t="s">
        <v>832</v>
      </c>
      <c r="E108" s="511">
        <f t="shared" si="32"/>
        <v>0</v>
      </c>
      <c r="F108" s="510">
        <f>F109</f>
        <v>0</v>
      </c>
      <c r="G108" s="372">
        <f t="shared" ref="G108:H108" si="45">G109</f>
        <v>0</v>
      </c>
      <c r="H108" s="372">
        <f t="shared" si="45"/>
        <v>0</v>
      </c>
      <c r="I108" s="510"/>
      <c r="J108" s="511">
        <f t="shared" si="33"/>
        <v>2534347</v>
      </c>
      <c r="K108" s="510">
        <f t="shared" ref="K108:M108" si="46">K109</f>
        <v>0</v>
      </c>
      <c r="L108" s="372">
        <f t="shared" si="46"/>
        <v>0</v>
      </c>
      <c r="M108" s="372">
        <f t="shared" si="46"/>
        <v>0</v>
      </c>
      <c r="N108" s="510">
        <f t="shared" si="43"/>
        <v>2534347</v>
      </c>
      <c r="O108" s="372">
        <f>O109</f>
        <v>2534347</v>
      </c>
      <c r="P108" s="511">
        <f>E108+J108</f>
        <v>2534347</v>
      </c>
    </row>
    <row r="109" spans="1:18" ht="137.25" x14ac:dyDescent="0.2">
      <c r="A109" s="509" t="s">
        <v>835</v>
      </c>
      <c r="B109" s="509" t="s">
        <v>833</v>
      </c>
      <c r="C109" s="509" t="s">
        <v>708</v>
      </c>
      <c r="D109" s="432" t="s">
        <v>834</v>
      </c>
      <c r="E109" s="510">
        <f t="shared" si="32"/>
        <v>0</v>
      </c>
      <c r="F109" s="510"/>
      <c r="G109" s="510"/>
      <c r="H109" s="510"/>
      <c r="I109" s="510"/>
      <c r="J109" s="510">
        <f t="shared" si="33"/>
        <v>2534347</v>
      </c>
      <c r="K109" s="510"/>
      <c r="L109" s="510"/>
      <c r="M109" s="510"/>
      <c r="N109" s="510">
        <f t="shared" si="43"/>
        <v>2534347</v>
      </c>
      <c r="O109" s="372">
        <f>(2500000)+34347</f>
        <v>2534347</v>
      </c>
      <c r="P109" s="510">
        <f>E109+J109</f>
        <v>2534347</v>
      </c>
    </row>
    <row r="110" spans="1:18" ht="135" x14ac:dyDescent="0.2">
      <c r="A110" s="532">
        <v>1000000</v>
      </c>
      <c r="B110" s="532"/>
      <c r="C110" s="532"/>
      <c r="D110" s="517" t="s">
        <v>68</v>
      </c>
      <c r="E110" s="524">
        <f>E111</f>
        <v>72933500</v>
      </c>
      <c r="F110" s="524">
        <f t="shared" ref="F110:P110" si="47">F111</f>
        <v>72933500</v>
      </c>
      <c r="G110" s="524">
        <f t="shared" si="47"/>
        <v>50790400</v>
      </c>
      <c r="H110" s="524">
        <f t="shared" si="47"/>
        <v>3320500</v>
      </c>
      <c r="I110" s="524">
        <f t="shared" si="47"/>
        <v>0</v>
      </c>
      <c r="J110" s="524">
        <f t="shared" si="47"/>
        <v>14623555</v>
      </c>
      <c r="K110" s="524">
        <f t="shared" si="47"/>
        <v>6593800</v>
      </c>
      <c r="L110" s="524">
        <f t="shared" si="47"/>
        <v>4801700</v>
      </c>
      <c r="M110" s="524">
        <f t="shared" si="47"/>
        <v>184500</v>
      </c>
      <c r="N110" s="524">
        <f t="shared" si="47"/>
        <v>8029755</v>
      </c>
      <c r="O110" s="523">
        <f t="shared" si="47"/>
        <v>7961855</v>
      </c>
      <c r="P110" s="524">
        <f t="shared" si="47"/>
        <v>87557055</v>
      </c>
    </row>
    <row r="111" spans="1:18" ht="180" x14ac:dyDescent="0.2">
      <c r="A111" s="533">
        <v>1010000</v>
      </c>
      <c r="B111" s="533"/>
      <c r="C111" s="533"/>
      <c r="D111" s="521" t="s">
        <v>94</v>
      </c>
      <c r="E111" s="523">
        <f>E113+E114+E115+E116+E112+E118+E117+E121</f>
        <v>72933500</v>
      </c>
      <c r="F111" s="524">
        <f>F113+F114+F115+F116+F112+F118+F117+F121</f>
        <v>72933500</v>
      </c>
      <c r="G111" s="523">
        <f>G113+G114+G115+G116+G112+G118+G117+G121</f>
        <v>50790400</v>
      </c>
      <c r="H111" s="523">
        <f>H113+H114+H115+H116+H112+H118+H117+H121</f>
        <v>3320500</v>
      </c>
      <c r="I111" s="524">
        <v>0</v>
      </c>
      <c r="J111" s="523">
        <f t="shared" ref="J111:J117" si="48">K111+N111</f>
        <v>14623555</v>
      </c>
      <c r="K111" s="524">
        <f>K113+K114+K115+K116+K112+K118+K117+K121</f>
        <v>6593800</v>
      </c>
      <c r="L111" s="523">
        <f>L113+L114+L115+L116+L112+L118+L117+L121</f>
        <v>4801700</v>
      </c>
      <c r="M111" s="523">
        <f>M113+M114+M115+M116+M112+M118+M117+M121</f>
        <v>184500</v>
      </c>
      <c r="N111" s="524">
        <f>N113+N114+N115+N116+N112+N118+N117+N121</f>
        <v>8029755</v>
      </c>
      <c r="O111" s="523">
        <f>O113+O114+O115+O116+O112+O118+O117+O121</f>
        <v>7961855</v>
      </c>
      <c r="P111" s="523">
        <f t="shared" ref="P111:P116" si="49">E111+J111</f>
        <v>87557055</v>
      </c>
      <c r="Q111" s="251" t="b">
        <f>P111=P112+P113+P114+P115+P116+P117+P119+P120+P121</f>
        <v>1</v>
      </c>
      <c r="R111" s="253" t="b">
        <f>O111=[1]dod5!J74</f>
        <v>1</v>
      </c>
    </row>
    <row r="112" spans="1:18" ht="228.75" x14ac:dyDescent="0.2">
      <c r="A112" s="516" t="s">
        <v>49</v>
      </c>
      <c r="B112" s="516" t="s">
        <v>343</v>
      </c>
      <c r="C112" s="516" t="s">
        <v>344</v>
      </c>
      <c r="D112" s="516" t="s">
        <v>342</v>
      </c>
      <c r="E112" s="511">
        <f>F112</f>
        <v>41628400</v>
      </c>
      <c r="F112" s="510">
        <f>((41587600)+40800)+0</f>
        <v>41628400</v>
      </c>
      <c r="G112" s="372">
        <v>32071000</v>
      </c>
      <c r="H112" s="372">
        <v>1995800</v>
      </c>
      <c r="I112" s="510"/>
      <c r="J112" s="511">
        <f>K112+N112</f>
        <v>8066835</v>
      </c>
      <c r="K112" s="510">
        <v>6080900</v>
      </c>
      <c r="L112" s="372">
        <v>4609600</v>
      </c>
      <c r="M112" s="372">
        <v>126600</v>
      </c>
      <c r="N112" s="510">
        <f>O112+36200</f>
        <v>1985935</v>
      </c>
      <c r="O112" s="372">
        <f>(1607000)+342735</f>
        <v>1949735</v>
      </c>
      <c r="P112" s="511">
        <f>E112+J112</f>
        <v>49695235</v>
      </c>
    </row>
    <row r="113" spans="1:18" ht="46.5" x14ac:dyDescent="0.2">
      <c r="A113" s="516" t="s">
        <v>325</v>
      </c>
      <c r="B113" s="516" t="s">
        <v>326</v>
      </c>
      <c r="C113" s="516" t="s">
        <v>330</v>
      </c>
      <c r="D113" s="516" t="s">
        <v>331</v>
      </c>
      <c r="E113" s="511">
        <f t="shared" ref="E113:E117" si="50">F113</f>
        <v>623000</v>
      </c>
      <c r="F113" s="510">
        <v>623000</v>
      </c>
      <c r="G113" s="372"/>
      <c r="H113" s="372"/>
      <c r="I113" s="510"/>
      <c r="J113" s="511">
        <f t="shared" si="48"/>
        <v>0</v>
      </c>
      <c r="K113" s="510"/>
      <c r="L113" s="372"/>
      <c r="M113" s="372"/>
      <c r="N113" s="510">
        <f t="shared" ref="N113:N115" si="51">O113</f>
        <v>0</v>
      </c>
      <c r="O113" s="372"/>
      <c r="P113" s="511">
        <f t="shared" si="49"/>
        <v>623000</v>
      </c>
    </row>
    <row r="114" spans="1:18" ht="46.5" x14ac:dyDescent="0.2">
      <c r="A114" s="516" t="s">
        <v>332</v>
      </c>
      <c r="B114" s="516" t="s">
        <v>333</v>
      </c>
      <c r="C114" s="516" t="s">
        <v>334</v>
      </c>
      <c r="D114" s="516" t="s">
        <v>335</v>
      </c>
      <c r="E114" s="511">
        <f t="shared" si="50"/>
        <v>7110500</v>
      </c>
      <c r="F114" s="510">
        <v>7110500</v>
      </c>
      <c r="G114" s="372">
        <v>5288800</v>
      </c>
      <c r="H114" s="372">
        <v>477900</v>
      </c>
      <c r="I114" s="510"/>
      <c r="J114" s="511">
        <f t="shared" si="48"/>
        <v>627000</v>
      </c>
      <c r="K114" s="510">
        <v>80000</v>
      </c>
      <c r="L114" s="372">
        <v>9800</v>
      </c>
      <c r="M114" s="372">
        <v>18500</v>
      </c>
      <c r="N114" s="510">
        <f t="shared" si="51"/>
        <v>547000</v>
      </c>
      <c r="O114" s="372">
        <f>((0)+530000)+17000</f>
        <v>547000</v>
      </c>
      <c r="P114" s="511">
        <f t="shared" si="49"/>
        <v>7737500</v>
      </c>
    </row>
    <row r="115" spans="1:18" ht="91.5" x14ac:dyDescent="0.2">
      <c r="A115" s="516" t="s">
        <v>336</v>
      </c>
      <c r="B115" s="516" t="s">
        <v>337</v>
      </c>
      <c r="C115" s="516" t="s">
        <v>334</v>
      </c>
      <c r="D115" s="516" t="s">
        <v>338</v>
      </c>
      <c r="E115" s="511">
        <f t="shared" si="50"/>
        <v>1097900</v>
      </c>
      <c r="F115" s="510">
        <v>1097900</v>
      </c>
      <c r="G115" s="372">
        <v>672100</v>
      </c>
      <c r="H115" s="372">
        <v>208000</v>
      </c>
      <c r="I115" s="510"/>
      <c r="J115" s="511">
        <f t="shared" si="48"/>
        <v>3332820</v>
      </c>
      <c r="K115" s="510">
        <v>70100</v>
      </c>
      <c r="L115" s="372">
        <v>6100</v>
      </c>
      <c r="M115" s="372">
        <v>3200</v>
      </c>
      <c r="N115" s="510">
        <f t="shared" si="51"/>
        <v>3262720</v>
      </c>
      <c r="O115" s="372">
        <f>((3000000)+422720)-160000</f>
        <v>3262720</v>
      </c>
      <c r="P115" s="511">
        <f t="shared" si="49"/>
        <v>4430720</v>
      </c>
    </row>
    <row r="116" spans="1:18" ht="183" x14ac:dyDescent="0.2">
      <c r="A116" s="516" t="s">
        <v>339</v>
      </c>
      <c r="B116" s="516" t="s">
        <v>327</v>
      </c>
      <c r="C116" s="516" t="s">
        <v>340</v>
      </c>
      <c r="D116" s="516" t="s">
        <v>341</v>
      </c>
      <c r="E116" s="511">
        <f t="shared" si="50"/>
        <v>5298100</v>
      </c>
      <c r="F116" s="510">
        <f>(5268100)+30000</f>
        <v>5298100</v>
      </c>
      <c r="G116" s="372">
        <v>3736300</v>
      </c>
      <c r="H116" s="372">
        <v>604100</v>
      </c>
      <c r="I116" s="510"/>
      <c r="J116" s="511">
        <f t="shared" si="48"/>
        <v>2348500</v>
      </c>
      <c r="K116" s="510">
        <v>303000</v>
      </c>
      <c r="L116" s="372">
        <v>172700</v>
      </c>
      <c r="M116" s="372">
        <v>36200</v>
      </c>
      <c r="N116" s="510">
        <f>O116+31700</f>
        <v>2045500</v>
      </c>
      <c r="O116" s="372">
        <f>((1229800)+1955500)-1171500</f>
        <v>2013800</v>
      </c>
      <c r="P116" s="511">
        <f t="shared" si="49"/>
        <v>7646600</v>
      </c>
    </row>
    <row r="117" spans="1:18" ht="91.5" x14ac:dyDescent="0.2">
      <c r="A117" s="516" t="s">
        <v>814</v>
      </c>
      <c r="B117" s="516" t="s">
        <v>815</v>
      </c>
      <c r="C117" s="516" t="s">
        <v>816</v>
      </c>
      <c r="D117" s="516" t="s">
        <v>813</v>
      </c>
      <c r="E117" s="511">
        <f t="shared" si="50"/>
        <v>110000</v>
      </c>
      <c r="F117" s="510">
        <f>(60000)+50000</f>
        <v>110000</v>
      </c>
      <c r="G117" s="372"/>
      <c r="H117" s="372"/>
      <c r="I117" s="510"/>
      <c r="J117" s="511">
        <f t="shared" si="48"/>
        <v>0</v>
      </c>
      <c r="K117" s="510"/>
      <c r="L117" s="372"/>
      <c r="M117" s="372"/>
      <c r="N117" s="510">
        <f>O117</f>
        <v>0</v>
      </c>
      <c r="O117" s="372"/>
      <c r="P117" s="511">
        <f>E117+J117</f>
        <v>110000</v>
      </c>
    </row>
    <row r="118" spans="1:18" ht="91.5" x14ac:dyDescent="0.2">
      <c r="A118" s="516" t="s">
        <v>346</v>
      </c>
      <c r="B118" s="516" t="s">
        <v>347</v>
      </c>
      <c r="C118" s="516"/>
      <c r="D118" s="516" t="s">
        <v>345</v>
      </c>
      <c r="E118" s="511">
        <f>F118</f>
        <v>17065600</v>
      </c>
      <c r="F118" s="510">
        <f>F119+F120</f>
        <v>17065600</v>
      </c>
      <c r="G118" s="372">
        <f>G119+G120</f>
        <v>9022200</v>
      </c>
      <c r="H118" s="372">
        <f>H119+H120</f>
        <v>34700</v>
      </c>
      <c r="I118" s="510"/>
      <c r="J118" s="511">
        <f>K118+N118</f>
        <v>166600</v>
      </c>
      <c r="K118" s="510">
        <f>K119+K120</f>
        <v>59800</v>
      </c>
      <c r="L118" s="372">
        <f>L119+L120</f>
        <v>3500</v>
      </c>
      <c r="M118" s="372">
        <f>M119+M120</f>
        <v>0</v>
      </c>
      <c r="N118" s="510">
        <f>N119+N120</f>
        <v>106800</v>
      </c>
      <c r="O118" s="372">
        <f>O119+O120</f>
        <v>106800</v>
      </c>
      <c r="P118" s="511">
        <f>E118+J118</f>
        <v>17232200</v>
      </c>
    </row>
    <row r="119" spans="1:18" ht="137.25" x14ac:dyDescent="0.2">
      <c r="A119" s="509" t="s">
        <v>691</v>
      </c>
      <c r="B119" s="509" t="s">
        <v>692</v>
      </c>
      <c r="C119" s="509" t="s">
        <v>348</v>
      </c>
      <c r="D119" s="509" t="s">
        <v>690</v>
      </c>
      <c r="E119" s="510">
        <f>F119</f>
        <v>11780600</v>
      </c>
      <c r="F119" s="510">
        <f>((10587000)+1002000)+191600</f>
        <v>11780600</v>
      </c>
      <c r="G119" s="510">
        <f>(8201200)+821000</f>
        <v>9022200</v>
      </c>
      <c r="H119" s="510">
        <v>34700</v>
      </c>
      <c r="I119" s="510"/>
      <c r="J119" s="510">
        <f>K119+N119</f>
        <v>166600</v>
      </c>
      <c r="K119" s="510">
        <v>59800</v>
      </c>
      <c r="L119" s="510">
        <v>3500</v>
      </c>
      <c r="M119" s="510"/>
      <c r="N119" s="510">
        <f>O119</f>
        <v>106800</v>
      </c>
      <c r="O119" s="510">
        <f>((0)+87500)+19300</f>
        <v>106800</v>
      </c>
      <c r="P119" s="510">
        <f>E119+J119</f>
        <v>11947200</v>
      </c>
    </row>
    <row r="120" spans="1:18" ht="91.5" x14ac:dyDescent="0.2">
      <c r="A120" s="509" t="s">
        <v>693</v>
      </c>
      <c r="B120" s="509" t="s">
        <v>694</v>
      </c>
      <c r="C120" s="509" t="s">
        <v>348</v>
      </c>
      <c r="D120" s="509" t="s">
        <v>695</v>
      </c>
      <c r="E120" s="510">
        <f>F120</f>
        <v>5285000</v>
      </c>
      <c r="F120" s="510">
        <f>((3600000)+1135000)+550000</f>
        <v>5285000</v>
      </c>
      <c r="G120" s="510"/>
      <c r="H120" s="510"/>
      <c r="I120" s="510"/>
      <c r="J120" s="510">
        <f>K120+N120</f>
        <v>0</v>
      </c>
      <c r="K120" s="510"/>
      <c r="L120" s="510"/>
      <c r="M120" s="510"/>
      <c r="N120" s="510">
        <f>O120</f>
        <v>0</v>
      </c>
      <c r="O120" s="510"/>
      <c r="P120" s="510">
        <f>E120+J120</f>
        <v>5285000</v>
      </c>
    </row>
    <row r="121" spans="1:18" ht="91.5" x14ac:dyDescent="0.2">
      <c r="A121" s="516" t="s">
        <v>818</v>
      </c>
      <c r="B121" s="516" t="s">
        <v>373</v>
      </c>
      <c r="C121" s="516" t="s">
        <v>324</v>
      </c>
      <c r="D121" s="516" t="s">
        <v>817</v>
      </c>
      <c r="E121" s="511">
        <f t="shared" ref="E121" si="52">F121</f>
        <v>0</v>
      </c>
      <c r="F121" s="510"/>
      <c r="G121" s="372"/>
      <c r="H121" s="372"/>
      <c r="I121" s="510"/>
      <c r="J121" s="511">
        <f t="shared" ref="J121" si="53">K121+N121</f>
        <v>81800</v>
      </c>
      <c r="K121" s="510"/>
      <c r="L121" s="372"/>
      <c r="M121" s="372"/>
      <c r="N121" s="510">
        <f>O121</f>
        <v>81800</v>
      </c>
      <c r="O121" s="372">
        <f>(27000)+54800</f>
        <v>81800</v>
      </c>
      <c r="P121" s="511">
        <f>E121+J121</f>
        <v>81800</v>
      </c>
    </row>
    <row r="122" spans="1:18" ht="135" x14ac:dyDescent="0.2">
      <c r="A122" s="517" t="s">
        <v>65</v>
      </c>
      <c r="B122" s="517"/>
      <c r="C122" s="517"/>
      <c r="D122" s="517" t="s">
        <v>66</v>
      </c>
      <c r="E122" s="524">
        <f>E123</f>
        <v>41069186</v>
      </c>
      <c r="F122" s="524">
        <f t="shared" ref="F122:P122" si="54">F123</f>
        <v>41069186</v>
      </c>
      <c r="G122" s="524">
        <f t="shared" si="54"/>
        <v>14843177</v>
      </c>
      <c r="H122" s="524">
        <f t="shared" si="54"/>
        <v>1706457</v>
      </c>
      <c r="I122" s="524">
        <f t="shared" si="54"/>
        <v>0</v>
      </c>
      <c r="J122" s="524">
        <f t="shared" si="54"/>
        <v>8291893.3200000003</v>
      </c>
      <c r="K122" s="524">
        <f t="shared" si="54"/>
        <v>1892800</v>
      </c>
      <c r="L122" s="524">
        <f t="shared" si="54"/>
        <v>869800</v>
      </c>
      <c r="M122" s="524">
        <f t="shared" si="54"/>
        <v>289700</v>
      </c>
      <c r="N122" s="524">
        <f t="shared" si="54"/>
        <v>6399093.3200000003</v>
      </c>
      <c r="O122" s="523">
        <f t="shared" si="54"/>
        <v>6353593.3200000003</v>
      </c>
      <c r="P122" s="524">
        <f t="shared" si="54"/>
        <v>49361079.32</v>
      </c>
    </row>
    <row r="123" spans="1:18" ht="135" x14ac:dyDescent="0.2">
      <c r="A123" s="521" t="s">
        <v>64</v>
      </c>
      <c r="B123" s="521"/>
      <c r="C123" s="521"/>
      <c r="D123" s="521" t="s">
        <v>90</v>
      </c>
      <c r="E123" s="523">
        <f>E124+E126+E130+E133+E135+E140+E145+E143+E146+E138</f>
        <v>41069186</v>
      </c>
      <c r="F123" s="524">
        <f>F124+F126+F130+F133+F135+F140+F145+F143+F146+F138</f>
        <v>41069186</v>
      </c>
      <c r="G123" s="523">
        <f>G124+G126+G130+G133+G135+G140+G145+G143+G146+G138</f>
        <v>14843177</v>
      </c>
      <c r="H123" s="523">
        <f>H124+H126+H130+H133+H135+H140+H145+H143+H146+H138</f>
        <v>1706457</v>
      </c>
      <c r="I123" s="524">
        <f>I124+I126+I130+I133+I135+I140+I145</f>
        <v>0</v>
      </c>
      <c r="J123" s="525">
        <f>K123+N123</f>
        <v>8291893.3200000003</v>
      </c>
      <c r="K123" s="524">
        <f>K124+K126+K130+K133+K135+K140+K145+K143+K146+K138</f>
        <v>1892800</v>
      </c>
      <c r="L123" s="523">
        <f>L124+L126+L130+L133+L135+L140+L145+L143+L146+L138</f>
        <v>869800</v>
      </c>
      <c r="M123" s="523">
        <f>M124+M126+M130+M133+M135+M140+M145+M143+M146+M138</f>
        <v>289700</v>
      </c>
      <c r="N123" s="524">
        <f>N124+N126+N130+N133+N135+N140+N145+N146+N138</f>
        <v>6399093.3200000003</v>
      </c>
      <c r="O123" s="523">
        <f>O124+O126+O130+O133+O135+O140+O145+O146+O138</f>
        <v>6353593.3200000003</v>
      </c>
      <c r="P123" s="523">
        <f>E123+J123</f>
        <v>49361079.32</v>
      </c>
      <c r="Q123" s="251" t="b">
        <f>P123=P125+P127+P128+P129+P131+P132+P134+P136+P137+P141+P142+P144+P145+P146+P138</f>
        <v>1</v>
      </c>
      <c r="R123" s="253" t="b">
        <f>O123=[1]dod5!J89</f>
        <v>1</v>
      </c>
    </row>
    <row r="124" spans="1:18" ht="137.25" x14ac:dyDescent="0.2">
      <c r="A124" s="516" t="s">
        <v>349</v>
      </c>
      <c r="B124" s="516" t="s">
        <v>350</v>
      </c>
      <c r="C124" s="516"/>
      <c r="D124" s="516" t="s">
        <v>106</v>
      </c>
      <c r="E124" s="231">
        <f t="shared" ref="E124:E141" si="55">F124</f>
        <v>2670218</v>
      </c>
      <c r="F124" s="510">
        <f>F125</f>
        <v>2670218</v>
      </c>
      <c r="G124" s="372">
        <f>G125</f>
        <v>2040830</v>
      </c>
      <c r="H124" s="372">
        <f>H125</f>
        <v>69750</v>
      </c>
      <c r="I124" s="510">
        <f>I125</f>
        <v>0</v>
      </c>
      <c r="J124" s="231">
        <f t="shared" ref="J124:J146" si="56">K124+N124</f>
        <v>153092</v>
      </c>
      <c r="K124" s="510">
        <f>K125</f>
        <v>0</v>
      </c>
      <c r="L124" s="372">
        <f>L125</f>
        <v>0</v>
      </c>
      <c r="M124" s="372">
        <f>M125</f>
        <v>0</v>
      </c>
      <c r="N124" s="424">
        <f>O124</f>
        <v>153092</v>
      </c>
      <c r="O124" s="372">
        <f>O125</f>
        <v>153092</v>
      </c>
      <c r="P124" s="511">
        <f>+J124+E124</f>
        <v>2823310</v>
      </c>
    </row>
    <row r="125" spans="1:18" ht="137.25" x14ac:dyDescent="0.2">
      <c r="A125" s="509" t="s">
        <v>351</v>
      </c>
      <c r="B125" s="509" t="s">
        <v>352</v>
      </c>
      <c r="C125" s="509" t="s">
        <v>353</v>
      </c>
      <c r="D125" s="509" t="s">
        <v>354</v>
      </c>
      <c r="E125" s="46">
        <f t="shared" si="55"/>
        <v>2670218</v>
      </c>
      <c r="F125" s="46">
        <f>(2411785)+258433</f>
        <v>2670218</v>
      </c>
      <c r="G125" s="46">
        <f>(1829000)+211830</f>
        <v>2040830</v>
      </c>
      <c r="H125" s="46">
        <v>69750</v>
      </c>
      <c r="I125" s="46"/>
      <c r="J125" s="46">
        <f t="shared" si="56"/>
        <v>153092</v>
      </c>
      <c r="K125" s="424"/>
      <c r="L125" s="424"/>
      <c r="M125" s="424"/>
      <c r="N125" s="424">
        <f>O125</f>
        <v>153092</v>
      </c>
      <c r="O125" s="445">
        <f>(0)+153092</f>
        <v>153092</v>
      </c>
      <c r="P125" s="510">
        <f>+J125+E125</f>
        <v>2823310</v>
      </c>
    </row>
    <row r="126" spans="1:18" ht="91.5" x14ac:dyDescent="0.2">
      <c r="A126" s="516" t="s">
        <v>105</v>
      </c>
      <c r="B126" s="516" t="s">
        <v>328</v>
      </c>
      <c r="C126" s="516"/>
      <c r="D126" s="516" t="s">
        <v>76</v>
      </c>
      <c r="E126" s="231">
        <f t="shared" si="55"/>
        <v>5514522</v>
      </c>
      <c r="F126" s="46">
        <f>F127+F128+F129</f>
        <v>5514522</v>
      </c>
      <c r="G126" s="177">
        <f>G127+G128+G129</f>
        <v>1397600</v>
      </c>
      <c r="H126" s="177">
        <f>H127+H128+H129</f>
        <v>567977</v>
      </c>
      <c r="I126" s="46">
        <f>I127+I128</f>
        <v>0</v>
      </c>
      <c r="J126" s="231">
        <f t="shared" si="56"/>
        <v>1356872</v>
      </c>
      <c r="K126" s="46">
        <f>K127+K128+K129</f>
        <v>320000</v>
      </c>
      <c r="L126" s="177">
        <f t="shared" ref="L126:M126" si="57">L127+L128+L129</f>
        <v>148900</v>
      </c>
      <c r="M126" s="177">
        <f t="shared" si="57"/>
        <v>95400</v>
      </c>
      <c r="N126" s="424">
        <f>O126</f>
        <v>1036872</v>
      </c>
      <c r="O126" s="177">
        <f>O127+O128+O129</f>
        <v>1036872</v>
      </c>
      <c r="P126" s="511">
        <f>+J126+E126</f>
        <v>6871394</v>
      </c>
    </row>
    <row r="127" spans="1:18" ht="183" x14ac:dyDescent="0.2">
      <c r="A127" s="509" t="s">
        <v>104</v>
      </c>
      <c r="B127" s="509" t="s">
        <v>329</v>
      </c>
      <c r="C127" s="509" t="s">
        <v>353</v>
      </c>
      <c r="D127" s="509" t="s">
        <v>33</v>
      </c>
      <c r="E127" s="46">
        <f t="shared" si="55"/>
        <v>789000</v>
      </c>
      <c r="F127" s="46">
        <f>(769000)+20000</f>
        <v>789000</v>
      </c>
      <c r="G127" s="46"/>
      <c r="H127" s="46"/>
      <c r="I127" s="46"/>
      <c r="J127" s="46">
        <f t="shared" si="56"/>
        <v>0</v>
      </c>
      <c r="K127" s="424"/>
      <c r="L127" s="424"/>
      <c r="M127" s="424"/>
      <c r="N127" s="424">
        <f t="shared" ref="N127:N137" si="58">O127</f>
        <v>0</v>
      </c>
      <c r="O127" s="424"/>
      <c r="P127" s="510">
        <f>+J127+E127</f>
        <v>789000</v>
      </c>
    </row>
    <row r="128" spans="1:18" ht="91.5" x14ac:dyDescent="0.2">
      <c r="A128" s="509" t="s">
        <v>360</v>
      </c>
      <c r="B128" s="509" t="s">
        <v>361</v>
      </c>
      <c r="C128" s="509" t="s">
        <v>353</v>
      </c>
      <c r="D128" s="509" t="s">
        <v>34</v>
      </c>
      <c r="E128" s="46">
        <f t="shared" si="55"/>
        <v>3061125</v>
      </c>
      <c r="F128" s="46">
        <f>((2617077)+233020)+135028+76000</f>
        <v>3061125</v>
      </c>
      <c r="G128" s="46">
        <f>1397600-47800</f>
        <v>1349800</v>
      </c>
      <c r="H128" s="46">
        <v>497977</v>
      </c>
      <c r="I128" s="46"/>
      <c r="J128" s="46">
        <f t="shared" si="56"/>
        <v>956872</v>
      </c>
      <c r="K128" s="424">
        <v>320000</v>
      </c>
      <c r="L128" s="424">
        <v>148900</v>
      </c>
      <c r="M128" s="424">
        <v>95400</v>
      </c>
      <c r="N128" s="424">
        <f t="shared" si="58"/>
        <v>636872</v>
      </c>
      <c r="O128" s="424">
        <f>((0)+636872)</f>
        <v>636872</v>
      </c>
      <c r="P128" s="510">
        <f t="shared" ref="P128:P146" si="59">E128+J128</f>
        <v>4017997</v>
      </c>
    </row>
    <row r="129" spans="1:16" ht="91.5" x14ac:dyDescent="0.2">
      <c r="A129" s="509" t="s">
        <v>760</v>
      </c>
      <c r="B129" s="509" t="s">
        <v>761</v>
      </c>
      <c r="C129" s="509" t="s">
        <v>353</v>
      </c>
      <c r="D129" s="509" t="s">
        <v>762</v>
      </c>
      <c r="E129" s="46">
        <f t="shared" si="55"/>
        <v>1664397</v>
      </c>
      <c r="F129" s="46">
        <f>(761000)+153000+70000+58350+450270+171777</f>
        <v>1664397</v>
      </c>
      <c r="G129" s="46">
        <f>(0)+47800</f>
        <v>47800</v>
      </c>
      <c r="H129" s="46">
        <f>(0)+70000</f>
        <v>70000</v>
      </c>
      <c r="I129" s="46"/>
      <c r="J129" s="46">
        <f t="shared" si="56"/>
        <v>400000</v>
      </c>
      <c r="K129" s="424"/>
      <c r="L129" s="424"/>
      <c r="M129" s="424"/>
      <c r="N129" s="424">
        <f t="shared" si="58"/>
        <v>400000</v>
      </c>
      <c r="O129" s="424">
        <v>400000</v>
      </c>
      <c r="P129" s="510">
        <f t="shared" si="59"/>
        <v>2064397</v>
      </c>
    </row>
    <row r="130" spans="1:16" ht="91.5" x14ac:dyDescent="0.2">
      <c r="A130" s="516" t="s">
        <v>107</v>
      </c>
      <c r="B130" s="516" t="s">
        <v>355</v>
      </c>
      <c r="C130" s="516"/>
      <c r="D130" s="516" t="s">
        <v>108</v>
      </c>
      <c r="E130" s="231">
        <f t="shared" si="55"/>
        <v>10797100</v>
      </c>
      <c r="F130" s="46">
        <f>F131+F132</f>
        <v>10797100</v>
      </c>
      <c r="G130" s="46">
        <f>G131+G132</f>
        <v>0</v>
      </c>
      <c r="H130" s="46">
        <f>H131+H132</f>
        <v>0</v>
      </c>
      <c r="I130" s="422"/>
      <c r="J130" s="231">
        <f t="shared" si="56"/>
        <v>0</v>
      </c>
      <c r="K130" s="46">
        <f>K131+K132</f>
        <v>0</v>
      </c>
      <c r="L130" s="425"/>
      <c r="M130" s="425"/>
      <c r="N130" s="424">
        <f t="shared" si="58"/>
        <v>0</v>
      </c>
      <c r="O130" s="177">
        <f>O131+O132</f>
        <v>0</v>
      </c>
      <c r="P130" s="511">
        <f t="shared" si="59"/>
        <v>10797100</v>
      </c>
    </row>
    <row r="131" spans="1:16" ht="137.25" x14ac:dyDescent="0.2">
      <c r="A131" s="509" t="s">
        <v>109</v>
      </c>
      <c r="B131" s="509" t="s">
        <v>356</v>
      </c>
      <c r="C131" s="509" t="s">
        <v>370</v>
      </c>
      <c r="D131" s="509" t="s">
        <v>110</v>
      </c>
      <c r="E131" s="46">
        <f t="shared" si="55"/>
        <v>9084900</v>
      </c>
      <c r="F131" s="46">
        <f>((7229900)+30000+500000)+1300000+25000</f>
        <v>9084900</v>
      </c>
      <c r="G131" s="510"/>
      <c r="H131" s="510"/>
      <c r="I131" s="510"/>
      <c r="J131" s="510">
        <f t="shared" si="56"/>
        <v>0</v>
      </c>
      <c r="K131" s="510"/>
      <c r="L131" s="510"/>
      <c r="M131" s="510"/>
      <c r="N131" s="424">
        <f t="shared" si="58"/>
        <v>0</v>
      </c>
      <c r="O131" s="372"/>
      <c r="P131" s="510">
        <f t="shared" si="59"/>
        <v>9084900</v>
      </c>
    </row>
    <row r="132" spans="1:16" ht="137.25" x14ac:dyDescent="0.2">
      <c r="A132" s="509" t="s">
        <v>111</v>
      </c>
      <c r="B132" s="509" t="s">
        <v>357</v>
      </c>
      <c r="C132" s="509" t="s">
        <v>370</v>
      </c>
      <c r="D132" s="509" t="s">
        <v>11</v>
      </c>
      <c r="E132" s="46">
        <f t="shared" si="55"/>
        <v>1712200</v>
      </c>
      <c r="F132" s="46">
        <f>((1472200)+565000-500000)+175000</f>
        <v>1712200</v>
      </c>
      <c r="G132" s="510"/>
      <c r="H132" s="510"/>
      <c r="I132" s="510"/>
      <c r="J132" s="510">
        <f t="shared" si="56"/>
        <v>0</v>
      </c>
      <c r="K132" s="510"/>
      <c r="L132" s="510"/>
      <c r="M132" s="510"/>
      <c r="N132" s="424">
        <f t="shared" si="58"/>
        <v>0</v>
      </c>
      <c r="O132" s="372"/>
      <c r="P132" s="510">
        <f t="shared" si="59"/>
        <v>1712200</v>
      </c>
    </row>
    <row r="133" spans="1:16" ht="137.25" x14ac:dyDescent="0.2">
      <c r="A133" s="516" t="s">
        <v>112</v>
      </c>
      <c r="B133" s="516" t="s">
        <v>358</v>
      </c>
      <c r="C133" s="516"/>
      <c r="D133" s="516" t="s">
        <v>752</v>
      </c>
      <c r="E133" s="231">
        <f t="shared" si="55"/>
        <v>11500</v>
      </c>
      <c r="F133" s="46">
        <f>F134</f>
        <v>11500</v>
      </c>
      <c r="G133" s="177">
        <f>G134</f>
        <v>0</v>
      </c>
      <c r="H133" s="177">
        <f>H134</f>
        <v>0</v>
      </c>
      <c r="I133" s="510"/>
      <c r="J133" s="511">
        <f t="shared" si="56"/>
        <v>0</v>
      </c>
      <c r="K133" s="46">
        <f>K134</f>
        <v>0</v>
      </c>
      <c r="L133" s="177">
        <f>L134</f>
        <v>0</v>
      </c>
      <c r="M133" s="177">
        <f>M134</f>
        <v>0</v>
      </c>
      <c r="N133" s="424">
        <f>N134</f>
        <v>0</v>
      </c>
      <c r="O133" s="177">
        <f>O134</f>
        <v>0</v>
      </c>
      <c r="P133" s="511">
        <f t="shared" si="59"/>
        <v>11500</v>
      </c>
    </row>
    <row r="134" spans="1:16" ht="183" x14ac:dyDescent="0.2">
      <c r="A134" s="509" t="s">
        <v>113</v>
      </c>
      <c r="B134" s="509" t="s">
        <v>359</v>
      </c>
      <c r="C134" s="509" t="s">
        <v>370</v>
      </c>
      <c r="D134" s="509" t="s">
        <v>753</v>
      </c>
      <c r="E134" s="46">
        <f>F134</f>
        <v>11500</v>
      </c>
      <c r="F134" s="46">
        <v>11500</v>
      </c>
      <c r="G134" s="46"/>
      <c r="H134" s="46"/>
      <c r="I134" s="510"/>
      <c r="J134" s="510">
        <f t="shared" si="56"/>
        <v>0</v>
      </c>
      <c r="K134" s="46"/>
      <c r="L134" s="46"/>
      <c r="M134" s="46"/>
      <c r="N134" s="424">
        <f>O134</f>
        <v>0</v>
      </c>
      <c r="O134" s="46"/>
      <c r="P134" s="510">
        <f t="shared" si="59"/>
        <v>11500</v>
      </c>
    </row>
    <row r="135" spans="1:16" ht="91.5" x14ac:dyDescent="0.2">
      <c r="A135" s="516" t="s">
        <v>78</v>
      </c>
      <c r="B135" s="516" t="s">
        <v>365</v>
      </c>
      <c r="C135" s="516"/>
      <c r="D135" s="516" t="s">
        <v>79</v>
      </c>
      <c r="E135" s="231">
        <f t="shared" si="55"/>
        <v>20317598</v>
      </c>
      <c r="F135" s="46">
        <f>F136+F137</f>
        <v>20317598</v>
      </c>
      <c r="G135" s="177">
        <f>G136+G137</f>
        <v>10749300</v>
      </c>
      <c r="H135" s="177">
        <f>H136+H137</f>
        <v>1068730</v>
      </c>
      <c r="I135" s="46">
        <f>I136+I137</f>
        <v>0</v>
      </c>
      <c r="J135" s="511">
        <f t="shared" si="56"/>
        <v>4287229.32</v>
      </c>
      <c r="K135" s="46">
        <f>K136+K137</f>
        <v>1547800</v>
      </c>
      <c r="L135" s="177">
        <f>L136+L137</f>
        <v>720900</v>
      </c>
      <c r="M135" s="177">
        <f>M136+M137</f>
        <v>194300</v>
      </c>
      <c r="N135" s="424">
        <f>N136+N137</f>
        <v>2739429.3200000003</v>
      </c>
      <c r="O135" s="46">
        <f>O136+O137</f>
        <v>2693929.3200000003</v>
      </c>
      <c r="P135" s="511">
        <f t="shared" si="59"/>
        <v>24604827.32</v>
      </c>
    </row>
    <row r="136" spans="1:16" ht="183" x14ac:dyDescent="0.2">
      <c r="A136" s="509" t="s">
        <v>77</v>
      </c>
      <c r="B136" s="509" t="s">
        <v>366</v>
      </c>
      <c r="C136" s="509" t="s">
        <v>370</v>
      </c>
      <c r="D136" s="509" t="s">
        <v>114</v>
      </c>
      <c r="E136" s="46">
        <f t="shared" si="55"/>
        <v>16494908</v>
      </c>
      <c r="F136" s="46">
        <f>(((15491860)+526918)+446130)+30000</f>
        <v>16494908</v>
      </c>
      <c r="G136" s="46">
        <f>(10666900)+82400</f>
        <v>10749300</v>
      </c>
      <c r="H136" s="46">
        <f>(1023730)+45000</f>
        <v>1068730</v>
      </c>
      <c r="I136" s="46"/>
      <c r="J136" s="46">
        <f t="shared" si="56"/>
        <v>4287229.32</v>
      </c>
      <c r="K136" s="46">
        <v>1547800</v>
      </c>
      <c r="L136" s="46">
        <v>720900</v>
      </c>
      <c r="M136" s="46">
        <f>222700-(28400)</f>
        <v>194300</v>
      </c>
      <c r="N136" s="424">
        <f>O136+45500</f>
        <v>2739429.3200000003</v>
      </c>
      <c r="O136" s="177">
        <f>((1436800)+1120764.32+135500)+865</f>
        <v>2693929.3200000003</v>
      </c>
      <c r="P136" s="510">
        <f t="shared" si="59"/>
        <v>20782137.32</v>
      </c>
    </row>
    <row r="137" spans="1:16" ht="183" x14ac:dyDescent="0.2">
      <c r="A137" s="509" t="s">
        <v>80</v>
      </c>
      <c r="B137" s="509" t="s">
        <v>367</v>
      </c>
      <c r="C137" s="509" t="s">
        <v>370</v>
      </c>
      <c r="D137" s="509" t="s">
        <v>115</v>
      </c>
      <c r="E137" s="46">
        <f t="shared" si="55"/>
        <v>3822690</v>
      </c>
      <c r="F137" s="46">
        <f>((3262600)+459986)+100104</f>
        <v>3822690</v>
      </c>
      <c r="G137" s="46"/>
      <c r="H137" s="46"/>
      <c r="I137" s="46"/>
      <c r="J137" s="46">
        <f t="shared" si="56"/>
        <v>0</v>
      </c>
      <c r="K137" s="46"/>
      <c r="L137" s="46"/>
      <c r="M137" s="46"/>
      <c r="N137" s="424">
        <f t="shared" si="58"/>
        <v>0</v>
      </c>
      <c r="O137" s="177"/>
      <c r="P137" s="510">
        <f t="shared" si="59"/>
        <v>3822690</v>
      </c>
    </row>
    <row r="138" spans="1:16" ht="91.5" x14ac:dyDescent="0.2">
      <c r="A138" s="516" t="s">
        <v>1004</v>
      </c>
      <c r="B138" s="516" t="s">
        <v>1005</v>
      </c>
      <c r="C138" s="516"/>
      <c r="D138" s="516" t="s">
        <v>1003</v>
      </c>
      <c r="E138" s="231">
        <f t="shared" si="55"/>
        <v>25000</v>
      </c>
      <c r="F138" s="46">
        <f>F139</f>
        <v>25000</v>
      </c>
      <c r="G138" s="177">
        <f>G139</f>
        <v>0</v>
      </c>
      <c r="H138" s="177">
        <f>H139</f>
        <v>0</v>
      </c>
      <c r="I138" s="510"/>
      <c r="J138" s="511">
        <f t="shared" si="56"/>
        <v>0</v>
      </c>
      <c r="K138" s="46">
        <f>K139</f>
        <v>0</v>
      </c>
      <c r="L138" s="177">
        <f>L139</f>
        <v>0</v>
      </c>
      <c r="M138" s="177">
        <f>M139</f>
        <v>0</v>
      </c>
      <c r="N138" s="424">
        <f>N139</f>
        <v>0</v>
      </c>
      <c r="O138" s="177">
        <f>O139</f>
        <v>0</v>
      </c>
      <c r="P138" s="511">
        <f t="shared" si="59"/>
        <v>25000</v>
      </c>
    </row>
    <row r="139" spans="1:16" ht="320.25" x14ac:dyDescent="0.2">
      <c r="A139" s="509" t="s">
        <v>1007</v>
      </c>
      <c r="B139" s="509" t="s">
        <v>1008</v>
      </c>
      <c r="C139" s="509" t="s">
        <v>370</v>
      </c>
      <c r="D139" s="509" t="s">
        <v>1006</v>
      </c>
      <c r="E139" s="46">
        <f>F139</f>
        <v>25000</v>
      </c>
      <c r="F139" s="46">
        <v>25000</v>
      </c>
      <c r="G139" s="46"/>
      <c r="H139" s="46"/>
      <c r="I139" s="510"/>
      <c r="J139" s="510">
        <f t="shared" si="56"/>
        <v>0</v>
      </c>
      <c r="K139" s="46"/>
      <c r="L139" s="46"/>
      <c r="M139" s="46"/>
      <c r="N139" s="424">
        <f>O139</f>
        <v>0</v>
      </c>
      <c r="O139" s="46">
        <v>0</v>
      </c>
      <c r="P139" s="510">
        <f t="shared" si="59"/>
        <v>25000</v>
      </c>
    </row>
    <row r="140" spans="1:16" ht="91.5" x14ac:dyDescent="0.2">
      <c r="A140" s="516" t="s">
        <v>116</v>
      </c>
      <c r="B140" s="516" t="s">
        <v>368</v>
      </c>
      <c r="C140" s="516"/>
      <c r="D140" s="516" t="s">
        <v>81</v>
      </c>
      <c r="E140" s="231">
        <f t="shared" si="55"/>
        <v>1722328</v>
      </c>
      <c r="F140" s="46">
        <f>F141+F142</f>
        <v>1722328</v>
      </c>
      <c r="G140" s="177">
        <f>G141+G142</f>
        <v>655447</v>
      </c>
      <c r="H140" s="177">
        <f>H141+H142</f>
        <v>0</v>
      </c>
      <c r="I140" s="46">
        <f>I141+I142</f>
        <v>0</v>
      </c>
      <c r="J140" s="511">
        <f t="shared" si="56"/>
        <v>89400</v>
      </c>
      <c r="K140" s="46">
        <f>K141+K142</f>
        <v>25000</v>
      </c>
      <c r="L140" s="177">
        <f>L141+L142</f>
        <v>0</v>
      </c>
      <c r="M140" s="177">
        <f>M141+M142</f>
        <v>0</v>
      </c>
      <c r="N140" s="424">
        <f>N141+N142</f>
        <v>64400</v>
      </c>
      <c r="O140" s="372">
        <f>O141+O142</f>
        <v>64400</v>
      </c>
      <c r="P140" s="511">
        <f t="shared" si="59"/>
        <v>1811728</v>
      </c>
    </row>
    <row r="141" spans="1:16" ht="274.5" x14ac:dyDescent="0.2">
      <c r="A141" s="446" t="s">
        <v>82</v>
      </c>
      <c r="B141" s="446" t="s">
        <v>369</v>
      </c>
      <c r="C141" s="446" t="s">
        <v>370</v>
      </c>
      <c r="D141" s="509" t="s">
        <v>83</v>
      </c>
      <c r="E141" s="46">
        <f t="shared" si="55"/>
        <v>722400</v>
      </c>
      <c r="F141" s="46">
        <f>(557400)+60000+105000</f>
        <v>722400</v>
      </c>
      <c r="G141" s="510"/>
      <c r="H141" s="510"/>
      <c r="I141" s="510"/>
      <c r="J141" s="510">
        <f>K141+N141</f>
        <v>0</v>
      </c>
      <c r="K141" s="510"/>
      <c r="L141" s="510"/>
      <c r="M141" s="510"/>
      <c r="N141" s="424">
        <f t="shared" ref="N141:N146" si="60">O141</f>
        <v>0</v>
      </c>
      <c r="O141" s="510"/>
      <c r="P141" s="510">
        <f t="shared" si="59"/>
        <v>722400</v>
      </c>
    </row>
    <row r="142" spans="1:16" ht="91.5" x14ac:dyDescent="0.2">
      <c r="A142" s="446" t="s">
        <v>84</v>
      </c>
      <c r="B142" s="446" t="s">
        <v>371</v>
      </c>
      <c r="C142" s="446" t="s">
        <v>370</v>
      </c>
      <c r="D142" s="509" t="s">
        <v>85</v>
      </c>
      <c r="E142" s="46">
        <f>F142</f>
        <v>999928</v>
      </c>
      <c r="F142" s="46">
        <f>(914158)+155770-70000</f>
        <v>999928</v>
      </c>
      <c r="G142" s="510">
        <f>(590447)+65000</f>
        <v>655447</v>
      </c>
      <c r="H142" s="510"/>
      <c r="I142" s="510"/>
      <c r="J142" s="510">
        <f t="shared" si="56"/>
        <v>89400</v>
      </c>
      <c r="K142" s="510">
        <f>20900+4100</f>
        <v>25000</v>
      </c>
      <c r="L142" s="510"/>
      <c r="M142" s="510"/>
      <c r="N142" s="424">
        <f t="shared" si="60"/>
        <v>64400</v>
      </c>
      <c r="O142" s="510">
        <f>(32400+45000)+387000-400000</f>
        <v>64400</v>
      </c>
      <c r="P142" s="510">
        <f t="shared" si="59"/>
        <v>1089328</v>
      </c>
    </row>
    <row r="143" spans="1:16" ht="91.5" x14ac:dyDescent="0.2">
      <c r="A143" s="429" t="s">
        <v>704</v>
      </c>
      <c r="B143" s="429" t="s">
        <v>706</v>
      </c>
      <c r="C143" s="429"/>
      <c r="D143" s="516" t="s">
        <v>705</v>
      </c>
      <c r="E143" s="231">
        <f>F143</f>
        <v>10920</v>
      </c>
      <c r="F143" s="46">
        <f>F144</f>
        <v>10920</v>
      </c>
      <c r="G143" s="177"/>
      <c r="H143" s="177"/>
      <c r="I143" s="46"/>
      <c r="J143" s="511">
        <f t="shared" si="56"/>
        <v>0</v>
      </c>
      <c r="K143" s="46"/>
      <c r="L143" s="177"/>
      <c r="M143" s="177"/>
      <c r="N143" s="424">
        <f t="shared" si="60"/>
        <v>0</v>
      </c>
      <c r="O143" s="372"/>
      <c r="P143" s="511">
        <f t="shared" si="59"/>
        <v>10920</v>
      </c>
    </row>
    <row r="144" spans="1:16" ht="274.5" x14ac:dyDescent="0.2">
      <c r="A144" s="446" t="s">
        <v>710</v>
      </c>
      <c r="B144" s="446" t="s">
        <v>709</v>
      </c>
      <c r="C144" s="446" t="s">
        <v>708</v>
      </c>
      <c r="D144" s="509" t="s">
        <v>707</v>
      </c>
      <c r="E144" s="46">
        <f>F144</f>
        <v>10920</v>
      </c>
      <c r="F144" s="46">
        <v>10920</v>
      </c>
      <c r="G144" s="510"/>
      <c r="H144" s="510"/>
      <c r="I144" s="510"/>
      <c r="J144" s="510">
        <f t="shared" si="56"/>
        <v>0</v>
      </c>
      <c r="K144" s="510"/>
      <c r="L144" s="510"/>
      <c r="M144" s="510"/>
      <c r="N144" s="424">
        <f t="shared" si="60"/>
        <v>0</v>
      </c>
      <c r="O144" s="510"/>
      <c r="P144" s="510">
        <f t="shared" si="59"/>
        <v>10920</v>
      </c>
    </row>
    <row r="145" spans="1:18" ht="91.5" x14ac:dyDescent="0.2">
      <c r="A145" s="429" t="s">
        <v>372</v>
      </c>
      <c r="B145" s="429" t="s">
        <v>373</v>
      </c>
      <c r="C145" s="429" t="s">
        <v>324</v>
      </c>
      <c r="D145" s="516" t="s">
        <v>89</v>
      </c>
      <c r="E145" s="231">
        <f>F145</f>
        <v>0</v>
      </c>
      <c r="F145" s="46"/>
      <c r="G145" s="177"/>
      <c r="H145" s="177"/>
      <c r="I145" s="46"/>
      <c r="J145" s="511">
        <f t="shared" si="56"/>
        <v>2405300</v>
      </c>
      <c r="K145" s="46"/>
      <c r="L145" s="177"/>
      <c r="M145" s="177"/>
      <c r="N145" s="424">
        <f t="shared" si="60"/>
        <v>2405300</v>
      </c>
      <c r="O145" s="372">
        <f>(2500000)-123000+509606-499606+18300</f>
        <v>2405300</v>
      </c>
      <c r="P145" s="511">
        <f t="shared" si="59"/>
        <v>2405300</v>
      </c>
    </row>
    <row r="146" spans="1:18" ht="91.5" hidden="1" x14ac:dyDescent="0.2">
      <c r="A146" s="516" t="s">
        <v>964</v>
      </c>
      <c r="B146" s="515" t="s">
        <v>799</v>
      </c>
      <c r="C146" s="515" t="s">
        <v>103</v>
      </c>
      <c r="D146" s="515" t="s">
        <v>800</v>
      </c>
      <c r="E146" s="231">
        <f>F146</f>
        <v>0</v>
      </c>
      <c r="F146" s="46">
        <f>30000-30000</f>
        <v>0</v>
      </c>
      <c r="G146" s="177"/>
      <c r="H146" s="177"/>
      <c r="I146" s="46"/>
      <c r="J146" s="511">
        <f t="shared" si="56"/>
        <v>0</v>
      </c>
      <c r="K146" s="46"/>
      <c r="L146" s="177"/>
      <c r="M146" s="177"/>
      <c r="N146" s="424">
        <f t="shared" si="60"/>
        <v>0</v>
      </c>
      <c r="O146" s="372"/>
      <c r="P146" s="511">
        <f t="shared" si="59"/>
        <v>0</v>
      </c>
    </row>
    <row r="147" spans="1:18" ht="180" x14ac:dyDescent="0.2">
      <c r="A147" s="517" t="s">
        <v>312</v>
      </c>
      <c r="B147" s="517"/>
      <c r="C147" s="517"/>
      <c r="D147" s="517" t="s">
        <v>67</v>
      </c>
      <c r="E147" s="524">
        <f>E148</f>
        <v>196989384.26999998</v>
      </c>
      <c r="F147" s="524">
        <f t="shared" ref="F147:P147" si="61">F148</f>
        <v>196989384.26999998</v>
      </c>
      <c r="G147" s="524">
        <f t="shared" si="61"/>
        <v>843750</v>
      </c>
      <c r="H147" s="524">
        <f t="shared" si="61"/>
        <v>11500</v>
      </c>
      <c r="I147" s="524">
        <f t="shared" si="61"/>
        <v>0</v>
      </c>
      <c r="J147" s="524">
        <f t="shared" si="61"/>
        <v>219739659.97</v>
      </c>
      <c r="K147" s="524">
        <f t="shared" si="61"/>
        <v>7400</v>
      </c>
      <c r="L147" s="524">
        <f t="shared" si="61"/>
        <v>0</v>
      </c>
      <c r="M147" s="524">
        <f t="shared" si="61"/>
        <v>0</v>
      </c>
      <c r="N147" s="524">
        <f t="shared" si="61"/>
        <v>219732259.97</v>
      </c>
      <c r="O147" s="523">
        <f t="shared" si="61"/>
        <v>219218036.88</v>
      </c>
      <c r="P147" s="524">
        <f t="shared" si="61"/>
        <v>416729044.24000001</v>
      </c>
    </row>
    <row r="148" spans="1:18" ht="180" x14ac:dyDescent="0.2">
      <c r="A148" s="521" t="s">
        <v>313</v>
      </c>
      <c r="B148" s="521"/>
      <c r="C148" s="521"/>
      <c r="D148" s="521" t="s">
        <v>95</v>
      </c>
      <c r="E148" s="523">
        <f>E149+E155+E156+E157+E161+E163+E165+E166+E167+E168+E159</f>
        <v>196989384.26999998</v>
      </c>
      <c r="F148" s="524">
        <f>F149+F155+F156+F157+F161+F163+F165+F166+F167+F168+F159</f>
        <v>196989384.26999998</v>
      </c>
      <c r="G148" s="523">
        <f>G149+G155+G156+G157+G161+G163+G165+G166+G167+G168</f>
        <v>843750</v>
      </c>
      <c r="H148" s="523">
        <f>H149+H155+H156+H157+H161+H163+H165+H166+H167+H168</f>
        <v>11500</v>
      </c>
      <c r="I148" s="524">
        <f>I149+I155+I156+I157+I161+I163+I165+I166+I167+I168</f>
        <v>0</v>
      </c>
      <c r="J148" s="523">
        <f t="shared" ref="J148:J168" si="62">K148+N148</f>
        <v>219739659.97</v>
      </c>
      <c r="K148" s="524">
        <f>K149+K155+K156+K157+K161+K163+K165+K166+K167+K168+K159</f>
        <v>7400</v>
      </c>
      <c r="L148" s="523">
        <f>L149+L155+L156+L157+L161+L163+L165+L166+L167+L168</f>
        <v>0</v>
      </c>
      <c r="M148" s="523">
        <f>M149+M155+M156+M157+M161+M163+M165+M166+M167+M168</f>
        <v>0</v>
      </c>
      <c r="N148" s="524">
        <f>N149+N155+N156+N157+N158+N161+N163+N165+N166+N167+N168+N159</f>
        <v>219732259.97</v>
      </c>
      <c r="O148" s="523">
        <f>O149+O155+O156+O157+O158+O161+O163+O165+O166+O167+O168+O159</f>
        <v>219218036.88</v>
      </c>
      <c r="P148" s="523">
        <f>E148+J148</f>
        <v>416729044.24000001</v>
      </c>
      <c r="Q148" s="251" t="b">
        <f>P148=P150+P152+P153+P154+P155+P156+P157+P158+P162+P164+P165+P166+P167+P168+P151+P159</f>
        <v>1</v>
      </c>
      <c r="R148" s="253" t="b">
        <f>O148=[1]dod5!J107</f>
        <v>1</v>
      </c>
    </row>
    <row r="149" spans="1:18" ht="137.25" x14ac:dyDescent="0.2">
      <c r="A149" s="516" t="s">
        <v>527</v>
      </c>
      <c r="B149" s="516" t="s">
        <v>528</v>
      </c>
      <c r="C149" s="516"/>
      <c r="D149" s="516" t="s">
        <v>531</v>
      </c>
      <c r="E149" s="511">
        <f t="shared" ref="E149:E168" si="63">F149</f>
        <v>19309669</v>
      </c>
      <c r="F149" s="510">
        <f>SUM(F150:F154)</f>
        <v>19309669</v>
      </c>
      <c r="G149" s="177"/>
      <c r="H149" s="372"/>
      <c r="I149" s="510"/>
      <c r="J149" s="511">
        <f t="shared" si="62"/>
        <v>41471500</v>
      </c>
      <c r="K149" s="510">
        <f>SUM(K150:K154)</f>
        <v>0</v>
      </c>
      <c r="L149" s="372"/>
      <c r="M149" s="372"/>
      <c r="N149" s="510">
        <f t="shared" ref="N149:N154" si="64">O149</f>
        <v>41471500</v>
      </c>
      <c r="O149" s="510">
        <f>SUM(O150:O154)</f>
        <v>41471500</v>
      </c>
      <c r="P149" s="511">
        <f t="shared" ref="P149" si="65">E149+J149</f>
        <v>60781169</v>
      </c>
      <c r="R149" s="253">
        <f>O148-[1]dod5!J107</f>
        <v>0</v>
      </c>
    </row>
    <row r="150" spans="1:18" ht="137.25" x14ac:dyDescent="0.2">
      <c r="A150" s="509" t="s">
        <v>529</v>
      </c>
      <c r="B150" s="509" t="s">
        <v>530</v>
      </c>
      <c r="C150" s="509" t="s">
        <v>533</v>
      </c>
      <c r="D150" s="509" t="s">
        <v>532</v>
      </c>
      <c r="E150" s="46">
        <f t="shared" si="63"/>
        <v>3264869</v>
      </c>
      <c r="F150" s="46">
        <f>((3189750)+748000)-672881</f>
        <v>3264869</v>
      </c>
      <c r="G150" s="46"/>
      <c r="H150" s="46"/>
      <c r="I150" s="46"/>
      <c r="J150" s="46">
        <f t="shared" si="62"/>
        <v>5071500</v>
      </c>
      <c r="K150" s="424"/>
      <c r="L150" s="424"/>
      <c r="M150" s="424"/>
      <c r="N150" s="424">
        <f t="shared" si="64"/>
        <v>5071500</v>
      </c>
      <c r="O150" s="424">
        <f>((1400000)+2866500)+805000</f>
        <v>5071500</v>
      </c>
      <c r="P150" s="510">
        <f>+J150+E150</f>
        <v>8336369</v>
      </c>
    </row>
    <row r="151" spans="1:18" ht="137.25" x14ac:dyDescent="0.2">
      <c r="A151" s="509" t="s">
        <v>971</v>
      </c>
      <c r="B151" s="509" t="s">
        <v>972</v>
      </c>
      <c r="C151" s="509" t="s">
        <v>533</v>
      </c>
      <c r="D151" s="509" t="s">
        <v>973</v>
      </c>
      <c r="E151" s="46">
        <f>F151</f>
        <v>13000000</v>
      </c>
      <c r="F151" s="46">
        <v>13000000</v>
      </c>
      <c r="G151" s="46"/>
      <c r="H151" s="46"/>
      <c r="I151" s="46"/>
      <c r="J151" s="46">
        <f t="shared" si="62"/>
        <v>0</v>
      </c>
      <c r="K151" s="424"/>
      <c r="L151" s="424"/>
      <c r="M151" s="424"/>
      <c r="N151" s="424">
        <f t="shared" si="64"/>
        <v>0</v>
      </c>
      <c r="O151" s="424"/>
      <c r="P151" s="510">
        <f>+J151+E151</f>
        <v>13000000</v>
      </c>
    </row>
    <row r="152" spans="1:18" ht="137.25" x14ac:dyDescent="0.2">
      <c r="A152" s="509" t="s">
        <v>537</v>
      </c>
      <c r="B152" s="509" t="s">
        <v>538</v>
      </c>
      <c r="C152" s="509" t="s">
        <v>533</v>
      </c>
      <c r="D152" s="509" t="s">
        <v>539</v>
      </c>
      <c r="E152" s="46">
        <f t="shared" si="63"/>
        <v>2984800</v>
      </c>
      <c r="F152" s="46">
        <f>(484800)+2500000</f>
        <v>2984800</v>
      </c>
      <c r="G152" s="46"/>
      <c r="H152" s="46"/>
      <c r="I152" s="46"/>
      <c r="J152" s="46">
        <f t="shared" si="62"/>
        <v>0</v>
      </c>
      <c r="K152" s="424"/>
      <c r="L152" s="424"/>
      <c r="M152" s="424"/>
      <c r="N152" s="424">
        <f t="shared" si="64"/>
        <v>0</v>
      </c>
      <c r="O152" s="424"/>
      <c r="P152" s="510">
        <f>+J152+E152</f>
        <v>2984800</v>
      </c>
    </row>
    <row r="153" spans="1:18" ht="137.25" x14ac:dyDescent="0.2">
      <c r="A153" s="509" t="s">
        <v>567</v>
      </c>
      <c r="B153" s="509" t="s">
        <v>568</v>
      </c>
      <c r="C153" s="509" t="s">
        <v>533</v>
      </c>
      <c r="D153" s="509" t="s">
        <v>569</v>
      </c>
      <c r="E153" s="46">
        <f t="shared" si="63"/>
        <v>0</v>
      </c>
      <c r="F153" s="46"/>
      <c r="G153" s="46"/>
      <c r="H153" s="46"/>
      <c r="I153" s="46"/>
      <c r="J153" s="46">
        <f t="shared" si="62"/>
        <v>5600000</v>
      </c>
      <c r="K153" s="424"/>
      <c r="L153" s="424"/>
      <c r="M153" s="424"/>
      <c r="N153" s="424">
        <f t="shared" si="64"/>
        <v>5600000</v>
      </c>
      <c r="O153" s="424">
        <f>(5000000)+600000</f>
        <v>5600000</v>
      </c>
      <c r="P153" s="510">
        <f>+J153+E153</f>
        <v>5600000</v>
      </c>
    </row>
    <row r="154" spans="1:18" ht="183" x14ac:dyDescent="0.2">
      <c r="A154" s="509" t="s">
        <v>534</v>
      </c>
      <c r="B154" s="509" t="s">
        <v>535</v>
      </c>
      <c r="C154" s="509" t="s">
        <v>533</v>
      </c>
      <c r="D154" s="509" t="s">
        <v>536</v>
      </c>
      <c r="E154" s="46">
        <f t="shared" si="63"/>
        <v>60000</v>
      </c>
      <c r="F154" s="46">
        <v>60000</v>
      </c>
      <c r="G154" s="46"/>
      <c r="H154" s="46"/>
      <c r="I154" s="46"/>
      <c r="J154" s="46">
        <f t="shared" si="62"/>
        <v>30800000</v>
      </c>
      <c r="K154" s="424"/>
      <c r="L154" s="424"/>
      <c r="M154" s="424"/>
      <c r="N154" s="424">
        <f t="shared" si="64"/>
        <v>30800000</v>
      </c>
      <c r="O154" s="424">
        <f>((34000000)+2000000)-2188000-3012000</f>
        <v>30800000</v>
      </c>
      <c r="P154" s="510">
        <f>+J154+E154</f>
        <v>30860000</v>
      </c>
    </row>
    <row r="155" spans="1:18" ht="228.75" x14ac:dyDescent="0.2">
      <c r="A155" s="516" t="s">
        <v>561</v>
      </c>
      <c r="B155" s="516" t="s">
        <v>562</v>
      </c>
      <c r="C155" s="516" t="s">
        <v>533</v>
      </c>
      <c r="D155" s="516" t="s">
        <v>563</v>
      </c>
      <c r="E155" s="231">
        <f t="shared" si="63"/>
        <v>11156382</v>
      </c>
      <c r="F155" s="46">
        <f>((138000+1109401)+81800+6500000-550000)+865181+2500000+512000</f>
        <v>11156382</v>
      </c>
      <c r="G155" s="177"/>
      <c r="H155" s="177"/>
      <c r="I155" s="46"/>
      <c r="J155" s="511">
        <f t="shared" si="62"/>
        <v>0</v>
      </c>
      <c r="K155" s="46"/>
      <c r="L155" s="177"/>
      <c r="M155" s="177"/>
      <c r="N155" s="424">
        <f>O155</f>
        <v>0</v>
      </c>
      <c r="O155" s="372"/>
      <c r="P155" s="511">
        <f t="shared" ref="P155:P161" si="66">E155+J155</f>
        <v>11156382</v>
      </c>
    </row>
    <row r="156" spans="1:18" ht="91.5" x14ac:dyDescent="0.2">
      <c r="A156" s="516" t="s">
        <v>540</v>
      </c>
      <c r="B156" s="516" t="s">
        <v>541</v>
      </c>
      <c r="C156" s="516" t="s">
        <v>533</v>
      </c>
      <c r="D156" s="516" t="s">
        <v>542</v>
      </c>
      <c r="E156" s="231">
        <f t="shared" si="63"/>
        <v>100002658.27</v>
      </c>
      <c r="F156" s="46">
        <f>((88681880)+3989126)+7719149.27-200000+454100-150000+66378-107705-450270</f>
        <v>100002658.27</v>
      </c>
      <c r="G156" s="177"/>
      <c r="H156" s="177"/>
      <c r="I156" s="46"/>
      <c r="J156" s="511">
        <f t="shared" si="62"/>
        <v>19715699</v>
      </c>
      <c r="K156" s="46"/>
      <c r="L156" s="177"/>
      <c r="M156" s="177"/>
      <c r="N156" s="424">
        <f>O156</f>
        <v>19715699</v>
      </c>
      <c r="O156" s="372">
        <f>((10282110)+8145732+450000)+737600+100257</f>
        <v>19715699</v>
      </c>
      <c r="P156" s="511">
        <f t="shared" si="66"/>
        <v>119718357.27</v>
      </c>
    </row>
    <row r="157" spans="1:18" ht="92.25" x14ac:dyDescent="0.2">
      <c r="A157" s="516" t="s">
        <v>571</v>
      </c>
      <c r="B157" s="516" t="s">
        <v>572</v>
      </c>
      <c r="C157" s="516" t="s">
        <v>570</v>
      </c>
      <c r="D157" s="516" t="s">
        <v>573</v>
      </c>
      <c r="E157" s="231">
        <f t="shared" si="63"/>
        <v>0</v>
      </c>
      <c r="F157" s="46"/>
      <c r="G157" s="177"/>
      <c r="H157" s="177"/>
      <c r="I157" s="46"/>
      <c r="J157" s="511">
        <f t="shared" si="62"/>
        <v>13738415.880000001</v>
      </c>
      <c r="K157" s="46"/>
      <c r="L157" s="177"/>
      <c r="M157" s="177"/>
      <c r="N157" s="424">
        <f>O157</f>
        <v>13738415.880000001</v>
      </c>
      <c r="O157" s="372">
        <f>((20000000)+5000000)-11261584.12</f>
        <v>13738415.880000001</v>
      </c>
      <c r="P157" s="511">
        <f t="shared" si="66"/>
        <v>13738415.880000001</v>
      </c>
    </row>
    <row r="158" spans="1:18" ht="183" x14ac:dyDescent="0.2">
      <c r="A158" s="516" t="s">
        <v>721</v>
      </c>
      <c r="B158" s="516" t="s">
        <v>609</v>
      </c>
      <c r="C158" s="516" t="s">
        <v>570</v>
      </c>
      <c r="D158" s="516" t="s">
        <v>607</v>
      </c>
      <c r="E158" s="231">
        <v>0</v>
      </c>
      <c r="F158" s="46"/>
      <c r="G158" s="177"/>
      <c r="H158" s="177"/>
      <c r="I158" s="46"/>
      <c r="J158" s="511">
        <f t="shared" si="62"/>
        <v>700000</v>
      </c>
      <c r="K158" s="46"/>
      <c r="L158" s="177"/>
      <c r="M158" s="177"/>
      <c r="N158" s="424">
        <f>O158</f>
        <v>700000</v>
      </c>
      <c r="O158" s="372">
        <v>700000</v>
      </c>
      <c r="P158" s="511">
        <f t="shared" si="66"/>
        <v>700000</v>
      </c>
    </row>
    <row r="159" spans="1:18" ht="91.5" hidden="1" x14ac:dyDescent="0.2">
      <c r="A159" s="516" t="s">
        <v>975</v>
      </c>
      <c r="B159" s="516" t="s">
        <v>976</v>
      </c>
      <c r="C159" s="516"/>
      <c r="D159" s="516" t="s">
        <v>974</v>
      </c>
      <c r="E159" s="511">
        <f t="shared" ref="E159:E160" si="67">F159</f>
        <v>0</v>
      </c>
      <c r="F159" s="510">
        <f>SUM(F160)</f>
        <v>0</v>
      </c>
      <c r="G159" s="177"/>
      <c r="H159" s="372"/>
      <c r="I159" s="510"/>
      <c r="J159" s="511">
        <f t="shared" si="62"/>
        <v>0</v>
      </c>
      <c r="K159" s="510">
        <f>SUM(K160)</f>
        <v>0</v>
      </c>
      <c r="L159" s="372"/>
      <c r="M159" s="372"/>
      <c r="N159" s="510">
        <f t="shared" ref="N159:N162" si="68">O159</f>
        <v>0</v>
      </c>
      <c r="O159" s="510">
        <f>SUM(O160)</f>
        <v>0</v>
      </c>
      <c r="P159" s="511">
        <f t="shared" si="66"/>
        <v>0</v>
      </c>
    </row>
    <row r="160" spans="1:18" ht="228.75" hidden="1" x14ac:dyDescent="0.2">
      <c r="A160" s="516" t="s">
        <v>977</v>
      </c>
      <c r="B160" s="516" t="s">
        <v>979</v>
      </c>
      <c r="C160" s="516" t="s">
        <v>324</v>
      </c>
      <c r="D160" s="516" t="s">
        <v>978</v>
      </c>
      <c r="E160" s="46">
        <f t="shared" si="67"/>
        <v>0</v>
      </c>
      <c r="F160" s="46"/>
      <c r="G160" s="46"/>
      <c r="H160" s="46"/>
      <c r="I160" s="46"/>
      <c r="J160" s="46">
        <f t="shared" si="62"/>
        <v>0</v>
      </c>
      <c r="K160" s="424"/>
      <c r="L160" s="424"/>
      <c r="M160" s="424"/>
      <c r="N160" s="424">
        <f t="shared" si="68"/>
        <v>0</v>
      </c>
      <c r="O160" s="424">
        <f>942931.88-942931.88</f>
        <v>0</v>
      </c>
      <c r="P160" s="510">
        <f>+J160+E160</f>
        <v>0</v>
      </c>
    </row>
    <row r="161" spans="1:18" ht="137.25" x14ac:dyDescent="0.2">
      <c r="A161" s="516" t="s">
        <v>544</v>
      </c>
      <c r="B161" s="516" t="s">
        <v>545</v>
      </c>
      <c r="C161" s="516"/>
      <c r="D161" s="516" t="s">
        <v>547</v>
      </c>
      <c r="E161" s="511">
        <f t="shared" si="63"/>
        <v>15350597</v>
      </c>
      <c r="F161" s="510">
        <f>SUM(F162)</f>
        <v>15350597</v>
      </c>
      <c r="G161" s="177"/>
      <c r="H161" s="372"/>
      <c r="I161" s="510"/>
      <c r="J161" s="511">
        <f t="shared" si="62"/>
        <v>0</v>
      </c>
      <c r="K161" s="510">
        <f>SUM(K162)</f>
        <v>0</v>
      </c>
      <c r="L161" s="372"/>
      <c r="M161" s="372"/>
      <c r="N161" s="510">
        <f t="shared" si="68"/>
        <v>0</v>
      </c>
      <c r="O161" s="510">
        <f>SUM(O162)</f>
        <v>0</v>
      </c>
      <c r="P161" s="511">
        <f t="shared" si="66"/>
        <v>15350597</v>
      </c>
    </row>
    <row r="162" spans="1:18" ht="91.5" x14ac:dyDescent="0.2">
      <c r="A162" s="509" t="s">
        <v>543</v>
      </c>
      <c r="B162" s="509" t="s">
        <v>546</v>
      </c>
      <c r="C162" s="509" t="s">
        <v>549</v>
      </c>
      <c r="D162" s="509" t="s">
        <v>548</v>
      </c>
      <c r="E162" s="46">
        <f t="shared" si="63"/>
        <v>15350597</v>
      </c>
      <c r="F162" s="46">
        <f>(15000000)+107705+242892</f>
        <v>15350597</v>
      </c>
      <c r="G162" s="46"/>
      <c r="H162" s="46"/>
      <c r="I162" s="46"/>
      <c r="J162" s="46">
        <f t="shared" si="62"/>
        <v>0</v>
      </c>
      <c r="K162" s="424"/>
      <c r="L162" s="424"/>
      <c r="M162" s="424"/>
      <c r="N162" s="424">
        <f t="shared" si="68"/>
        <v>0</v>
      </c>
      <c r="O162" s="424"/>
      <c r="P162" s="510">
        <f>+J162+E162</f>
        <v>15350597</v>
      </c>
    </row>
    <row r="163" spans="1:18" ht="137.25" x14ac:dyDescent="0.2">
      <c r="A163" s="516" t="s">
        <v>550</v>
      </c>
      <c r="B163" s="516" t="s">
        <v>551</v>
      </c>
      <c r="C163" s="516"/>
      <c r="D163" s="516" t="s">
        <v>552</v>
      </c>
      <c r="E163" s="511">
        <f t="shared" si="63"/>
        <v>48578600</v>
      </c>
      <c r="F163" s="510">
        <f>SUM(F164)</f>
        <v>48578600</v>
      </c>
      <c r="G163" s="177"/>
      <c r="H163" s="372"/>
      <c r="I163" s="510"/>
      <c r="J163" s="511">
        <f t="shared" si="62"/>
        <v>86011083.090000004</v>
      </c>
      <c r="K163" s="510">
        <f>SUM(K164)</f>
        <v>0</v>
      </c>
      <c r="L163" s="372"/>
      <c r="M163" s="372"/>
      <c r="N163" s="510">
        <f>N164</f>
        <v>86011083.090000004</v>
      </c>
      <c r="O163" s="510">
        <f>SUM(O164)</f>
        <v>85496860</v>
      </c>
      <c r="P163" s="511">
        <f t="shared" ref="P163" si="69">E163+J163</f>
        <v>134589683.09</v>
      </c>
    </row>
    <row r="164" spans="1:18" ht="228.75" x14ac:dyDescent="0.2">
      <c r="A164" s="509" t="s">
        <v>553</v>
      </c>
      <c r="B164" s="509" t="s">
        <v>554</v>
      </c>
      <c r="C164" s="509" t="s">
        <v>556</v>
      </c>
      <c r="D164" s="509" t="s">
        <v>555</v>
      </c>
      <c r="E164" s="46">
        <f t="shared" si="63"/>
        <v>48578600</v>
      </c>
      <c r="F164" s="46">
        <f>(30000000)+18578600</f>
        <v>48578600</v>
      </c>
      <c r="G164" s="46"/>
      <c r="H164" s="46"/>
      <c r="I164" s="46"/>
      <c r="J164" s="46">
        <f t="shared" si="62"/>
        <v>86011083.090000004</v>
      </c>
      <c r="K164" s="424"/>
      <c r="L164" s="424"/>
      <c r="M164" s="424"/>
      <c r="N164" s="424">
        <f>O164+514223.09</f>
        <v>86011083.090000004</v>
      </c>
      <c r="O164" s="424">
        <f>((58865000)+25301210-1200000)+2430650+100000</f>
        <v>85496860</v>
      </c>
      <c r="P164" s="510">
        <f>+J164+E164</f>
        <v>134589683.09</v>
      </c>
    </row>
    <row r="165" spans="1:18" ht="46.5" x14ac:dyDescent="0.2">
      <c r="A165" s="516" t="s">
        <v>557</v>
      </c>
      <c r="B165" s="516" t="s">
        <v>403</v>
      </c>
      <c r="C165" s="516" t="s">
        <v>404</v>
      </c>
      <c r="D165" s="516" t="s">
        <v>99</v>
      </c>
      <c r="E165" s="231">
        <f t="shared" si="63"/>
        <v>1173300</v>
      </c>
      <c r="F165" s="46">
        <f>((1018300)+100000)+55000</f>
        <v>1173300</v>
      </c>
      <c r="G165" s="177"/>
      <c r="H165" s="177"/>
      <c r="I165" s="46"/>
      <c r="J165" s="511">
        <f t="shared" si="62"/>
        <v>1800000</v>
      </c>
      <c r="K165" s="46"/>
      <c r="L165" s="177"/>
      <c r="M165" s="177"/>
      <c r="N165" s="424">
        <f>O165</f>
        <v>1800000</v>
      </c>
      <c r="O165" s="372">
        <f>((2000000)+1500000)-1700000</f>
        <v>1800000</v>
      </c>
      <c r="P165" s="511">
        <f t="shared" ref="P165:P168" si="70">E165+J165</f>
        <v>2973300</v>
      </c>
    </row>
    <row r="166" spans="1:18" ht="91.5" x14ac:dyDescent="0.65">
      <c r="A166" s="516" t="s">
        <v>575</v>
      </c>
      <c r="B166" s="516" t="s">
        <v>373</v>
      </c>
      <c r="C166" s="516" t="s">
        <v>324</v>
      </c>
      <c r="D166" s="516" t="s">
        <v>89</v>
      </c>
      <c r="E166" s="231">
        <f t="shared" si="63"/>
        <v>0</v>
      </c>
      <c r="F166" s="46"/>
      <c r="G166" s="177"/>
      <c r="H166" s="177"/>
      <c r="I166" s="46"/>
      <c r="J166" s="511">
        <f t="shared" si="62"/>
        <v>56295562</v>
      </c>
      <c r="K166" s="46"/>
      <c r="L166" s="177"/>
      <c r="M166" s="177"/>
      <c r="N166" s="424">
        <f>O166</f>
        <v>56295562</v>
      </c>
      <c r="O166" s="372">
        <f>((7653700)+47016269-450000-2800000+(1750000))+2991971+200000-66378</f>
        <v>56295562</v>
      </c>
      <c r="P166" s="511">
        <f t="shared" si="70"/>
        <v>56295562</v>
      </c>
      <c r="Q166" s="373"/>
    </row>
    <row r="167" spans="1:18" ht="137.25" x14ac:dyDescent="0.2">
      <c r="A167" s="516" t="s">
        <v>558</v>
      </c>
      <c r="B167" s="516" t="s">
        <v>559</v>
      </c>
      <c r="C167" s="516" t="s">
        <v>490</v>
      </c>
      <c r="D167" s="516" t="s">
        <v>703</v>
      </c>
      <c r="E167" s="231">
        <f t="shared" si="63"/>
        <v>252990</v>
      </c>
      <c r="F167" s="46">
        <v>252990</v>
      </c>
      <c r="G167" s="177"/>
      <c r="H167" s="177"/>
      <c r="I167" s="46"/>
      <c r="J167" s="511">
        <f t="shared" si="62"/>
        <v>0</v>
      </c>
      <c r="K167" s="46"/>
      <c r="L167" s="177"/>
      <c r="M167" s="177"/>
      <c r="N167" s="424">
        <f>O167</f>
        <v>0</v>
      </c>
      <c r="O167" s="372"/>
      <c r="P167" s="511">
        <f t="shared" si="70"/>
        <v>252990</v>
      </c>
    </row>
    <row r="168" spans="1:18" ht="91.5" x14ac:dyDescent="0.2">
      <c r="A168" s="516" t="s">
        <v>488</v>
      </c>
      <c r="B168" s="516" t="s">
        <v>489</v>
      </c>
      <c r="C168" s="516" t="s">
        <v>490</v>
      </c>
      <c r="D168" s="516" t="s">
        <v>487</v>
      </c>
      <c r="E168" s="231">
        <f t="shared" si="63"/>
        <v>1165188</v>
      </c>
      <c r="F168" s="46">
        <f>1050500+95000+19688</f>
        <v>1165188</v>
      </c>
      <c r="G168" s="177">
        <f>(839900)+3850</f>
        <v>843750</v>
      </c>
      <c r="H168" s="177">
        <v>11500</v>
      </c>
      <c r="I168" s="46"/>
      <c r="J168" s="511">
        <f t="shared" si="62"/>
        <v>7400</v>
      </c>
      <c r="K168" s="46">
        <v>7400</v>
      </c>
      <c r="L168" s="177"/>
      <c r="M168" s="177"/>
      <c r="N168" s="424">
        <f>O168</f>
        <v>0</v>
      </c>
      <c r="O168" s="372"/>
      <c r="P168" s="511">
        <f t="shared" si="70"/>
        <v>1172588</v>
      </c>
    </row>
    <row r="169" spans="1:18" ht="270" x14ac:dyDescent="0.2">
      <c r="A169" s="517" t="s">
        <v>69</v>
      </c>
      <c r="B169" s="517"/>
      <c r="C169" s="517"/>
      <c r="D169" s="517" t="s">
        <v>931</v>
      </c>
      <c r="E169" s="524">
        <f>E170</f>
        <v>0</v>
      </c>
      <c r="F169" s="524">
        <f t="shared" ref="F169:P169" si="71">F170</f>
        <v>0</v>
      </c>
      <c r="G169" s="524">
        <f t="shared" si="71"/>
        <v>0</v>
      </c>
      <c r="H169" s="524">
        <f t="shared" si="71"/>
        <v>0</v>
      </c>
      <c r="I169" s="524">
        <f t="shared" si="71"/>
        <v>0</v>
      </c>
      <c r="J169" s="524">
        <f t="shared" si="71"/>
        <v>134630394</v>
      </c>
      <c r="K169" s="524">
        <f t="shared" si="71"/>
        <v>0</v>
      </c>
      <c r="L169" s="524">
        <f t="shared" si="71"/>
        <v>0</v>
      </c>
      <c r="M169" s="524">
        <f t="shared" si="71"/>
        <v>0</v>
      </c>
      <c r="N169" s="524">
        <f t="shared" si="71"/>
        <v>134630394</v>
      </c>
      <c r="O169" s="523">
        <f>O170</f>
        <v>134630394</v>
      </c>
      <c r="P169" s="524">
        <f t="shared" si="71"/>
        <v>134630394</v>
      </c>
    </row>
    <row r="170" spans="1:18" ht="270" x14ac:dyDescent="0.2">
      <c r="A170" s="521" t="s">
        <v>70</v>
      </c>
      <c r="B170" s="521"/>
      <c r="C170" s="521"/>
      <c r="D170" s="521" t="s">
        <v>930</v>
      </c>
      <c r="E170" s="523">
        <f>E171+E174+E175</f>
        <v>0</v>
      </c>
      <c r="F170" s="524">
        <f t="shared" ref="F170:I170" si="72">F171+F174+F175</f>
        <v>0</v>
      </c>
      <c r="G170" s="523">
        <f t="shared" si="72"/>
        <v>0</v>
      </c>
      <c r="H170" s="523">
        <f t="shared" si="72"/>
        <v>0</v>
      </c>
      <c r="I170" s="524">
        <f t="shared" si="72"/>
        <v>0</v>
      </c>
      <c r="J170" s="523">
        <f t="shared" ref="J170:J175" si="73">K170+N170</f>
        <v>134630394</v>
      </c>
      <c r="K170" s="524">
        <f t="shared" ref="K170:O170" si="74">K171+K174+K175</f>
        <v>0</v>
      </c>
      <c r="L170" s="523">
        <f t="shared" si="74"/>
        <v>0</v>
      </c>
      <c r="M170" s="523">
        <f t="shared" si="74"/>
        <v>0</v>
      </c>
      <c r="N170" s="524">
        <f t="shared" si="74"/>
        <v>134630394</v>
      </c>
      <c r="O170" s="523">
        <f t="shared" si="74"/>
        <v>134630394</v>
      </c>
      <c r="P170" s="523">
        <f t="shared" ref="P170" si="75">+J170+E170</f>
        <v>134630394</v>
      </c>
      <c r="Q170" s="251" t="b">
        <f>P170=P172+P173+P174+P175</f>
        <v>1</v>
      </c>
      <c r="R170" s="253" t="b">
        <f>O170=[1]dod5!J206</f>
        <v>1</v>
      </c>
    </row>
    <row r="171" spans="1:18" ht="91.5" x14ac:dyDescent="0.2">
      <c r="A171" s="516" t="s">
        <v>599</v>
      </c>
      <c r="B171" s="516" t="s">
        <v>600</v>
      </c>
      <c r="C171" s="516"/>
      <c r="D171" s="516" t="s">
        <v>598</v>
      </c>
      <c r="E171" s="231">
        <f t="shared" ref="E171:E173" si="76">F171</f>
        <v>0</v>
      </c>
      <c r="F171" s="46">
        <f>F172+F173</f>
        <v>0</v>
      </c>
      <c r="G171" s="177">
        <f>G172+G173</f>
        <v>0</v>
      </c>
      <c r="H171" s="177">
        <f>H172+H173</f>
        <v>0</v>
      </c>
      <c r="I171" s="46">
        <f>I172+I173</f>
        <v>0</v>
      </c>
      <c r="J171" s="511">
        <f t="shared" si="73"/>
        <v>98225000</v>
      </c>
      <c r="K171" s="46">
        <f>K172+K173</f>
        <v>0</v>
      </c>
      <c r="L171" s="177">
        <f>L172+L173</f>
        <v>0</v>
      </c>
      <c r="M171" s="177">
        <f>M172+M173</f>
        <v>0</v>
      </c>
      <c r="N171" s="424">
        <f>N172+N173</f>
        <v>98225000</v>
      </c>
      <c r="O171" s="46">
        <f>O172+O173</f>
        <v>98225000</v>
      </c>
      <c r="P171" s="511">
        <f t="shared" ref="P171:P173" si="77">E171+J171</f>
        <v>98225000</v>
      </c>
    </row>
    <row r="172" spans="1:18" ht="91.5" x14ac:dyDescent="0.2">
      <c r="A172" s="509" t="s">
        <v>602</v>
      </c>
      <c r="B172" s="509" t="s">
        <v>603</v>
      </c>
      <c r="C172" s="509" t="s">
        <v>570</v>
      </c>
      <c r="D172" s="509" t="s">
        <v>601</v>
      </c>
      <c r="E172" s="510">
        <f t="shared" si="76"/>
        <v>0</v>
      </c>
      <c r="F172" s="510"/>
      <c r="G172" s="510"/>
      <c r="H172" s="510"/>
      <c r="I172" s="510"/>
      <c r="J172" s="510">
        <f t="shared" si="73"/>
        <v>65200000</v>
      </c>
      <c r="K172" s="510"/>
      <c r="L172" s="510"/>
      <c r="M172" s="510"/>
      <c r="N172" s="510">
        <f>O172</f>
        <v>65200000</v>
      </c>
      <c r="O172" s="372">
        <f>((35888000)+18550000+(5000000))+5762000</f>
        <v>65200000</v>
      </c>
      <c r="P172" s="510">
        <f t="shared" si="77"/>
        <v>65200000</v>
      </c>
    </row>
    <row r="173" spans="1:18" ht="137.25" x14ac:dyDescent="0.2">
      <c r="A173" s="509" t="s">
        <v>604</v>
      </c>
      <c r="B173" s="509" t="s">
        <v>605</v>
      </c>
      <c r="C173" s="509" t="s">
        <v>570</v>
      </c>
      <c r="D173" s="509" t="s">
        <v>606</v>
      </c>
      <c r="E173" s="510">
        <f t="shared" si="76"/>
        <v>0</v>
      </c>
      <c r="F173" s="510"/>
      <c r="G173" s="510"/>
      <c r="H173" s="510"/>
      <c r="I173" s="510"/>
      <c r="J173" s="510">
        <f t="shared" si="73"/>
        <v>33025000</v>
      </c>
      <c r="K173" s="510"/>
      <c r="L173" s="510"/>
      <c r="M173" s="510"/>
      <c r="N173" s="510">
        <f>O173</f>
        <v>33025000</v>
      </c>
      <c r="O173" s="510">
        <f>((5000000+510000)+480000-1000000+250000+5000000-2200000+(27000000))-2015000</f>
        <v>33025000</v>
      </c>
      <c r="P173" s="510">
        <f t="shared" si="77"/>
        <v>33025000</v>
      </c>
    </row>
    <row r="174" spans="1:18" ht="183" x14ac:dyDescent="0.2">
      <c r="A174" s="516" t="s">
        <v>608</v>
      </c>
      <c r="B174" s="516" t="s">
        <v>609</v>
      </c>
      <c r="C174" s="516" t="s">
        <v>570</v>
      </c>
      <c r="D174" s="516" t="s">
        <v>607</v>
      </c>
      <c r="E174" s="511">
        <f>F174</f>
        <v>0</v>
      </c>
      <c r="F174" s="510"/>
      <c r="G174" s="372"/>
      <c r="H174" s="372"/>
      <c r="I174" s="510"/>
      <c r="J174" s="511">
        <f t="shared" si="73"/>
        <v>36405394</v>
      </c>
      <c r="K174" s="510"/>
      <c r="L174" s="372"/>
      <c r="M174" s="372"/>
      <c r="N174" s="510">
        <f t="shared" ref="N174" si="78">O174</f>
        <v>36405394</v>
      </c>
      <c r="O174" s="447">
        <f>((14952000+360000)+15280000+1000000-250000)+5573000-509606</f>
        <v>36405394</v>
      </c>
      <c r="P174" s="511">
        <f>E174+J174</f>
        <v>36405394</v>
      </c>
    </row>
    <row r="175" spans="1:18" ht="91.5" x14ac:dyDescent="0.2">
      <c r="A175" s="516" t="s">
        <v>610</v>
      </c>
      <c r="B175" s="516" t="s">
        <v>373</v>
      </c>
      <c r="C175" s="516" t="s">
        <v>324</v>
      </c>
      <c r="D175" s="516" t="s">
        <v>89</v>
      </c>
      <c r="E175" s="231">
        <f t="shared" ref="E175" si="79">F175</f>
        <v>0</v>
      </c>
      <c r="F175" s="46"/>
      <c r="G175" s="177"/>
      <c r="H175" s="177"/>
      <c r="I175" s="46"/>
      <c r="J175" s="511">
        <f t="shared" si="73"/>
        <v>0</v>
      </c>
      <c r="K175" s="46"/>
      <c r="L175" s="177"/>
      <c r="M175" s="177"/>
      <c r="N175" s="424">
        <f>O175</f>
        <v>0</v>
      </c>
      <c r="O175" s="372">
        <f>(180000)-180000</f>
        <v>0</v>
      </c>
      <c r="P175" s="511">
        <f t="shared" ref="P175" si="80">E175+J175</f>
        <v>0</v>
      </c>
    </row>
    <row r="176" spans="1:18" ht="225" x14ac:dyDescent="0.2">
      <c r="A176" s="517" t="s">
        <v>314</v>
      </c>
      <c r="B176" s="517"/>
      <c r="C176" s="517"/>
      <c r="D176" s="517" t="s">
        <v>71</v>
      </c>
      <c r="E176" s="524">
        <f>E177</f>
        <v>0</v>
      </c>
      <c r="F176" s="524">
        <f t="shared" ref="F176:P177" si="81">F177</f>
        <v>0</v>
      </c>
      <c r="G176" s="524">
        <f t="shared" si="81"/>
        <v>0</v>
      </c>
      <c r="H176" s="524">
        <f t="shared" si="81"/>
        <v>0</v>
      </c>
      <c r="I176" s="524">
        <f t="shared" si="81"/>
        <v>0</v>
      </c>
      <c r="J176" s="524">
        <f t="shared" si="81"/>
        <v>182900</v>
      </c>
      <c r="K176" s="524">
        <f t="shared" si="81"/>
        <v>0</v>
      </c>
      <c r="L176" s="524">
        <f t="shared" si="81"/>
        <v>0</v>
      </c>
      <c r="M176" s="524">
        <f t="shared" si="81"/>
        <v>0</v>
      </c>
      <c r="N176" s="524">
        <f t="shared" si="81"/>
        <v>182900</v>
      </c>
      <c r="O176" s="523">
        <f t="shared" si="81"/>
        <v>182900</v>
      </c>
      <c r="P176" s="524">
        <f t="shared" si="81"/>
        <v>182900</v>
      </c>
    </row>
    <row r="177" spans="1:18" ht="225" x14ac:dyDescent="0.2">
      <c r="A177" s="521" t="s">
        <v>315</v>
      </c>
      <c r="B177" s="521"/>
      <c r="C177" s="521"/>
      <c r="D177" s="521" t="s">
        <v>96</v>
      </c>
      <c r="E177" s="523">
        <f>E178</f>
        <v>0</v>
      </c>
      <c r="F177" s="524">
        <f>E177</f>
        <v>0</v>
      </c>
      <c r="G177" s="523">
        <f t="shared" si="81"/>
        <v>0</v>
      </c>
      <c r="H177" s="523">
        <f t="shared" si="81"/>
        <v>0</v>
      </c>
      <c r="I177" s="524">
        <f t="shared" si="81"/>
        <v>0</v>
      </c>
      <c r="J177" s="523">
        <f>K177+N177</f>
        <v>182900</v>
      </c>
      <c r="K177" s="524">
        <f t="shared" si="81"/>
        <v>0</v>
      </c>
      <c r="L177" s="523">
        <f t="shared" si="81"/>
        <v>0</v>
      </c>
      <c r="M177" s="523">
        <f>M178</f>
        <v>0</v>
      </c>
      <c r="N177" s="524">
        <f>N178</f>
        <v>182900</v>
      </c>
      <c r="O177" s="523">
        <f>O178</f>
        <v>182900</v>
      </c>
      <c r="P177" s="523">
        <f>+J177+E177</f>
        <v>182900</v>
      </c>
      <c r="Q177" s="251" t="b">
        <f>P177=P178</f>
        <v>1</v>
      </c>
      <c r="R177" s="253" t="b">
        <f>P177=[1]dod5!J240</f>
        <v>1</v>
      </c>
    </row>
    <row r="178" spans="1:18" ht="137.25" x14ac:dyDescent="0.2">
      <c r="A178" s="516" t="s">
        <v>580</v>
      </c>
      <c r="B178" s="516" t="s">
        <v>581</v>
      </c>
      <c r="C178" s="516" t="s">
        <v>570</v>
      </c>
      <c r="D178" s="516" t="s">
        <v>582</v>
      </c>
      <c r="E178" s="511">
        <f>F178</f>
        <v>0</v>
      </c>
      <c r="F178" s="510">
        <v>0</v>
      </c>
      <c r="G178" s="372"/>
      <c r="H178" s="372"/>
      <c r="I178" s="510"/>
      <c r="J178" s="511">
        <f>K178+N178</f>
        <v>182900</v>
      </c>
      <c r="K178" s="510"/>
      <c r="L178" s="372"/>
      <c r="M178" s="372"/>
      <c r="N178" s="510">
        <f>O178</f>
        <v>182900</v>
      </c>
      <c r="O178" s="372">
        <f>((780000)+2376000+150300)-2376000-780000+16300+16300</f>
        <v>182900</v>
      </c>
      <c r="P178" s="511">
        <f>E178+J178</f>
        <v>182900</v>
      </c>
    </row>
    <row r="179" spans="1:18" ht="135" x14ac:dyDescent="0.2">
      <c r="A179" s="517" t="s">
        <v>320</v>
      </c>
      <c r="B179" s="517"/>
      <c r="C179" s="517"/>
      <c r="D179" s="517" t="s">
        <v>763</v>
      </c>
      <c r="E179" s="524">
        <f>E180</f>
        <v>4738544.5999999996</v>
      </c>
      <c r="F179" s="524">
        <f t="shared" ref="F179:P179" si="82">F180</f>
        <v>4738544.5999999996</v>
      </c>
      <c r="G179" s="524">
        <f t="shared" si="82"/>
        <v>0</v>
      </c>
      <c r="H179" s="524">
        <f t="shared" si="82"/>
        <v>0</v>
      </c>
      <c r="I179" s="524">
        <f t="shared" si="82"/>
        <v>0</v>
      </c>
      <c r="J179" s="524">
        <f t="shared" si="82"/>
        <v>909350</v>
      </c>
      <c r="K179" s="524">
        <f t="shared" si="82"/>
        <v>0</v>
      </c>
      <c r="L179" s="524">
        <f t="shared" si="82"/>
        <v>0</v>
      </c>
      <c r="M179" s="524">
        <f t="shared" si="82"/>
        <v>0</v>
      </c>
      <c r="N179" s="524">
        <f t="shared" si="82"/>
        <v>909350</v>
      </c>
      <c r="O179" s="523">
        <f t="shared" si="82"/>
        <v>909350</v>
      </c>
      <c r="P179" s="524">
        <f t="shared" si="82"/>
        <v>5647894.5999999996</v>
      </c>
    </row>
    <row r="180" spans="1:18" ht="135" x14ac:dyDescent="0.2">
      <c r="A180" s="521" t="s">
        <v>321</v>
      </c>
      <c r="B180" s="521"/>
      <c r="C180" s="521"/>
      <c r="D180" s="521" t="s">
        <v>764</v>
      </c>
      <c r="E180" s="523">
        <f>SUM(E181:E184)</f>
        <v>4738544.5999999996</v>
      </c>
      <c r="F180" s="524">
        <f t="shared" ref="F180:I180" si="83">SUM(F181:F184)</f>
        <v>4738544.5999999996</v>
      </c>
      <c r="G180" s="524">
        <f t="shared" si="83"/>
        <v>0</v>
      </c>
      <c r="H180" s="524">
        <f t="shared" si="83"/>
        <v>0</v>
      </c>
      <c r="I180" s="524">
        <f t="shared" si="83"/>
        <v>0</v>
      </c>
      <c r="J180" s="523">
        <f>K180+N180</f>
        <v>909350</v>
      </c>
      <c r="K180" s="524">
        <f>SUM(K181:K184)</f>
        <v>0</v>
      </c>
      <c r="L180" s="523">
        <f t="shared" ref="L180:M180" si="84">SUM(L181:L184)</f>
        <v>0</v>
      </c>
      <c r="M180" s="523">
        <f t="shared" si="84"/>
        <v>0</v>
      </c>
      <c r="N180" s="524">
        <f>SUM(N181:N184)</f>
        <v>909350</v>
      </c>
      <c r="O180" s="523">
        <f>SUM(O181:O184)</f>
        <v>909350</v>
      </c>
      <c r="P180" s="523">
        <f>E180+J180</f>
        <v>5647894.5999999996</v>
      </c>
      <c r="Q180" s="251" t="b">
        <f>P180=P181+P182+P183+P185</f>
        <v>1</v>
      </c>
      <c r="R180" s="253" t="b">
        <f>O180=[1]dod5!J247</f>
        <v>1</v>
      </c>
    </row>
    <row r="181" spans="1:18" ht="137.25" x14ac:dyDescent="0.2">
      <c r="A181" s="516" t="s">
        <v>754</v>
      </c>
      <c r="B181" s="516" t="s">
        <v>755</v>
      </c>
      <c r="C181" s="516" t="s">
        <v>324</v>
      </c>
      <c r="D181" s="516" t="s">
        <v>502</v>
      </c>
      <c r="E181" s="511">
        <f>F181</f>
        <v>0</v>
      </c>
      <c r="F181" s="510"/>
      <c r="G181" s="372"/>
      <c r="H181" s="372"/>
      <c r="I181" s="510"/>
      <c r="J181" s="511">
        <f>K181+N181</f>
        <v>294000</v>
      </c>
      <c r="K181" s="510"/>
      <c r="L181" s="372"/>
      <c r="M181" s="372"/>
      <c r="N181" s="510">
        <f>O181</f>
        <v>294000</v>
      </c>
      <c r="O181" s="372">
        <f>((1000000+200000)-700000)-206000</f>
        <v>294000</v>
      </c>
      <c r="P181" s="511">
        <f>E181+J181</f>
        <v>294000</v>
      </c>
    </row>
    <row r="182" spans="1:18" ht="91.5" x14ac:dyDescent="0.2">
      <c r="A182" s="516" t="s">
        <v>500</v>
      </c>
      <c r="B182" s="516" t="s">
        <v>501</v>
      </c>
      <c r="C182" s="516" t="s">
        <v>499</v>
      </c>
      <c r="D182" s="516" t="s">
        <v>498</v>
      </c>
      <c r="E182" s="511">
        <f t="shared" ref="E182:E185" si="85">F182</f>
        <v>2099743</v>
      </c>
      <c r="F182" s="510">
        <f>(1500000)+700000-100257</f>
        <v>2099743</v>
      </c>
      <c r="G182" s="372"/>
      <c r="H182" s="372"/>
      <c r="I182" s="510"/>
      <c r="J182" s="511">
        <f t="shared" ref="J182:J185" si="86">K182+N182</f>
        <v>0</v>
      </c>
      <c r="K182" s="510"/>
      <c r="L182" s="372"/>
      <c r="M182" s="372"/>
      <c r="N182" s="510">
        <f t="shared" ref="N182:N185" si="87">O182</f>
        <v>0</v>
      </c>
      <c r="O182" s="372"/>
      <c r="P182" s="511">
        <f t="shared" ref="P182:P185" si="88">E182+J182</f>
        <v>2099743</v>
      </c>
    </row>
    <row r="183" spans="1:18" ht="137.25" x14ac:dyDescent="0.2">
      <c r="A183" s="516" t="s">
        <v>491</v>
      </c>
      <c r="B183" s="516" t="s">
        <v>493</v>
      </c>
      <c r="C183" s="516" t="s">
        <v>404</v>
      </c>
      <c r="D183" s="516" t="s">
        <v>492</v>
      </c>
      <c r="E183" s="511">
        <f t="shared" si="85"/>
        <v>455000</v>
      </c>
      <c r="F183" s="510">
        <f>(475000)-20000</f>
        <v>455000</v>
      </c>
      <c r="G183" s="372"/>
      <c r="H183" s="372"/>
      <c r="I183" s="510"/>
      <c r="J183" s="511">
        <f t="shared" si="86"/>
        <v>20000</v>
      </c>
      <c r="K183" s="510"/>
      <c r="L183" s="372"/>
      <c r="M183" s="372"/>
      <c r="N183" s="510">
        <f t="shared" si="87"/>
        <v>20000</v>
      </c>
      <c r="O183" s="372">
        <v>20000</v>
      </c>
      <c r="P183" s="511">
        <f t="shared" si="88"/>
        <v>475000</v>
      </c>
    </row>
    <row r="184" spans="1:18" ht="46.5" x14ac:dyDescent="0.2">
      <c r="A184" s="516" t="s">
        <v>495</v>
      </c>
      <c r="B184" s="516" t="s">
        <v>449</v>
      </c>
      <c r="C184" s="516" t="s">
        <v>324</v>
      </c>
      <c r="D184" s="516" t="s">
        <v>447</v>
      </c>
      <c r="E184" s="511">
        <f t="shared" si="85"/>
        <v>2183801.6</v>
      </c>
      <c r="F184" s="510">
        <f>SUM(F185:F185)</f>
        <v>2183801.6</v>
      </c>
      <c r="G184" s="372"/>
      <c r="H184" s="372"/>
      <c r="I184" s="510"/>
      <c r="J184" s="511">
        <f t="shared" si="86"/>
        <v>595350</v>
      </c>
      <c r="K184" s="510">
        <f>SUM(K185:K185)</f>
        <v>0</v>
      </c>
      <c r="L184" s="372"/>
      <c r="M184" s="372"/>
      <c r="N184" s="510">
        <f t="shared" si="87"/>
        <v>595350</v>
      </c>
      <c r="O184" s="372">
        <f>SUM(O185:O185)</f>
        <v>595350</v>
      </c>
      <c r="P184" s="511">
        <f t="shared" si="88"/>
        <v>2779151.6</v>
      </c>
    </row>
    <row r="185" spans="1:18" ht="91.5" x14ac:dyDescent="0.2">
      <c r="A185" s="509" t="s">
        <v>496</v>
      </c>
      <c r="B185" s="509" t="s">
        <v>497</v>
      </c>
      <c r="C185" s="509" t="s">
        <v>324</v>
      </c>
      <c r="D185" s="509" t="s">
        <v>494</v>
      </c>
      <c r="E185" s="510">
        <f t="shared" si="85"/>
        <v>2183801.6</v>
      </c>
      <c r="F185" s="510">
        <f>((4195800-1965302-34698)+100000)-111998.4</f>
        <v>2183801.6</v>
      </c>
      <c r="G185" s="510"/>
      <c r="H185" s="510"/>
      <c r="I185" s="510"/>
      <c r="J185" s="510">
        <f t="shared" si="86"/>
        <v>595350</v>
      </c>
      <c r="K185" s="510"/>
      <c r="L185" s="510"/>
      <c r="M185" s="510"/>
      <c r="N185" s="510">
        <f t="shared" si="87"/>
        <v>595350</v>
      </c>
      <c r="O185" s="510">
        <f>((0)+400000)+195350</f>
        <v>595350</v>
      </c>
      <c r="P185" s="510">
        <f t="shared" si="88"/>
        <v>2779151.6</v>
      </c>
    </row>
    <row r="186" spans="1:18" ht="135" x14ac:dyDescent="0.2">
      <c r="A186" s="517" t="s">
        <v>318</v>
      </c>
      <c r="B186" s="517"/>
      <c r="C186" s="517"/>
      <c r="D186" s="517" t="s">
        <v>72</v>
      </c>
      <c r="E186" s="524">
        <f>E187</f>
        <v>0</v>
      </c>
      <c r="F186" s="524">
        <f t="shared" ref="F186:P186" si="89">F187</f>
        <v>0</v>
      </c>
      <c r="G186" s="524">
        <f t="shared" si="89"/>
        <v>0</v>
      </c>
      <c r="H186" s="524">
        <f t="shared" si="89"/>
        <v>0</v>
      </c>
      <c r="I186" s="524">
        <f t="shared" si="89"/>
        <v>0</v>
      </c>
      <c r="J186" s="524">
        <f t="shared" si="89"/>
        <v>1271148.6600000001</v>
      </c>
      <c r="K186" s="524">
        <f t="shared" si="89"/>
        <v>0</v>
      </c>
      <c r="L186" s="524">
        <f t="shared" si="89"/>
        <v>0</v>
      </c>
      <c r="M186" s="524">
        <f t="shared" si="89"/>
        <v>0</v>
      </c>
      <c r="N186" s="524">
        <f t="shared" si="89"/>
        <v>1271148.6600000001</v>
      </c>
      <c r="O186" s="523">
        <f t="shared" si="89"/>
        <v>0</v>
      </c>
      <c r="P186" s="524">
        <f t="shared" si="89"/>
        <v>1271148.6600000001</v>
      </c>
    </row>
    <row r="187" spans="1:18" ht="180" x14ac:dyDescent="0.2">
      <c r="A187" s="521" t="s">
        <v>319</v>
      </c>
      <c r="B187" s="521"/>
      <c r="C187" s="521"/>
      <c r="D187" s="521" t="s">
        <v>97</v>
      </c>
      <c r="E187" s="523">
        <v>0</v>
      </c>
      <c r="F187" s="524">
        <f>F191+F192+F188</f>
        <v>0</v>
      </c>
      <c r="G187" s="523">
        <f>G191+G192+G188</f>
        <v>0</v>
      </c>
      <c r="H187" s="523">
        <f>H191+H192+H188</f>
        <v>0</v>
      </c>
      <c r="I187" s="524">
        <f>I191+I192+I188</f>
        <v>0</v>
      </c>
      <c r="J187" s="523">
        <f>K187+N187</f>
        <v>1271148.6600000001</v>
      </c>
      <c r="K187" s="524">
        <f>K191+K192+K188</f>
        <v>0</v>
      </c>
      <c r="L187" s="523">
        <f>L191+L192+L188</f>
        <v>0</v>
      </c>
      <c r="M187" s="523">
        <f>M191+M192+M188</f>
        <v>0</v>
      </c>
      <c r="N187" s="524">
        <f>N191+N192+N188</f>
        <v>1271148.6600000001</v>
      </c>
      <c r="O187" s="523">
        <f>O191+O192+O188</f>
        <v>0</v>
      </c>
      <c r="P187" s="523">
        <f>E187+J187</f>
        <v>1271148.6600000001</v>
      </c>
      <c r="Q187" s="251" t="b">
        <f>P187=P189+P190+P191+P192</f>
        <v>1</v>
      </c>
      <c r="R187" s="253" t="b">
        <f>P187=[1]dod7!F18</f>
        <v>1</v>
      </c>
    </row>
    <row r="188" spans="1:18" ht="137.25" x14ac:dyDescent="0.2">
      <c r="A188" s="516" t="s">
        <v>583</v>
      </c>
      <c r="B188" s="516" t="s">
        <v>584</v>
      </c>
      <c r="C188" s="516"/>
      <c r="D188" s="516" t="s">
        <v>585</v>
      </c>
      <c r="E188" s="231">
        <f t="shared" ref="E188:E190" si="90">F188</f>
        <v>0</v>
      </c>
      <c r="F188" s="46">
        <f>F189+F190</f>
        <v>0</v>
      </c>
      <c r="G188" s="177">
        <f>G189+G190</f>
        <v>0</v>
      </c>
      <c r="H188" s="177">
        <f>H189+H190</f>
        <v>0</v>
      </c>
      <c r="I188" s="46">
        <f>I189+I190</f>
        <v>0</v>
      </c>
      <c r="J188" s="511">
        <f t="shared" ref="J188:J190" si="91">K188+N188</f>
        <v>937148.66</v>
      </c>
      <c r="K188" s="46">
        <f>K189+K190</f>
        <v>0</v>
      </c>
      <c r="L188" s="177">
        <f>L189+L190</f>
        <v>0</v>
      </c>
      <c r="M188" s="177">
        <f>M189+M190</f>
        <v>0</v>
      </c>
      <c r="N188" s="424">
        <f>N189+N190</f>
        <v>937148.66</v>
      </c>
      <c r="O188" s="46">
        <f>O189+O190</f>
        <v>0</v>
      </c>
      <c r="P188" s="511">
        <f t="shared" ref="P188:P190" si="92">E188+J188</f>
        <v>937148.66</v>
      </c>
    </row>
    <row r="189" spans="1:18" ht="137.25" x14ac:dyDescent="0.2">
      <c r="A189" s="509" t="s">
        <v>586</v>
      </c>
      <c r="B189" s="509" t="s">
        <v>587</v>
      </c>
      <c r="C189" s="509" t="s">
        <v>119</v>
      </c>
      <c r="D189" s="509" t="s">
        <v>120</v>
      </c>
      <c r="E189" s="510">
        <f t="shared" si="90"/>
        <v>0</v>
      </c>
      <c r="F189" s="510"/>
      <c r="G189" s="510"/>
      <c r="H189" s="510"/>
      <c r="I189" s="510"/>
      <c r="J189" s="510">
        <f t="shared" si="91"/>
        <v>629148.66</v>
      </c>
      <c r="K189" s="510"/>
      <c r="L189" s="510"/>
      <c r="M189" s="510"/>
      <c r="N189" s="510">
        <f>(O189+276000)+68148.66+285000</f>
        <v>629148.66</v>
      </c>
      <c r="O189" s="372"/>
      <c r="P189" s="510">
        <f t="shared" si="92"/>
        <v>629148.66</v>
      </c>
    </row>
    <row r="190" spans="1:18" ht="46.5" x14ac:dyDescent="0.2">
      <c r="A190" s="509" t="s">
        <v>588</v>
      </c>
      <c r="B190" s="509" t="s">
        <v>589</v>
      </c>
      <c r="C190" s="509" t="s">
        <v>121</v>
      </c>
      <c r="D190" s="509" t="s">
        <v>590</v>
      </c>
      <c r="E190" s="510">
        <f t="shared" si="90"/>
        <v>0</v>
      </c>
      <c r="F190" s="510"/>
      <c r="G190" s="510"/>
      <c r="H190" s="510"/>
      <c r="I190" s="510"/>
      <c r="J190" s="510">
        <f t="shared" si="91"/>
        <v>308000</v>
      </c>
      <c r="K190" s="510"/>
      <c r="L190" s="510"/>
      <c r="M190" s="510"/>
      <c r="N190" s="510">
        <f>(O190+70000)+238000</f>
        <v>308000</v>
      </c>
      <c r="O190" s="510"/>
      <c r="P190" s="510">
        <f t="shared" si="92"/>
        <v>308000</v>
      </c>
    </row>
    <row r="191" spans="1:18" ht="91.5" x14ac:dyDescent="0.2">
      <c r="A191" s="516" t="s">
        <v>591</v>
      </c>
      <c r="B191" s="516" t="s">
        <v>592</v>
      </c>
      <c r="C191" s="516" t="s">
        <v>123</v>
      </c>
      <c r="D191" s="516" t="s">
        <v>130</v>
      </c>
      <c r="E191" s="511">
        <v>0</v>
      </c>
      <c r="F191" s="510"/>
      <c r="G191" s="372"/>
      <c r="H191" s="372"/>
      <c r="I191" s="510"/>
      <c r="J191" s="511">
        <f>K191+N191</f>
        <v>125000</v>
      </c>
      <c r="K191" s="510"/>
      <c r="L191" s="372"/>
      <c r="M191" s="372"/>
      <c r="N191" s="424">
        <f>(O191+40000)+85000</f>
        <v>125000</v>
      </c>
      <c r="O191" s="372"/>
      <c r="P191" s="511">
        <f>E191+J191</f>
        <v>125000</v>
      </c>
    </row>
    <row r="192" spans="1:18" ht="91.5" x14ac:dyDescent="0.2">
      <c r="A192" s="516" t="s">
        <v>593</v>
      </c>
      <c r="B192" s="516" t="s">
        <v>594</v>
      </c>
      <c r="C192" s="516" t="s">
        <v>122</v>
      </c>
      <c r="D192" s="516" t="s">
        <v>595</v>
      </c>
      <c r="E192" s="511">
        <v>0</v>
      </c>
      <c r="F192" s="510"/>
      <c r="G192" s="372"/>
      <c r="H192" s="372"/>
      <c r="I192" s="510"/>
      <c r="J192" s="511">
        <f>K192+N192</f>
        <v>209000</v>
      </c>
      <c r="K192" s="510"/>
      <c r="L192" s="372"/>
      <c r="M192" s="372"/>
      <c r="N192" s="424">
        <f>(O192+179000)+30000</f>
        <v>209000</v>
      </c>
      <c r="O192" s="372"/>
      <c r="P192" s="511">
        <f>E192+J192</f>
        <v>209000</v>
      </c>
    </row>
    <row r="193" spans="1:20" ht="225" x14ac:dyDescent="0.2">
      <c r="A193" s="517" t="s">
        <v>316</v>
      </c>
      <c r="B193" s="517"/>
      <c r="C193" s="517"/>
      <c r="D193" s="517" t="s">
        <v>765</v>
      </c>
      <c r="E193" s="524">
        <f>E194</f>
        <v>0</v>
      </c>
      <c r="F193" s="524">
        <f t="shared" ref="F193:P193" si="93">F194</f>
        <v>0</v>
      </c>
      <c r="G193" s="524">
        <f t="shared" si="93"/>
        <v>0</v>
      </c>
      <c r="H193" s="524">
        <f t="shared" si="93"/>
        <v>0</v>
      </c>
      <c r="I193" s="524">
        <f t="shared" si="93"/>
        <v>0</v>
      </c>
      <c r="J193" s="524">
        <f t="shared" si="93"/>
        <v>300000</v>
      </c>
      <c r="K193" s="524">
        <f t="shared" si="93"/>
        <v>0</v>
      </c>
      <c r="L193" s="524">
        <f t="shared" si="93"/>
        <v>0</v>
      </c>
      <c r="M193" s="524">
        <f t="shared" si="93"/>
        <v>0</v>
      </c>
      <c r="N193" s="524">
        <f t="shared" si="93"/>
        <v>300000</v>
      </c>
      <c r="O193" s="523">
        <f t="shared" si="93"/>
        <v>300000</v>
      </c>
      <c r="P193" s="524">
        <f t="shared" si="93"/>
        <v>300000</v>
      </c>
    </row>
    <row r="194" spans="1:20" ht="270" x14ac:dyDescent="0.2">
      <c r="A194" s="521" t="s">
        <v>317</v>
      </c>
      <c r="B194" s="521"/>
      <c r="C194" s="521"/>
      <c r="D194" s="521" t="s">
        <v>766</v>
      </c>
      <c r="E194" s="523">
        <f>E195+E196</f>
        <v>0</v>
      </c>
      <c r="F194" s="524">
        <f>F195+F196</f>
        <v>0</v>
      </c>
      <c r="G194" s="523">
        <f>G195+G196</f>
        <v>0</v>
      </c>
      <c r="H194" s="523">
        <f>H195+H196</f>
        <v>0</v>
      </c>
      <c r="I194" s="524">
        <f>I195+I196</f>
        <v>0</v>
      </c>
      <c r="J194" s="523">
        <f>K194+N194</f>
        <v>300000</v>
      </c>
      <c r="K194" s="524">
        <f>K195+K196</f>
        <v>0</v>
      </c>
      <c r="L194" s="523">
        <f>L195+L196</f>
        <v>0</v>
      </c>
      <c r="M194" s="523">
        <f>M195+M196</f>
        <v>0</v>
      </c>
      <c r="N194" s="524">
        <f>O194</f>
        <v>300000</v>
      </c>
      <c r="O194" s="523">
        <f>O195+O196</f>
        <v>300000</v>
      </c>
      <c r="P194" s="523">
        <f>+J194+E194</f>
        <v>300000</v>
      </c>
      <c r="Q194" s="251" t="b">
        <f>P194=P195+P196</f>
        <v>1</v>
      </c>
      <c r="R194" s="253" t="b">
        <f>P194=[1]dod5!J253</f>
        <v>1</v>
      </c>
    </row>
    <row r="195" spans="1:20" ht="91.5" x14ac:dyDescent="0.2">
      <c r="A195" s="516" t="s">
        <v>577</v>
      </c>
      <c r="B195" s="516" t="s">
        <v>578</v>
      </c>
      <c r="C195" s="516" t="s">
        <v>579</v>
      </c>
      <c r="D195" s="516" t="s">
        <v>576</v>
      </c>
      <c r="E195" s="511">
        <f>F195</f>
        <v>0</v>
      </c>
      <c r="F195" s="510">
        <v>0</v>
      </c>
      <c r="G195" s="372"/>
      <c r="H195" s="372"/>
      <c r="I195" s="510"/>
      <c r="J195" s="511">
        <f>K195+N195</f>
        <v>248000</v>
      </c>
      <c r="K195" s="510"/>
      <c r="L195" s="372"/>
      <c r="M195" s="372"/>
      <c r="N195" s="510">
        <f>O195</f>
        <v>248000</v>
      </c>
      <c r="O195" s="372">
        <f>((300000)-52000+1405000)-1405000</f>
        <v>248000</v>
      </c>
      <c r="P195" s="511">
        <f>E195+J195</f>
        <v>248000</v>
      </c>
    </row>
    <row r="196" spans="1:20" ht="137.25" x14ac:dyDescent="0.2">
      <c r="A196" s="516" t="s">
        <v>838</v>
      </c>
      <c r="B196" s="516" t="s">
        <v>839</v>
      </c>
      <c r="C196" s="516" t="s">
        <v>324</v>
      </c>
      <c r="D196" s="516" t="s">
        <v>840</v>
      </c>
      <c r="E196" s="511">
        <f>F196</f>
        <v>0</v>
      </c>
      <c r="F196" s="510">
        <v>0</v>
      </c>
      <c r="G196" s="372"/>
      <c r="H196" s="372"/>
      <c r="I196" s="510"/>
      <c r="J196" s="511">
        <f>K196+N196</f>
        <v>52000</v>
      </c>
      <c r="K196" s="510"/>
      <c r="L196" s="372"/>
      <c r="M196" s="372"/>
      <c r="N196" s="510">
        <f>O196</f>
        <v>52000</v>
      </c>
      <c r="O196" s="372">
        <v>52000</v>
      </c>
      <c r="P196" s="511">
        <f>E196+J196</f>
        <v>52000</v>
      </c>
    </row>
    <row r="197" spans="1:20" ht="135" x14ac:dyDescent="0.2">
      <c r="A197" s="517" t="s">
        <v>322</v>
      </c>
      <c r="B197" s="517"/>
      <c r="C197" s="517"/>
      <c r="D197" s="517" t="s">
        <v>74</v>
      </c>
      <c r="E197" s="524">
        <f>E198</f>
        <v>30039414.260000002</v>
      </c>
      <c r="F197" s="524">
        <f t="shared" ref="F197:P197" si="94">F198</f>
        <v>30039414.260000002</v>
      </c>
      <c r="G197" s="524">
        <f t="shared" si="94"/>
        <v>0</v>
      </c>
      <c r="H197" s="524">
        <f t="shared" si="94"/>
        <v>0</v>
      </c>
      <c r="I197" s="524">
        <f t="shared" si="94"/>
        <v>0</v>
      </c>
      <c r="J197" s="524">
        <f t="shared" si="94"/>
        <v>0</v>
      </c>
      <c r="K197" s="524">
        <f t="shared" si="94"/>
        <v>0</v>
      </c>
      <c r="L197" s="524">
        <f t="shared" si="94"/>
        <v>0</v>
      </c>
      <c r="M197" s="524">
        <f t="shared" si="94"/>
        <v>0</v>
      </c>
      <c r="N197" s="524">
        <f t="shared" si="94"/>
        <v>0</v>
      </c>
      <c r="O197" s="523">
        <f t="shared" si="94"/>
        <v>0</v>
      </c>
      <c r="P197" s="524">
        <f t="shared" si="94"/>
        <v>30039414.260000002</v>
      </c>
    </row>
    <row r="198" spans="1:20" ht="135" x14ac:dyDescent="0.2">
      <c r="A198" s="521" t="s">
        <v>323</v>
      </c>
      <c r="B198" s="521"/>
      <c r="C198" s="521"/>
      <c r="D198" s="521" t="s">
        <v>98</v>
      </c>
      <c r="E198" s="523">
        <f>E200+E199+E201</f>
        <v>30039414.260000002</v>
      </c>
      <c r="F198" s="524">
        <f>F200+F199+F201</f>
        <v>30039414.260000002</v>
      </c>
      <c r="G198" s="523">
        <f>SUM(G199:G201)</f>
        <v>0</v>
      </c>
      <c r="H198" s="523">
        <f>SUM(H199:H201)</f>
        <v>0</v>
      </c>
      <c r="I198" s="524">
        <v>0</v>
      </c>
      <c r="J198" s="523">
        <f>K198+N198</f>
        <v>0</v>
      </c>
      <c r="K198" s="524">
        <f>SUM(K199:K199)</f>
        <v>0</v>
      </c>
      <c r="L198" s="523">
        <f>SUM(L199:L201)</f>
        <v>0</v>
      </c>
      <c r="M198" s="523">
        <f>SUM(M199:M201)</f>
        <v>0</v>
      </c>
      <c r="N198" s="524">
        <f>SUM(N199:N199)</f>
        <v>0</v>
      </c>
      <c r="O198" s="523">
        <f>SUM(O199:O199)</f>
        <v>0</v>
      </c>
      <c r="P198" s="523">
        <f>E198+J198</f>
        <v>30039414.260000002</v>
      </c>
      <c r="Q198" s="251" t="b">
        <f>P198=P199+P200+P201</f>
        <v>1</v>
      </c>
      <c r="R198" s="253"/>
    </row>
    <row r="199" spans="1:20" ht="46.5" x14ac:dyDescent="0.2">
      <c r="A199" s="448">
        <v>3718600</v>
      </c>
      <c r="B199" s="448">
        <v>8600</v>
      </c>
      <c r="C199" s="516" t="s">
        <v>780</v>
      </c>
      <c r="D199" s="448" t="s">
        <v>781</v>
      </c>
      <c r="E199" s="511">
        <f>F199</f>
        <v>281515.26</v>
      </c>
      <c r="F199" s="510">
        <v>281515.26</v>
      </c>
      <c r="G199" s="372"/>
      <c r="H199" s="372"/>
      <c r="I199" s="510"/>
      <c r="J199" s="511">
        <f t="shared" ref="J199" si="95">K199+N199</f>
        <v>0</v>
      </c>
      <c r="K199" s="510"/>
      <c r="L199" s="372"/>
      <c r="M199" s="372"/>
      <c r="N199" s="510"/>
      <c r="O199" s="372"/>
      <c r="P199" s="511">
        <f>E199+J199</f>
        <v>281515.26</v>
      </c>
    </row>
    <row r="200" spans="1:20" ht="69" customHeight="1" x14ac:dyDescent="0.2">
      <c r="A200" s="448">
        <v>3718700</v>
      </c>
      <c r="B200" s="448">
        <v>8700</v>
      </c>
      <c r="C200" s="516" t="s">
        <v>102</v>
      </c>
      <c r="D200" s="441" t="s">
        <v>100</v>
      </c>
      <c r="E200" s="511">
        <f>F200</f>
        <v>1650999</v>
      </c>
      <c r="F200" s="510">
        <f>(3000000+1200000+1500000-700000-1969600-1109401)-50000-120000-100000</f>
        <v>1650999</v>
      </c>
      <c r="G200" s="372"/>
      <c r="H200" s="372"/>
      <c r="I200" s="510"/>
      <c r="J200" s="511">
        <f>K200+N200</f>
        <v>0</v>
      </c>
      <c r="K200" s="510"/>
      <c r="L200" s="372"/>
      <c r="M200" s="372"/>
      <c r="N200" s="510"/>
      <c r="O200" s="372"/>
      <c r="P200" s="511">
        <f>E200+J200</f>
        <v>1650999</v>
      </c>
    </row>
    <row r="201" spans="1:20" ht="65.25" customHeight="1" x14ac:dyDescent="0.2">
      <c r="A201" s="448">
        <v>3719110</v>
      </c>
      <c r="B201" s="448">
        <v>9110</v>
      </c>
      <c r="C201" s="516" t="s">
        <v>103</v>
      </c>
      <c r="D201" s="441" t="s">
        <v>101</v>
      </c>
      <c r="E201" s="511">
        <f>F201</f>
        <v>28106900</v>
      </c>
      <c r="F201" s="510">
        <v>28106900</v>
      </c>
      <c r="G201" s="372"/>
      <c r="H201" s="372"/>
      <c r="I201" s="510"/>
      <c r="J201" s="511">
        <f>K201+N201</f>
        <v>0</v>
      </c>
      <c r="K201" s="510"/>
      <c r="L201" s="372"/>
      <c r="M201" s="372"/>
      <c r="N201" s="510"/>
      <c r="O201" s="372"/>
      <c r="P201" s="511">
        <f>E201+J201</f>
        <v>28106900</v>
      </c>
    </row>
    <row r="202" spans="1:20" s="5" customFormat="1" ht="81.75" customHeight="1" x14ac:dyDescent="0.75">
      <c r="A202" s="603" t="s">
        <v>8</v>
      </c>
      <c r="B202" s="603"/>
      <c r="C202" s="603"/>
      <c r="D202" s="603"/>
      <c r="E202" s="232">
        <f>E13+E31+E123+E44+E59+E111+E148+E170+E177+E198+E180+E187+E194</f>
        <v>2720711199.1300001</v>
      </c>
      <c r="F202" s="233">
        <f>F13+F31+F123+F44+F58+F111+F148+F170+F177+F198+F180+F187+F194</f>
        <v>2720711199.1300001</v>
      </c>
      <c r="G202" s="232">
        <f t="shared" ref="G202:O202" si="96">G13+G31+G123+G44+G59+G111+G148+G170+G177+G198+G180+G187+G194</f>
        <v>749295648</v>
      </c>
      <c r="H202" s="232">
        <f t="shared" si="96"/>
        <v>98105865</v>
      </c>
      <c r="I202" s="233">
        <f t="shared" si="96"/>
        <v>0</v>
      </c>
      <c r="J202" s="232">
        <f t="shared" si="96"/>
        <v>589858537.44999993</v>
      </c>
      <c r="K202" s="233">
        <f t="shared" si="96"/>
        <v>116467038.62</v>
      </c>
      <c r="L202" s="232">
        <f t="shared" si="96"/>
        <v>27971604</v>
      </c>
      <c r="M202" s="232">
        <f t="shared" si="96"/>
        <v>8018934</v>
      </c>
      <c r="N202" s="233">
        <f t="shared" si="96"/>
        <v>473391498.82999998</v>
      </c>
      <c r="O202" s="232">
        <f t="shared" si="96"/>
        <v>469244178.07999998</v>
      </c>
      <c r="P202" s="232">
        <f>P13+P31+P123+P44+P58+P111+P148+P170+P177+P198+P180+P187+P194</f>
        <v>3310569736.5799994</v>
      </c>
      <c r="Q202" s="180" t="b">
        <f>O202=[1]dod5!J260</f>
        <v>1</v>
      </c>
      <c r="R202" s="534">
        <v>3310569736.5799999</v>
      </c>
      <c r="T202" s="402" t="b">
        <f>R202=P202</f>
        <v>1</v>
      </c>
    </row>
    <row r="203" spans="1:20" ht="31.7" customHeight="1" x14ac:dyDescent="0.2">
      <c r="A203" s="606" t="s">
        <v>574</v>
      </c>
      <c r="B203" s="607"/>
      <c r="C203" s="607"/>
      <c r="D203" s="607"/>
      <c r="E203" s="607"/>
      <c r="F203" s="607"/>
      <c r="G203" s="607"/>
      <c r="H203" s="607"/>
      <c r="I203" s="607"/>
      <c r="J203" s="607"/>
      <c r="K203" s="607"/>
      <c r="L203" s="607"/>
      <c r="M203" s="607"/>
      <c r="N203" s="607"/>
      <c r="O203" s="607"/>
      <c r="P203" s="607"/>
      <c r="Q203" s="23"/>
    </row>
    <row r="204" spans="1:20" ht="31.7" customHeight="1" x14ac:dyDescent="0.2">
      <c r="A204" s="192"/>
      <c r="B204" s="193"/>
      <c r="C204" s="193"/>
      <c r="D204" s="193"/>
      <c r="E204" s="193"/>
      <c r="F204" s="194"/>
      <c r="G204" s="193"/>
      <c r="H204" s="193"/>
      <c r="I204" s="194"/>
      <c r="J204" s="193"/>
      <c r="K204" s="194"/>
      <c r="L204" s="193"/>
      <c r="M204" s="193"/>
      <c r="N204" s="194"/>
      <c r="O204" s="193"/>
      <c r="P204" s="193"/>
      <c r="Q204" s="23"/>
    </row>
    <row r="205" spans="1:20" ht="61.5" customHeight="1" x14ac:dyDescent="0.65">
      <c r="A205" s="513"/>
      <c r="B205" s="513"/>
      <c r="C205" s="513"/>
      <c r="D205" s="602" t="s">
        <v>1021</v>
      </c>
      <c r="E205" s="602"/>
      <c r="F205" s="602"/>
      <c r="G205" s="602"/>
      <c r="H205" s="602"/>
      <c r="I205" s="602"/>
      <c r="J205" s="602"/>
      <c r="K205" s="602"/>
      <c r="L205" s="602"/>
      <c r="M205" s="602"/>
      <c r="N205" s="602"/>
      <c r="O205" s="602"/>
      <c r="P205" s="602"/>
      <c r="Q205" s="24"/>
    </row>
    <row r="206" spans="1:20" ht="45.75" x14ac:dyDescent="0.2">
      <c r="E206" s="55"/>
      <c r="F206" s="11"/>
      <c r="J206" s="9"/>
      <c r="N206" s="50"/>
      <c r="O206" s="54"/>
      <c r="P206" s="47"/>
    </row>
    <row r="207" spans="1:20" ht="45.75" x14ac:dyDescent="0.65">
      <c r="D207" s="602" t="s">
        <v>290</v>
      </c>
      <c r="E207" s="602"/>
      <c r="F207" s="602"/>
      <c r="G207" s="602"/>
      <c r="H207" s="602"/>
      <c r="I207" s="602"/>
      <c r="J207" s="602"/>
      <c r="K207" s="602"/>
      <c r="L207" s="602"/>
      <c r="M207" s="602"/>
      <c r="N207" s="602"/>
      <c r="O207" s="602"/>
      <c r="P207" s="602"/>
      <c r="Q207" s="25"/>
    </row>
    <row r="208" spans="1:20" x14ac:dyDescent="0.2">
      <c r="E208" s="7"/>
      <c r="F208" s="11"/>
      <c r="J208" s="7"/>
      <c r="O208" s="6"/>
    </row>
    <row r="209" spans="1:18" x14ac:dyDescent="0.2">
      <c r="E209" s="7"/>
      <c r="F209" s="11"/>
      <c r="J209" s="7"/>
    </row>
    <row r="210" spans="1:18" ht="45.75" x14ac:dyDescent="0.55000000000000004">
      <c r="E210" s="47"/>
      <c r="F210" s="535"/>
      <c r="G210" s="6"/>
      <c r="I210" s="536"/>
      <c r="J210" s="537"/>
      <c r="K210" s="536"/>
      <c r="L210" s="538"/>
      <c r="M210" s="538"/>
      <c r="N210" s="539"/>
      <c r="O210" s="540"/>
      <c r="P210" s="180" t="b">
        <f>E202+J202=P202</f>
        <v>1</v>
      </c>
    </row>
    <row r="211" spans="1:18" ht="13.5" x14ac:dyDescent="0.2">
      <c r="E211" s="10"/>
      <c r="F211" s="13"/>
      <c r="G211" s="4"/>
      <c r="H211" s="4"/>
      <c r="I211" s="4"/>
      <c r="J211" s="7"/>
    </row>
    <row r="212" spans="1:18" ht="45.75" x14ac:dyDescent="0.2">
      <c r="A212"/>
      <c r="B212"/>
      <c r="C212"/>
      <c r="D212" s="249" t="s">
        <v>941</v>
      </c>
      <c r="E212" s="250" t="b">
        <f>E202=F202</f>
        <v>1</v>
      </c>
      <c r="F212" s="50">
        <f>F200/P202*100</f>
        <v>4.9870539857757912E-2</v>
      </c>
      <c r="G212" s="209" t="s">
        <v>650</v>
      </c>
      <c r="I212" s="249"/>
      <c r="J212" s="250"/>
      <c r="K212" s="196"/>
      <c r="L212"/>
      <c r="M212"/>
      <c r="N212" s="196"/>
      <c r="O212"/>
      <c r="P212"/>
    </row>
    <row r="213" spans="1:18" ht="60.75" x14ac:dyDescent="0.2">
      <c r="D213" s="249" t="s">
        <v>942</v>
      </c>
      <c r="E213" s="250" t="b">
        <f>G202=839900+735946698</f>
        <v>0</v>
      </c>
      <c r="G213" s="53"/>
      <c r="I213" s="249" t="s">
        <v>942</v>
      </c>
      <c r="J213" s="250" t="b">
        <f>L202=0+27261672</f>
        <v>0</v>
      </c>
      <c r="O213" s="209"/>
      <c r="P213" s="190">
        <v>61777260</v>
      </c>
      <c r="Q213" s="191"/>
      <c r="R213" s="190">
        <v>103276575.63</v>
      </c>
    </row>
    <row r="214" spans="1:18" ht="60.75" x14ac:dyDescent="0.2">
      <c r="A214"/>
      <c r="B214"/>
      <c r="C214"/>
      <c r="D214" s="249" t="s">
        <v>943</v>
      </c>
      <c r="E214" s="250" t="b">
        <f>H202=97533765+11500</f>
        <v>0</v>
      </c>
      <c r="F214" s="50"/>
      <c r="G214" s="6"/>
      <c r="I214" s="249" t="s">
        <v>943</v>
      </c>
      <c r="J214" s="250" t="b">
        <f>M202=0+7617512</f>
        <v>0</v>
      </c>
      <c r="K214" s="196"/>
      <c r="L214"/>
      <c r="M214"/>
      <c r="N214" s="196"/>
      <c r="O214" s="190"/>
      <c r="P214" s="190">
        <f>P202-'[1]dod3 Квітень+Комісії+Сесія'!P195</f>
        <v>61777259.999999523</v>
      </c>
      <c r="Q214" s="191"/>
      <c r="R214" s="190" t="s">
        <v>1038</v>
      </c>
    </row>
    <row r="215" spans="1:18" ht="60.75" x14ac:dyDescent="0.2">
      <c r="D215" s="249"/>
      <c r="E215" s="250"/>
      <c r="F215" s="52"/>
      <c r="O215" s="209"/>
      <c r="P215" s="190" t="b">
        <f>P213=P214</f>
        <v>0</v>
      </c>
    </row>
    <row r="216" spans="1:18" ht="60.75" x14ac:dyDescent="0.75">
      <c r="A216"/>
      <c r="B216"/>
      <c r="C216"/>
      <c r="D216" s="249"/>
      <c r="E216" s="250"/>
      <c r="F216" s="50"/>
      <c r="G216" s="6"/>
      <c r="J216" s="7"/>
      <c r="K216" s="196"/>
      <c r="L216"/>
      <c r="M216"/>
      <c r="N216" s="196"/>
      <c r="O216" s="271"/>
      <c r="P216" s="190" t="b">
        <f>IF(P213=P214,TRUE,FALSE)</f>
        <v>0</v>
      </c>
    </row>
    <row r="217" spans="1:18" ht="62.25" x14ac:dyDescent="0.8">
      <c r="A217"/>
      <c r="B217"/>
      <c r="C217"/>
      <c r="D217"/>
      <c r="E217" s="49"/>
      <c r="F217" s="50"/>
      <c r="J217" s="7"/>
      <c r="K217" s="196"/>
      <c r="L217"/>
      <c r="M217"/>
      <c r="N217" s="196"/>
      <c r="O217"/>
      <c r="P217" s="270"/>
    </row>
    <row r="218" spans="1:18" ht="45.75" x14ac:dyDescent="0.2">
      <c r="E218" s="51"/>
      <c r="F218" s="52"/>
    </row>
    <row r="219" spans="1:18" ht="45.75" x14ac:dyDescent="0.2">
      <c r="A219"/>
      <c r="B219"/>
      <c r="C219"/>
      <c r="D219"/>
      <c r="E219" s="49"/>
      <c r="F219" s="50"/>
      <c r="K219" s="196"/>
      <c r="L219"/>
      <c r="M219"/>
      <c r="N219" s="196"/>
      <c r="O219"/>
      <c r="P219"/>
    </row>
    <row r="220" spans="1:18" ht="45.75" x14ac:dyDescent="0.2">
      <c r="E220" s="51"/>
      <c r="F220" s="52"/>
    </row>
    <row r="221" spans="1:18" ht="45.75" x14ac:dyDescent="0.2">
      <c r="E221" s="51"/>
      <c r="F221" s="52"/>
    </row>
    <row r="222" spans="1:18" ht="45.75" x14ac:dyDescent="0.2">
      <c r="E222" s="51"/>
      <c r="F222" s="52"/>
    </row>
    <row r="223" spans="1:18" ht="45.75" x14ac:dyDescent="0.2">
      <c r="A223"/>
      <c r="B223"/>
      <c r="C223"/>
      <c r="D223"/>
      <c r="E223" s="51"/>
      <c r="F223" s="52"/>
      <c r="G223"/>
      <c r="H223"/>
      <c r="I223" s="196"/>
      <c r="J223"/>
      <c r="K223" s="196"/>
      <c r="L223"/>
      <c r="M223"/>
      <c r="N223" s="196"/>
      <c r="O223"/>
      <c r="P223"/>
    </row>
    <row r="224" spans="1:18" ht="45.75" x14ac:dyDescent="0.2">
      <c r="A224"/>
      <c r="B224"/>
      <c r="C224"/>
      <c r="D224"/>
      <c r="E224" s="51"/>
      <c r="F224" s="52"/>
      <c r="G224"/>
      <c r="H224"/>
      <c r="I224" s="196"/>
      <c r="J224"/>
      <c r="K224" s="196"/>
      <c r="L224"/>
      <c r="M224"/>
      <c r="N224" s="196"/>
      <c r="O224"/>
      <c r="P224"/>
    </row>
    <row r="225" spans="1:16" ht="45.75" x14ac:dyDescent="0.2">
      <c r="A225"/>
      <c r="B225"/>
      <c r="C225"/>
      <c r="D225"/>
      <c r="E225" s="51"/>
      <c r="F225" s="52"/>
      <c r="G225"/>
      <c r="H225"/>
      <c r="I225" s="196"/>
      <c r="J225"/>
      <c r="K225" s="196"/>
      <c r="L225"/>
      <c r="M225"/>
      <c r="N225" s="196"/>
      <c r="O225"/>
      <c r="P225"/>
    </row>
    <row r="226" spans="1:16" ht="45.75" x14ac:dyDescent="0.2">
      <c r="A226"/>
      <c r="B226"/>
      <c r="C226"/>
      <c r="D226"/>
      <c r="E226" s="51"/>
      <c r="F226" s="52"/>
      <c r="G226"/>
      <c r="H226"/>
      <c r="I226" s="196"/>
      <c r="J226"/>
      <c r="K226" s="196"/>
      <c r="L226"/>
      <c r="M226"/>
      <c r="N226" s="196"/>
      <c r="O226"/>
      <c r="P226"/>
    </row>
  </sheetData>
  <mergeCells count="84">
    <mergeCell ref="A8:A10"/>
    <mergeCell ref="B8:B10"/>
    <mergeCell ref="C8:C10"/>
    <mergeCell ref="D8:D10"/>
    <mergeCell ref="E8:I8"/>
    <mergeCell ref="N1:P1"/>
    <mergeCell ref="N2:P2"/>
    <mergeCell ref="N3:P3"/>
    <mergeCell ref="A5:P5"/>
    <mergeCell ref="A6:P6"/>
    <mergeCell ref="N24:N25"/>
    <mergeCell ref="O24:O25"/>
    <mergeCell ref="P24:P25"/>
    <mergeCell ref="K24:K25"/>
    <mergeCell ref="L24:L25"/>
    <mergeCell ref="M24:M25"/>
    <mergeCell ref="J8:N8"/>
    <mergeCell ref="P8:P10"/>
    <mergeCell ref="E9:E10"/>
    <mergeCell ref="F9:F10"/>
    <mergeCell ref="G9:H9"/>
    <mergeCell ref="I9:I10"/>
    <mergeCell ref="J9:J10"/>
    <mergeCell ref="K9:K10"/>
    <mergeCell ref="L9:M9"/>
    <mergeCell ref="N9:N10"/>
    <mergeCell ref="A24:A25"/>
    <mergeCell ref="B24:B25"/>
    <mergeCell ref="C24:C25"/>
    <mergeCell ref="E24:E25"/>
    <mergeCell ref="F24:F25"/>
    <mergeCell ref="A81:A82"/>
    <mergeCell ref="B81:B82"/>
    <mergeCell ref="C81:C82"/>
    <mergeCell ref="E81:E82"/>
    <mergeCell ref="F81:F82"/>
    <mergeCell ref="G81:G82"/>
    <mergeCell ref="H81:H82"/>
    <mergeCell ref="H24:H25"/>
    <mergeCell ref="I24:I25"/>
    <mergeCell ref="J24:J25"/>
    <mergeCell ref="G24:G25"/>
    <mergeCell ref="O81:O82"/>
    <mergeCell ref="P81:P82"/>
    <mergeCell ref="A100:A102"/>
    <mergeCell ref="B100:B102"/>
    <mergeCell ref="C100:C102"/>
    <mergeCell ref="E100:E102"/>
    <mergeCell ref="F100:F102"/>
    <mergeCell ref="G100:G102"/>
    <mergeCell ref="H100:H102"/>
    <mergeCell ref="I100:I102"/>
    <mergeCell ref="I81:I82"/>
    <mergeCell ref="J81:J82"/>
    <mergeCell ref="K81:K82"/>
    <mergeCell ref="L81:L82"/>
    <mergeCell ref="M81:M82"/>
    <mergeCell ref="N81:N82"/>
    <mergeCell ref="P100:P102"/>
    <mergeCell ref="A103:A104"/>
    <mergeCell ref="B103:B104"/>
    <mergeCell ref="C103:C104"/>
    <mergeCell ref="E103:E104"/>
    <mergeCell ref="F103:F104"/>
    <mergeCell ref="G103:G104"/>
    <mergeCell ref="H103:H104"/>
    <mergeCell ref="I103:I104"/>
    <mergeCell ref="J103:J104"/>
    <mergeCell ref="J100:J102"/>
    <mergeCell ref="K100:K102"/>
    <mergeCell ref="L100:L102"/>
    <mergeCell ref="M100:M102"/>
    <mergeCell ref="N100:N102"/>
    <mergeCell ref="O100:O102"/>
    <mergeCell ref="A202:D202"/>
    <mergeCell ref="A203:P203"/>
    <mergeCell ref="D205:P205"/>
    <mergeCell ref="D207:P207"/>
    <mergeCell ref="K103:K104"/>
    <mergeCell ref="L103:L104"/>
    <mergeCell ref="M103:M104"/>
    <mergeCell ref="N103:N104"/>
    <mergeCell ref="O103:O104"/>
    <mergeCell ref="P103:P104"/>
  </mergeCells>
  <conditionalFormatting sqref="Q177:R177">
    <cfRule type="iconSet" priority="5">
      <iconSet iconSet="3Arrows">
        <cfvo type="percent" val="0"/>
        <cfvo type="percent" val="33"/>
        <cfvo type="percent" val="67"/>
      </iconSet>
    </cfRule>
  </conditionalFormatting>
  <conditionalFormatting sqref="Q180:R180">
    <cfRule type="iconSet" priority="4">
      <iconSet iconSet="3Arrows">
        <cfvo type="percent" val="0"/>
        <cfvo type="percent" val="33"/>
        <cfvo type="percent" val="67"/>
      </iconSet>
    </cfRule>
  </conditionalFormatting>
  <conditionalFormatting sqref="Q187:R187">
    <cfRule type="iconSet" priority="3">
      <iconSet iconSet="3Arrows">
        <cfvo type="percent" val="0"/>
        <cfvo type="percent" val="33"/>
        <cfvo type="percent" val="67"/>
      </iconSet>
    </cfRule>
  </conditionalFormatting>
  <conditionalFormatting sqref="Q198:R198">
    <cfRule type="iconSet" priority="2">
      <iconSet iconSet="3Arrows">
        <cfvo type="percent" val="0"/>
        <cfvo type="percent" val="33"/>
        <cfvo type="percent" val="67"/>
      </iconSet>
    </cfRule>
  </conditionalFormatting>
  <conditionalFormatting sqref="Q194:R194">
    <cfRule type="iconSet" priority="1">
      <iconSet iconSet="3Arrows">
        <cfvo type="percent" val="0"/>
        <cfvo type="percent" val="33"/>
        <cfvo type="percent" val="67"/>
      </iconSet>
    </cfRule>
  </conditionalFormatting>
  <pageMargins left="0.23622047244094491" right="0.27559055118110237" top="0.27559055118110237" bottom="0.15748031496062992" header="0.23622047244094491" footer="0.27559055118110237"/>
  <pageSetup paperSize="9" scale="16" fitToHeight="2" orientation="landscape" r:id="rId1"/>
  <headerFooter alignWithMargins="0">
    <oddFooter>&amp;C&amp;"Times New Roman Cyr,курсив"Сторінка &amp;P з &amp;N</oddFooter>
  </headerFooter>
  <rowBreaks count="7" manualBreakCount="7">
    <brk id="28" max="15" man="1"/>
    <brk id="50" max="15" man="1"/>
    <brk id="68" max="15" man="1"/>
    <brk id="87" max="15" man="1"/>
    <brk id="101" max="15" man="1"/>
    <brk id="125" max="15" man="1"/>
    <brk id="14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10</vt:i4>
      </vt:variant>
      <vt:variant>
        <vt:lpstr>Іменовані діапазони</vt:lpstr>
      </vt:variant>
      <vt:variant>
        <vt:i4>13</vt:i4>
      </vt:variant>
    </vt:vector>
  </HeadingPairs>
  <TitlesOfParts>
    <vt:vector size="23" baseType="lpstr">
      <vt:lpstr>дод1</vt:lpstr>
      <vt:lpstr>dod2</vt:lpstr>
      <vt:lpstr>dod3</vt:lpstr>
      <vt:lpstr>dod4</vt:lpstr>
      <vt:lpstr>dod5</vt:lpstr>
      <vt:lpstr>dod6</vt:lpstr>
      <vt:lpstr>dod7</vt:lpstr>
      <vt:lpstr>dod8</vt:lpstr>
      <vt:lpstr>dod3 жовтень</vt:lpstr>
      <vt:lpstr>Різниця</vt:lpstr>
      <vt:lpstr>'dod3'!Заголовки_для_друку</vt:lpstr>
      <vt:lpstr>'dod3 жовтень'!Заголовки_для_друку</vt:lpstr>
      <vt:lpstr>Різниця!Заголовки_для_друку</vt:lpstr>
      <vt:lpstr>'dod2'!Область_друку</vt:lpstr>
      <vt:lpstr>'dod3'!Область_друку</vt:lpstr>
      <vt:lpstr>'dod3 жовтень'!Область_друку</vt:lpstr>
      <vt:lpstr>'dod4'!Область_друку</vt:lpstr>
      <vt:lpstr>'dod5'!Область_друку</vt:lpstr>
      <vt:lpstr>'dod6'!Область_друку</vt:lpstr>
      <vt:lpstr>'dod7'!Область_друку</vt:lpstr>
      <vt:lpstr>'dod8'!Область_друку</vt:lpstr>
      <vt:lpstr>дод1!Область_друку</vt:lpstr>
      <vt:lpstr>Різниця!Область_друку</vt:lpstr>
    </vt:vector>
  </TitlesOfParts>
  <Company>Міське фінуправління</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Власюк Олена</dc:creator>
  <cp:lastModifiedBy>Ковтун Денис Леонідович</cp:lastModifiedBy>
  <cp:lastPrinted>2018-11-23T09:20:08Z</cp:lastPrinted>
  <dcterms:created xsi:type="dcterms:W3CDTF">2001-12-03T09:30:42Z</dcterms:created>
  <dcterms:modified xsi:type="dcterms:W3CDTF">2018-11-23T09:31:31Z</dcterms:modified>
</cp:coreProperties>
</file>