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O:\BUDJET\2024\Звіт за І-й квартал 2024\"/>
    </mc:Choice>
  </mc:AlternateContent>
  <xr:revisionPtr revIDLastSave="0" documentId="13_ncr:1_{84F72071-2D2F-4DD0-8C08-FB293154D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2" sheetId="1" r:id="rId1"/>
  </sheets>
  <definedNames>
    <definedName name="_xlnm.Print_Titles" localSheetId="0">'d2'!$10:$13</definedName>
    <definedName name="_xlnm.Print_Area" localSheetId="0">'d2'!$B$1:$N$234</definedName>
    <definedName name="С1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0" i="1" l="1"/>
  <c r="I188" i="1"/>
  <c r="J188" i="1"/>
  <c r="N187" i="1"/>
  <c r="I172" i="1"/>
  <c r="J162" i="1"/>
  <c r="I162" i="1"/>
  <c r="I112" i="1"/>
  <c r="J112" i="1"/>
  <c r="O19" i="1"/>
  <c r="J18" i="1"/>
  <c r="I18" i="1"/>
  <c r="J16" i="1"/>
  <c r="I16" i="1"/>
  <c r="J221" i="1"/>
  <c r="G227" i="1"/>
  <c r="F227" i="1"/>
  <c r="E227" i="1"/>
  <c r="J227" i="1"/>
  <c r="I227" i="1"/>
  <c r="N229" i="1"/>
  <c r="K229" i="1"/>
  <c r="H216" i="1"/>
  <c r="H215" i="1"/>
  <c r="E173" i="1"/>
  <c r="N55" i="1"/>
  <c r="N56" i="1"/>
  <c r="K56" i="1"/>
  <c r="K55" i="1"/>
  <c r="J54" i="1"/>
  <c r="I54" i="1"/>
  <c r="G54" i="1"/>
  <c r="F54" i="1"/>
  <c r="E54" i="1"/>
  <c r="K54" i="1" l="1"/>
  <c r="N54" i="1"/>
  <c r="K58" i="1"/>
  <c r="K60" i="1"/>
  <c r="K68" i="1"/>
  <c r="J63" i="1"/>
  <c r="I63" i="1"/>
  <c r="E63" i="1"/>
  <c r="J51" i="1" l="1"/>
  <c r="I51" i="1"/>
  <c r="G51" i="1"/>
  <c r="F51" i="1"/>
  <c r="E51" i="1"/>
  <c r="N52" i="1"/>
  <c r="K52" i="1"/>
  <c r="N42" i="1"/>
  <c r="K51" i="1" l="1"/>
  <c r="N51" i="1"/>
  <c r="E175" i="1" l="1"/>
  <c r="G173" i="1" l="1"/>
  <c r="H147" i="1"/>
  <c r="N147" i="1"/>
  <c r="N89" i="1" l="1"/>
  <c r="F67" i="1"/>
  <c r="N226" i="1" l="1"/>
  <c r="J225" i="1"/>
  <c r="I225" i="1"/>
  <c r="G225" i="1"/>
  <c r="F225" i="1"/>
  <c r="E225" i="1"/>
  <c r="N225" i="1" l="1"/>
  <c r="K228" i="1"/>
  <c r="N228" i="1"/>
  <c r="N227" i="1" l="1"/>
  <c r="K202" i="1" l="1"/>
  <c r="K84" i="1"/>
  <c r="N53" i="1"/>
  <c r="K53" i="1"/>
  <c r="N218" i="1" l="1"/>
  <c r="H218" i="1"/>
  <c r="H174" i="1" l="1"/>
  <c r="G134" i="1"/>
  <c r="F134" i="1"/>
  <c r="E134" i="1"/>
  <c r="H136" i="1"/>
  <c r="N136" i="1"/>
  <c r="H117" i="1" l="1"/>
  <c r="H78" i="1"/>
  <c r="K223" i="1" l="1"/>
  <c r="H217" i="1"/>
  <c r="H213" i="1"/>
  <c r="H207" i="1"/>
  <c r="H203" i="1"/>
  <c r="H202" i="1"/>
  <c r="H201" i="1"/>
  <c r="H199" i="1"/>
  <c r="H198" i="1"/>
  <c r="I161" i="1" l="1"/>
  <c r="H195" i="1"/>
  <c r="H191" i="1"/>
  <c r="H188" i="1"/>
  <c r="H187" i="1"/>
  <c r="H186" i="1"/>
  <c r="H184" i="1"/>
  <c r="H182" i="1"/>
  <c r="H181" i="1"/>
  <c r="H177" i="1"/>
  <c r="H176" i="1"/>
  <c r="H158" i="1"/>
  <c r="H155" i="1" l="1"/>
  <c r="H153" i="1"/>
  <c r="H150" i="1"/>
  <c r="H149" i="1"/>
  <c r="H145" i="1"/>
  <c r="H144" i="1"/>
  <c r="H143" i="1"/>
  <c r="H140" i="1"/>
  <c r="H139" i="1"/>
  <c r="H138" i="1"/>
  <c r="H133" i="1"/>
  <c r="H132" i="1"/>
  <c r="H130" i="1"/>
  <c r="H128" i="1"/>
  <c r="H127" i="1"/>
  <c r="H124" i="1"/>
  <c r="H123" i="1"/>
  <c r="H121" i="1"/>
  <c r="H120" i="1"/>
  <c r="H119" i="1"/>
  <c r="H118" i="1"/>
  <c r="H115" i="1" l="1"/>
  <c r="H114" i="1"/>
  <c r="H112" i="1"/>
  <c r="H97" i="1"/>
  <c r="H95" i="1"/>
  <c r="H93" i="1"/>
  <c r="H92" i="1"/>
  <c r="H90" i="1"/>
  <c r="H88" i="1"/>
  <c r="H87" i="1"/>
  <c r="H85" i="1"/>
  <c r="H84" i="1"/>
  <c r="H82" i="1"/>
  <c r="H81" i="1"/>
  <c r="H79" i="1"/>
  <c r="H77" i="1"/>
  <c r="F71" i="1"/>
  <c r="H76" i="1"/>
  <c r="H75" i="1"/>
  <c r="H74" i="1"/>
  <c r="H73" i="1"/>
  <c r="H72" i="1"/>
  <c r="K112" i="1" l="1"/>
  <c r="H69" i="1"/>
  <c r="H68" i="1"/>
  <c r="H64" i="1"/>
  <c r="H61" i="1"/>
  <c r="H60" i="1"/>
  <c r="H59" i="1"/>
  <c r="E67" i="1"/>
  <c r="H58" i="1"/>
  <c r="H46" i="1"/>
  <c r="H45" i="1"/>
  <c r="H44" i="1"/>
  <c r="H42" i="1"/>
  <c r="H41" i="1"/>
  <c r="H40" i="1"/>
  <c r="H38" i="1"/>
  <c r="H37" i="1"/>
  <c r="H35" i="1"/>
  <c r="E14" i="1"/>
  <c r="F14" i="1"/>
  <c r="G14" i="1"/>
  <c r="I14" i="1"/>
  <c r="J14" i="1"/>
  <c r="H34" i="1"/>
  <c r="H32" i="1"/>
  <c r="H31" i="1"/>
  <c r="H30" i="1"/>
  <c r="H27" i="1"/>
  <c r="H26" i="1"/>
  <c r="H24" i="1"/>
  <c r="H23" i="1"/>
  <c r="H22" i="1"/>
  <c r="G48" i="1"/>
  <c r="H20" i="1"/>
  <c r="H18" i="1"/>
  <c r="H17" i="1"/>
  <c r="H16" i="1"/>
  <c r="K14" i="1" l="1"/>
  <c r="H14" i="1"/>
  <c r="K15" i="1"/>
  <c r="H15" i="1" l="1"/>
  <c r="I96" i="1" l="1"/>
  <c r="J96" i="1"/>
  <c r="N24" i="1"/>
  <c r="K24" i="1"/>
  <c r="F222" i="1" l="1"/>
  <c r="F221" i="1" s="1"/>
  <c r="F220" i="1" s="1"/>
  <c r="F214" i="1"/>
  <c r="F212" i="1"/>
  <c r="F209" i="1"/>
  <c r="F206" i="1"/>
  <c r="F204" i="1"/>
  <c r="F200" i="1"/>
  <c r="F197" i="1"/>
  <c r="F192" i="1"/>
  <c r="F185" i="1"/>
  <c r="F180" i="1"/>
  <c r="F178" i="1"/>
  <c r="F175" i="1"/>
  <c r="F173" i="1"/>
  <c r="F169" i="1"/>
  <c r="F159" i="1" s="1"/>
  <c r="F157" i="1"/>
  <c r="F151" i="1"/>
  <c r="F142" i="1"/>
  <c r="F137" i="1"/>
  <c r="F131" i="1"/>
  <c r="F129" i="1"/>
  <c r="F126" i="1"/>
  <c r="F122" i="1"/>
  <c r="F116" i="1" s="1"/>
  <c r="F113" i="1"/>
  <c r="F98" i="1"/>
  <c r="F96" i="1"/>
  <c r="F94" i="1"/>
  <c r="F91" i="1"/>
  <c r="F86" i="1"/>
  <c r="F83" i="1"/>
  <c r="F80" i="1"/>
  <c r="F65" i="1"/>
  <c r="F63" i="1"/>
  <c r="F48" i="1"/>
  <c r="F43" i="1"/>
  <c r="F39" i="1"/>
  <c r="F36" i="1"/>
  <c r="F33" i="1"/>
  <c r="F28" i="1"/>
  <c r="F25" i="1"/>
  <c r="F21" i="1"/>
  <c r="F19" i="1" s="1"/>
  <c r="F183" i="1" l="1"/>
  <c r="F141" i="1"/>
  <c r="F211" i="1"/>
  <c r="F172" i="1"/>
  <c r="F196" i="1"/>
  <c r="F70" i="1"/>
  <c r="F57" i="1"/>
  <c r="F125" i="1"/>
  <c r="F156" i="1" l="1"/>
  <c r="F219" i="1" s="1"/>
  <c r="F252" i="1" s="1"/>
  <c r="N223" i="1"/>
  <c r="K140" i="1"/>
  <c r="N97" i="1"/>
  <c r="K96" i="1"/>
  <c r="K97" i="1"/>
  <c r="F230" i="1" l="1"/>
  <c r="K18" i="1"/>
  <c r="N202" i="1" l="1"/>
  <c r="G200" i="1"/>
  <c r="H200" i="1" s="1"/>
  <c r="J200" i="1"/>
  <c r="I200" i="1"/>
  <c r="E200" i="1"/>
  <c r="N201" i="1" l="1"/>
  <c r="N171" i="1" l="1"/>
  <c r="G157" i="1"/>
  <c r="H157" i="1" s="1"/>
  <c r="E157" i="1"/>
  <c r="I157" i="1"/>
  <c r="N121" i="1" l="1"/>
  <c r="N112" i="1"/>
  <c r="N78" i="1"/>
  <c r="K203" i="1" l="1"/>
  <c r="J178" i="1"/>
  <c r="N140" i="1"/>
  <c r="G63" i="1" l="1"/>
  <c r="H63" i="1" s="1"/>
  <c r="N15" i="1" l="1"/>
  <c r="N16" i="1"/>
  <c r="N17" i="1"/>
  <c r="N18" i="1"/>
  <c r="K20" i="1"/>
  <c r="N20" i="1"/>
  <c r="E21" i="1"/>
  <c r="G21" i="1"/>
  <c r="G19" i="1" s="1"/>
  <c r="I21" i="1"/>
  <c r="J21" i="1"/>
  <c r="K22" i="1"/>
  <c r="N22" i="1"/>
  <c r="K23" i="1"/>
  <c r="N23" i="1"/>
  <c r="E25" i="1"/>
  <c r="G25" i="1"/>
  <c r="I25" i="1"/>
  <c r="J25" i="1"/>
  <c r="N26" i="1"/>
  <c r="N27" i="1"/>
  <c r="E28" i="1"/>
  <c r="G28" i="1"/>
  <c r="H28" i="1" s="1"/>
  <c r="I28" i="1"/>
  <c r="J28" i="1"/>
  <c r="N30" i="1"/>
  <c r="K31" i="1"/>
  <c r="N31" i="1"/>
  <c r="K32" i="1"/>
  <c r="N32" i="1"/>
  <c r="E33" i="1"/>
  <c r="G33" i="1"/>
  <c r="H33" i="1" s="1"/>
  <c r="I33" i="1"/>
  <c r="J33" i="1"/>
  <c r="K34" i="1"/>
  <c r="N34" i="1"/>
  <c r="N35" i="1"/>
  <c r="E36" i="1"/>
  <c r="G36" i="1"/>
  <c r="H36" i="1" s="1"/>
  <c r="I36" i="1"/>
  <c r="J36" i="1"/>
  <c r="K37" i="1"/>
  <c r="N37" i="1"/>
  <c r="N38" i="1"/>
  <c r="E39" i="1"/>
  <c r="G39" i="1"/>
  <c r="H39" i="1" s="1"/>
  <c r="I39" i="1"/>
  <c r="J39" i="1"/>
  <c r="N40" i="1"/>
  <c r="N41" i="1"/>
  <c r="E43" i="1"/>
  <c r="G43" i="1"/>
  <c r="H43" i="1" s="1"/>
  <c r="I43" i="1"/>
  <c r="J43" i="1"/>
  <c r="K44" i="1"/>
  <c r="N44" i="1"/>
  <c r="K45" i="1"/>
  <c r="N45" i="1"/>
  <c r="N46" i="1"/>
  <c r="K47" i="1"/>
  <c r="N47" i="1"/>
  <c r="E48" i="1"/>
  <c r="I48" i="1"/>
  <c r="J48" i="1"/>
  <c r="N48" i="1" s="1"/>
  <c r="N49" i="1"/>
  <c r="K50" i="1"/>
  <c r="N50" i="1"/>
  <c r="N58" i="1"/>
  <c r="N59" i="1"/>
  <c r="N60" i="1"/>
  <c r="N61" i="1"/>
  <c r="K62" i="1"/>
  <c r="N62" i="1"/>
  <c r="N63" i="1"/>
  <c r="N64" i="1"/>
  <c r="E65" i="1"/>
  <c r="G65" i="1"/>
  <c r="N66" i="1"/>
  <c r="G67" i="1"/>
  <c r="H67" i="1" s="1"/>
  <c r="I67" i="1"/>
  <c r="I57" i="1" s="1"/>
  <c r="J67" i="1"/>
  <c r="N68" i="1"/>
  <c r="N69" i="1"/>
  <c r="E71" i="1"/>
  <c r="G71" i="1"/>
  <c r="H71" i="1" s="1"/>
  <c r="I71" i="1"/>
  <c r="J71" i="1"/>
  <c r="K72" i="1"/>
  <c r="N72" i="1"/>
  <c r="N73" i="1"/>
  <c r="N74" i="1"/>
  <c r="N75" i="1"/>
  <c r="N76" i="1"/>
  <c r="N77" i="1"/>
  <c r="N79" i="1"/>
  <c r="E80" i="1"/>
  <c r="G80" i="1"/>
  <c r="H80" i="1" s="1"/>
  <c r="I80" i="1"/>
  <c r="J80" i="1"/>
  <c r="K81" i="1"/>
  <c r="N81" i="1"/>
  <c r="K82" i="1"/>
  <c r="N82" i="1"/>
  <c r="E83" i="1"/>
  <c r="G83" i="1"/>
  <c r="H83" i="1" s="1"/>
  <c r="I83" i="1"/>
  <c r="J83" i="1"/>
  <c r="N84" i="1"/>
  <c r="K85" i="1"/>
  <c r="N85" i="1"/>
  <c r="E86" i="1"/>
  <c r="G86" i="1"/>
  <c r="H86" i="1" s="1"/>
  <c r="I86" i="1"/>
  <c r="J86" i="1"/>
  <c r="K87" i="1"/>
  <c r="N87" i="1"/>
  <c r="K88" i="1"/>
  <c r="N88" i="1"/>
  <c r="N90" i="1"/>
  <c r="E91" i="1"/>
  <c r="G91" i="1"/>
  <c r="N92" i="1"/>
  <c r="N93" i="1"/>
  <c r="E94" i="1"/>
  <c r="G94" i="1"/>
  <c r="H94" i="1" s="1"/>
  <c r="N95" i="1"/>
  <c r="E96" i="1"/>
  <c r="G96" i="1"/>
  <c r="E98" i="1"/>
  <c r="G98" i="1"/>
  <c r="I98" i="1"/>
  <c r="J98" i="1"/>
  <c r="K99" i="1"/>
  <c r="N99" i="1"/>
  <c r="K102" i="1"/>
  <c r="N102" i="1"/>
  <c r="K106" i="1"/>
  <c r="N106" i="1"/>
  <c r="K109" i="1"/>
  <c r="N109" i="1"/>
  <c r="E113" i="1"/>
  <c r="G113" i="1"/>
  <c r="H113" i="1" s="1"/>
  <c r="I113" i="1"/>
  <c r="J113" i="1"/>
  <c r="K114" i="1"/>
  <c r="N114" i="1"/>
  <c r="K115" i="1"/>
  <c r="N115" i="1"/>
  <c r="N117" i="1"/>
  <c r="K118" i="1"/>
  <c r="N118" i="1"/>
  <c r="K119" i="1"/>
  <c r="N119" i="1"/>
  <c r="K120" i="1"/>
  <c r="N120" i="1"/>
  <c r="E122" i="1"/>
  <c r="E116" i="1" s="1"/>
  <c r="G122" i="1"/>
  <c r="I122" i="1"/>
  <c r="I116" i="1" s="1"/>
  <c r="J122" i="1"/>
  <c r="K123" i="1"/>
  <c r="N123" i="1"/>
  <c r="N124" i="1"/>
  <c r="E126" i="1"/>
  <c r="G126" i="1"/>
  <c r="N127" i="1"/>
  <c r="N128" i="1"/>
  <c r="E129" i="1"/>
  <c r="G129" i="1"/>
  <c r="H129" i="1" s="1"/>
  <c r="N130" i="1"/>
  <c r="E131" i="1"/>
  <c r="G131" i="1"/>
  <c r="H131" i="1" s="1"/>
  <c r="I131" i="1"/>
  <c r="J131" i="1"/>
  <c r="K132" i="1"/>
  <c r="N132" i="1"/>
  <c r="N133" i="1"/>
  <c r="I134" i="1"/>
  <c r="J134" i="1"/>
  <c r="K135" i="1"/>
  <c r="N135" i="1"/>
  <c r="E137" i="1"/>
  <c r="G137" i="1"/>
  <c r="H137" i="1" s="1"/>
  <c r="I137" i="1"/>
  <c r="J137" i="1"/>
  <c r="N138" i="1"/>
  <c r="N139" i="1"/>
  <c r="E142" i="1"/>
  <c r="G142" i="1"/>
  <c r="H142" i="1" s="1"/>
  <c r="I142" i="1"/>
  <c r="J142" i="1"/>
  <c r="K143" i="1"/>
  <c r="N143" i="1"/>
  <c r="N144" i="1"/>
  <c r="K145" i="1"/>
  <c r="N145" i="1"/>
  <c r="K146" i="1"/>
  <c r="N146" i="1"/>
  <c r="K148" i="1"/>
  <c r="N148" i="1"/>
  <c r="K150" i="1"/>
  <c r="N150" i="1"/>
  <c r="E151" i="1"/>
  <c r="G151" i="1"/>
  <c r="I151" i="1"/>
  <c r="J151" i="1"/>
  <c r="K152" i="1"/>
  <c r="N152" i="1"/>
  <c r="K153" i="1"/>
  <c r="N153" i="1"/>
  <c r="N154" i="1"/>
  <c r="N155" i="1"/>
  <c r="J157" i="1"/>
  <c r="N158" i="1"/>
  <c r="K160" i="1"/>
  <c r="N160" i="1"/>
  <c r="J161" i="1"/>
  <c r="N162" i="1"/>
  <c r="K163" i="1"/>
  <c r="N163" i="1"/>
  <c r="N164" i="1"/>
  <c r="K165" i="1"/>
  <c r="N165" i="1"/>
  <c r="K166" i="1"/>
  <c r="N166" i="1"/>
  <c r="K167" i="1"/>
  <c r="N167" i="1"/>
  <c r="K168" i="1"/>
  <c r="N168" i="1"/>
  <c r="E169" i="1"/>
  <c r="E159" i="1" s="1"/>
  <c r="G169" i="1"/>
  <c r="G159" i="1" s="1"/>
  <c r="I169" i="1"/>
  <c r="J169" i="1"/>
  <c r="K170" i="1"/>
  <c r="N170" i="1"/>
  <c r="H173" i="1"/>
  <c r="I173" i="1"/>
  <c r="J173" i="1"/>
  <c r="N174" i="1"/>
  <c r="G175" i="1"/>
  <c r="N176" i="1"/>
  <c r="N177" i="1"/>
  <c r="E178" i="1"/>
  <c r="G178" i="1"/>
  <c r="I178" i="1"/>
  <c r="K179" i="1"/>
  <c r="N179" i="1"/>
  <c r="E180" i="1"/>
  <c r="G180" i="1"/>
  <c r="H180" i="1" s="1"/>
  <c r="I180" i="1"/>
  <c r="J180" i="1"/>
  <c r="N181" i="1"/>
  <c r="N182" i="1"/>
  <c r="N184" i="1"/>
  <c r="E185" i="1"/>
  <c r="G185" i="1"/>
  <c r="H185" i="1" s="1"/>
  <c r="I185" i="1"/>
  <c r="J185" i="1"/>
  <c r="N186" i="1"/>
  <c r="K188" i="1"/>
  <c r="N188" i="1"/>
  <c r="K189" i="1"/>
  <c r="N189" i="1"/>
  <c r="N190" i="1"/>
  <c r="N191" i="1"/>
  <c r="I192" i="1"/>
  <c r="J192" i="1"/>
  <c r="E192" i="1"/>
  <c r="E197" i="1"/>
  <c r="G197" i="1"/>
  <c r="H197" i="1" s="1"/>
  <c r="I197" i="1"/>
  <c r="J197" i="1"/>
  <c r="N198" i="1"/>
  <c r="N199" i="1"/>
  <c r="K200" i="1"/>
  <c r="N203" i="1"/>
  <c r="E204" i="1"/>
  <c r="G204" i="1"/>
  <c r="I204" i="1"/>
  <c r="J204" i="1"/>
  <c r="K205" i="1"/>
  <c r="N205" i="1"/>
  <c r="E206" i="1"/>
  <c r="G206" i="1"/>
  <c r="H206" i="1" s="1"/>
  <c r="I206" i="1"/>
  <c r="J206" i="1"/>
  <c r="N207" i="1"/>
  <c r="N208" i="1"/>
  <c r="E209" i="1"/>
  <c r="G209" i="1"/>
  <c r="I209" i="1"/>
  <c r="J209" i="1"/>
  <c r="N210" i="1"/>
  <c r="E212" i="1"/>
  <c r="G212" i="1"/>
  <c r="I212" i="1"/>
  <c r="J212" i="1"/>
  <c r="N213" i="1"/>
  <c r="E214" i="1"/>
  <c r="G214" i="1"/>
  <c r="H214" i="1" s="1"/>
  <c r="I214" i="1"/>
  <c r="J214" i="1"/>
  <c r="N215" i="1"/>
  <c r="N216" i="1"/>
  <c r="K217" i="1"/>
  <c r="N217" i="1"/>
  <c r="L219" i="1"/>
  <c r="M219" i="1"/>
  <c r="E222" i="1"/>
  <c r="E221" i="1" s="1"/>
  <c r="E220" i="1" s="1"/>
  <c r="G222" i="1"/>
  <c r="G221" i="1" s="1"/>
  <c r="I222" i="1"/>
  <c r="I221" i="1" s="1"/>
  <c r="I220" i="1" s="1"/>
  <c r="J222" i="1"/>
  <c r="N224" i="1"/>
  <c r="L230" i="1"/>
  <c r="M230" i="1"/>
  <c r="E19" i="1" l="1"/>
  <c r="J19" i="1"/>
  <c r="I19" i="1"/>
  <c r="K67" i="1"/>
  <c r="K137" i="1"/>
  <c r="I211" i="1"/>
  <c r="E211" i="1"/>
  <c r="H21" i="1"/>
  <c r="H19" i="1"/>
  <c r="H212" i="1"/>
  <c r="G211" i="1"/>
  <c r="H211" i="1" s="1"/>
  <c r="K83" i="1"/>
  <c r="N209" i="1"/>
  <c r="J211" i="1"/>
  <c r="E57" i="1"/>
  <c r="N96" i="1"/>
  <c r="H96" i="1"/>
  <c r="N91" i="1"/>
  <c r="H91" i="1"/>
  <c r="N25" i="1"/>
  <c r="H25" i="1"/>
  <c r="N178" i="1"/>
  <c r="N175" i="1"/>
  <c r="H175" i="1"/>
  <c r="N126" i="1"/>
  <c r="H126" i="1"/>
  <c r="G116" i="1"/>
  <c r="H116" i="1" s="1"/>
  <c r="H122" i="1"/>
  <c r="N28" i="1"/>
  <c r="K86" i="1"/>
  <c r="N142" i="1"/>
  <c r="K98" i="1"/>
  <c r="N113" i="1"/>
  <c r="N67" i="1"/>
  <c r="G57" i="1"/>
  <c r="H57" i="1" s="1"/>
  <c r="K204" i="1"/>
  <c r="N197" i="1"/>
  <c r="I125" i="1"/>
  <c r="N98" i="1"/>
  <c r="N65" i="1"/>
  <c r="N222" i="1"/>
  <c r="J141" i="1"/>
  <c r="K142" i="1"/>
  <c r="K36" i="1"/>
  <c r="K21" i="1"/>
  <c r="N200" i="1"/>
  <c r="N137" i="1"/>
  <c r="N33" i="1"/>
  <c r="K178" i="1"/>
  <c r="I70" i="1"/>
  <c r="E196" i="1"/>
  <c r="K169" i="1"/>
  <c r="K134" i="1"/>
  <c r="E125" i="1"/>
  <c r="K113" i="1"/>
  <c r="N86" i="1"/>
  <c r="N83" i="1"/>
  <c r="N36" i="1"/>
  <c r="J125" i="1"/>
  <c r="N212" i="1"/>
  <c r="N204" i="1"/>
  <c r="I196" i="1"/>
  <c r="N195" i="1"/>
  <c r="E183" i="1"/>
  <c r="G172" i="1"/>
  <c r="H172" i="1" s="1"/>
  <c r="K162" i="1"/>
  <c r="I141" i="1"/>
  <c r="K16" i="1"/>
  <c r="N214" i="1"/>
  <c r="N206" i="1"/>
  <c r="N193" i="1"/>
  <c r="G192" i="1"/>
  <c r="H192" i="1" s="1"/>
  <c r="N185" i="1"/>
  <c r="E141" i="1"/>
  <c r="N149" i="1"/>
  <c r="G141" i="1"/>
  <c r="H141" i="1" s="1"/>
  <c r="N134" i="1"/>
  <c r="N131" i="1"/>
  <c r="K122" i="1"/>
  <c r="K80" i="1"/>
  <c r="G220" i="1"/>
  <c r="I183" i="1"/>
  <c r="J172" i="1"/>
  <c r="E172" i="1"/>
  <c r="J159" i="1"/>
  <c r="N159" i="1" s="1"/>
  <c r="K131" i="1"/>
  <c r="K71" i="1"/>
  <c r="E70" i="1"/>
  <c r="K43" i="1"/>
  <c r="K33" i="1"/>
  <c r="K192" i="1"/>
  <c r="J220" i="1"/>
  <c r="N169" i="1"/>
  <c r="N39" i="1"/>
  <c r="J196" i="1"/>
  <c r="K193" i="1"/>
  <c r="N180" i="1"/>
  <c r="J70" i="1"/>
  <c r="J57" i="1"/>
  <c r="K57" i="1" s="1"/>
  <c r="G196" i="1"/>
  <c r="H196" i="1" s="1"/>
  <c r="I159" i="1"/>
  <c r="G70" i="1"/>
  <c r="H70" i="1" s="1"/>
  <c r="J183" i="1"/>
  <c r="N173" i="1"/>
  <c r="N161" i="1"/>
  <c r="N157" i="1"/>
  <c r="N151" i="1"/>
  <c r="N129" i="1"/>
  <c r="G125" i="1"/>
  <c r="H125" i="1" s="1"/>
  <c r="N122" i="1"/>
  <c r="N94" i="1"/>
  <c r="N80" i="1"/>
  <c r="N71" i="1"/>
  <c r="N43" i="1"/>
  <c r="J116" i="1"/>
  <c r="K190" i="1"/>
  <c r="K161" i="1"/>
  <c r="K151" i="1"/>
  <c r="N21" i="1"/>
  <c r="E156" i="1" l="1"/>
  <c r="K196" i="1"/>
  <c r="G183" i="1"/>
  <c r="H183" i="1" s="1"/>
  <c r="E219" i="1"/>
  <c r="E230" i="1" s="1"/>
  <c r="N192" i="1"/>
  <c r="K183" i="1"/>
  <c r="K125" i="1"/>
  <c r="K141" i="1"/>
  <c r="N220" i="1"/>
  <c r="K172" i="1"/>
  <c r="K19" i="1"/>
  <c r="N141" i="1"/>
  <c r="O141" i="1" s="1"/>
  <c r="N172" i="1"/>
  <c r="N221" i="1"/>
  <c r="I156" i="1"/>
  <c r="I219" i="1" s="1"/>
  <c r="I252" i="1" s="1"/>
  <c r="K116" i="1"/>
  <c r="N116" i="1"/>
  <c r="O116" i="1" s="1"/>
  <c r="N211" i="1"/>
  <c r="O211" i="1" s="1"/>
  <c r="K211" i="1"/>
  <c r="N125" i="1"/>
  <c r="O125" i="1" s="1"/>
  <c r="N14" i="1"/>
  <c r="O14" i="1" s="1"/>
  <c r="N70" i="1"/>
  <c r="O70" i="1" s="1"/>
  <c r="K70" i="1"/>
  <c r="N19" i="1"/>
  <c r="K159" i="1"/>
  <c r="J156" i="1"/>
  <c r="J219" i="1" s="1"/>
  <c r="N57" i="1"/>
  <c r="O57" i="1" s="1"/>
  <c r="N196" i="1"/>
  <c r="O196" i="1" s="1"/>
  <c r="N183" i="1" l="1"/>
  <c r="I230" i="1"/>
  <c r="G156" i="1"/>
  <c r="H156" i="1" s="1"/>
  <c r="E252" i="1"/>
  <c r="K156" i="1"/>
  <c r="K219" i="1"/>
  <c r="J230" i="1"/>
  <c r="N156" i="1" l="1"/>
  <c r="O156" i="1" s="1"/>
  <c r="G219" i="1"/>
  <c r="H219" i="1" s="1"/>
  <c r="K230" i="1"/>
  <c r="N219" i="1" l="1"/>
  <c r="N230" i="1" s="1"/>
  <c r="S230" i="1" s="1"/>
  <c r="G230" i="1"/>
  <c r="H230" i="1" s="1"/>
  <c r="O219" i="1" l="1"/>
  <c r="T230" i="1"/>
  <c r="O230" i="1"/>
</calcChain>
</file>

<file path=xl/sharedStrings.xml><?xml version="1.0" encoding="utf-8"?>
<sst xmlns="http://schemas.openxmlformats.org/spreadsheetml/2006/main" count="736" uniqueCount="581">
  <si>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</si>
  <si>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</si>
  <si>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</si>
  <si>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</si>
  <si>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</si>
  <si>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</si>
  <si>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</si>
  <si>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</si>
  <si>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</si>
  <si>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</si>
  <si>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</si>
  <si>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</si>
  <si>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</si>
  <si>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</si>
  <si>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</si>
  <si>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</si>
  <si>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</si>
  <si>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</si>
  <si>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</si>
  <si>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</si>
  <si>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</si>
  <si>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</si>
  <si>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</si>
  <si>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</si>
  <si>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</si>
  <si>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</si>
  <si>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</si>
  <si>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</si>
  <si>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</si>
  <si>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</si>
  <si>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</si>
  <si>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</si>
  <si>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</si>
  <si>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</si>
  <si>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</si>
  <si>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</si>
  <si>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</si>
  <si>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</si>
  <si>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</si>
  <si>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</si>
  <si>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</si>
  <si>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</si>
  <si>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</si>
  <si>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</si>
  <si>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</si>
  <si>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</si>
  <si>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</si>
  <si>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</si>
  <si>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</si>
  <si>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</si>
  <si>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</si>
  <si>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</si>
  <si>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</si>
  <si>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</si>
  <si>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</si>
  <si>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</si>
  <si>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</si>
  <si>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</si>
  <si>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</si>
  <si>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</si>
  <si>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</si>
  <si>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</si>
  <si>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</si>
  <si>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</si>
  <si>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</si>
  <si>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</si>
  <si>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</si>
  <si>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</si>
  <si>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</si>
  <si>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</si>
  <si>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</si>
  <si>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</si>
  <si>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</si>
  <si>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</si>
  <si>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</si>
  <si>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</si>
  <si>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</si>
  <si>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</si>
  <si>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</si>
  <si>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</si>
  <si>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</si>
  <si>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</si>
  <si>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</si>
  <si>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</si>
  <si>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</si>
  <si>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</si>
  <si>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</si>
  <si>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</si>
  <si>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</si>
  <si>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</si>
  <si>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</si>
  <si>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</si>
  <si>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</si>
  <si>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</si>
  <si>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</si>
  <si>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</si>
  <si>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</si>
  <si>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</si>
  <si>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</si>
  <si>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</si>
  <si>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</si>
  <si>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</si>
  <si>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</si>
  <si>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</si>
  <si>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</si>
  <si>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</si>
  <si>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</si>
  <si>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</si>
  <si>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</si>
  <si>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</si>
  <si>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</si>
  <si>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</si>
  <si>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</si>
  <si>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</si>
  <si>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</si>
  <si>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</si>
  <si>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</si>
  <si>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</si>
  <si>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</si>
  <si>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</si>
  <si>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</si>
  <si>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</si>
  <si>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</si>
  <si>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</si>
  <si>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</si>
  <si>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</si>
  <si>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</si>
  <si>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</si>
  <si>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</si>
  <si>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</si>
  <si>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</si>
  <si>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</si>
  <si>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</si>
  <si>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</si>
  <si>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</si>
  <si>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</si>
  <si>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</si>
  <si>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</si>
  <si>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</si>
  <si>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</si>
  <si>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</si>
  <si>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</si>
  <si>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</si>
  <si>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</si>
  <si>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</si>
  <si>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</si>
  <si>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</si>
  <si>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</si>
  <si>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</si>
  <si>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</si>
  <si>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</si>
  <si>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</si>
  <si>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</si>
  <si>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</si>
  <si>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</si>
  <si>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</si>
  <si>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</si>
  <si>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</si>
  <si>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</si>
  <si>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</si>
  <si>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</si>
  <si>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</si>
  <si>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</si>
  <si>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</si>
  <si>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</si>
  <si>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</si>
  <si>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</si>
  <si>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</si>
  <si>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</si>
  <si>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</si>
  <si>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</si>
  <si>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</si>
  <si>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</si>
  <si>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</si>
  <si>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</si>
  <si>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</si>
  <si>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</si>
  <si>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</si>
  <si>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</si>
  <si>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</si>
  <si>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</si>
  <si>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</si>
  <si>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</si>
  <si>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</si>
  <si>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</si>
  <si>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</si>
  <si>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</si>
  <si>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</si>
  <si>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</si>
  <si>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</si>
  <si>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</si>
  <si>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</si>
  <si>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</si>
  <si>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</si>
  <si>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</si>
  <si>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</si>
  <si>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</si>
  <si>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</si>
  <si>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</si>
  <si>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</si>
  <si>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</si>
  <si>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</si>
  <si>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</si>
  <si>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</si>
  <si>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</si>
  <si>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</si>
  <si>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</si>
  <si>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</si>
  <si>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</si>
  <si>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</si>
  <si>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</si>
  <si>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</si>
  <si>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</si>
  <si>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</si>
  <si>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</si>
  <si>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</si>
  <si>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</si>
  <si>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</si>
  <si>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</si>
  <si>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</si>
  <si>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</si>
  <si>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</si>
  <si>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</si>
  <si>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</si>
  <si>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</si>
  <si>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</si>
  <si>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</si>
  <si>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</si>
  <si>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</si>
  <si>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</si>
  <si>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</si>
  <si>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</si>
  <si>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</si>
  <si>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</si>
  <si>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</si>
  <si>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</si>
  <si>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</si>
  <si>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</si>
  <si>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</si>
  <si>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</si>
  <si>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</si>
  <si>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</si>
  <si>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</si>
  <si>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</si>
  <si>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</si>
  <si>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</si>
  <si>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</si>
  <si>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</si>
  <si>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</si>
  <si>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</si>
  <si>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</si>
  <si>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</si>
  <si>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</si>
  <si>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</si>
  <si>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</si>
  <si>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</si>
  <si>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</si>
  <si>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</si>
  <si>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</si>
  <si>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</si>
  <si>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</si>
  <si>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</si>
  <si>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</si>
  <si>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</si>
  <si>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</si>
  <si>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</si>
  <si>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</si>
  <si>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</si>
  <si>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</si>
  <si>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</si>
  <si>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</si>
  <si>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</si>
  <si>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</si>
  <si>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</si>
  <si>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</si>
  <si>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</si>
  <si>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</si>
  <si>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</si>
  <si>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</si>
  <si>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</si>
  <si>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</si>
  <si>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</si>
  <si>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</si>
  <si>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</si>
  <si>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</si>
  <si>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</si>
  <si>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</si>
  <si>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</si>
  <si>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</si>
  <si>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</si>
  <si>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</si>
  <si>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</si>
  <si>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</si>
  <si>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</si>
  <si>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</si>
  <si>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</si>
  <si>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</si>
  <si>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</si>
  <si>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</si>
  <si>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</si>
  <si>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</si>
  <si>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</si>
  <si>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</si>
  <si>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</si>
  <si>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</si>
  <si>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</si>
  <si>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</si>
  <si>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</si>
  <si>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</si>
  <si>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</si>
  <si>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</si>
  <si>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</si>
  <si>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</si>
  <si>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</si>
  <si>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</si>
  <si>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</si>
  <si>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</si>
  <si>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</si>
  <si>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</si>
  <si>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</si>
  <si>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</si>
  <si>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</si>
  <si>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</si>
  <si>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</si>
  <si>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</si>
  <si>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</si>
  <si>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</si>
  <si>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</si>
  <si>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</si>
  <si>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</si>
  <si>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</si>
  <si>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</si>
  <si>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</si>
  <si>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</si>
  <si>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</si>
  <si>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</si>
  <si>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</si>
  <si>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</si>
  <si>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</si>
  <si>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</si>
  <si>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</si>
  <si>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</si>
  <si>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</si>
  <si>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</si>
  <si>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</si>
  <si>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</si>
  <si>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</si>
  <si>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</si>
  <si>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</si>
  <si>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</si>
  <si>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</si>
  <si>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</si>
  <si>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</si>
  <si>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</si>
  <si>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</si>
  <si>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</si>
  <si>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</si>
  <si>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</si>
  <si>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</si>
  <si>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</si>
  <si>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</si>
  <si>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</si>
  <si>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</si>
  <si>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</si>
  <si>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</si>
  <si>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</si>
  <si>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</si>
  <si>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</si>
  <si>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</si>
  <si>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</si>
  <si>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</si>
  <si>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</si>
  <si>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</si>
  <si>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</si>
  <si>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</si>
  <si>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</si>
  <si>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</si>
  <si>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</si>
  <si>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</si>
  <si>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</si>
  <si>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</si>
  <si>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</si>
  <si>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</si>
  <si>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</si>
  <si>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</si>
  <si>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</si>
  <si>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</si>
  <si>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</si>
  <si>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</si>
  <si>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</si>
  <si>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</si>
  <si>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</si>
  <si>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</si>
  <si>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</si>
  <si>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</si>
  <si>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</si>
  <si>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</si>
  <si>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</si>
  <si>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</si>
  <si>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</si>
  <si>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</si>
  <si>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</si>
  <si>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</si>
  <si>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</si>
  <si>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</si>
  <si>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</si>
  <si>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</si>
  <si>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</si>
  <si>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</si>
  <si>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</si>
  <si>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</si>
  <si>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</si>
  <si>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</si>
  <si>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</si>
  <si>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</si>
  <si>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</si>
  <si>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</si>
  <si>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</si>
  <si>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</si>
  <si>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</si>
  <si>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</si>
  <si>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</si>
  <si>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</si>
  <si>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</si>
  <si>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</si>
  <si>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</si>
  <si>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</si>
  <si>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</si>
  <si>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</si>
  <si>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</si>
  <si>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</si>
  <si>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</si>
  <si>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</si>
  <si>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</si>
  <si>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</si>
  <si>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</si>
  <si>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</si>
  <si>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</si>
  <si>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</si>
  <si>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</si>
  <si>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</si>
  <si>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</si>
  <si>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</si>
  <si>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</si>
  <si>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</si>
  <si>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</si>
  <si>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</si>
  <si>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</si>
  <si>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</si>
  <si>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</si>
  <si>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</si>
  <si>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</si>
  <si>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</si>
  <si>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</si>
  <si>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</si>
  <si>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</si>
  <si>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</si>
  <si>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</si>
  <si>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</si>
  <si>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</si>
  <si>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</si>
  <si>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</si>
  <si>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</si>
  <si>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</si>
  <si>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</si>
  <si>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</si>
  <si>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</si>
  <si>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</si>
  <si>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</si>
  <si>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</si>
  <si>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</si>
  <si>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</si>
  <si>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</si>
  <si>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</si>
  <si>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</si>
  <si>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</si>
  <si>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</si>
  <si>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</si>
  <si>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</si>
  <si>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</si>
  <si>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</si>
  <si>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</si>
  <si>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</si>
  <si>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</si>
  <si>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</si>
  <si>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</si>
  <si>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</si>
  <si>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</si>
  <si>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</si>
  <si>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</si>
  <si>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</si>
  <si>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</si>
  <si>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</si>
  <si>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</si>
  <si>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</si>
  <si>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</si>
  <si>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</si>
  <si>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</si>
  <si>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</si>
  <si>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</si>
  <si>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</si>
  <si>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</si>
  <si>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</si>
  <si>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</si>
  <si>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</si>
  <si>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</si>
  <si>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</si>
  <si>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</si>
  <si>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</si>
  <si>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</si>
  <si>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</si>
  <si>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</si>
  <si>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</si>
  <si>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</si>
  <si>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</si>
  <si>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</si>
  <si>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</si>
  <si>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</si>
  <si>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</si>
  <si>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</si>
  <si>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</si>
  <si>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</si>
  <si>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</si>
  <si>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</si>
  <si>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</si>
  <si>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</si>
  <si>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</si>
  <si>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</si>
  <si>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</si>
  <si>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</si>
  <si>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</si>
  <si>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>3230</t>
  </si>
  <si>
    <t>4070</t>
  </si>
  <si>
    <t>0823</t>
  </si>
  <si>
    <t>Фінансова підтримка кінематографії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</si>
  <si>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</si>
  <si>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</si>
  <si>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</si>
  <si>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</si>
  <si>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</si>
  <si>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</si>
  <si>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</si>
  <si>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</si>
  <si>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5049</t>
  </si>
  <si>
    <t>Виконання окремих заходів з реалізації соціального проекту "Активні парки - локації здорової України"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</si>
  <si>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</si>
  <si>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9820</t>
  </si>
  <si>
    <t>Виконання заходів щодо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</si>
  <si>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</si>
  <si>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1262</t>
  </si>
  <si>
    <t>1260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</si>
  <si>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</si>
  <si>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</si>
  <si>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8881</t>
  </si>
  <si>
    <t>8880</t>
  </si>
  <si>
    <t>Довгострокові кредити громадянам на будівництво / реконструкцію / придбання житла та їх повернення</t>
  </si>
  <si>
    <t>8840</t>
  </si>
  <si>
    <t>8842</t>
  </si>
  <si>
    <t>Повернення довгострокових кредитів, наданих громадянам на будівництво/реконструкцію/придбання житла</t>
  </si>
  <si>
    <t>6016</t>
  </si>
  <si>
    <t xml:space="preserve">	Впровадження засобів обліку витрат та регулювання споживання води та теплової енергії</t>
  </si>
  <si>
    <t xml:space="preserve">	
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</si>
  <si>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1261</t>
  </si>
  <si>
    <t>Начальник фінансового управління</t>
  </si>
  <si>
    <t>Сергій ЯМЧУК</t>
  </si>
  <si>
    <t xml:space="preserve">Керуючий справами виконавчого комітету                                                                                                                    </t>
  </si>
  <si>
    <t xml:space="preserve">Юлія  САБІЙ </t>
  </si>
  <si>
    <t>за І-й квартал 2024 року</t>
  </si>
  <si>
    <t xml:space="preserve">до рішення  №    від        .2024 року </t>
  </si>
  <si>
    <t>Затверджено на 2024 рік з урахуванням змін</t>
  </si>
  <si>
    <t>Затверджено на І-й квартал 2024 року з урахуванням змін</t>
  </si>
  <si>
    <t>Виконано за І-й квартал 2024 року</t>
  </si>
  <si>
    <t>Виконано за 1-й квартал  2024 року разом по загальному та спеціальному фондах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</si>
  <si>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</si>
  <si>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1290</t>
  </si>
  <si>
    <t>1291</t>
  </si>
  <si>
    <t>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</si>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</sst>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Times New Roman"/>
      <family val="1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2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7"/>
      <color theme="1"/>
      <name val="Times New Roman"/>
      <family val="1"/>
      <charset val="204"/>
    </font>
    <font>
      <i/>
      <sz val="36"/>
      <name val="Times New Roman"/>
      <family val="1"/>
      <charset val="204"/>
    </font>
    <font>
      <sz val="28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degree="27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</fills>
  <borders count="11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1" fillId="0" borderId="0"/>
    <xf numFmtId="0" fontId="31" fillId="0" borderId="0"/>
  </cellStyleXfs>
  <cellXfs count="2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20" fillId="0" borderId="0" xfId="0" applyFont="1"/>
    <xf numFmtId="4" fontId="9" fillId="0" borderId="0" xfId="0" applyNumberFormat="1" applyFont="1" applyAlignment="1">
      <alignment horizontal="left" vertical="center"/>
    </xf>
    <xf numFmtId="0" fontId="22" fillId="0" borderId="0" xfId="0" applyFont="1"/>
    <xf numFmtId="4" fontId="23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24" fillId="0" borderId="0" xfId="0" applyNumberFormat="1" applyFont="1"/>
    <xf numFmtId="4" fontId="2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19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Alignment="1">
      <alignment horizontal="center" vertical="center" wrapText="1"/>
    </xf>
    <xf numFmtId="4" fontId="35" fillId="0" borderId="0" xfId="0" applyNumberFormat="1" applyFont="1" applyAlignment="1">
      <alignment horizontal="left" vertical="center"/>
    </xf>
    <xf numFmtId="4" fontId="36" fillId="3" borderId="0" xfId="0" applyNumberFormat="1" applyFont="1" applyFill="1"/>
    <xf numFmtId="4" fontId="37" fillId="4" borderId="1" xfId="0" applyNumberFormat="1" applyFont="1" applyFill="1" applyBorder="1" applyAlignment="1">
      <alignment horizontal="center" vertical="center"/>
    </xf>
    <xf numFmtId="0" fontId="38" fillId="3" borderId="0" xfId="0" applyFont="1" applyFill="1"/>
    <xf numFmtId="49" fontId="1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 wrapText="1"/>
    </xf>
    <xf numFmtId="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>
      <alignment horizontal="center" vertical="center" wrapText="1"/>
    </xf>
    <xf numFmtId="0" fontId="16" fillId="5" borderId="1" xfId="1" applyFont="1" applyFill="1" applyBorder="1" applyAlignment="1" applyProtection="1">
      <alignment horizontal="center" vertical="center" wrapText="1"/>
      <protection locked="0"/>
    </xf>
    <xf numFmtId="4" fontId="16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6" fillId="3" borderId="0" xfId="0" applyNumberFormat="1" applyFont="1" applyFill="1"/>
    <xf numFmtId="16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43" fillId="7" borderId="1" xfId="0" applyNumberFormat="1" applyFont="1" applyFill="1" applyBorder="1" applyAlignment="1">
      <alignment horizontal="center" vertical="center" wrapText="1"/>
    </xf>
    <xf numFmtId="4" fontId="44" fillId="7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/>
    </xf>
    <xf numFmtId="49" fontId="45" fillId="7" borderId="1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64" fontId="21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center" vertical="center" wrapText="1"/>
    </xf>
    <xf numFmtId="16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0" applyNumberFormat="1" applyFont="1" applyFill="1" applyBorder="1" applyAlignment="1">
      <alignment horizontal="center" vertical="center"/>
    </xf>
    <xf numFmtId="4" fontId="26" fillId="7" borderId="1" xfId="0" applyNumberFormat="1" applyFont="1" applyFill="1" applyBorder="1" applyAlignment="1">
      <alignment horizontal="center" vertical="center" wrapText="1"/>
    </xf>
    <xf numFmtId="4" fontId="19" fillId="7" borderId="1" xfId="0" applyNumberFormat="1" applyFont="1" applyFill="1" applyBorder="1" applyAlignment="1">
      <alignment horizontal="center" vertical="center" wrapText="1"/>
    </xf>
    <xf numFmtId="4" fontId="12" fillId="7" borderId="1" xfId="0" applyNumberFormat="1" applyFont="1" applyFill="1" applyBorder="1" applyAlignment="1">
      <alignment horizontal="center" vertical="center" wrapText="1"/>
    </xf>
    <xf numFmtId="49" fontId="39" fillId="7" borderId="1" xfId="0" applyNumberFormat="1" applyFont="1" applyFill="1" applyBorder="1" applyAlignment="1">
      <alignment horizontal="center" vertical="center" wrapText="1"/>
    </xf>
    <xf numFmtId="4" fontId="34" fillId="7" borderId="1" xfId="0" applyNumberFormat="1" applyFont="1" applyFill="1" applyBorder="1" applyAlignment="1">
      <alignment horizontal="center" vertical="center" wrapText="1"/>
    </xf>
    <xf numFmtId="164" fontId="34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1" xfId="1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7" borderId="1" xfId="1" applyNumberFormat="1" applyFont="1" applyFill="1" applyBorder="1" applyAlignment="1">
      <alignment horizontal="center" vertical="center" wrapText="1"/>
    </xf>
    <xf numFmtId="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1" applyNumberFormat="1" applyFont="1" applyFill="1" applyBorder="1" applyAlignment="1">
      <alignment horizontal="center" vertical="center" wrapText="1"/>
    </xf>
    <xf numFmtId="4" fontId="21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7" borderId="2" xfId="0" applyNumberFormat="1" applyFont="1" applyFill="1" applyBorder="1" applyAlignment="1">
      <alignment horizontal="center" wrapText="1"/>
    </xf>
    <xf numFmtId="49" fontId="3" fillId="7" borderId="0" xfId="0" applyNumberFormat="1" applyFont="1" applyFill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top" wrapText="1"/>
    </xf>
    <xf numFmtId="49" fontId="3" fillId="7" borderId="1" xfId="0" applyNumberFormat="1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center" vertical="center" wrapText="1"/>
    </xf>
    <xf numFmtId="164" fontId="19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7" borderId="1" xfId="0" applyNumberFormat="1" applyFont="1" applyFill="1" applyBorder="1" applyAlignment="1">
      <alignment horizontal="center" vertical="center"/>
    </xf>
    <xf numFmtId="49" fontId="3" fillId="7" borderId="1" xfId="3" applyNumberFormat="1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 wrapText="1"/>
    </xf>
    <xf numFmtId="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wrapText="1"/>
    </xf>
    <xf numFmtId="49" fontId="45" fillId="0" borderId="3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 wrapText="1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5" fillId="0" borderId="1" xfId="1" applyFont="1" applyFill="1" applyBorder="1" applyAlignment="1" applyProtection="1">
      <alignment horizontal="center" vertical="center" wrapText="1"/>
      <protection locked="0"/>
    </xf>
    <xf numFmtId="4" fontId="21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Border="1" applyAlignment="1">
      <alignment horizontal="center" vertical="center"/>
    </xf>
    <xf numFmtId="49" fontId="45" fillId="0" borderId="1" xfId="3" applyNumberFormat="1" applyFont="1" applyBorder="1" applyAlignment="1">
      <alignment horizontal="center" vertical="center" wrapText="1"/>
    </xf>
    <xf numFmtId="0" fontId="45" fillId="0" borderId="1" xfId="3" applyFont="1" applyBorder="1" applyAlignment="1">
      <alignment horizontal="center" vertical="center" wrapText="1"/>
    </xf>
    <xf numFmtId="4" fontId="44" fillId="0" borderId="1" xfId="1" applyNumberFormat="1" applyFont="1" applyFill="1" applyBorder="1" applyAlignment="1">
      <alignment horizontal="center" vertical="center" wrapText="1"/>
    </xf>
    <xf numFmtId="16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4" fontId="37" fillId="4" borderId="0" xfId="0" applyNumberFormat="1" applyFont="1" applyFill="1" applyAlignment="1">
      <alignment horizontal="center" vertical="center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4" fontId="14" fillId="7" borderId="2" xfId="0" applyNumberFormat="1" applyFont="1" applyFill="1" applyBorder="1" applyAlignment="1">
      <alignment horizontal="center" vertical="center" wrapText="1"/>
    </xf>
    <xf numFmtId="4" fontId="14" fillId="7" borderId="5" xfId="0" applyNumberFormat="1" applyFont="1" applyFill="1" applyBorder="1" applyAlignment="1">
      <alignment horizontal="center" vertical="center" wrapText="1"/>
    </xf>
    <xf numFmtId="4" fontId="14" fillId="7" borderId="3" xfId="0" applyNumberFormat="1" applyFont="1" applyFill="1" applyBorder="1" applyAlignment="1">
      <alignment horizontal="center" vertical="center" wrapText="1"/>
    </xf>
    <xf numFmtId="164" fontId="14" fillId="7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7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7" borderId="3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33" fillId="0" borderId="10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164" fontId="21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left" vertical="center"/>
    </xf>
    <xf numFmtId="0" fontId="9" fillId="0" borderId="0" xfId="0" applyFont="1"/>
    <xf numFmtId="49" fontId="39" fillId="0" borderId="2" xfId="0" applyNumberFormat="1" applyFont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49" fontId="45" fillId="0" borderId="2" xfId="0" applyNumberFormat="1" applyFont="1" applyBorder="1" applyAlignment="1">
      <alignment horizontal="center" vertical="center" wrapText="1"/>
    </xf>
    <xf numFmtId="49" fontId="45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6" fillId="0" borderId="0" xfId="0" applyFont="1" applyAlignment="1">
      <alignment horizontal="center"/>
    </xf>
  </cellXfs>
  <cellStyles count="4">
    <cellStyle name="Звичайний" xfId="0" builtinId="0"/>
    <cellStyle name="Обычный 3" xfId="3" xr:uid="{00000000-0005-0000-0000-000001000000}"/>
    <cellStyle name="Обычный_Додаток 2 до бюджету 2000 року" xfId="1" xr:uid="{00000000-0005-0000-0000-000002000000}"/>
    <cellStyle name="Обычный_Додаток №1" xfId="2" xr:uid="{00000000-0005-0000-0000-000003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67"/>
  <sheetViews>
    <sheetView tabSelected="1" view="pageBreakPreview" topLeftCell="B1" zoomScale="25" zoomScaleNormal="25" zoomScaleSheetLayoutView="25" zoomScalePageLayoutView="10" workbookViewId="0">
      <pane ySplit="13" topLeftCell="A227" activePane="bottomLeft" state="frozen"/>
      <selection activeCell="B1" sqref="B1"/>
      <selection pane="bottomLeft" activeCell="I219" sqref="I219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67.42578125" style="1" customWidth="1"/>
    <col min="5" max="5" width="82.42578125" style="1" customWidth="1"/>
    <col min="6" max="6" width="64.85546875" style="1" customWidth="1"/>
    <col min="7" max="7" width="63.28515625" style="1" customWidth="1"/>
    <col min="8" max="8" width="41.85546875" style="1" customWidth="1"/>
    <col min="9" max="9" width="52.5703125" style="47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47" customWidth="1"/>
    <col min="15" max="15" width="69.140625" style="5" hidden="1" customWidth="1"/>
    <col min="16" max="16" width="21.7109375" style="5" hidden="1" customWidth="1"/>
    <col min="17" max="17" width="16" hidden="1" customWidth="1"/>
    <col min="18" max="18" width="21.7109375" hidden="1" customWidth="1"/>
    <col min="19" max="19" width="74.85546875" customWidth="1"/>
    <col min="20" max="20" width="53.7109375" customWidth="1"/>
    <col min="21" max="21" width="45.7109375" customWidth="1"/>
    <col min="22" max="22" width="48.5703125" customWidth="1"/>
    <col min="23" max="23" width="49.1406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211" t="s">
        <v>429</v>
      </c>
      <c r="L2" s="211"/>
      <c r="M2" s="211"/>
      <c r="N2" s="211"/>
      <c r="O2" s="4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212" t="s">
        <v>568</v>
      </c>
      <c r="K3" s="212"/>
      <c r="L3" s="212"/>
      <c r="M3" s="212"/>
      <c r="N3" s="212"/>
      <c r="O3" s="49"/>
    </row>
    <row r="4" spans="1:16" ht="45" x14ac:dyDescent="0.2">
      <c r="A4" s="214" t="s">
        <v>430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1:16" ht="45" x14ac:dyDescent="0.2">
      <c r="A5" s="214" t="s">
        <v>567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61.5" customHeight="1" x14ac:dyDescent="0.65">
      <c r="A7" s="219">
        <v>2256400000</v>
      </c>
      <c r="B7" s="21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213" t="s">
        <v>0</v>
      </c>
      <c r="B8" s="21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4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99" t="s">
        <v>2</v>
      </c>
      <c r="B10" s="199" t="s">
        <v>3</v>
      </c>
      <c r="C10" s="199" t="s">
        <v>4</v>
      </c>
      <c r="D10" s="199" t="s">
        <v>431</v>
      </c>
      <c r="E10" s="216" t="s">
        <v>5</v>
      </c>
      <c r="F10" s="217"/>
      <c r="G10" s="217"/>
      <c r="H10" s="218"/>
      <c r="I10" s="216" t="s">
        <v>6</v>
      </c>
      <c r="J10" s="217"/>
      <c r="K10" s="217"/>
      <c r="L10" s="217"/>
      <c r="M10" s="218"/>
      <c r="N10" s="199" t="s">
        <v>572</v>
      </c>
    </row>
    <row r="11" spans="1:16" ht="96" customHeight="1" thickTop="1" thickBot="1" x14ac:dyDescent="0.25">
      <c r="A11" s="215"/>
      <c r="B11" s="215"/>
      <c r="C11" s="215"/>
      <c r="D11" s="215"/>
      <c r="E11" s="199" t="s">
        <v>569</v>
      </c>
      <c r="F11" s="199" t="s">
        <v>570</v>
      </c>
      <c r="G11" s="199" t="s">
        <v>571</v>
      </c>
      <c r="H11" s="199" t="s">
        <v>432</v>
      </c>
      <c r="I11" s="199" t="s">
        <v>569</v>
      </c>
      <c r="J11" s="199" t="s">
        <v>571</v>
      </c>
      <c r="K11" s="199" t="s">
        <v>432</v>
      </c>
      <c r="L11" s="7"/>
      <c r="M11" s="199"/>
      <c r="N11" s="215"/>
    </row>
    <row r="12" spans="1:16" ht="208.5" customHeight="1" thickTop="1" thickBot="1" x14ac:dyDescent="0.25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7"/>
      <c r="M12" s="200"/>
      <c r="N12" s="200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10</v>
      </c>
      <c r="G13" s="8" t="s">
        <v>11</v>
      </c>
      <c r="H13" s="8" t="s">
        <v>12</v>
      </c>
      <c r="I13" s="8" t="s">
        <v>503</v>
      </c>
      <c r="J13" s="8" t="s">
        <v>504</v>
      </c>
      <c r="K13" s="8" t="s">
        <v>505</v>
      </c>
      <c r="L13" s="8"/>
      <c r="M13" s="8"/>
      <c r="N13" s="8" t="s">
        <v>506</v>
      </c>
      <c r="O13" s="9"/>
      <c r="P13" s="10"/>
    </row>
    <row r="14" spans="1:16" s="14" customFormat="1" ht="88.5" customHeight="1" thickTop="1" thickBot="1" x14ac:dyDescent="0.25">
      <c r="A14" s="57" t="s">
        <v>13</v>
      </c>
      <c r="B14" s="72" t="s">
        <v>14</v>
      </c>
      <c r="C14" s="72"/>
      <c r="D14" s="73" t="s">
        <v>15</v>
      </c>
      <c r="E14" s="70">
        <f>SUM(E15:E18)</f>
        <v>345516821</v>
      </c>
      <c r="F14" s="70">
        <f>SUM(F15:F18)</f>
        <v>81912658</v>
      </c>
      <c r="G14" s="70">
        <f>SUM(G15:G18)</f>
        <v>66082148.289999999</v>
      </c>
      <c r="H14" s="80">
        <f>G14/F14</f>
        <v>0.80673915245187133</v>
      </c>
      <c r="I14" s="70">
        <f>SUM(I15:I18)</f>
        <v>1421500</v>
      </c>
      <c r="J14" s="70">
        <f>SUM(J15:J18)</f>
        <v>261000</v>
      </c>
      <c r="K14" s="71">
        <f>J14/I14</f>
        <v>0.18360886387618713</v>
      </c>
      <c r="L14" s="70"/>
      <c r="M14" s="70"/>
      <c r="N14" s="74">
        <f t="shared" ref="N14:N27" si="0">G14+J14</f>
        <v>66343148.289999999</v>
      </c>
      <c r="O14" s="53" t="b">
        <f>N14=N15+N16+N17+N18</f>
        <v>1</v>
      </c>
      <c r="P14" s="13"/>
    </row>
    <row r="15" spans="1:16" ht="230.25" thickTop="1" thickBot="1" x14ac:dyDescent="0.25">
      <c r="A15" s="58" t="s">
        <v>16</v>
      </c>
      <c r="B15" s="69" t="s">
        <v>17</v>
      </c>
      <c r="C15" s="69" t="s">
        <v>18</v>
      </c>
      <c r="D15" s="69" t="s">
        <v>19</v>
      </c>
      <c r="E15" s="125">
        <v>130683646</v>
      </c>
      <c r="F15" s="125">
        <v>36290550</v>
      </c>
      <c r="G15" s="125">
        <v>33583422.439999998</v>
      </c>
      <c r="H15" s="126">
        <f>G15/F15</f>
        <v>0.92540406359231253</v>
      </c>
      <c r="I15" s="125">
        <v>435000</v>
      </c>
      <c r="J15" s="165">
        <v>0</v>
      </c>
      <c r="K15" s="166">
        <f>J15/I15</f>
        <v>0</v>
      </c>
      <c r="L15" s="167"/>
      <c r="M15" s="168"/>
      <c r="N15" s="127">
        <f t="shared" si="0"/>
        <v>33583422.439999998</v>
      </c>
      <c r="O15" s="15"/>
      <c r="P15" s="16"/>
    </row>
    <row r="16" spans="1:16" ht="138.75" thickTop="1" thickBot="1" x14ac:dyDescent="0.25">
      <c r="A16" s="58" t="s">
        <v>20</v>
      </c>
      <c r="B16" s="69" t="s">
        <v>21</v>
      </c>
      <c r="C16" s="69" t="s">
        <v>18</v>
      </c>
      <c r="D16" s="69" t="s">
        <v>22</v>
      </c>
      <c r="E16" s="125">
        <v>129661775</v>
      </c>
      <c r="F16" s="125">
        <v>40603028</v>
      </c>
      <c r="G16" s="125">
        <v>29464212.149999999</v>
      </c>
      <c r="H16" s="126">
        <f t="shared" ref="H16:H18" si="1">G16/F16</f>
        <v>0.72566539002953179</v>
      </c>
      <c r="I16" s="125">
        <f>700000+39000</f>
        <v>739000</v>
      </c>
      <c r="J16" s="165">
        <f>0+13500</f>
        <v>13500</v>
      </c>
      <c r="K16" s="166">
        <f t="shared" ref="K16:K18" si="2">J16/I16</f>
        <v>1.8267929634641408E-2</v>
      </c>
      <c r="L16" s="167"/>
      <c r="M16" s="168"/>
      <c r="N16" s="127">
        <f t="shared" si="0"/>
        <v>29477712.149999999</v>
      </c>
      <c r="O16" s="15"/>
      <c r="P16" s="16"/>
    </row>
    <row r="17" spans="1:18" ht="93" hidden="1" thickTop="1" thickBot="1" x14ac:dyDescent="0.25">
      <c r="A17" s="69" t="s">
        <v>23</v>
      </c>
      <c r="B17" s="89" t="s">
        <v>24</v>
      </c>
      <c r="C17" s="89" t="s">
        <v>25</v>
      </c>
      <c r="D17" s="89" t="s">
        <v>26</v>
      </c>
      <c r="E17" s="90">
        <v>0</v>
      </c>
      <c r="F17" s="90">
        <v>0</v>
      </c>
      <c r="G17" s="90">
        <v>0</v>
      </c>
      <c r="H17" s="91" t="e">
        <f t="shared" si="1"/>
        <v>#DIV/0!</v>
      </c>
      <c r="I17" s="125"/>
      <c r="J17" s="165"/>
      <c r="K17" s="167"/>
      <c r="L17" s="167"/>
      <c r="M17" s="168"/>
      <c r="N17" s="127">
        <f t="shared" si="0"/>
        <v>0</v>
      </c>
      <c r="O17" s="15"/>
      <c r="P17" s="17"/>
    </row>
    <row r="18" spans="1:18" ht="111" customHeight="1" thickTop="1" thickBot="1" x14ac:dyDescent="0.25">
      <c r="A18" s="58" t="s">
        <v>27</v>
      </c>
      <c r="B18" s="69" t="s">
        <v>28</v>
      </c>
      <c r="C18" s="69" t="s">
        <v>29</v>
      </c>
      <c r="D18" s="69" t="s">
        <v>30</v>
      </c>
      <c r="E18" s="127">
        <v>85171400</v>
      </c>
      <c r="F18" s="127">
        <v>5019080</v>
      </c>
      <c r="G18" s="127">
        <v>3034513.7</v>
      </c>
      <c r="H18" s="126">
        <f t="shared" si="1"/>
        <v>0.60459560317827177</v>
      </c>
      <c r="I18" s="125">
        <f>247500</f>
        <v>247500</v>
      </c>
      <c r="J18" s="165">
        <f>247500</f>
        <v>247500</v>
      </c>
      <c r="K18" s="166">
        <f t="shared" si="2"/>
        <v>1</v>
      </c>
      <c r="L18" s="127"/>
      <c r="M18" s="168"/>
      <c r="N18" s="127">
        <f t="shared" si="0"/>
        <v>3282013.7</v>
      </c>
      <c r="O18" s="15"/>
      <c r="P18" s="17"/>
    </row>
    <row r="19" spans="1:18" ht="83.25" customHeight="1" thickTop="1" thickBot="1" x14ac:dyDescent="0.25">
      <c r="A19" s="57" t="s">
        <v>64</v>
      </c>
      <c r="B19" s="77" t="s">
        <v>65</v>
      </c>
      <c r="C19" s="77"/>
      <c r="D19" s="78" t="s">
        <v>66</v>
      </c>
      <c r="E19" s="79">
        <f>SUM(E20:E56)-E21-E25-E33-E36-E39-E43-E48-E28-E51-E54</f>
        <v>2295800368.2399998</v>
      </c>
      <c r="F19" s="79">
        <f>SUM(F20:F56)-F21-F25-F33-F36-F39-F43-F48-F28-F51-F54</f>
        <v>571557263.76999998</v>
      </c>
      <c r="G19" s="79">
        <f>SUM(G20:G56)-G21-G25-G33-G36-G39-G43-G48-G28-G51-G54</f>
        <v>515295613.52999997</v>
      </c>
      <c r="H19" s="80">
        <f>G19/F19</f>
        <v>0.90156428094553931</v>
      </c>
      <c r="I19" s="79">
        <f>SUM(I20:I56)-I21-I25-I33-I36-I39-I43-I48-I28-I51-I54</f>
        <v>258314204.74999991</v>
      </c>
      <c r="J19" s="79">
        <f>SUM(J20:J56)-J21-J25-J33-J36-J39-J43-J48-J28-J51-J54</f>
        <v>46083550.539999999</v>
      </c>
      <c r="K19" s="80">
        <f>J19/I19</f>
        <v>0.17840114748858005</v>
      </c>
      <c r="L19" s="79"/>
      <c r="M19" s="79"/>
      <c r="N19" s="81">
        <f>G19+J19</f>
        <v>561379164.06999993</v>
      </c>
      <c r="O19" s="53" t="b">
        <f>N19=N20+N22+N23+N24+N26+N27+N31+N32+N34+N35+N37+N38+N40+N41+N42+N46+N49+N53+N52+N30</f>
        <v>1</v>
      </c>
      <c r="P19" s="12"/>
    </row>
    <row r="20" spans="1:18" ht="99" customHeight="1" thickTop="1" thickBot="1" x14ac:dyDescent="0.6">
      <c r="A20" s="58" t="s">
        <v>67</v>
      </c>
      <c r="B20" s="75" t="s">
        <v>68</v>
      </c>
      <c r="C20" s="75" t="s">
        <v>69</v>
      </c>
      <c r="D20" s="75" t="s">
        <v>70</v>
      </c>
      <c r="E20" s="128">
        <v>596656836</v>
      </c>
      <c r="F20" s="128">
        <v>154279989</v>
      </c>
      <c r="G20" s="128">
        <v>135470668.56</v>
      </c>
      <c r="H20" s="126">
        <f>G20/F20</f>
        <v>0.8780832137601462</v>
      </c>
      <c r="I20" s="128">
        <v>96735806.969999999</v>
      </c>
      <c r="J20" s="128">
        <v>16353291.01</v>
      </c>
      <c r="K20" s="126">
        <f t="shared" ref="K20:K24" si="3">J20/I20</f>
        <v>0.1690510631194872</v>
      </c>
      <c r="L20" s="128"/>
      <c r="M20" s="135"/>
      <c r="N20" s="128">
        <f t="shared" si="0"/>
        <v>151823959.56999999</v>
      </c>
      <c r="O20" s="21"/>
      <c r="P20" s="12"/>
    </row>
    <row r="21" spans="1:18" ht="93" thickTop="1" thickBot="1" x14ac:dyDescent="0.6">
      <c r="A21" s="76" t="s">
        <v>71</v>
      </c>
      <c r="B21" s="76" t="s">
        <v>72</v>
      </c>
      <c r="C21" s="76"/>
      <c r="D21" s="76" t="s">
        <v>73</v>
      </c>
      <c r="E21" s="129">
        <f>E22+E23+E24</f>
        <v>600420079.62</v>
      </c>
      <c r="F21" s="129">
        <f>F22+F23+F24</f>
        <v>161201161</v>
      </c>
      <c r="G21" s="129">
        <f>G22+G23+G24</f>
        <v>135405211.09999999</v>
      </c>
      <c r="H21" s="130">
        <f t="shared" ref="H21:H46" si="4">G21/F21</f>
        <v>0.83997664942375938</v>
      </c>
      <c r="I21" s="129">
        <f>I22+I23+I24</f>
        <v>98061114.140000001</v>
      </c>
      <c r="J21" s="129">
        <f>J22+J23+J24</f>
        <v>17549502.630000003</v>
      </c>
      <c r="K21" s="130">
        <f t="shared" si="3"/>
        <v>0.17896495245755528</v>
      </c>
      <c r="L21" s="129"/>
      <c r="M21" s="159"/>
      <c r="N21" s="129">
        <f>G21+J21</f>
        <v>152954713.72999999</v>
      </c>
      <c r="O21" s="21"/>
      <c r="P21" s="22"/>
    </row>
    <row r="22" spans="1:18" ht="93" thickTop="1" thickBot="1" x14ac:dyDescent="0.6">
      <c r="A22" s="75" t="s">
        <v>74</v>
      </c>
      <c r="B22" s="75" t="s">
        <v>75</v>
      </c>
      <c r="C22" s="75" t="s">
        <v>76</v>
      </c>
      <c r="D22" s="75" t="s">
        <v>77</v>
      </c>
      <c r="E22" s="128">
        <v>547636307.62</v>
      </c>
      <c r="F22" s="128">
        <v>146947156</v>
      </c>
      <c r="G22" s="128">
        <v>124516104.29000001</v>
      </c>
      <c r="H22" s="126">
        <f t="shared" si="4"/>
        <v>0.84735293747365892</v>
      </c>
      <c r="I22" s="128">
        <v>97038964.140000001</v>
      </c>
      <c r="J22" s="128">
        <v>17524852.960000001</v>
      </c>
      <c r="K22" s="126">
        <f t="shared" si="3"/>
        <v>0.18059604320092035</v>
      </c>
      <c r="L22" s="128"/>
      <c r="M22" s="135"/>
      <c r="N22" s="128">
        <f t="shared" si="0"/>
        <v>142040957.25</v>
      </c>
      <c r="O22" s="21"/>
      <c r="P22" s="13"/>
      <c r="R22" s="23"/>
    </row>
    <row r="23" spans="1:18" ht="184.5" thickTop="1" thickBot="1" x14ac:dyDescent="0.25">
      <c r="A23" s="58" t="s">
        <v>78</v>
      </c>
      <c r="B23" s="75" t="s">
        <v>79</v>
      </c>
      <c r="C23" s="75" t="s">
        <v>80</v>
      </c>
      <c r="D23" s="75" t="s">
        <v>81</v>
      </c>
      <c r="E23" s="128">
        <v>32235281</v>
      </c>
      <c r="F23" s="128">
        <v>8189363</v>
      </c>
      <c r="G23" s="128">
        <v>6810330.6600000001</v>
      </c>
      <c r="H23" s="126">
        <f t="shared" si="4"/>
        <v>0.83160688566375673</v>
      </c>
      <c r="I23" s="128">
        <v>272150</v>
      </c>
      <c r="J23" s="128">
        <v>24649.67</v>
      </c>
      <c r="K23" s="126">
        <f t="shared" si="3"/>
        <v>9.057383795700899E-2</v>
      </c>
      <c r="L23" s="128"/>
      <c r="M23" s="135"/>
      <c r="N23" s="128">
        <f t="shared" si="0"/>
        <v>6834980.3300000001</v>
      </c>
      <c r="P23" s="13"/>
    </row>
    <row r="24" spans="1:18" ht="138.75" thickTop="1" thickBot="1" x14ac:dyDescent="0.25">
      <c r="A24" s="75"/>
      <c r="B24" s="75" t="s">
        <v>455</v>
      </c>
      <c r="C24" s="75" t="s">
        <v>80</v>
      </c>
      <c r="D24" s="75" t="s">
        <v>456</v>
      </c>
      <c r="E24" s="128">
        <v>20548491</v>
      </c>
      <c r="F24" s="128">
        <v>6064642</v>
      </c>
      <c r="G24" s="128">
        <v>4078776.15</v>
      </c>
      <c r="H24" s="126">
        <f t="shared" si="4"/>
        <v>0.67255019339970934</v>
      </c>
      <c r="I24" s="128">
        <v>750000</v>
      </c>
      <c r="J24" s="128">
        <v>0</v>
      </c>
      <c r="K24" s="126">
        <f t="shared" si="3"/>
        <v>0</v>
      </c>
      <c r="L24" s="128"/>
      <c r="M24" s="135"/>
      <c r="N24" s="128">
        <f>G24+J24</f>
        <v>4078776.15</v>
      </c>
      <c r="P24" s="13"/>
    </row>
    <row r="25" spans="1:18" ht="123" thickTop="1" thickBot="1" x14ac:dyDescent="0.25">
      <c r="A25" s="59" t="s">
        <v>82</v>
      </c>
      <c r="B25" s="76" t="s">
        <v>83</v>
      </c>
      <c r="C25" s="76"/>
      <c r="D25" s="76" t="s">
        <v>84</v>
      </c>
      <c r="E25" s="129">
        <f>E26+E27</f>
        <v>734225903</v>
      </c>
      <c r="F25" s="129">
        <f>F26+F27</f>
        <v>164099520</v>
      </c>
      <c r="G25" s="129">
        <f>G26+G27</f>
        <v>163923964.25999999</v>
      </c>
      <c r="H25" s="130">
        <f t="shared" si="4"/>
        <v>0.99893018736435057</v>
      </c>
      <c r="I25" s="129">
        <f>I26+I27</f>
        <v>0</v>
      </c>
      <c r="J25" s="129">
        <f>J26+J27</f>
        <v>0</v>
      </c>
      <c r="K25" s="130">
        <v>0</v>
      </c>
      <c r="L25" s="129"/>
      <c r="M25" s="129"/>
      <c r="N25" s="129">
        <f>G25+J25</f>
        <v>163923964.25999999</v>
      </c>
      <c r="O25" s="50" t="s">
        <v>433</v>
      </c>
      <c r="P25" s="19"/>
    </row>
    <row r="26" spans="1:18" ht="93" thickTop="1" thickBot="1" x14ac:dyDescent="0.25">
      <c r="A26" s="58" t="s">
        <v>85</v>
      </c>
      <c r="B26" s="75" t="s">
        <v>86</v>
      </c>
      <c r="C26" s="75" t="s">
        <v>76</v>
      </c>
      <c r="D26" s="75" t="s">
        <v>77</v>
      </c>
      <c r="E26" s="128">
        <v>723235253</v>
      </c>
      <c r="F26" s="128">
        <v>161750720</v>
      </c>
      <c r="G26" s="128">
        <v>161673080.09</v>
      </c>
      <c r="H26" s="126">
        <f t="shared" si="4"/>
        <v>0.99952000269303287</v>
      </c>
      <c r="I26" s="128"/>
      <c r="J26" s="128"/>
      <c r="K26" s="128"/>
      <c r="L26" s="128"/>
      <c r="M26" s="135"/>
      <c r="N26" s="128">
        <f t="shared" si="0"/>
        <v>161673080.09</v>
      </c>
      <c r="P26" s="17"/>
    </row>
    <row r="27" spans="1:18" ht="138.75" thickTop="1" thickBot="1" x14ac:dyDescent="0.25">
      <c r="A27" s="88"/>
      <c r="B27" s="131" t="s">
        <v>502</v>
      </c>
      <c r="C27" s="75" t="s">
        <v>80</v>
      </c>
      <c r="D27" s="75" t="s">
        <v>456</v>
      </c>
      <c r="E27" s="132">
        <v>10990650</v>
      </c>
      <c r="F27" s="132">
        <v>2348800</v>
      </c>
      <c r="G27" s="132">
        <v>2250884.17</v>
      </c>
      <c r="H27" s="126">
        <f t="shared" si="4"/>
        <v>0.95831240207765667</v>
      </c>
      <c r="I27" s="132"/>
      <c r="J27" s="132"/>
      <c r="K27" s="132"/>
      <c r="L27" s="132"/>
      <c r="M27" s="169"/>
      <c r="N27" s="128">
        <f t="shared" si="0"/>
        <v>2250884.17</v>
      </c>
      <c r="P27" s="17"/>
    </row>
    <row r="28" spans="1:18" ht="248.25" customHeight="1" thickTop="1" x14ac:dyDescent="0.65">
      <c r="A28" s="207" t="s">
        <v>87</v>
      </c>
      <c r="B28" s="209" t="s">
        <v>88</v>
      </c>
      <c r="C28" s="209"/>
      <c r="D28" s="133" t="s">
        <v>461</v>
      </c>
      <c r="E28" s="193">
        <f t="shared" ref="E28:J28" si="5">E30</f>
        <v>128512.77</v>
      </c>
      <c r="F28" s="193">
        <f t="shared" ref="F28" si="6">F30</f>
        <v>128512.77</v>
      </c>
      <c r="G28" s="193">
        <f t="shared" si="5"/>
        <v>128512.77</v>
      </c>
      <c r="H28" s="195">
        <f>G28/F28</f>
        <v>1</v>
      </c>
      <c r="I28" s="193">
        <f t="shared" si="5"/>
        <v>0</v>
      </c>
      <c r="J28" s="193">
        <f t="shared" si="5"/>
        <v>0</v>
      </c>
      <c r="K28" s="203">
        <v>0</v>
      </c>
      <c r="L28" s="193"/>
      <c r="M28" s="193"/>
      <c r="N28" s="193">
        <f>J28+G28</f>
        <v>128512.77</v>
      </c>
      <c r="O28" s="197" t="s">
        <v>433</v>
      </c>
      <c r="P28" s="17"/>
    </row>
    <row r="29" spans="1:18" ht="153" customHeight="1" thickBot="1" x14ac:dyDescent="0.25">
      <c r="A29" s="208"/>
      <c r="B29" s="210"/>
      <c r="C29" s="210"/>
      <c r="D29" s="134" t="s">
        <v>462</v>
      </c>
      <c r="E29" s="194"/>
      <c r="F29" s="194"/>
      <c r="G29" s="194"/>
      <c r="H29" s="196"/>
      <c r="I29" s="194"/>
      <c r="J29" s="194"/>
      <c r="K29" s="204"/>
      <c r="L29" s="194"/>
      <c r="M29" s="194"/>
      <c r="N29" s="194"/>
      <c r="O29" s="176"/>
      <c r="P29" s="17"/>
    </row>
    <row r="30" spans="1:18" ht="93" thickTop="1" thickBot="1" x14ac:dyDescent="0.25">
      <c r="A30" s="58" t="s">
        <v>89</v>
      </c>
      <c r="B30" s="75" t="s">
        <v>90</v>
      </c>
      <c r="C30" s="75" t="s">
        <v>76</v>
      </c>
      <c r="D30" s="75" t="s">
        <v>91</v>
      </c>
      <c r="E30" s="128">
        <v>128512.77</v>
      </c>
      <c r="F30" s="128">
        <v>128512.77</v>
      </c>
      <c r="G30" s="128">
        <v>128512.77</v>
      </c>
      <c r="H30" s="126">
        <f t="shared" si="4"/>
        <v>1</v>
      </c>
      <c r="I30" s="128"/>
      <c r="J30" s="128"/>
      <c r="K30" s="126"/>
      <c r="L30" s="128"/>
      <c r="M30" s="135"/>
      <c r="N30" s="128">
        <f t="shared" ref="N30:N36" si="7">G30+J30</f>
        <v>128512.77</v>
      </c>
      <c r="P30" s="12"/>
    </row>
    <row r="31" spans="1:18" ht="138.75" thickTop="1" thickBot="1" x14ac:dyDescent="0.25">
      <c r="A31" s="75" t="s">
        <v>92</v>
      </c>
      <c r="B31" s="75" t="s">
        <v>93</v>
      </c>
      <c r="C31" s="75" t="s">
        <v>94</v>
      </c>
      <c r="D31" s="75" t="s">
        <v>95</v>
      </c>
      <c r="E31" s="128">
        <v>38379360</v>
      </c>
      <c r="F31" s="128">
        <v>9336249</v>
      </c>
      <c r="G31" s="128">
        <v>8044209.8499999996</v>
      </c>
      <c r="H31" s="126">
        <f t="shared" si="4"/>
        <v>0.86161046583054923</v>
      </c>
      <c r="I31" s="128">
        <v>1103660</v>
      </c>
      <c r="J31" s="128">
        <v>539978.18999999994</v>
      </c>
      <c r="K31" s="126">
        <f t="shared" ref="K31:K37" si="8">J31/I31</f>
        <v>0.48926135766449808</v>
      </c>
      <c r="L31" s="128"/>
      <c r="M31" s="135"/>
      <c r="N31" s="128">
        <f t="shared" si="7"/>
        <v>8584188.0399999991</v>
      </c>
      <c r="P31" s="12"/>
    </row>
    <row r="32" spans="1:18" ht="93" thickTop="1" thickBot="1" x14ac:dyDescent="0.25">
      <c r="A32" s="58"/>
      <c r="B32" s="75" t="s">
        <v>269</v>
      </c>
      <c r="C32" s="75" t="s">
        <v>94</v>
      </c>
      <c r="D32" s="75" t="s">
        <v>507</v>
      </c>
      <c r="E32" s="128">
        <v>95924456</v>
      </c>
      <c r="F32" s="128">
        <v>22149961</v>
      </c>
      <c r="G32" s="128">
        <v>20658672.719999999</v>
      </c>
      <c r="H32" s="126">
        <f t="shared" si="4"/>
        <v>0.93267309680590404</v>
      </c>
      <c r="I32" s="128">
        <v>9935530.2100000009</v>
      </c>
      <c r="J32" s="128">
        <v>1696259.58</v>
      </c>
      <c r="K32" s="126">
        <f t="shared" si="8"/>
        <v>0.17072662899185126</v>
      </c>
      <c r="L32" s="128"/>
      <c r="M32" s="135"/>
      <c r="N32" s="128">
        <f t="shared" si="7"/>
        <v>22354932.299999997</v>
      </c>
      <c r="P32" s="12"/>
    </row>
    <row r="33" spans="1:16" ht="138.75" thickTop="1" thickBot="1" x14ac:dyDescent="0.25">
      <c r="A33" s="59" t="s">
        <v>96</v>
      </c>
      <c r="B33" s="76" t="s">
        <v>97</v>
      </c>
      <c r="C33" s="76"/>
      <c r="D33" s="76" t="s">
        <v>98</v>
      </c>
      <c r="E33" s="129">
        <f>E34+E35</f>
        <v>191916098</v>
      </c>
      <c r="F33" s="129">
        <f>F34+F35</f>
        <v>51134698</v>
      </c>
      <c r="G33" s="129">
        <f>G34+G35</f>
        <v>43828232.5</v>
      </c>
      <c r="H33" s="130">
        <f t="shared" si="4"/>
        <v>0.85711335383265586</v>
      </c>
      <c r="I33" s="129">
        <f t="shared" ref="I33:J33" si="9">I34+I35</f>
        <v>35866830.579999998</v>
      </c>
      <c r="J33" s="129">
        <f t="shared" si="9"/>
        <v>8709781.6899999995</v>
      </c>
      <c r="K33" s="130">
        <f t="shared" si="8"/>
        <v>0.24283666967933135</v>
      </c>
      <c r="L33" s="129"/>
      <c r="M33" s="129"/>
      <c r="N33" s="129">
        <f t="shared" si="7"/>
        <v>52538014.189999998</v>
      </c>
      <c r="P33" s="19"/>
    </row>
    <row r="34" spans="1:16" ht="184.5" thickTop="1" thickBot="1" x14ac:dyDescent="0.25">
      <c r="A34" s="75" t="s">
        <v>99</v>
      </c>
      <c r="B34" s="75" t="s">
        <v>100</v>
      </c>
      <c r="C34" s="75" t="s">
        <v>101</v>
      </c>
      <c r="D34" s="75" t="s">
        <v>102</v>
      </c>
      <c r="E34" s="128">
        <v>166185698</v>
      </c>
      <c r="F34" s="128">
        <v>45388798</v>
      </c>
      <c r="G34" s="128">
        <v>38331027.829999998</v>
      </c>
      <c r="H34" s="126">
        <f t="shared" si="4"/>
        <v>0.84450414020657694</v>
      </c>
      <c r="I34" s="128">
        <v>35866830.579999998</v>
      </c>
      <c r="J34" s="128">
        <v>8709781.6899999995</v>
      </c>
      <c r="K34" s="126">
        <f t="shared" si="8"/>
        <v>0.24283666967933135</v>
      </c>
      <c r="L34" s="128"/>
      <c r="M34" s="135"/>
      <c r="N34" s="128">
        <f t="shared" si="7"/>
        <v>47040809.519999996</v>
      </c>
      <c r="P34" s="12"/>
    </row>
    <row r="35" spans="1:16" ht="138.75" thickTop="1" thickBot="1" x14ac:dyDescent="0.25">
      <c r="A35" s="58" t="s">
        <v>103</v>
      </c>
      <c r="B35" s="75" t="s">
        <v>104</v>
      </c>
      <c r="C35" s="75" t="s">
        <v>101</v>
      </c>
      <c r="D35" s="75" t="s">
        <v>105</v>
      </c>
      <c r="E35" s="128">
        <v>25730400</v>
      </c>
      <c r="F35" s="128">
        <v>5745900</v>
      </c>
      <c r="G35" s="128">
        <v>5497204.6699999999</v>
      </c>
      <c r="H35" s="126">
        <f t="shared" si="4"/>
        <v>0.95671777615343112</v>
      </c>
      <c r="I35" s="128"/>
      <c r="J35" s="128"/>
      <c r="K35" s="128"/>
      <c r="L35" s="128"/>
      <c r="M35" s="135"/>
      <c r="N35" s="128">
        <f t="shared" si="7"/>
        <v>5497204.6699999999</v>
      </c>
      <c r="P35" s="17"/>
    </row>
    <row r="36" spans="1:16" ht="93" thickTop="1" thickBot="1" x14ac:dyDescent="0.25">
      <c r="A36" s="59" t="s">
        <v>106</v>
      </c>
      <c r="B36" s="76" t="s">
        <v>107</v>
      </c>
      <c r="C36" s="76"/>
      <c r="D36" s="76" t="s">
        <v>108</v>
      </c>
      <c r="E36" s="129">
        <f t="shared" ref="E36:J36" si="10">E37+E38</f>
        <v>28084454</v>
      </c>
      <c r="F36" s="129">
        <f t="shared" ref="F36" si="11">F37+F38</f>
        <v>6822247</v>
      </c>
      <c r="G36" s="129">
        <f t="shared" si="10"/>
        <v>5949221.6399999997</v>
      </c>
      <c r="H36" s="130">
        <f t="shared" si="4"/>
        <v>0.87203257812272106</v>
      </c>
      <c r="I36" s="129">
        <f t="shared" si="10"/>
        <v>791869.7</v>
      </c>
      <c r="J36" s="129">
        <f t="shared" si="10"/>
        <v>358174.89</v>
      </c>
      <c r="K36" s="130">
        <f t="shared" si="8"/>
        <v>0.45231543775446897</v>
      </c>
      <c r="L36" s="129"/>
      <c r="M36" s="129"/>
      <c r="N36" s="129">
        <f t="shared" si="7"/>
        <v>6307396.5299999993</v>
      </c>
      <c r="P36" s="19"/>
    </row>
    <row r="37" spans="1:16" ht="93" thickTop="1" thickBot="1" x14ac:dyDescent="0.25">
      <c r="A37" s="58" t="s">
        <v>109</v>
      </c>
      <c r="B37" s="75" t="s">
        <v>110</v>
      </c>
      <c r="C37" s="75" t="s">
        <v>111</v>
      </c>
      <c r="D37" s="75" t="s">
        <v>112</v>
      </c>
      <c r="E37" s="128">
        <v>27550154</v>
      </c>
      <c r="F37" s="128">
        <v>6564147</v>
      </c>
      <c r="G37" s="128">
        <v>5718556.6399999997</v>
      </c>
      <c r="H37" s="126">
        <f t="shared" si="4"/>
        <v>0.87118046564161344</v>
      </c>
      <c r="I37" s="128">
        <v>791869.7</v>
      </c>
      <c r="J37" s="128">
        <v>358174.89</v>
      </c>
      <c r="K37" s="126">
        <f t="shared" si="8"/>
        <v>0.45231543775446897</v>
      </c>
      <c r="L37" s="128"/>
      <c r="M37" s="135"/>
      <c r="N37" s="128">
        <f t="shared" ref="N37:N46" si="12">G37+J37</f>
        <v>6076731.5299999993</v>
      </c>
      <c r="P37" s="17"/>
    </row>
    <row r="38" spans="1:16" ht="93" thickTop="1" thickBot="1" x14ac:dyDescent="0.25">
      <c r="A38" s="58" t="s">
        <v>113</v>
      </c>
      <c r="B38" s="75" t="s">
        <v>114</v>
      </c>
      <c r="C38" s="75" t="s">
        <v>111</v>
      </c>
      <c r="D38" s="75" t="s">
        <v>115</v>
      </c>
      <c r="E38" s="128">
        <v>534300</v>
      </c>
      <c r="F38" s="128">
        <v>258100</v>
      </c>
      <c r="G38" s="128">
        <v>230665</v>
      </c>
      <c r="H38" s="126">
        <f t="shared" si="4"/>
        <v>0.89370399070127859</v>
      </c>
      <c r="I38" s="128"/>
      <c r="J38" s="128"/>
      <c r="K38" s="128"/>
      <c r="L38" s="128"/>
      <c r="M38" s="135"/>
      <c r="N38" s="128">
        <f t="shared" si="12"/>
        <v>230665</v>
      </c>
      <c r="P38" s="17"/>
    </row>
    <row r="39" spans="1:16" ht="123" thickTop="1" thickBot="1" x14ac:dyDescent="0.25">
      <c r="A39" s="59" t="s">
        <v>116</v>
      </c>
      <c r="B39" s="76" t="s">
        <v>117</v>
      </c>
      <c r="C39" s="76"/>
      <c r="D39" s="76" t="s">
        <v>118</v>
      </c>
      <c r="E39" s="129">
        <f>E40+E41</f>
        <v>6041423</v>
      </c>
      <c r="F39" s="129">
        <f>F40+F41</f>
        <v>1430166</v>
      </c>
      <c r="G39" s="129">
        <f t="shared" ref="G39:J39" si="13">G40+G41</f>
        <v>1195538.75</v>
      </c>
      <c r="H39" s="130">
        <f t="shared" si="4"/>
        <v>0.83594404425779945</v>
      </c>
      <c r="I39" s="129">
        <f t="shared" si="13"/>
        <v>0</v>
      </c>
      <c r="J39" s="129">
        <f t="shared" si="13"/>
        <v>0</v>
      </c>
      <c r="K39" s="130">
        <v>0</v>
      </c>
      <c r="L39" s="129"/>
      <c r="M39" s="129"/>
      <c r="N39" s="129">
        <f t="shared" si="12"/>
        <v>1195538.75</v>
      </c>
      <c r="O39" s="50" t="s">
        <v>433</v>
      </c>
      <c r="P39" s="19"/>
    </row>
    <row r="40" spans="1:16" ht="93" thickTop="1" thickBot="1" x14ac:dyDescent="0.25">
      <c r="A40" s="58" t="s">
        <v>119</v>
      </c>
      <c r="B40" s="75" t="s">
        <v>120</v>
      </c>
      <c r="C40" s="75" t="s">
        <v>111</v>
      </c>
      <c r="D40" s="75" t="s">
        <v>121</v>
      </c>
      <c r="E40" s="128">
        <v>1114123</v>
      </c>
      <c r="F40" s="128">
        <v>363966</v>
      </c>
      <c r="G40" s="128">
        <v>290130</v>
      </c>
      <c r="H40" s="126">
        <f t="shared" si="4"/>
        <v>0.79713489721567399</v>
      </c>
      <c r="I40" s="128"/>
      <c r="J40" s="128"/>
      <c r="K40" s="126"/>
      <c r="L40" s="128"/>
      <c r="M40" s="135"/>
      <c r="N40" s="128">
        <f>G40+J40</f>
        <v>290130</v>
      </c>
      <c r="P40" s="12"/>
    </row>
    <row r="41" spans="1:16" ht="93" thickTop="1" thickBot="1" x14ac:dyDescent="0.25">
      <c r="A41" s="58" t="s">
        <v>122</v>
      </c>
      <c r="B41" s="75" t="s">
        <v>123</v>
      </c>
      <c r="C41" s="75" t="s">
        <v>111</v>
      </c>
      <c r="D41" s="75" t="s">
        <v>124</v>
      </c>
      <c r="E41" s="128">
        <v>4927300</v>
      </c>
      <c r="F41" s="128">
        <v>1066200</v>
      </c>
      <c r="G41" s="128">
        <v>905408.75</v>
      </c>
      <c r="H41" s="126">
        <f t="shared" si="4"/>
        <v>0.84919222472331646</v>
      </c>
      <c r="I41" s="128"/>
      <c r="J41" s="128"/>
      <c r="K41" s="128"/>
      <c r="L41" s="128"/>
      <c r="M41" s="135"/>
      <c r="N41" s="128">
        <f t="shared" si="12"/>
        <v>905408.75</v>
      </c>
      <c r="P41" s="17"/>
    </row>
    <row r="42" spans="1:16" ht="93" thickTop="1" thickBot="1" x14ac:dyDescent="0.25">
      <c r="A42" s="58" t="s">
        <v>125</v>
      </c>
      <c r="B42" s="75" t="s">
        <v>126</v>
      </c>
      <c r="C42" s="75" t="s">
        <v>111</v>
      </c>
      <c r="D42" s="75" t="s">
        <v>127</v>
      </c>
      <c r="E42" s="128">
        <v>4021213</v>
      </c>
      <c r="F42" s="128">
        <v>974760</v>
      </c>
      <c r="G42" s="128">
        <v>691381.38</v>
      </c>
      <c r="H42" s="126">
        <f t="shared" si="4"/>
        <v>0.70928370060322543</v>
      </c>
      <c r="I42" s="128"/>
      <c r="J42" s="128"/>
      <c r="K42" s="126"/>
      <c r="L42" s="128"/>
      <c r="M42" s="135"/>
      <c r="N42" s="128">
        <f>G42+J42</f>
        <v>691381.38</v>
      </c>
      <c r="O42" s="50"/>
      <c r="P42" s="12"/>
    </row>
    <row r="43" spans="1:16" s="18" customFormat="1" ht="230.25" hidden="1" customHeight="1" thickTop="1" thickBot="1" x14ac:dyDescent="0.25">
      <c r="A43" s="59" t="s">
        <v>128</v>
      </c>
      <c r="B43" s="95" t="s">
        <v>129</v>
      </c>
      <c r="C43" s="95"/>
      <c r="D43" s="95" t="s">
        <v>130</v>
      </c>
      <c r="E43" s="96">
        <f>E44+E45</f>
        <v>0</v>
      </c>
      <c r="F43" s="96">
        <f>F44+F45</f>
        <v>0</v>
      </c>
      <c r="G43" s="96">
        <f>G44+G45</f>
        <v>0</v>
      </c>
      <c r="H43" s="91" t="e">
        <f t="shared" si="4"/>
        <v>#DIV/0!</v>
      </c>
      <c r="I43" s="96">
        <f>I44+I45</f>
        <v>0</v>
      </c>
      <c r="J43" s="96">
        <f>J44+J45</f>
        <v>0</v>
      </c>
      <c r="K43" s="97" t="e">
        <f t="shared" ref="K43:K45" si="14">J43/I43</f>
        <v>#DIV/0!</v>
      </c>
      <c r="L43" s="96"/>
      <c r="M43" s="96"/>
      <c r="N43" s="96">
        <f t="shared" si="12"/>
        <v>0</v>
      </c>
      <c r="O43" s="50"/>
      <c r="P43" s="22"/>
    </row>
    <row r="44" spans="1:16" s="18" customFormat="1" ht="367.5" hidden="1" customHeight="1" thickTop="1" thickBot="1" x14ac:dyDescent="0.25">
      <c r="A44" s="58" t="s">
        <v>131</v>
      </c>
      <c r="B44" s="92" t="s">
        <v>132</v>
      </c>
      <c r="C44" s="92" t="s">
        <v>111</v>
      </c>
      <c r="D44" s="92" t="s">
        <v>133</v>
      </c>
      <c r="E44" s="93"/>
      <c r="F44" s="93"/>
      <c r="G44" s="93"/>
      <c r="H44" s="91" t="e">
        <f t="shared" si="4"/>
        <v>#DIV/0!</v>
      </c>
      <c r="I44" s="93"/>
      <c r="J44" s="93"/>
      <c r="K44" s="91" t="e">
        <f t="shared" si="14"/>
        <v>#DIV/0!</v>
      </c>
      <c r="L44" s="93"/>
      <c r="M44" s="94"/>
      <c r="N44" s="93">
        <f t="shared" si="12"/>
        <v>0</v>
      </c>
      <c r="O44" s="50"/>
      <c r="P44" s="12"/>
    </row>
    <row r="45" spans="1:16" s="18" customFormat="1" ht="321.75" hidden="1" customHeight="1" thickTop="1" thickBot="1" x14ac:dyDescent="0.25">
      <c r="A45" s="58"/>
      <c r="B45" s="92" t="s">
        <v>453</v>
      </c>
      <c r="C45" s="92" t="s">
        <v>111</v>
      </c>
      <c r="D45" s="92" t="s">
        <v>454</v>
      </c>
      <c r="E45" s="93"/>
      <c r="F45" s="93"/>
      <c r="G45" s="93"/>
      <c r="H45" s="91" t="e">
        <f t="shared" si="4"/>
        <v>#DIV/0!</v>
      </c>
      <c r="I45" s="93"/>
      <c r="J45" s="93"/>
      <c r="K45" s="91" t="e">
        <f t="shared" si="14"/>
        <v>#DIV/0!</v>
      </c>
      <c r="L45" s="93"/>
      <c r="M45" s="94"/>
      <c r="N45" s="93">
        <f t="shared" si="12"/>
        <v>0</v>
      </c>
      <c r="O45" s="52"/>
      <c r="P45" s="12"/>
    </row>
    <row r="46" spans="1:16" s="18" customFormat="1" ht="184.5" hidden="1" thickTop="1" thickBot="1" x14ac:dyDescent="0.25">
      <c r="A46" s="58" t="s">
        <v>134</v>
      </c>
      <c r="B46" s="92" t="s">
        <v>135</v>
      </c>
      <c r="C46" s="92" t="s">
        <v>111</v>
      </c>
      <c r="D46" s="92" t="s">
        <v>136</v>
      </c>
      <c r="E46" s="93"/>
      <c r="F46" s="93"/>
      <c r="G46" s="93"/>
      <c r="H46" s="91" t="e">
        <f t="shared" si="4"/>
        <v>#DIV/0!</v>
      </c>
      <c r="I46" s="93"/>
      <c r="J46" s="93"/>
      <c r="K46" s="91"/>
      <c r="L46" s="93"/>
      <c r="M46" s="94"/>
      <c r="N46" s="93">
        <f t="shared" si="12"/>
        <v>0</v>
      </c>
      <c r="O46" s="20"/>
      <c r="P46" s="12"/>
    </row>
    <row r="47" spans="1:16" s="18" customFormat="1" ht="184.5" hidden="1" thickTop="1" thickBot="1" x14ac:dyDescent="0.25">
      <c r="A47" s="57"/>
      <c r="B47" s="98" t="s">
        <v>137</v>
      </c>
      <c r="C47" s="98" t="s">
        <v>111</v>
      </c>
      <c r="D47" s="98" t="s">
        <v>138</v>
      </c>
      <c r="E47" s="99"/>
      <c r="F47" s="99"/>
      <c r="G47" s="99"/>
      <c r="H47" s="100"/>
      <c r="I47" s="99"/>
      <c r="J47" s="99"/>
      <c r="K47" s="100" t="e">
        <f t="shared" ref="K47:K53" si="15">J47/I47</f>
        <v>#DIV/0!</v>
      </c>
      <c r="L47" s="102"/>
      <c r="M47" s="102"/>
      <c r="N47" s="99">
        <f t="shared" ref="N47:N50" si="16">G47+J47</f>
        <v>0</v>
      </c>
      <c r="O47" s="20"/>
      <c r="P47" s="12"/>
    </row>
    <row r="48" spans="1:16" s="18" customFormat="1" ht="138.75" hidden="1" thickTop="1" thickBot="1" x14ac:dyDescent="0.25">
      <c r="A48" s="8"/>
      <c r="B48" s="76" t="s">
        <v>457</v>
      </c>
      <c r="C48" s="76"/>
      <c r="D48" s="76" t="s">
        <v>458</v>
      </c>
      <c r="E48" s="129">
        <f>E50+E49</f>
        <v>0</v>
      </c>
      <c r="F48" s="129">
        <f>F50+F49</f>
        <v>0</v>
      </c>
      <c r="G48" s="129">
        <f>G50+G49</f>
        <v>0</v>
      </c>
      <c r="H48" s="130">
        <v>0</v>
      </c>
      <c r="I48" s="96">
        <f>I50+I49</f>
        <v>0</v>
      </c>
      <c r="J48" s="96">
        <f>J50+J49</f>
        <v>0</v>
      </c>
      <c r="K48" s="97">
        <v>0</v>
      </c>
      <c r="L48" s="103"/>
      <c r="M48" s="103"/>
      <c r="N48" s="96">
        <f>G48+J48</f>
        <v>0</v>
      </c>
      <c r="O48" s="50" t="s">
        <v>433</v>
      </c>
      <c r="P48" s="12"/>
    </row>
    <row r="49" spans="1:16" s="18" customFormat="1" ht="230.25" hidden="1" thickTop="1" thickBot="1" x14ac:dyDescent="0.25">
      <c r="A49" s="8"/>
      <c r="B49" s="75" t="s">
        <v>474</v>
      </c>
      <c r="C49" s="75" t="s">
        <v>111</v>
      </c>
      <c r="D49" s="75" t="s">
        <v>475</v>
      </c>
      <c r="E49" s="128"/>
      <c r="F49" s="128"/>
      <c r="G49" s="128"/>
      <c r="H49" s="126"/>
      <c r="I49" s="93"/>
      <c r="J49" s="93"/>
      <c r="K49" s="91"/>
      <c r="L49" s="104"/>
      <c r="M49" s="104"/>
      <c r="N49" s="93">
        <f>G49+J49</f>
        <v>0</v>
      </c>
      <c r="O49" s="50"/>
      <c r="P49" s="12"/>
    </row>
    <row r="50" spans="1:16" s="18" customFormat="1" ht="230.25" hidden="1" thickTop="1" thickBot="1" x14ac:dyDescent="0.25">
      <c r="A50" s="57"/>
      <c r="B50" s="58" t="s">
        <v>459</v>
      </c>
      <c r="C50" s="58" t="s">
        <v>111</v>
      </c>
      <c r="D50" s="58" t="s">
        <v>460</v>
      </c>
      <c r="E50" s="136"/>
      <c r="F50" s="136"/>
      <c r="G50" s="136"/>
      <c r="H50" s="137"/>
      <c r="I50" s="99"/>
      <c r="J50" s="99"/>
      <c r="K50" s="100" t="e">
        <f t="shared" si="15"/>
        <v>#DIV/0!</v>
      </c>
      <c r="L50" s="102"/>
      <c r="M50" s="102"/>
      <c r="N50" s="99">
        <f t="shared" si="16"/>
        <v>0</v>
      </c>
      <c r="O50" s="50" t="s">
        <v>433</v>
      </c>
      <c r="P50" s="12"/>
    </row>
    <row r="51" spans="1:16" s="18" customFormat="1" ht="123" thickTop="1" thickBot="1" x14ac:dyDescent="0.25">
      <c r="A51" s="57"/>
      <c r="B51" s="76" t="s">
        <v>550</v>
      </c>
      <c r="C51" s="76"/>
      <c r="D51" s="76" t="s">
        <v>547</v>
      </c>
      <c r="E51" s="129">
        <f>SUM(E52:E53)</f>
        <v>0</v>
      </c>
      <c r="F51" s="129">
        <f>SUM(F52:F53)</f>
        <v>0</v>
      </c>
      <c r="G51" s="129">
        <f>SUM(G52:G53)</f>
        <v>0</v>
      </c>
      <c r="H51" s="126">
        <v>0</v>
      </c>
      <c r="I51" s="129">
        <f>SUM(I52:I53)</f>
        <v>15000000</v>
      </c>
      <c r="J51" s="129">
        <f>SUM(J52:J53)</f>
        <v>876562.55</v>
      </c>
      <c r="K51" s="126">
        <f>J51/I51</f>
        <v>5.8437503333333335E-2</v>
      </c>
      <c r="L51" s="147"/>
      <c r="M51" s="147"/>
      <c r="N51" s="129">
        <f t="shared" ref="N51:N56" si="17">G51+J51</f>
        <v>876562.55</v>
      </c>
      <c r="O51" s="50" t="s">
        <v>433</v>
      </c>
      <c r="P51" s="12"/>
    </row>
    <row r="52" spans="1:16" s="18" customFormat="1" ht="230.25" thickTop="1" thickBot="1" x14ac:dyDescent="0.25">
      <c r="A52" s="57"/>
      <c r="B52" s="75" t="s">
        <v>562</v>
      </c>
      <c r="C52" s="75" t="s">
        <v>111</v>
      </c>
      <c r="D52" s="75" t="s">
        <v>561</v>
      </c>
      <c r="E52" s="128"/>
      <c r="F52" s="128"/>
      <c r="G52" s="128"/>
      <c r="H52" s="126"/>
      <c r="I52" s="128">
        <v>15000000</v>
      </c>
      <c r="J52" s="128">
        <v>876562.55</v>
      </c>
      <c r="K52" s="126">
        <f t="shared" ref="K52" si="18">J52/I52</f>
        <v>5.8437503333333335E-2</v>
      </c>
      <c r="L52" s="152"/>
      <c r="M52" s="152"/>
      <c r="N52" s="128">
        <f t="shared" si="17"/>
        <v>876562.55</v>
      </c>
      <c r="O52" s="52"/>
      <c r="P52" s="12"/>
    </row>
    <row r="53" spans="1:16" s="18" customFormat="1" ht="184.5" hidden="1" thickTop="1" thickBot="1" x14ac:dyDescent="0.25">
      <c r="A53" s="57"/>
      <c r="B53" s="75" t="s">
        <v>549</v>
      </c>
      <c r="C53" s="75" t="s">
        <v>111</v>
      </c>
      <c r="D53" s="75" t="s">
        <v>548</v>
      </c>
      <c r="E53" s="128"/>
      <c r="F53" s="128"/>
      <c r="G53" s="128"/>
      <c r="H53" s="126"/>
      <c r="I53" s="93"/>
      <c r="J53" s="93"/>
      <c r="K53" s="91" t="e">
        <f t="shared" si="15"/>
        <v>#DIV/0!</v>
      </c>
      <c r="L53" s="104"/>
      <c r="M53" s="104"/>
      <c r="N53" s="93">
        <f t="shared" si="17"/>
        <v>0</v>
      </c>
      <c r="O53" s="52"/>
      <c r="P53" s="12"/>
    </row>
    <row r="54" spans="1:16" s="18" customFormat="1" ht="321.75" thickTop="1" thickBot="1" x14ac:dyDescent="0.25">
      <c r="A54" s="57"/>
      <c r="B54" s="76" t="s">
        <v>574</v>
      </c>
      <c r="C54" s="76"/>
      <c r="D54" s="76" t="s">
        <v>573</v>
      </c>
      <c r="E54" s="129">
        <f>SUM(E55:E56)</f>
        <v>2032.85</v>
      </c>
      <c r="F54" s="129">
        <f>SUM(F55:F56)</f>
        <v>0</v>
      </c>
      <c r="G54" s="129">
        <f>SUM(G55:G56)</f>
        <v>0</v>
      </c>
      <c r="H54" s="130">
        <v>0</v>
      </c>
      <c r="I54" s="129">
        <f>SUM(I55:I56)</f>
        <v>819393.15</v>
      </c>
      <c r="J54" s="129">
        <f>SUM(J55:J56)</f>
        <v>0</v>
      </c>
      <c r="K54" s="130">
        <f>J54/I54</f>
        <v>0</v>
      </c>
      <c r="L54" s="129"/>
      <c r="M54" s="129"/>
      <c r="N54" s="129">
        <f t="shared" si="17"/>
        <v>0</v>
      </c>
      <c r="O54" s="50" t="s">
        <v>433</v>
      </c>
      <c r="P54" s="12"/>
    </row>
    <row r="55" spans="1:16" s="18" customFormat="1" ht="321.75" thickTop="1" thickBot="1" x14ac:dyDescent="0.25">
      <c r="A55" s="57"/>
      <c r="B55" s="75" t="s">
        <v>575</v>
      </c>
      <c r="C55" s="75" t="s">
        <v>111</v>
      </c>
      <c r="D55" s="75" t="s">
        <v>577</v>
      </c>
      <c r="E55" s="128">
        <v>2032.85</v>
      </c>
      <c r="F55" s="128">
        <v>0</v>
      </c>
      <c r="G55" s="128">
        <v>0</v>
      </c>
      <c r="H55" s="130">
        <v>0</v>
      </c>
      <c r="I55" s="128">
        <v>150704</v>
      </c>
      <c r="J55" s="128">
        <v>0</v>
      </c>
      <c r="K55" s="130">
        <f t="shared" ref="K55:K56" si="19">J55/I55</f>
        <v>0</v>
      </c>
      <c r="L55" s="152"/>
      <c r="M55" s="152"/>
      <c r="N55" s="128">
        <f t="shared" si="17"/>
        <v>0</v>
      </c>
      <c r="O55" s="50" t="s">
        <v>433</v>
      </c>
      <c r="P55" s="12"/>
    </row>
    <row r="56" spans="1:16" s="18" customFormat="1" ht="321.75" thickTop="1" thickBot="1" x14ac:dyDescent="0.25">
      <c r="A56" s="57"/>
      <c r="B56" s="75" t="s">
        <v>576</v>
      </c>
      <c r="C56" s="75" t="s">
        <v>111</v>
      </c>
      <c r="D56" s="75" t="s">
        <v>578</v>
      </c>
      <c r="E56" s="128"/>
      <c r="F56" s="128"/>
      <c r="G56" s="128"/>
      <c r="H56" s="130"/>
      <c r="I56" s="128">
        <v>668689.15</v>
      </c>
      <c r="J56" s="128">
        <v>0</v>
      </c>
      <c r="K56" s="130">
        <f t="shared" si="19"/>
        <v>0</v>
      </c>
      <c r="L56" s="152"/>
      <c r="M56" s="152"/>
      <c r="N56" s="128">
        <f t="shared" si="17"/>
        <v>0</v>
      </c>
      <c r="O56" s="50"/>
      <c r="P56" s="12"/>
    </row>
    <row r="57" spans="1:16" ht="91.5" thickTop="1" thickBot="1" x14ac:dyDescent="0.25">
      <c r="A57" s="57" t="s">
        <v>142</v>
      </c>
      <c r="B57" s="77" t="s">
        <v>143</v>
      </c>
      <c r="C57" s="77"/>
      <c r="D57" s="78" t="s">
        <v>144</v>
      </c>
      <c r="E57" s="79">
        <f>SUM(E58:E69)-E63-E65-E67</f>
        <v>90571555</v>
      </c>
      <c r="F57" s="79">
        <f t="shared" ref="F57" si="20">SUM(F58:F69)-F63-F65-F67</f>
        <v>24876970</v>
      </c>
      <c r="G57" s="79">
        <f t="shared" ref="G57:J57" si="21">SUM(G58:G69)-G63-G65-G67</f>
        <v>21966375.09</v>
      </c>
      <c r="H57" s="80">
        <f>G57/F57</f>
        <v>0.88300042529295164</v>
      </c>
      <c r="I57" s="79">
        <f>SUM(I58:I69)-I63-I65-I67</f>
        <v>18456891.059999999</v>
      </c>
      <c r="J57" s="79">
        <f t="shared" si="21"/>
        <v>679827.01</v>
      </c>
      <c r="K57" s="80">
        <f>J57/I57</f>
        <v>3.6833235228511993E-2</v>
      </c>
      <c r="L57" s="79"/>
      <c r="M57" s="79"/>
      <c r="N57" s="81">
        <f>J57+G57</f>
        <v>22646202.100000001</v>
      </c>
      <c r="O57" s="53" t="b">
        <f>N57=N58+N59+N60+N61+N64+N68+N69</f>
        <v>1</v>
      </c>
      <c r="P57" s="24"/>
    </row>
    <row r="58" spans="1:16" ht="93" thickTop="1" thickBot="1" x14ac:dyDescent="0.25">
      <c r="A58" s="58" t="s">
        <v>145</v>
      </c>
      <c r="B58" s="75" t="s">
        <v>146</v>
      </c>
      <c r="C58" s="75" t="s">
        <v>147</v>
      </c>
      <c r="D58" s="75" t="s">
        <v>148</v>
      </c>
      <c r="E58" s="128">
        <v>18839100</v>
      </c>
      <c r="F58" s="128">
        <v>7797850</v>
      </c>
      <c r="G58" s="128">
        <v>7117470.5599999996</v>
      </c>
      <c r="H58" s="126">
        <f>G58/F58</f>
        <v>0.91274781638528568</v>
      </c>
      <c r="I58" s="128">
        <v>12012000</v>
      </c>
      <c r="J58" s="128">
        <v>0</v>
      </c>
      <c r="K58" s="126">
        <f>J58/I58</f>
        <v>0</v>
      </c>
      <c r="L58" s="128"/>
      <c r="M58" s="135"/>
      <c r="N58" s="128">
        <f>G58+J58</f>
        <v>7117470.5599999996</v>
      </c>
      <c r="P58" s="17"/>
    </row>
    <row r="59" spans="1:16" ht="93" thickTop="1" thickBot="1" x14ac:dyDescent="0.25">
      <c r="A59" s="58" t="s">
        <v>149</v>
      </c>
      <c r="B59" s="75" t="s">
        <v>150</v>
      </c>
      <c r="C59" s="75" t="s">
        <v>151</v>
      </c>
      <c r="D59" s="75" t="s">
        <v>152</v>
      </c>
      <c r="E59" s="128">
        <v>9660600</v>
      </c>
      <c r="F59" s="128">
        <v>2206220</v>
      </c>
      <c r="G59" s="128">
        <v>1666279.94</v>
      </c>
      <c r="H59" s="126">
        <f t="shared" ref="H59:H61" si="22">G59/F59</f>
        <v>0.75526463362674623</v>
      </c>
      <c r="I59" s="128"/>
      <c r="J59" s="128"/>
      <c r="K59" s="126"/>
      <c r="L59" s="128"/>
      <c r="M59" s="135"/>
      <c r="N59" s="128">
        <f t="shared" ref="N59:N115" si="23">G59+J59</f>
        <v>1666279.94</v>
      </c>
      <c r="P59" s="24"/>
    </row>
    <row r="60" spans="1:16" ht="93" thickTop="1" thickBot="1" x14ac:dyDescent="0.25">
      <c r="A60" s="75" t="s">
        <v>153</v>
      </c>
      <c r="B60" s="75" t="s">
        <v>154</v>
      </c>
      <c r="C60" s="75" t="s">
        <v>155</v>
      </c>
      <c r="D60" s="75" t="s">
        <v>156</v>
      </c>
      <c r="E60" s="128">
        <v>8081900</v>
      </c>
      <c r="F60" s="128">
        <v>1886000</v>
      </c>
      <c r="G60" s="128">
        <v>1836009.04</v>
      </c>
      <c r="H60" s="126">
        <f t="shared" si="22"/>
        <v>0.97349365853658543</v>
      </c>
      <c r="I60" s="128">
        <v>6429711</v>
      </c>
      <c r="J60" s="128">
        <v>678981.01</v>
      </c>
      <c r="K60" s="126">
        <f>J60/I60</f>
        <v>0.10560054876494449</v>
      </c>
      <c r="L60" s="128"/>
      <c r="M60" s="135"/>
      <c r="N60" s="128">
        <f t="shared" si="23"/>
        <v>2514990.0499999998</v>
      </c>
      <c r="P60" s="24"/>
    </row>
    <row r="61" spans="1:16" ht="123" thickTop="1" thickBot="1" x14ac:dyDescent="0.25">
      <c r="A61" s="58" t="s">
        <v>157</v>
      </c>
      <c r="B61" s="75" t="s">
        <v>158</v>
      </c>
      <c r="C61" s="75" t="s">
        <v>159</v>
      </c>
      <c r="D61" s="75" t="s">
        <v>160</v>
      </c>
      <c r="E61" s="128">
        <v>25012900</v>
      </c>
      <c r="F61" s="128">
        <v>5052800</v>
      </c>
      <c r="G61" s="128">
        <v>4873948.38</v>
      </c>
      <c r="H61" s="126">
        <f t="shared" si="22"/>
        <v>0.96460346342621905</v>
      </c>
      <c r="I61" s="128"/>
      <c r="J61" s="128"/>
      <c r="K61" s="126">
        <v>0</v>
      </c>
      <c r="L61" s="128"/>
      <c r="M61" s="135"/>
      <c r="N61" s="128">
        <f t="shared" si="23"/>
        <v>4873948.38</v>
      </c>
      <c r="O61" s="50" t="s">
        <v>433</v>
      </c>
      <c r="P61" s="24"/>
    </row>
    <row r="62" spans="1:16" ht="93" hidden="1" thickTop="1" thickBot="1" x14ac:dyDescent="0.25">
      <c r="A62" s="58" t="s">
        <v>161</v>
      </c>
      <c r="B62" s="98" t="s">
        <v>162</v>
      </c>
      <c r="C62" s="98" t="s">
        <v>163</v>
      </c>
      <c r="D62" s="98" t="s">
        <v>164</v>
      </c>
      <c r="E62" s="99"/>
      <c r="F62" s="99"/>
      <c r="G62" s="99"/>
      <c r="H62" s="100"/>
      <c r="I62" s="136"/>
      <c r="J62" s="136"/>
      <c r="K62" s="137" t="e">
        <f>J62/I62</f>
        <v>#DIV/0!</v>
      </c>
      <c r="L62" s="136"/>
      <c r="M62" s="170"/>
      <c r="N62" s="136">
        <f t="shared" si="23"/>
        <v>0</v>
      </c>
      <c r="P62" s="24"/>
    </row>
    <row r="63" spans="1:16" ht="123" thickTop="1" thickBot="1" x14ac:dyDescent="0.25">
      <c r="A63" s="58" t="s">
        <v>165</v>
      </c>
      <c r="B63" s="76" t="s">
        <v>166</v>
      </c>
      <c r="C63" s="76"/>
      <c r="D63" s="76" t="s">
        <v>167</v>
      </c>
      <c r="E63" s="129">
        <f>E64</f>
        <v>19127800</v>
      </c>
      <c r="F63" s="129">
        <f>F64</f>
        <v>5499730</v>
      </c>
      <c r="G63" s="129">
        <f t="shared" ref="G63" si="24">G64</f>
        <v>4815784.9400000004</v>
      </c>
      <c r="H63" s="130">
        <f t="shared" ref="H63:H64" si="25">G63/F63</f>
        <v>0.87564024779398264</v>
      </c>
      <c r="I63" s="129">
        <f>I64</f>
        <v>0</v>
      </c>
      <c r="J63" s="129">
        <f t="shared" ref="J63" si="26">J64</f>
        <v>0</v>
      </c>
      <c r="K63" s="130">
        <v>0</v>
      </c>
      <c r="L63" s="129"/>
      <c r="M63" s="129"/>
      <c r="N63" s="129">
        <f t="shared" si="23"/>
        <v>4815784.9400000004</v>
      </c>
      <c r="O63" s="50" t="s">
        <v>433</v>
      </c>
      <c r="P63" s="24"/>
    </row>
    <row r="64" spans="1:16" ht="138.75" thickTop="1" thickBot="1" x14ac:dyDescent="0.25">
      <c r="A64" s="58" t="s">
        <v>168</v>
      </c>
      <c r="B64" s="75" t="s">
        <v>169</v>
      </c>
      <c r="C64" s="75" t="s">
        <v>170</v>
      </c>
      <c r="D64" s="75" t="s">
        <v>171</v>
      </c>
      <c r="E64" s="128">
        <v>19127800</v>
      </c>
      <c r="F64" s="128">
        <v>5499730</v>
      </c>
      <c r="G64" s="128">
        <v>4815784.9400000004</v>
      </c>
      <c r="H64" s="126">
        <f t="shared" si="25"/>
        <v>0.87564024779398264</v>
      </c>
      <c r="I64" s="128"/>
      <c r="J64" s="128"/>
      <c r="K64" s="126"/>
      <c r="L64" s="128"/>
      <c r="M64" s="135"/>
      <c r="N64" s="128">
        <f t="shared" si="23"/>
        <v>4815784.9400000004</v>
      </c>
      <c r="P64" s="24"/>
    </row>
    <row r="65" spans="1:18" ht="138.75" hidden="1" customHeight="1" thickTop="1" thickBot="1" x14ac:dyDescent="0.25">
      <c r="A65" s="59" t="s">
        <v>172</v>
      </c>
      <c r="B65" s="105" t="s">
        <v>173</v>
      </c>
      <c r="C65" s="105"/>
      <c r="D65" s="105" t="s">
        <v>174</v>
      </c>
      <c r="E65" s="106">
        <f t="shared" ref="E65:G65" si="27">E66</f>
        <v>0</v>
      </c>
      <c r="F65" s="106">
        <f t="shared" si="27"/>
        <v>0</v>
      </c>
      <c r="G65" s="106">
        <f t="shared" si="27"/>
        <v>0</v>
      </c>
      <c r="H65" s="107"/>
      <c r="I65" s="106"/>
      <c r="J65" s="106"/>
      <c r="K65" s="107"/>
      <c r="L65" s="106"/>
      <c r="M65" s="106"/>
      <c r="N65" s="106">
        <f t="shared" si="23"/>
        <v>0</v>
      </c>
      <c r="O65" s="50"/>
      <c r="P65" s="24"/>
    </row>
    <row r="66" spans="1:18" ht="138.75" hidden="1" customHeight="1" thickTop="1" thickBot="1" x14ac:dyDescent="0.25">
      <c r="A66" s="58" t="s">
        <v>175</v>
      </c>
      <c r="B66" s="98" t="s">
        <v>176</v>
      </c>
      <c r="C66" s="98" t="s">
        <v>177</v>
      </c>
      <c r="D66" s="98" t="s">
        <v>178</v>
      </c>
      <c r="E66" s="99"/>
      <c r="F66" s="99"/>
      <c r="G66" s="99"/>
      <c r="H66" s="100"/>
      <c r="I66" s="99"/>
      <c r="J66" s="99"/>
      <c r="K66" s="99"/>
      <c r="L66" s="99"/>
      <c r="M66" s="101"/>
      <c r="N66" s="99">
        <f t="shared" si="23"/>
        <v>0</v>
      </c>
      <c r="P66" s="24"/>
    </row>
    <row r="67" spans="1:18" ht="93" thickTop="1" thickBot="1" x14ac:dyDescent="0.25">
      <c r="A67" s="58" t="s">
        <v>179</v>
      </c>
      <c r="B67" s="76" t="s">
        <v>180</v>
      </c>
      <c r="C67" s="76"/>
      <c r="D67" s="76" t="s">
        <v>181</v>
      </c>
      <c r="E67" s="129">
        <f>SUM(E68:E69)</f>
        <v>9849255</v>
      </c>
      <c r="F67" s="129">
        <f>SUM(F68:F69)</f>
        <v>2434370</v>
      </c>
      <c r="G67" s="129">
        <f t="shared" ref="G67:J67" si="28">SUM(G68:G69)</f>
        <v>1656882.23</v>
      </c>
      <c r="H67" s="130">
        <f t="shared" ref="H67:H69" si="29">G67/F67</f>
        <v>0.68062054248121695</v>
      </c>
      <c r="I67" s="129">
        <f t="shared" si="28"/>
        <v>15180.06</v>
      </c>
      <c r="J67" s="129">
        <f t="shared" si="28"/>
        <v>846</v>
      </c>
      <c r="K67" s="130">
        <f>J67/I67</f>
        <v>5.5731005015790452E-2</v>
      </c>
      <c r="L67" s="129"/>
      <c r="M67" s="129"/>
      <c r="N67" s="129">
        <f t="shared" si="23"/>
        <v>1657728.23</v>
      </c>
      <c r="O67" s="50"/>
      <c r="P67" s="24"/>
    </row>
    <row r="68" spans="1:18" s="18" customFormat="1" ht="93" thickTop="1" thickBot="1" x14ac:dyDescent="0.25">
      <c r="A68" s="58" t="s">
        <v>182</v>
      </c>
      <c r="B68" s="75" t="s">
        <v>183</v>
      </c>
      <c r="C68" s="75" t="s">
        <v>177</v>
      </c>
      <c r="D68" s="138" t="s">
        <v>184</v>
      </c>
      <c r="E68" s="128">
        <v>4423055</v>
      </c>
      <c r="F68" s="128">
        <v>1177820</v>
      </c>
      <c r="G68" s="128">
        <v>819371.23</v>
      </c>
      <c r="H68" s="126">
        <f t="shared" si="29"/>
        <v>0.69566761474588645</v>
      </c>
      <c r="I68" s="128">
        <v>15180.06</v>
      </c>
      <c r="J68" s="128">
        <v>846</v>
      </c>
      <c r="K68" s="126">
        <f>J68/I68</f>
        <v>5.5731005015790452E-2</v>
      </c>
      <c r="L68" s="128"/>
      <c r="M68" s="135"/>
      <c r="N68" s="128">
        <f t="shared" si="23"/>
        <v>820217.23</v>
      </c>
      <c r="O68" s="20"/>
      <c r="P68" s="24"/>
    </row>
    <row r="69" spans="1:18" s="18" customFormat="1" ht="93" thickTop="1" thickBot="1" x14ac:dyDescent="0.25">
      <c r="A69" s="58" t="s">
        <v>185</v>
      </c>
      <c r="B69" s="75" t="s">
        <v>186</v>
      </c>
      <c r="C69" s="75" t="s">
        <v>177</v>
      </c>
      <c r="D69" s="138" t="s">
        <v>187</v>
      </c>
      <c r="E69" s="128">
        <v>5426200</v>
      </c>
      <c r="F69" s="128">
        <v>1256550</v>
      </c>
      <c r="G69" s="128">
        <v>837511</v>
      </c>
      <c r="H69" s="126">
        <f t="shared" si="29"/>
        <v>0.66651625482471843</v>
      </c>
      <c r="I69" s="128"/>
      <c r="J69" s="128"/>
      <c r="K69" s="128"/>
      <c r="L69" s="128"/>
      <c r="M69" s="135"/>
      <c r="N69" s="128">
        <f t="shared" si="23"/>
        <v>837511</v>
      </c>
      <c r="O69" s="20"/>
      <c r="P69" s="24"/>
    </row>
    <row r="70" spans="1:18" ht="99" customHeight="1" thickTop="1" thickBot="1" x14ac:dyDescent="0.25">
      <c r="A70" s="57" t="s">
        <v>190</v>
      </c>
      <c r="B70" s="77" t="s">
        <v>139</v>
      </c>
      <c r="C70" s="77"/>
      <c r="D70" s="78" t="s">
        <v>140</v>
      </c>
      <c r="E70" s="79">
        <f>SUM(E71:E115)-E71-E80-E94-E96-E113-E91-E83-E86-E98</f>
        <v>271109938.00999999</v>
      </c>
      <c r="F70" s="79">
        <f>SUM(F71:F115)-F71-F80-F94-F96-F113-F91-F83-F86-F98</f>
        <v>79816620.109999999</v>
      </c>
      <c r="G70" s="79">
        <f>SUM(G71:G115)-G71-G80-G94-G96-G113-G91-G83-G86-G98</f>
        <v>59967985.600000009</v>
      </c>
      <c r="H70" s="80">
        <f>G70/F70</f>
        <v>0.75132203690603017</v>
      </c>
      <c r="I70" s="79">
        <f>SUM(I71:I115)-I71-I80-I94-I96-I113-I91-I83-I86-I98</f>
        <v>78439333.320000008</v>
      </c>
      <c r="J70" s="79">
        <f>SUM(J71:J115)-J71-J80-J94-J96-J113-J91-J83-J86-J98</f>
        <v>19142382.120000001</v>
      </c>
      <c r="K70" s="80">
        <f>J70/I70</f>
        <v>0.24404060195038893</v>
      </c>
      <c r="L70" s="79"/>
      <c r="M70" s="79"/>
      <c r="N70" s="81">
        <f>J70+G70</f>
        <v>79110367.720000014</v>
      </c>
      <c r="O70" s="53" t="b">
        <f>N70=N72+N73+N74+N75+N76+N77+N78+N79+N81+N82+N84+N87+N88+N90+N92+N93+N95+N97+N112+N114+N115+N89+N99+N102+N106</f>
        <v>1</v>
      </c>
      <c r="P70" s="26"/>
      <c r="R70" s="25"/>
    </row>
    <row r="71" spans="1:18" ht="276" customHeight="1" thickTop="1" thickBot="1" x14ac:dyDescent="0.25">
      <c r="A71" s="59" t="s">
        <v>191</v>
      </c>
      <c r="B71" s="76" t="s">
        <v>192</v>
      </c>
      <c r="C71" s="76"/>
      <c r="D71" s="76" t="s">
        <v>193</v>
      </c>
      <c r="E71" s="129">
        <f t="shared" ref="E71:J71" si="30">SUM(E72:E76)</f>
        <v>79408000</v>
      </c>
      <c r="F71" s="129">
        <f>SUM(F72:F76)</f>
        <v>16607000</v>
      </c>
      <c r="G71" s="129">
        <f t="shared" si="30"/>
        <v>13556336.26</v>
      </c>
      <c r="H71" s="130">
        <f>G71/F71</f>
        <v>0.81630253868850489</v>
      </c>
      <c r="I71" s="129">
        <f t="shared" si="30"/>
        <v>50000</v>
      </c>
      <c r="J71" s="129">
        <f t="shared" si="30"/>
        <v>0</v>
      </c>
      <c r="K71" s="130">
        <f t="shared" ref="K71:K72" si="31">J71/I71</f>
        <v>0</v>
      </c>
      <c r="L71" s="129"/>
      <c r="M71" s="129"/>
      <c r="N71" s="129">
        <f t="shared" si="23"/>
        <v>13556336.26</v>
      </c>
      <c r="O71" s="27"/>
      <c r="P71" s="28"/>
      <c r="R71" s="29"/>
    </row>
    <row r="72" spans="1:18" s="18" customFormat="1" ht="93" thickTop="1" thickBot="1" x14ac:dyDescent="0.25">
      <c r="A72" s="58" t="s">
        <v>194</v>
      </c>
      <c r="B72" s="75" t="s">
        <v>195</v>
      </c>
      <c r="C72" s="75" t="s">
        <v>83</v>
      </c>
      <c r="D72" s="139" t="s">
        <v>196</v>
      </c>
      <c r="E72" s="128">
        <v>858000</v>
      </c>
      <c r="F72" s="128">
        <v>77000</v>
      </c>
      <c r="G72" s="128">
        <v>56335.13</v>
      </c>
      <c r="H72" s="126">
        <f>G72/F72</f>
        <v>0.73162506493506485</v>
      </c>
      <c r="I72" s="128">
        <v>50000</v>
      </c>
      <c r="J72" s="128">
        <v>0</v>
      </c>
      <c r="K72" s="126">
        <f t="shared" si="31"/>
        <v>0</v>
      </c>
      <c r="L72" s="128"/>
      <c r="M72" s="135"/>
      <c r="N72" s="128">
        <f t="shared" si="23"/>
        <v>56335.13</v>
      </c>
      <c r="O72" s="20"/>
      <c r="P72" s="26"/>
    </row>
    <row r="73" spans="1:18" s="18" customFormat="1" ht="93" thickTop="1" thickBot="1" x14ac:dyDescent="0.25">
      <c r="A73" s="58" t="s">
        <v>197</v>
      </c>
      <c r="B73" s="75" t="s">
        <v>198</v>
      </c>
      <c r="C73" s="75" t="s">
        <v>93</v>
      </c>
      <c r="D73" s="75" t="s">
        <v>199</v>
      </c>
      <c r="E73" s="128">
        <v>650000</v>
      </c>
      <c r="F73" s="128">
        <v>150000</v>
      </c>
      <c r="G73" s="128">
        <v>105143</v>
      </c>
      <c r="H73" s="126">
        <f t="shared" ref="H73:H115" si="32">G73/F73</f>
        <v>0.70095333333333332</v>
      </c>
      <c r="I73" s="128"/>
      <c r="J73" s="128"/>
      <c r="K73" s="128"/>
      <c r="L73" s="128"/>
      <c r="M73" s="135"/>
      <c r="N73" s="128">
        <f t="shared" si="23"/>
        <v>105143</v>
      </c>
      <c r="O73" s="20"/>
      <c r="P73" s="30"/>
    </row>
    <row r="74" spans="1:18" s="18" customFormat="1" ht="138.75" thickTop="1" thickBot="1" x14ac:dyDescent="0.25">
      <c r="A74" s="58" t="s">
        <v>200</v>
      </c>
      <c r="B74" s="75" t="s">
        <v>201</v>
      </c>
      <c r="C74" s="75" t="s">
        <v>93</v>
      </c>
      <c r="D74" s="75" t="s">
        <v>202</v>
      </c>
      <c r="E74" s="128">
        <v>19200000</v>
      </c>
      <c r="F74" s="128">
        <v>3200000</v>
      </c>
      <c r="G74" s="128">
        <v>3199999.89</v>
      </c>
      <c r="H74" s="126">
        <f t="shared" si="32"/>
        <v>0.99999996562500004</v>
      </c>
      <c r="I74" s="128"/>
      <c r="J74" s="128"/>
      <c r="K74" s="128"/>
      <c r="L74" s="128"/>
      <c r="M74" s="135"/>
      <c r="N74" s="128">
        <f t="shared" si="23"/>
        <v>3199999.89</v>
      </c>
      <c r="O74" s="20"/>
      <c r="P74" s="30"/>
    </row>
    <row r="75" spans="1:18" s="18" customFormat="1" ht="138.75" thickTop="1" thickBot="1" x14ac:dyDescent="0.25">
      <c r="A75" s="58" t="s">
        <v>203</v>
      </c>
      <c r="B75" s="75" t="s">
        <v>204</v>
      </c>
      <c r="C75" s="75" t="s">
        <v>93</v>
      </c>
      <c r="D75" s="75" t="s">
        <v>205</v>
      </c>
      <c r="E75" s="128">
        <v>700000</v>
      </c>
      <c r="F75" s="128">
        <v>180000</v>
      </c>
      <c r="G75" s="128">
        <v>166668.24</v>
      </c>
      <c r="H75" s="126">
        <f t="shared" si="32"/>
        <v>0.92593466666666657</v>
      </c>
      <c r="I75" s="128"/>
      <c r="J75" s="128"/>
      <c r="K75" s="128"/>
      <c r="L75" s="128"/>
      <c r="M75" s="135"/>
      <c r="N75" s="128">
        <f t="shared" si="23"/>
        <v>166668.24</v>
      </c>
      <c r="O75" s="50"/>
      <c r="P75" s="30"/>
    </row>
    <row r="76" spans="1:18" s="18" customFormat="1" ht="138.75" thickTop="1" thickBot="1" x14ac:dyDescent="0.25">
      <c r="A76" s="58" t="s">
        <v>206</v>
      </c>
      <c r="B76" s="75" t="s">
        <v>207</v>
      </c>
      <c r="C76" s="75" t="s">
        <v>93</v>
      </c>
      <c r="D76" s="75" t="s">
        <v>208</v>
      </c>
      <c r="E76" s="128">
        <v>58000000</v>
      </c>
      <c r="F76" s="128">
        <v>13000000</v>
      </c>
      <c r="G76" s="128">
        <v>10028190</v>
      </c>
      <c r="H76" s="126">
        <f t="shared" si="32"/>
        <v>0.77139923076923078</v>
      </c>
      <c r="I76" s="128"/>
      <c r="J76" s="128"/>
      <c r="K76" s="128"/>
      <c r="L76" s="128"/>
      <c r="M76" s="135"/>
      <c r="N76" s="128">
        <f t="shared" si="23"/>
        <v>10028190</v>
      </c>
      <c r="O76" s="20"/>
      <c r="P76" s="30"/>
    </row>
    <row r="77" spans="1:18" s="18" customFormat="1" ht="138.75" thickTop="1" thickBot="1" x14ac:dyDescent="0.25">
      <c r="A77" s="58" t="s">
        <v>209</v>
      </c>
      <c r="B77" s="75" t="s">
        <v>210</v>
      </c>
      <c r="C77" s="75" t="s">
        <v>93</v>
      </c>
      <c r="D77" s="75" t="s">
        <v>211</v>
      </c>
      <c r="E77" s="128">
        <v>362971</v>
      </c>
      <c r="F77" s="128">
        <v>90742</v>
      </c>
      <c r="G77" s="128">
        <v>70532</v>
      </c>
      <c r="H77" s="126">
        <f t="shared" si="32"/>
        <v>0.7772806418196645</v>
      </c>
      <c r="I77" s="128"/>
      <c r="J77" s="128"/>
      <c r="K77" s="128"/>
      <c r="L77" s="128"/>
      <c r="M77" s="135"/>
      <c r="N77" s="128">
        <f t="shared" si="23"/>
        <v>70532</v>
      </c>
      <c r="O77" s="20"/>
      <c r="P77" s="30"/>
    </row>
    <row r="78" spans="1:18" s="18" customFormat="1" ht="165" customHeight="1" thickTop="1" thickBot="1" x14ac:dyDescent="0.25">
      <c r="A78" s="58"/>
      <c r="B78" s="75" t="s">
        <v>212</v>
      </c>
      <c r="C78" s="75" t="s">
        <v>93</v>
      </c>
      <c r="D78" s="75" t="s">
        <v>213</v>
      </c>
      <c r="E78" s="128">
        <v>1500000</v>
      </c>
      <c r="F78" s="128">
        <v>100000</v>
      </c>
      <c r="G78" s="128">
        <v>0</v>
      </c>
      <c r="H78" s="126">
        <f t="shared" si="32"/>
        <v>0</v>
      </c>
      <c r="I78" s="128"/>
      <c r="J78" s="128"/>
      <c r="K78" s="128"/>
      <c r="L78" s="128"/>
      <c r="M78" s="135"/>
      <c r="N78" s="128">
        <f>G78+J78</f>
        <v>0</v>
      </c>
      <c r="O78" s="50"/>
      <c r="P78" s="30"/>
    </row>
    <row r="79" spans="1:18" ht="93" thickTop="1" thickBot="1" x14ac:dyDescent="0.25">
      <c r="A79" s="58" t="s">
        <v>214</v>
      </c>
      <c r="B79" s="75" t="s">
        <v>215</v>
      </c>
      <c r="C79" s="75" t="s">
        <v>83</v>
      </c>
      <c r="D79" s="75" t="s">
        <v>216</v>
      </c>
      <c r="E79" s="128">
        <v>470456</v>
      </c>
      <c r="F79" s="128">
        <v>117615</v>
      </c>
      <c r="G79" s="128">
        <v>68462</v>
      </c>
      <c r="H79" s="126">
        <f t="shared" si="32"/>
        <v>0.58208561833099515</v>
      </c>
      <c r="I79" s="128"/>
      <c r="J79" s="128"/>
      <c r="K79" s="128"/>
      <c r="L79" s="128"/>
      <c r="M79" s="135"/>
      <c r="N79" s="128">
        <f t="shared" si="23"/>
        <v>68462</v>
      </c>
      <c r="P79" s="30"/>
    </row>
    <row r="80" spans="1:18" s="18" customFormat="1" ht="184.5" thickTop="1" thickBot="1" x14ac:dyDescent="0.25">
      <c r="A80" s="76" t="s">
        <v>217</v>
      </c>
      <c r="B80" s="76" t="s">
        <v>218</v>
      </c>
      <c r="C80" s="76"/>
      <c r="D80" s="76" t="s">
        <v>219</v>
      </c>
      <c r="E80" s="129">
        <f t="shared" ref="E80:J80" si="33">SUM(E81:E82)</f>
        <v>64811191.219999999</v>
      </c>
      <c r="F80" s="129">
        <f t="shared" ref="F80" si="34">SUM(F81:F82)</f>
        <v>13032294.109999999</v>
      </c>
      <c r="G80" s="129">
        <f t="shared" si="33"/>
        <v>12196792.720000001</v>
      </c>
      <c r="H80" s="130">
        <f t="shared" si="32"/>
        <v>0.93588992214663891</v>
      </c>
      <c r="I80" s="129">
        <f t="shared" si="33"/>
        <v>1389785.5</v>
      </c>
      <c r="J80" s="129">
        <f t="shared" si="33"/>
        <v>612379.9</v>
      </c>
      <c r="K80" s="130">
        <f t="shared" ref="K80:K85" si="35">J80/I80</f>
        <v>0.44062907549402408</v>
      </c>
      <c r="L80" s="129"/>
      <c r="M80" s="129"/>
      <c r="N80" s="129">
        <f t="shared" si="23"/>
        <v>12809172.620000001</v>
      </c>
      <c r="O80" s="20"/>
      <c r="P80" s="31"/>
    </row>
    <row r="81" spans="1:16" ht="184.5" thickTop="1" thickBot="1" x14ac:dyDescent="0.25">
      <c r="A81" s="75" t="s">
        <v>220</v>
      </c>
      <c r="B81" s="75" t="s">
        <v>221</v>
      </c>
      <c r="C81" s="75" t="s">
        <v>72</v>
      </c>
      <c r="D81" s="75" t="s">
        <v>222</v>
      </c>
      <c r="E81" s="128">
        <v>53500456.219999999</v>
      </c>
      <c r="F81" s="128">
        <v>10384717.109999999</v>
      </c>
      <c r="G81" s="128">
        <v>9909377.0800000001</v>
      </c>
      <c r="H81" s="126">
        <f t="shared" si="32"/>
        <v>0.95422696401211848</v>
      </c>
      <c r="I81" s="128">
        <v>1372585.5</v>
      </c>
      <c r="J81" s="128">
        <v>595179.9</v>
      </c>
      <c r="K81" s="126">
        <f t="shared" si="35"/>
        <v>0.4336195450119501</v>
      </c>
      <c r="L81" s="128"/>
      <c r="M81" s="135"/>
      <c r="N81" s="128">
        <f t="shared" si="23"/>
        <v>10504556.98</v>
      </c>
      <c r="P81" s="26"/>
    </row>
    <row r="82" spans="1:16" ht="93" thickTop="1" thickBot="1" x14ac:dyDescent="0.25">
      <c r="A82" s="58" t="s">
        <v>223</v>
      </c>
      <c r="B82" s="75" t="s">
        <v>224</v>
      </c>
      <c r="C82" s="75" t="s">
        <v>68</v>
      </c>
      <c r="D82" s="75" t="s">
        <v>225</v>
      </c>
      <c r="E82" s="128">
        <v>11310735</v>
      </c>
      <c r="F82" s="128">
        <v>2647577</v>
      </c>
      <c r="G82" s="128">
        <v>2287415.64</v>
      </c>
      <c r="H82" s="126">
        <f t="shared" si="32"/>
        <v>0.8639656712533762</v>
      </c>
      <c r="I82" s="128">
        <v>17200</v>
      </c>
      <c r="J82" s="128">
        <v>17200</v>
      </c>
      <c r="K82" s="126">
        <f t="shared" si="35"/>
        <v>1</v>
      </c>
      <c r="L82" s="128"/>
      <c r="M82" s="135"/>
      <c r="N82" s="128">
        <f t="shared" si="23"/>
        <v>2304615.64</v>
      </c>
      <c r="P82" s="26"/>
    </row>
    <row r="83" spans="1:16" ht="93" thickTop="1" thickBot="1" x14ac:dyDescent="0.25">
      <c r="A83" s="58"/>
      <c r="B83" s="76" t="s">
        <v>298</v>
      </c>
      <c r="C83" s="76"/>
      <c r="D83" s="76" t="s">
        <v>299</v>
      </c>
      <c r="E83" s="140">
        <f>E84+E85</f>
        <v>11137235.51</v>
      </c>
      <c r="F83" s="140">
        <f>F84+F85</f>
        <v>2512540</v>
      </c>
      <c r="G83" s="140">
        <f>G84+G85</f>
        <v>2244300.9300000002</v>
      </c>
      <c r="H83" s="130">
        <f t="shared" si="32"/>
        <v>0.89323988075811733</v>
      </c>
      <c r="I83" s="140">
        <f>I84+I85</f>
        <v>35504.57</v>
      </c>
      <c r="J83" s="140">
        <f>J84+J85</f>
        <v>14892.71</v>
      </c>
      <c r="K83" s="130">
        <f t="shared" si="35"/>
        <v>0.41945895979024672</v>
      </c>
      <c r="L83" s="140"/>
      <c r="M83" s="140"/>
      <c r="N83" s="129">
        <f>G83+J83</f>
        <v>2259193.64</v>
      </c>
      <c r="O83" s="50"/>
      <c r="P83" s="26"/>
    </row>
    <row r="84" spans="1:16" ht="93" thickTop="1" thickBot="1" x14ac:dyDescent="0.25">
      <c r="A84" s="58"/>
      <c r="B84" s="75" t="s">
        <v>300</v>
      </c>
      <c r="C84" s="75" t="s">
        <v>141</v>
      </c>
      <c r="D84" s="75" t="s">
        <v>301</v>
      </c>
      <c r="E84" s="141">
        <v>11137235.51</v>
      </c>
      <c r="F84" s="141">
        <v>2512540</v>
      </c>
      <c r="G84" s="141">
        <v>2244300.9300000002</v>
      </c>
      <c r="H84" s="126">
        <f t="shared" si="32"/>
        <v>0.89323988075811733</v>
      </c>
      <c r="I84" s="141">
        <v>35504.57</v>
      </c>
      <c r="J84" s="171">
        <v>14892.71</v>
      </c>
      <c r="K84" s="126">
        <f t="shared" si="35"/>
        <v>0.41945895979024672</v>
      </c>
      <c r="L84" s="171"/>
      <c r="M84" s="135"/>
      <c r="N84" s="128">
        <f t="shared" si="23"/>
        <v>2259193.64</v>
      </c>
      <c r="P84" s="26"/>
    </row>
    <row r="85" spans="1:16" ht="276" hidden="1" customHeight="1" thickTop="1" thickBot="1" x14ac:dyDescent="0.25">
      <c r="A85" s="58"/>
      <c r="B85" s="98" t="s">
        <v>463</v>
      </c>
      <c r="C85" s="98" t="s">
        <v>141</v>
      </c>
      <c r="D85" s="98" t="s">
        <v>464</v>
      </c>
      <c r="E85" s="112"/>
      <c r="F85" s="112"/>
      <c r="G85" s="112"/>
      <c r="H85" s="91" t="e">
        <f t="shared" si="32"/>
        <v>#DIV/0!</v>
      </c>
      <c r="I85" s="112"/>
      <c r="J85" s="113"/>
      <c r="K85" s="100" t="e">
        <f t="shared" si="35"/>
        <v>#DIV/0!</v>
      </c>
      <c r="L85" s="113"/>
      <c r="M85" s="101"/>
      <c r="N85" s="99">
        <f t="shared" si="23"/>
        <v>0</v>
      </c>
      <c r="P85" s="26"/>
    </row>
    <row r="86" spans="1:16" ht="93" thickTop="1" thickBot="1" x14ac:dyDescent="0.25">
      <c r="A86" s="75"/>
      <c r="B86" s="76" t="s">
        <v>302</v>
      </c>
      <c r="C86" s="76"/>
      <c r="D86" s="76" t="s">
        <v>303</v>
      </c>
      <c r="E86" s="142">
        <f t="shared" ref="E86:G86" si="36">SUM(E87:E88)</f>
        <v>13133719</v>
      </c>
      <c r="F86" s="142">
        <f t="shared" ref="F86" si="37">SUM(F87:F88)</f>
        <v>3766453</v>
      </c>
      <c r="G86" s="142">
        <f t="shared" si="36"/>
        <v>2958291.84</v>
      </c>
      <c r="H86" s="130">
        <f t="shared" si="32"/>
        <v>0.78543176829765293</v>
      </c>
      <c r="I86" s="142">
        <f t="shared" ref="I86:J86" si="38">SUM(I87:I88)</f>
        <v>841268.89</v>
      </c>
      <c r="J86" s="142">
        <f t="shared" si="38"/>
        <v>111956.68</v>
      </c>
      <c r="K86" s="130">
        <f t="shared" ref="K86:K88" si="39">J86/I86</f>
        <v>0.1330807323684583</v>
      </c>
      <c r="L86" s="142"/>
      <c r="M86" s="142"/>
      <c r="N86" s="129">
        <f t="shared" si="23"/>
        <v>3070248.52</v>
      </c>
      <c r="P86" s="26"/>
    </row>
    <row r="87" spans="1:16" ht="93" thickTop="1" thickBot="1" x14ac:dyDescent="0.25">
      <c r="A87" s="75"/>
      <c r="B87" s="75" t="s">
        <v>304</v>
      </c>
      <c r="C87" s="75" t="s">
        <v>141</v>
      </c>
      <c r="D87" s="75" t="s">
        <v>305</v>
      </c>
      <c r="E87" s="141">
        <v>5976842</v>
      </c>
      <c r="F87" s="141">
        <v>1773030</v>
      </c>
      <c r="G87" s="141">
        <v>1359695.37</v>
      </c>
      <c r="H87" s="126">
        <f t="shared" si="32"/>
        <v>0.76687668567367728</v>
      </c>
      <c r="I87" s="141">
        <v>821200</v>
      </c>
      <c r="J87" s="171">
        <v>111956.68</v>
      </c>
      <c r="K87" s="126">
        <f t="shared" si="39"/>
        <v>0.13633302484169507</v>
      </c>
      <c r="L87" s="171"/>
      <c r="M87" s="135"/>
      <c r="N87" s="128">
        <f t="shared" si="23"/>
        <v>1471652.05</v>
      </c>
      <c r="P87" s="26"/>
    </row>
    <row r="88" spans="1:16" ht="48" thickTop="1" thickBot="1" x14ac:dyDescent="0.25">
      <c r="A88" s="75"/>
      <c r="B88" s="75" t="s">
        <v>306</v>
      </c>
      <c r="C88" s="75" t="s">
        <v>141</v>
      </c>
      <c r="D88" s="75" t="s">
        <v>307</v>
      </c>
      <c r="E88" s="141">
        <v>7156877</v>
      </c>
      <c r="F88" s="141">
        <v>1993423</v>
      </c>
      <c r="G88" s="141">
        <v>1598596.47</v>
      </c>
      <c r="H88" s="126">
        <f t="shared" si="32"/>
        <v>0.80193539956145787</v>
      </c>
      <c r="I88" s="141">
        <v>20068.89</v>
      </c>
      <c r="J88" s="171">
        <v>0</v>
      </c>
      <c r="K88" s="126">
        <f t="shared" si="39"/>
        <v>0</v>
      </c>
      <c r="L88" s="171"/>
      <c r="M88" s="135"/>
      <c r="N88" s="128">
        <f t="shared" si="23"/>
        <v>1598596.47</v>
      </c>
      <c r="P88" s="26"/>
    </row>
    <row r="89" spans="1:16" ht="230.25" thickTop="1" thickBot="1" x14ac:dyDescent="0.25">
      <c r="A89" s="75"/>
      <c r="B89" s="75" t="s">
        <v>540</v>
      </c>
      <c r="C89" s="75" t="s">
        <v>141</v>
      </c>
      <c r="D89" s="75" t="s">
        <v>541</v>
      </c>
      <c r="E89" s="141">
        <v>715000</v>
      </c>
      <c r="F89" s="141">
        <v>0</v>
      </c>
      <c r="G89" s="141">
        <v>0</v>
      </c>
      <c r="H89" s="126">
        <v>0</v>
      </c>
      <c r="I89" s="141"/>
      <c r="J89" s="171"/>
      <c r="K89" s="126"/>
      <c r="L89" s="171"/>
      <c r="M89" s="135"/>
      <c r="N89" s="128">
        <f t="shared" ref="N89" si="40">G89+J89</f>
        <v>0</v>
      </c>
      <c r="O89" s="50" t="s">
        <v>433</v>
      </c>
      <c r="P89" s="26"/>
    </row>
    <row r="90" spans="1:16" ht="276" thickTop="1" thickBot="1" x14ac:dyDescent="0.25">
      <c r="A90" s="58" t="s">
        <v>226</v>
      </c>
      <c r="B90" s="75" t="s">
        <v>227</v>
      </c>
      <c r="C90" s="75" t="s">
        <v>68</v>
      </c>
      <c r="D90" s="75" t="s">
        <v>228</v>
      </c>
      <c r="E90" s="128">
        <v>5126500</v>
      </c>
      <c r="F90" s="128">
        <v>1282500</v>
      </c>
      <c r="G90" s="128">
        <v>843024.58</v>
      </c>
      <c r="H90" s="126">
        <f t="shared" si="32"/>
        <v>0.65732910721247562</v>
      </c>
      <c r="I90" s="152"/>
      <c r="J90" s="128"/>
      <c r="K90" s="128"/>
      <c r="L90" s="128"/>
      <c r="M90" s="135"/>
      <c r="N90" s="128">
        <f t="shared" si="23"/>
        <v>843024.58</v>
      </c>
      <c r="P90" s="30"/>
    </row>
    <row r="91" spans="1:16" ht="93" thickTop="1" thickBot="1" x14ac:dyDescent="0.25">
      <c r="A91" s="76" t="s">
        <v>229</v>
      </c>
      <c r="B91" s="76" t="s">
        <v>230</v>
      </c>
      <c r="C91" s="76"/>
      <c r="D91" s="76" t="s">
        <v>231</v>
      </c>
      <c r="E91" s="129">
        <f>E92</f>
        <v>184607</v>
      </c>
      <c r="F91" s="129">
        <f>F92</f>
        <v>92304</v>
      </c>
      <c r="G91" s="129">
        <f t="shared" ref="G91" si="41">G92</f>
        <v>75799.199999999997</v>
      </c>
      <c r="H91" s="130">
        <f t="shared" si="32"/>
        <v>0.82119084763390537</v>
      </c>
      <c r="I91" s="129"/>
      <c r="J91" s="129"/>
      <c r="K91" s="130"/>
      <c r="L91" s="129"/>
      <c r="M91" s="129"/>
      <c r="N91" s="129">
        <f t="shared" si="23"/>
        <v>75799.199999999997</v>
      </c>
      <c r="O91" s="50"/>
      <c r="P91" s="30"/>
    </row>
    <row r="92" spans="1:16" ht="184.5" thickTop="1" thickBot="1" x14ac:dyDescent="0.25">
      <c r="A92" s="75" t="s">
        <v>232</v>
      </c>
      <c r="B92" s="75" t="s">
        <v>233</v>
      </c>
      <c r="C92" s="75" t="s">
        <v>68</v>
      </c>
      <c r="D92" s="75" t="s">
        <v>234</v>
      </c>
      <c r="E92" s="128">
        <v>184607</v>
      </c>
      <c r="F92" s="128">
        <v>92304</v>
      </c>
      <c r="G92" s="128">
        <v>75799.199999999997</v>
      </c>
      <c r="H92" s="126">
        <f t="shared" si="32"/>
        <v>0.82119084763390537</v>
      </c>
      <c r="I92" s="152"/>
      <c r="J92" s="128"/>
      <c r="K92" s="128"/>
      <c r="L92" s="128"/>
      <c r="M92" s="135"/>
      <c r="N92" s="128">
        <f t="shared" si="23"/>
        <v>75799.199999999997</v>
      </c>
      <c r="P92" s="30"/>
    </row>
    <row r="93" spans="1:16" ht="230.25" thickTop="1" thickBot="1" x14ac:dyDescent="0.25">
      <c r="A93" s="58" t="s">
        <v>235</v>
      </c>
      <c r="B93" s="75" t="s">
        <v>236</v>
      </c>
      <c r="C93" s="75" t="s">
        <v>88</v>
      </c>
      <c r="D93" s="75" t="s">
        <v>237</v>
      </c>
      <c r="E93" s="128">
        <v>2687933.28</v>
      </c>
      <c r="F93" s="128">
        <v>700000</v>
      </c>
      <c r="G93" s="128">
        <v>699960.91</v>
      </c>
      <c r="H93" s="126">
        <f t="shared" si="32"/>
        <v>0.99994415714285723</v>
      </c>
      <c r="I93" s="152"/>
      <c r="J93" s="128"/>
      <c r="K93" s="128"/>
      <c r="L93" s="128"/>
      <c r="M93" s="135"/>
      <c r="N93" s="128">
        <f t="shared" si="23"/>
        <v>699960.91</v>
      </c>
      <c r="P93" s="30"/>
    </row>
    <row r="94" spans="1:16" s="18" customFormat="1" ht="93" thickTop="1" thickBot="1" x14ac:dyDescent="0.25">
      <c r="A94" s="76" t="s">
        <v>238</v>
      </c>
      <c r="B94" s="76" t="s">
        <v>239</v>
      </c>
      <c r="C94" s="76"/>
      <c r="D94" s="76" t="s">
        <v>240</v>
      </c>
      <c r="E94" s="129">
        <f t="shared" ref="E94:G94" si="42">E95</f>
        <v>1000000</v>
      </c>
      <c r="F94" s="129">
        <f t="shared" si="42"/>
        <v>625000</v>
      </c>
      <c r="G94" s="129">
        <f t="shared" si="42"/>
        <v>0</v>
      </c>
      <c r="H94" s="126">
        <f t="shared" si="32"/>
        <v>0</v>
      </c>
      <c r="I94" s="129"/>
      <c r="J94" s="129"/>
      <c r="K94" s="130"/>
      <c r="L94" s="129"/>
      <c r="M94" s="129"/>
      <c r="N94" s="129">
        <f>G94+J94</f>
        <v>0</v>
      </c>
      <c r="O94" s="50"/>
      <c r="P94" s="31"/>
    </row>
    <row r="95" spans="1:16" ht="138.75" thickTop="1" thickBot="1" x14ac:dyDescent="0.25">
      <c r="A95" s="75" t="s">
        <v>241</v>
      </c>
      <c r="B95" s="75" t="s">
        <v>242</v>
      </c>
      <c r="C95" s="75" t="s">
        <v>83</v>
      </c>
      <c r="D95" s="75" t="s">
        <v>243</v>
      </c>
      <c r="E95" s="128">
        <v>1000000</v>
      </c>
      <c r="F95" s="128">
        <v>625000</v>
      </c>
      <c r="G95" s="128">
        <v>0</v>
      </c>
      <c r="H95" s="126">
        <f t="shared" si="32"/>
        <v>0</v>
      </c>
      <c r="I95" s="128"/>
      <c r="J95" s="128"/>
      <c r="K95" s="128"/>
      <c r="L95" s="128"/>
      <c r="M95" s="135"/>
      <c r="N95" s="128">
        <f t="shared" si="23"/>
        <v>0</v>
      </c>
      <c r="P95" s="30"/>
    </row>
    <row r="96" spans="1:16" s="18" customFormat="1" ht="93" thickTop="1" thickBot="1" x14ac:dyDescent="0.25">
      <c r="A96" s="76" t="s">
        <v>244</v>
      </c>
      <c r="B96" s="76" t="s">
        <v>245</v>
      </c>
      <c r="C96" s="76"/>
      <c r="D96" s="76" t="s">
        <v>246</v>
      </c>
      <c r="E96" s="129">
        <f t="shared" ref="E96:J96" si="43">E97</f>
        <v>117000</v>
      </c>
      <c r="F96" s="129">
        <f t="shared" si="43"/>
        <v>29250</v>
      </c>
      <c r="G96" s="129">
        <f t="shared" si="43"/>
        <v>18692.599999999999</v>
      </c>
      <c r="H96" s="130">
        <f t="shared" si="32"/>
        <v>0.63906324786324786</v>
      </c>
      <c r="I96" s="129">
        <f t="shared" si="43"/>
        <v>43441.82</v>
      </c>
      <c r="J96" s="129">
        <f t="shared" si="43"/>
        <v>43441.82</v>
      </c>
      <c r="K96" s="130">
        <f t="shared" ref="K96" si="44">J96/I96</f>
        <v>1</v>
      </c>
      <c r="L96" s="129"/>
      <c r="M96" s="129"/>
      <c r="N96" s="129">
        <f>G96+J96</f>
        <v>62134.42</v>
      </c>
      <c r="O96" s="50"/>
      <c r="P96" s="31"/>
    </row>
    <row r="97" spans="1:16" ht="93" thickTop="1" thickBot="1" x14ac:dyDescent="0.25">
      <c r="A97" s="75" t="s">
        <v>247</v>
      </c>
      <c r="B97" s="75" t="s">
        <v>248</v>
      </c>
      <c r="C97" s="75" t="s">
        <v>249</v>
      </c>
      <c r="D97" s="75" t="s">
        <v>250</v>
      </c>
      <c r="E97" s="128">
        <v>117000</v>
      </c>
      <c r="F97" s="128">
        <v>29250</v>
      </c>
      <c r="G97" s="128">
        <v>18692.599999999999</v>
      </c>
      <c r="H97" s="126">
        <f t="shared" si="32"/>
        <v>0.63906324786324786</v>
      </c>
      <c r="I97" s="128">
        <v>43441.82</v>
      </c>
      <c r="J97" s="128">
        <v>43441.82</v>
      </c>
      <c r="K97" s="126">
        <f t="shared" ref="K97" si="45">J97/I97</f>
        <v>1</v>
      </c>
      <c r="L97" s="128"/>
      <c r="M97" s="135"/>
      <c r="N97" s="128">
        <f>G97+J97</f>
        <v>62134.42</v>
      </c>
      <c r="P97" s="30"/>
    </row>
    <row r="98" spans="1:16" ht="138.75" hidden="1" thickTop="1" thickBot="1" x14ac:dyDescent="0.25">
      <c r="A98" s="75"/>
      <c r="B98" s="95" t="s">
        <v>476</v>
      </c>
      <c r="C98" s="95"/>
      <c r="D98" s="95" t="s">
        <v>477</v>
      </c>
      <c r="E98" s="96">
        <f>E99+E102+E106+E109</f>
        <v>0</v>
      </c>
      <c r="F98" s="96">
        <f>F99+F102+F106+F109</f>
        <v>0</v>
      </c>
      <c r="G98" s="96">
        <f t="shared" ref="G98" si="46">G99+G102+G106+G109</f>
        <v>0</v>
      </c>
      <c r="H98" s="91">
        <v>0</v>
      </c>
      <c r="I98" s="96">
        <f>I99+I102+I106+I109</f>
        <v>0</v>
      </c>
      <c r="J98" s="96">
        <f>J99+J102+J106+J109</f>
        <v>0</v>
      </c>
      <c r="K98" s="97" t="e">
        <f>J98/I98</f>
        <v>#DIV/0!</v>
      </c>
      <c r="L98" s="93"/>
      <c r="M98" s="94"/>
      <c r="N98" s="96">
        <f>G98+J98</f>
        <v>0</v>
      </c>
      <c r="O98" s="50" t="s">
        <v>433</v>
      </c>
      <c r="P98" s="30"/>
    </row>
    <row r="99" spans="1:16" ht="276" hidden="1" thickTop="1" thickBot="1" x14ac:dyDescent="0.7">
      <c r="A99" s="75"/>
      <c r="B99" s="184" t="s">
        <v>478</v>
      </c>
      <c r="C99" s="184" t="s">
        <v>88</v>
      </c>
      <c r="D99" s="115" t="s">
        <v>479</v>
      </c>
      <c r="E99" s="187"/>
      <c r="F99" s="187"/>
      <c r="G99" s="187"/>
      <c r="H99" s="187"/>
      <c r="I99" s="187"/>
      <c r="J99" s="187"/>
      <c r="K99" s="190" t="e">
        <f>J99/I99</f>
        <v>#DIV/0!</v>
      </c>
      <c r="L99" s="93"/>
      <c r="M99" s="94"/>
      <c r="N99" s="187">
        <f>G99+J99</f>
        <v>0</v>
      </c>
      <c r="P99" s="30"/>
    </row>
    <row r="100" spans="1:16" ht="228.75" hidden="1" customHeight="1" thickTop="1" thickBot="1" x14ac:dyDescent="0.25">
      <c r="A100" s="75"/>
      <c r="B100" s="185"/>
      <c r="C100" s="185"/>
      <c r="D100" s="116" t="s">
        <v>480</v>
      </c>
      <c r="E100" s="188"/>
      <c r="F100" s="188"/>
      <c r="G100" s="188"/>
      <c r="H100" s="188"/>
      <c r="I100" s="188"/>
      <c r="J100" s="188"/>
      <c r="K100" s="191"/>
      <c r="L100" s="93"/>
      <c r="M100" s="94"/>
      <c r="N100" s="188"/>
      <c r="P100" s="30"/>
    </row>
    <row r="101" spans="1:16" ht="230.25" hidden="1" thickTop="1" thickBot="1" x14ac:dyDescent="0.25">
      <c r="A101" s="75"/>
      <c r="B101" s="186"/>
      <c r="C101" s="186"/>
      <c r="D101" s="117" t="s">
        <v>481</v>
      </c>
      <c r="E101" s="189"/>
      <c r="F101" s="189"/>
      <c r="G101" s="189"/>
      <c r="H101" s="189"/>
      <c r="I101" s="189"/>
      <c r="J101" s="189"/>
      <c r="K101" s="192"/>
      <c r="L101" s="93"/>
      <c r="M101" s="94"/>
      <c r="N101" s="189"/>
      <c r="P101" s="30"/>
    </row>
    <row r="102" spans="1:16" ht="255" hidden="1" customHeight="1" thickTop="1" thickBot="1" x14ac:dyDescent="0.7">
      <c r="A102" s="75"/>
      <c r="B102" s="184" t="s">
        <v>482</v>
      </c>
      <c r="C102" s="184" t="s">
        <v>88</v>
      </c>
      <c r="D102" s="115" t="s">
        <v>483</v>
      </c>
      <c r="E102" s="187"/>
      <c r="F102" s="187"/>
      <c r="G102" s="187"/>
      <c r="H102" s="187"/>
      <c r="I102" s="187"/>
      <c r="J102" s="187">
        <v>0</v>
      </c>
      <c r="K102" s="190" t="e">
        <f>J102/I102</f>
        <v>#DIV/0!</v>
      </c>
      <c r="L102" s="93"/>
      <c r="M102" s="94"/>
      <c r="N102" s="187">
        <f>G102+J102</f>
        <v>0</v>
      </c>
      <c r="P102" s="30"/>
    </row>
    <row r="103" spans="1:16" ht="270.75" hidden="1" customHeight="1" thickTop="1" thickBot="1" x14ac:dyDescent="0.25">
      <c r="A103" s="75"/>
      <c r="B103" s="185"/>
      <c r="C103" s="185"/>
      <c r="D103" s="116" t="s">
        <v>484</v>
      </c>
      <c r="E103" s="188"/>
      <c r="F103" s="188"/>
      <c r="G103" s="188"/>
      <c r="H103" s="188"/>
      <c r="I103" s="188"/>
      <c r="J103" s="188"/>
      <c r="K103" s="191"/>
      <c r="L103" s="93"/>
      <c r="M103" s="94"/>
      <c r="N103" s="188"/>
      <c r="P103" s="30"/>
    </row>
    <row r="104" spans="1:16" ht="276" hidden="1" thickTop="1" thickBot="1" x14ac:dyDescent="0.25">
      <c r="A104" s="75"/>
      <c r="B104" s="185"/>
      <c r="C104" s="185"/>
      <c r="D104" s="116" t="s">
        <v>485</v>
      </c>
      <c r="E104" s="188"/>
      <c r="F104" s="188"/>
      <c r="G104" s="188"/>
      <c r="H104" s="188"/>
      <c r="I104" s="188"/>
      <c r="J104" s="188"/>
      <c r="K104" s="191"/>
      <c r="L104" s="93"/>
      <c r="M104" s="94"/>
      <c r="N104" s="188"/>
      <c r="P104" s="30"/>
    </row>
    <row r="105" spans="1:16" ht="138.75" hidden="1" thickTop="1" thickBot="1" x14ac:dyDescent="0.25">
      <c r="A105" s="75"/>
      <c r="B105" s="186"/>
      <c r="C105" s="186"/>
      <c r="D105" s="117" t="s">
        <v>486</v>
      </c>
      <c r="E105" s="189"/>
      <c r="F105" s="189"/>
      <c r="G105" s="189"/>
      <c r="H105" s="189"/>
      <c r="I105" s="189"/>
      <c r="J105" s="189"/>
      <c r="K105" s="192"/>
      <c r="L105" s="93"/>
      <c r="M105" s="94"/>
      <c r="N105" s="189"/>
      <c r="P105" s="30"/>
    </row>
    <row r="106" spans="1:16" ht="276" hidden="1" thickTop="1" thickBot="1" x14ac:dyDescent="0.7">
      <c r="A106" s="75"/>
      <c r="B106" s="184" t="s">
        <v>487</v>
      </c>
      <c r="C106" s="184" t="s">
        <v>88</v>
      </c>
      <c r="D106" s="115" t="s">
        <v>488</v>
      </c>
      <c r="E106" s="187"/>
      <c r="F106" s="187"/>
      <c r="G106" s="187"/>
      <c r="H106" s="187"/>
      <c r="I106" s="187">
        <v>0</v>
      </c>
      <c r="J106" s="187">
        <v>0</v>
      </c>
      <c r="K106" s="190" t="e">
        <f>J106/I106</f>
        <v>#DIV/0!</v>
      </c>
      <c r="L106" s="93"/>
      <c r="M106" s="94"/>
      <c r="N106" s="187">
        <f>G106+J106</f>
        <v>0</v>
      </c>
      <c r="P106" s="30"/>
    </row>
    <row r="107" spans="1:16" ht="276" hidden="1" thickTop="1" thickBot="1" x14ac:dyDescent="0.25">
      <c r="A107" s="75"/>
      <c r="B107" s="185"/>
      <c r="C107" s="185"/>
      <c r="D107" s="116" t="s">
        <v>489</v>
      </c>
      <c r="E107" s="188"/>
      <c r="F107" s="188"/>
      <c r="G107" s="188"/>
      <c r="H107" s="188"/>
      <c r="I107" s="188"/>
      <c r="J107" s="188"/>
      <c r="K107" s="191"/>
      <c r="L107" s="93"/>
      <c r="M107" s="94"/>
      <c r="N107" s="188"/>
      <c r="P107" s="30"/>
    </row>
    <row r="108" spans="1:16" ht="93" hidden="1" thickTop="1" thickBot="1" x14ac:dyDescent="0.25">
      <c r="A108" s="75"/>
      <c r="B108" s="186"/>
      <c r="C108" s="186"/>
      <c r="D108" s="117" t="s">
        <v>490</v>
      </c>
      <c r="E108" s="189"/>
      <c r="F108" s="189"/>
      <c r="G108" s="189"/>
      <c r="H108" s="189"/>
      <c r="I108" s="189"/>
      <c r="J108" s="189"/>
      <c r="K108" s="192"/>
      <c r="L108" s="93"/>
      <c r="M108" s="94"/>
      <c r="N108" s="189"/>
      <c r="P108" s="30"/>
    </row>
    <row r="109" spans="1:16" ht="276" hidden="1" thickTop="1" thickBot="1" x14ac:dyDescent="0.7">
      <c r="A109" s="75"/>
      <c r="B109" s="184" t="s">
        <v>491</v>
      </c>
      <c r="C109" s="184" t="s">
        <v>88</v>
      </c>
      <c r="D109" s="115" t="s">
        <v>492</v>
      </c>
      <c r="E109" s="187"/>
      <c r="F109" s="187"/>
      <c r="G109" s="187"/>
      <c r="H109" s="187"/>
      <c r="I109" s="187"/>
      <c r="J109" s="187"/>
      <c r="K109" s="190" t="e">
        <f>J109/I109</f>
        <v>#DIV/0!</v>
      </c>
      <c r="L109" s="93"/>
      <c r="M109" s="94"/>
      <c r="N109" s="187">
        <f t="shared" si="23"/>
        <v>0</v>
      </c>
      <c r="P109" s="30"/>
    </row>
    <row r="110" spans="1:16" ht="230.25" hidden="1" thickTop="1" thickBot="1" x14ac:dyDescent="0.25">
      <c r="A110" s="75"/>
      <c r="B110" s="185"/>
      <c r="C110" s="185"/>
      <c r="D110" s="116" t="s">
        <v>493</v>
      </c>
      <c r="E110" s="188"/>
      <c r="F110" s="188"/>
      <c r="G110" s="188"/>
      <c r="H110" s="188"/>
      <c r="I110" s="188"/>
      <c r="J110" s="188"/>
      <c r="K110" s="191"/>
      <c r="L110" s="93"/>
      <c r="M110" s="94"/>
      <c r="N110" s="188"/>
      <c r="P110" s="30"/>
    </row>
    <row r="111" spans="1:16" ht="48" hidden="1" thickTop="1" thickBot="1" x14ac:dyDescent="0.25">
      <c r="A111" s="75"/>
      <c r="B111" s="186"/>
      <c r="C111" s="186"/>
      <c r="D111" s="117" t="s">
        <v>494</v>
      </c>
      <c r="E111" s="189"/>
      <c r="F111" s="189"/>
      <c r="G111" s="189"/>
      <c r="H111" s="189"/>
      <c r="I111" s="189"/>
      <c r="J111" s="189"/>
      <c r="K111" s="192"/>
      <c r="L111" s="93"/>
      <c r="M111" s="94"/>
      <c r="N111" s="189"/>
      <c r="P111" s="30"/>
    </row>
    <row r="112" spans="1:16" ht="138.75" thickTop="1" thickBot="1" x14ac:dyDescent="0.25">
      <c r="A112" s="75"/>
      <c r="B112" s="75" t="s">
        <v>531</v>
      </c>
      <c r="C112" s="143" t="s">
        <v>93</v>
      </c>
      <c r="D112" s="143" t="s">
        <v>542</v>
      </c>
      <c r="E112" s="144">
        <v>9503309</v>
      </c>
      <c r="F112" s="144">
        <v>5587509</v>
      </c>
      <c r="G112" s="144">
        <v>1054101.3799999999</v>
      </c>
      <c r="H112" s="126">
        <f t="shared" si="32"/>
        <v>0.18865318695683531</v>
      </c>
      <c r="I112" s="144">
        <f>44268862.54+1900000+350000</f>
        <v>46518862.539999999</v>
      </c>
      <c r="J112" s="144">
        <f>17257342.23+0</f>
        <v>17257342.23</v>
      </c>
      <c r="K112" s="126">
        <f t="shared" ref="K112" si="47">J112/I112</f>
        <v>0.37097515475923332</v>
      </c>
      <c r="L112" s="128"/>
      <c r="M112" s="135"/>
      <c r="N112" s="128">
        <f t="shared" si="23"/>
        <v>18311443.609999999</v>
      </c>
      <c r="P112" s="30"/>
    </row>
    <row r="113" spans="1:16" s="18" customFormat="1" ht="93" thickTop="1" thickBot="1" x14ac:dyDescent="0.25">
      <c r="A113" s="76" t="s">
        <v>251</v>
      </c>
      <c r="B113" s="76" t="s">
        <v>252</v>
      </c>
      <c r="C113" s="76"/>
      <c r="D113" s="76" t="s">
        <v>253</v>
      </c>
      <c r="E113" s="129">
        <f t="shared" ref="E113:J113" si="48">SUM(E114:E115)</f>
        <v>80952016</v>
      </c>
      <c r="F113" s="129">
        <f t="shared" ref="F113" si="49">SUM(F114:F115)</f>
        <v>35273413</v>
      </c>
      <c r="G113" s="129">
        <f t="shared" si="48"/>
        <v>26181691.18</v>
      </c>
      <c r="H113" s="130">
        <f t="shared" si="32"/>
        <v>0.7422500107942489</v>
      </c>
      <c r="I113" s="129">
        <f t="shared" si="48"/>
        <v>29560470</v>
      </c>
      <c r="J113" s="129">
        <f t="shared" si="48"/>
        <v>1102368.78</v>
      </c>
      <c r="K113" s="130">
        <f t="shared" ref="K113:K115" si="50">J113/I113</f>
        <v>3.7291990959548341E-2</v>
      </c>
      <c r="L113" s="129"/>
      <c r="M113" s="129"/>
      <c r="N113" s="129">
        <f t="shared" si="23"/>
        <v>27284059.960000001</v>
      </c>
      <c r="O113" s="20"/>
      <c r="P113" s="31"/>
    </row>
    <row r="114" spans="1:16" ht="93" thickTop="1" thickBot="1" x14ac:dyDescent="0.25">
      <c r="A114" s="75" t="s">
        <v>254</v>
      </c>
      <c r="B114" s="75" t="s">
        <v>255</v>
      </c>
      <c r="C114" s="75" t="s">
        <v>97</v>
      </c>
      <c r="D114" s="138" t="s">
        <v>256</v>
      </c>
      <c r="E114" s="128">
        <v>30498926</v>
      </c>
      <c r="F114" s="128">
        <v>8571540</v>
      </c>
      <c r="G114" s="141">
        <v>5290859.67</v>
      </c>
      <c r="H114" s="126">
        <f t="shared" si="32"/>
        <v>0.6172589371338173</v>
      </c>
      <c r="I114" s="128">
        <v>5457870</v>
      </c>
      <c r="J114" s="128">
        <v>1102368.78</v>
      </c>
      <c r="K114" s="126">
        <f t="shared" si="50"/>
        <v>0.20197783750803885</v>
      </c>
      <c r="L114" s="128"/>
      <c r="M114" s="135"/>
      <c r="N114" s="128">
        <f t="shared" si="23"/>
        <v>6393228.4500000002</v>
      </c>
      <c r="P114" s="26"/>
    </row>
    <row r="115" spans="1:16" ht="93" thickTop="1" thickBot="1" x14ac:dyDescent="0.25">
      <c r="A115" s="58" t="s">
        <v>257</v>
      </c>
      <c r="B115" s="75" t="s">
        <v>258</v>
      </c>
      <c r="C115" s="75" t="s">
        <v>97</v>
      </c>
      <c r="D115" s="138" t="s">
        <v>259</v>
      </c>
      <c r="E115" s="128">
        <v>50453090</v>
      </c>
      <c r="F115" s="128">
        <v>26701873</v>
      </c>
      <c r="G115" s="128">
        <v>20890831.510000002</v>
      </c>
      <c r="H115" s="126">
        <f t="shared" si="32"/>
        <v>0.78237326310405275</v>
      </c>
      <c r="I115" s="128">
        <v>24102600</v>
      </c>
      <c r="J115" s="128">
        <v>0</v>
      </c>
      <c r="K115" s="126">
        <f t="shared" si="50"/>
        <v>0</v>
      </c>
      <c r="L115" s="128"/>
      <c r="M115" s="135"/>
      <c r="N115" s="128">
        <f t="shared" si="23"/>
        <v>20890831.510000002</v>
      </c>
      <c r="P115" s="26"/>
    </row>
    <row r="116" spans="1:16" s="11" customFormat="1" ht="92.25" customHeight="1" thickTop="1" thickBot="1" x14ac:dyDescent="0.25">
      <c r="A116" s="57" t="s">
        <v>270</v>
      </c>
      <c r="B116" s="77" t="s">
        <v>271</v>
      </c>
      <c r="C116" s="77"/>
      <c r="D116" s="78" t="s">
        <v>272</v>
      </c>
      <c r="E116" s="79">
        <f>SUM(E117:E124)-E122</f>
        <v>76307075</v>
      </c>
      <c r="F116" s="79">
        <f>SUM(F117:F124)-F122</f>
        <v>17685342</v>
      </c>
      <c r="G116" s="79">
        <f t="shared" ref="G116:J116" si="51">SUM(G117:G124)-G122</f>
        <v>14905268.760000002</v>
      </c>
      <c r="H116" s="80">
        <f>G116/F116</f>
        <v>0.8428035352666633</v>
      </c>
      <c r="I116" s="79">
        <f t="shared" si="51"/>
        <v>1281972.6499999999</v>
      </c>
      <c r="J116" s="79">
        <f t="shared" si="51"/>
        <v>222147.34000000003</v>
      </c>
      <c r="K116" s="80">
        <f>J116/I116</f>
        <v>0.17328555332284198</v>
      </c>
      <c r="L116" s="79"/>
      <c r="M116" s="79"/>
      <c r="N116" s="81">
        <f>J116+G116</f>
        <v>15127416.100000001</v>
      </c>
      <c r="O116" s="53" t="b">
        <f>N116=N117+N118+N119+N120+N123+N124+N121</f>
        <v>1</v>
      </c>
      <c r="P116" s="30"/>
    </row>
    <row r="117" spans="1:16" ht="93" hidden="1" thickTop="1" thickBot="1" x14ac:dyDescent="0.25">
      <c r="A117" s="58" t="s">
        <v>273</v>
      </c>
      <c r="B117" s="92" t="s">
        <v>274</v>
      </c>
      <c r="C117" s="92" t="s">
        <v>275</v>
      </c>
      <c r="D117" s="92" t="s">
        <v>276</v>
      </c>
      <c r="E117" s="93">
        <v>0</v>
      </c>
      <c r="F117" s="93">
        <v>0</v>
      </c>
      <c r="G117" s="93">
        <v>0</v>
      </c>
      <c r="H117" s="91" t="e">
        <f>G117/F117</f>
        <v>#DIV/0!</v>
      </c>
      <c r="I117" s="93"/>
      <c r="J117" s="93"/>
      <c r="K117" s="93"/>
      <c r="L117" s="93"/>
      <c r="M117" s="94"/>
      <c r="N117" s="93">
        <f t="shared" ref="N117:N140" si="52">G117+J117</f>
        <v>0</v>
      </c>
      <c r="P117" s="30"/>
    </row>
    <row r="118" spans="1:16" ht="93" thickTop="1" thickBot="1" x14ac:dyDescent="0.25">
      <c r="A118" s="58" t="s">
        <v>277</v>
      </c>
      <c r="B118" s="75" t="s">
        <v>278</v>
      </c>
      <c r="C118" s="75" t="s">
        <v>279</v>
      </c>
      <c r="D118" s="75" t="s">
        <v>280</v>
      </c>
      <c r="E118" s="128">
        <v>18479775</v>
      </c>
      <c r="F118" s="128">
        <v>4927639</v>
      </c>
      <c r="G118" s="128">
        <v>3740304.67</v>
      </c>
      <c r="H118" s="126">
        <f t="shared" ref="H118:H120" si="53">G118/F118</f>
        <v>0.75904599951416896</v>
      </c>
      <c r="I118" s="128">
        <v>195836</v>
      </c>
      <c r="J118" s="128">
        <v>31648.43</v>
      </c>
      <c r="K118" s="126">
        <f t="shared" ref="K118:K123" si="54">J118/I118</f>
        <v>0.16160680365203539</v>
      </c>
      <c r="L118" s="128"/>
      <c r="M118" s="135"/>
      <c r="N118" s="128">
        <f t="shared" si="52"/>
        <v>3771953.1</v>
      </c>
      <c r="P118" s="26"/>
    </row>
    <row r="119" spans="1:16" ht="93" thickTop="1" thickBot="1" x14ac:dyDescent="0.25">
      <c r="A119" s="58" t="s">
        <v>281</v>
      </c>
      <c r="B119" s="75" t="s">
        <v>282</v>
      </c>
      <c r="C119" s="75" t="s">
        <v>279</v>
      </c>
      <c r="D119" s="75" t="s">
        <v>283</v>
      </c>
      <c r="E119" s="128">
        <v>2847504</v>
      </c>
      <c r="F119" s="128">
        <v>735411</v>
      </c>
      <c r="G119" s="128">
        <v>525394.05000000005</v>
      </c>
      <c r="H119" s="126">
        <f t="shared" si="53"/>
        <v>0.71442234342428934</v>
      </c>
      <c r="I119" s="128">
        <v>113790</v>
      </c>
      <c r="J119" s="128">
        <v>19499.8</v>
      </c>
      <c r="K119" s="126">
        <f t="shared" si="54"/>
        <v>0.17136655242112664</v>
      </c>
      <c r="L119" s="128"/>
      <c r="M119" s="135"/>
      <c r="N119" s="128">
        <f t="shared" si="52"/>
        <v>544893.85000000009</v>
      </c>
      <c r="P119" s="26"/>
    </row>
    <row r="120" spans="1:16" ht="138.75" thickTop="1" thickBot="1" x14ac:dyDescent="0.25">
      <c r="A120" s="58" t="s">
        <v>284</v>
      </c>
      <c r="B120" s="75" t="s">
        <v>285</v>
      </c>
      <c r="C120" s="75" t="s">
        <v>286</v>
      </c>
      <c r="D120" s="75" t="s">
        <v>287</v>
      </c>
      <c r="E120" s="128">
        <v>21555193</v>
      </c>
      <c r="F120" s="128">
        <v>5272093</v>
      </c>
      <c r="G120" s="128">
        <v>4330327.84</v>
      </c>
      <c r="H120" s="126">
        <f t="shared" si="53"/>
        <v>0.8213678779945649</v>
      </c>
      <c r="I120" s="128">
        <v>762000</v>
      </c>
      <c r="J120" s="128">
        <v>104126.54</v>
      </c>
      <c r="K120" s="126">
        <f t="shared" si="54"/>
        <v>0.13664900262467192</v>
      </c>
      <c r="L120" s="128"/>
      <c r="M120" s="135"/>
      <c r="N120" s="128">
        <f t="shared" si="52"/>
        <v>4434454.38</v>
      </c>
      <c r="P120" s="26"/>
    </row>
    <row r="121" spans="1:16" ht="48" hidden="1" thickTop="1" thickBot="1" x14ac:dyDescent="0.25">
      <c r="A121" s="58"/>
      <c r="B121" s="92" t="s">
        <v>532</v>
      </c>
      <c r="C121" s="92" t="s">
        <v>533</v>
      </c>
      <c r="D121" s="92" t="s">
        <v>534</v>
      </c>
      <c r="E121" s="93">
        <v>0</v>
      </c>
      <c r="F121" s="93">
        <v>0</v>
      </c>
      <c r="G121" s="93">
        <v>0</v>
      </c>
      <c r="H121" s="91" t="e">
        <f>G121/F121</f>
        <v>#DIV/0!</v>
      </c>
      <c r="I121" s="93"/>
      <c r="J121" s="93"/>
      <c r="K121" s="91"/>
      <c r="L121" s="93"/>
      <c r="M121" s="94"/>
      <c r="N121" s="93">
        <f t="shared" si="52"/>
        <v>0</v>
      </c>
      <c r="P121" s="26"/>
    </row>
    <row r="122" spans="1:16" ht="93" thickTop="1" thickBot="1" x14ac:dyDescent="0.25">
      <c r="A122" s="76" t="s">
        <v>288</v>
      </c>
      <c r="B122" s="76" t="s">
        <v>289</v>
      </c>
      <c r="C122" s="76"/>
      <c r="D122" s="76" t="s">
        <v>290</v>
      </c>
      <c r="E122" s="129">
        <f t="shared" ref="E122:J122" si="55">SUM(E123:E124)</f>
        <v>33424603</v>
      </c>
      <c r="F122" s="129">
        <f t="shared" ref="F122" si="56">SUM(F123:F124)</f>
        <v>6750199</v>
      </c>
      <c r="G122" s="129">
        <f t="shared" si="55"/>
        <v>6309242.1999999993</v>
      </c>
      <c r="H122" s="130">
        <f>G122/F122</f>
        <v>0.93467499254466413</v>
      </c>
      <c r="I122" s="129">
        <f t="shared" si="55"/>
        <v>210346.65</v>
      </c>
      <c r="J122" s="129">
        <f t="shared" si="55"/>
        <v>66872.570000000007</v>
      </c>
      <c r="K122" s="130">
        <f t="shared" si="54"/>
        <v>0.31791602100627708</v>
      </c>
      <c r="L122" s="129"/>
      <c r="M122" s="129"/>
      <c r="N122" s="129">
        <f t="shared" si="52"/>
        <v>6376114.7699999996</v>
      </c>
      <c r="P122" s="26"/>
    </row>
    <row r="123" spans="1:16" ht="93" thickTop="1" thickBot="1" x14ac:dyDescent="0.25">
      <c r="A123" s="75" t="s">
        <v>291</v>
      </c>
      <c r="B123" s="75" t="s">
        <v>292</v>
      </c>
      <c r="C123" s="75" t="s">
        <v>293</v>
      </c>
      <c r="D123" s="75" t="s">
        <v>294</v>
      </c>
      <c r="E123" s="128">
        <v>29071503</v>
      </c>
      <c r="F123" s="128">
        <v>6206599</v>
      </c>
      <c r="G123" s="128">
        <v>5859901.3499999996</v>
      </c>
      <c r="H123" s="126">
        <f t="shared" ref="H123:H124" si="57">G123/F123</f>
        <v>0.94414047854549643</v>
      </c>
      <c r="I123" s="128">
        <v>210346.65</v>
      </c>
      <c r="J123" s="128">
        <v>66872.570000000007</v>
      </c>
      <c r="K123" s="126">
        <f t="shared" si="54"/>
        <v>0.31791602100627708</v>
      </c>
      <c r="L123" s="128"/>
      <c r="M123" s="135"/>
      <c r="N123" s="128">
        <f t="shared" si="52"/>
        <v>5926773.9199999999</v>
      </c>
      <c r="P123" s="30"/>
    </row>
    <row r="124" spans="1:16" ht="93" thickTop="1" thickBot="1" x14ac:dyDescent="0.25">
      <c r="A124" s="75" t="s">
        <v>295</v>
      </c>
      <c r="B124" s="75" t="s">
        <v>296</v>
      </c>
      <c r="C124" s="75" t="s">
        <v>293</v>
      </c>
      <c r="D124" s="75" t="s">
        <v>297</v>
      </c>
      <c r="E124" s="128">
        <v>4353100</v>
      </c>
      <c r="F124" s="128">
        <v>543600</v>
      </c>
      <c r="G124" s="128">
        <v>449340.85</v>
      </c>
      <c r="H124" s="126">
        <f t="shared" si="57"/>
        <v>0.82660200515084614</v>
      </c>
      <c r="I124" s="128"/>
      <c r="J124" s="128"/>
      <c r="K124" s="128"/>
      <c r="L124" s="128"/>
      <c r="M124" s="135"/>
      <c r="N124" s="128">
        <f t="shared" si="52"/>
        <v>449340.85</v>
      </c>
      <c r="P124" s="30"/>
    </row>
    <row r="125" spans="1:16" ht="77.25" customHeight="1" thickTop="1" thickBot="1" x14ac:dyDescent="0.25">
      <c r="A125" s="57" t="s">
        <v>308</v>
      </c>
      <c r="B125" s="77" t="s">
        <v>309</v>
      </c>
      <c r="C125" s="77"/>
      <c r="D125" s="78" t="s">
        <v>310</v>
      </c>
      <c r="E125" s="79">
        <f>SUM(E126:E140)-E126-E129-E131-E137-E134</f>
        <v>111469065</v>
      </c>
      <c r="F125" s="79">
        <f>SUM(F126:F140)-F126-F129-F131-F137-F134</f>
        <v>27613458.799999993</v>
      </c>
      <c r="G125" s="79">
        <f>SUM(G126:G140)-G126-G129-G131-G137-G134</f>
        <v>24657883.839999992</v>
      </c>
      <c r="H125" s="80">
        <f>G125/F125</f>
        <v>0.89296614446575584</v>
      </c>
      <c r="I125" s="79">
        <f>SUM(I126:I140)-I126-I129-I131-I137-I134</f>
        <v>2619482.9500000002</v>
      </c>
      <c r="J125" s="79">
        <f>SUM(J126:J140)-J126-J129-J131-J137-J134</f>
        <v>299377.21000000002</v>
      </c>
      <c r="K125" s="80">
        <f>J125/I125</f>
        <v>0.11428866524975854</v>
      </c>
      <c r="L125" s="79"/>
      <c r="M125" s="79"/>
      <c r="N125" s="81">
        <f>J125+G125</f>
        <v>24957261.049999993</v>
      </c>
      <c r="O125" s="53" t="b">
        <f>N125=N127+N128+N130+N132+N133+N135+N138+N139+N140+N136</f>
        <v>1</v>
      </c>
      <c r="P125" s="26"/>
    </row>
    <row r="126" spans="1:16" s="18" customFormat="1" ht="93" thickTop="1" thickBot="1" x14ac:dyDescent="0.25">
      <c r="A126" s="59" t="s">
        <v>311</v>
      </c>
      <c r="B126" s="76" t="s">
        <v>312</v>
      </c>
      <c r="C126" s="76"/>
      <c r="D126" s="76" t="s">
        <v>313</v>
      </c>
      <c r="E126" s="142">
        <f t="shared" ref="E126:G126" si="58">SUM(E127:E128)</f>
        <v>32699823</v>
      </c>
      <c r="F126" s="142">
        <f t="shared" ref="F126" si="59">SUM(F127:F128)</f>
        <v>8044787</v>
      </c>
      <c r="G126" s="142">
        <f t="shared" si="58"/>
        <v>7313561.6799999997</v>
      </c>
      <c r="H126" s="130">
        <f>G126/F126</f>
        <v>0.90910569540250097</v>
      </c>
      <c r="I126" s="142"/>
      <c r="J126" s="142"/>
      <c r="K126" s="130"/>
      <c r="L126" s="142"/>
      <c r="M126" s="142"/>
      <c r="N126" s="129">
        <f t="shared" si="52"/>
        <v>7313561.6799999997</v>
      </c>
      <c r="O126" s="50"/>
      <c r="P126" s="32"/>
    </row>
    <row r="127" spans="1:16" s="35" customFormat="1" ht="93" thickTop="1" thickBot="1" x14ac:dyDescent="0.25">
      <c r="A127" s="58" t="s">
        <v>314</v>
      </c>
      <c r="B127" s="75" t="s">
        <v>315</v>
      </c>
      <c r="C127" s="75" t="s">
        <v>316</v>
      </c>
      <c r="D127" s="75" t="s">
        <v>317</v>
      </c>
      <c r="E127" s="141">
        <v>29300000</v>
      </c>
      <c r="F127" s="141">
        <v>7459681</v>
      </c>
      <c r="G127" s="128">
        <v>6802436.0800000001</v>
      </c>
      <c r="H127" s="126">
        <f t="shared" ref="H127:H140" si="60">G127/F127</f>
        <v>0.9118936962585934</v>
      </c>
      <c r="I127" s="128"/>
      <c r="J127" s="128"/>
      <c r="K127" s="128"/>
      <c r="L127" s="128"/>
      <c r="M127" s="135"/>
      <c r="N127" s="128">
        <f t="shared" si="52"/>
        <v>6802436.0800000001</v>
      </c>
      <c r="O127" s="33"/>
      <c r="P127" s="34"/>
    </row>
    <row r="128" spans="1:16" s="35" customFormat="1" ht="93" thickTop="1" thickBot="1" x14ac:dyDescent="0.25">
      <c r="A128" s="58" t="s">
        <v>318</v>
      </c>
      <c r="B128" s="75" t="s">
        <v>319</v>
      </c>
      <c r="C128" s="75" t="s">
        <v>316</v>
      </c>
      <c r="D128" s="75" t="s">
        <v>320</v>
      </c>
      <c r="E128" s="141">
        <v>3399823</v>
      </c>
      <c r="F128" s="141">
        <v>585106</v>
      </c>
      <c r="G128" s="128">
        <v>511125.6</v>
      </c>
      <c r="H128" s="126">
        <f t="shared" si="60"/>
        <v>0.87356068814881405</v>
      </c>
      <c r="I128" s="128"/>
      <c r="J128" s="128"/>
      <c r="K128" s="128"/>
      <c r="L128" s="128"/>
      <c r="M128" s="135"/>
      <c r="N128" s="128">
        <f t="shared" si="52"/>
        <v>511125.6</v>
      </c>
      <c r="O128" s="33"/>
      <c r="P128" s="34"/>
    </row>
    <row r="129" spans="1:16" s="18" customFormat="1" ht="93" thickTop="1" thickBot="1" x14ac:dyDescent="0.25">
      <c r="A129" s="59" t="s">
        <v>321</v>
      </c>
      <c r="B129" s="76" t="s">
        <v>322</v>
      </c>
      <c r="C129" s="76"/>
      <c r="D129" s="76" t="s">
        <v>323</v>
      </c>
      <c r="E129" s="142">
        <f t="shared" ref="E129:F129" si="61">E130</f>
        <v>41300</v>
      </c>
      <c r="F129" s="142">
        <f t="shared" si="61"/>
        <v>4000</v>
      </c>
      <c r="G129" s="142">
        <f>G130</f>
        <v>0</v>
      </c>
      <c r="H129" s="130">
        <f t="shared" si="60"/>
        <v>0</v>
      </c>
      <c r="I129" s="142"/>
      <c r="J129" s="142"/>
      <c r="K129" s="130"/>
      <c r="L129" s="142"/>
      <c r="M129" s="142"/>
      <c r="N129" s="129">
        <f t="shared" si="52"/>
        <v>0</v>
      </c>
      <c r="O129" s="50"/>
      <c r="P129" s="36"/>
    </row>
    <row r="130" spans="1:16" s="35" customFormat="1" ht="93" thickTop="1" thickBot="1" x14ac:dyDescent="0.25">
      <c r="A130" s="58" t="s">
        <v>324</v>
      </c>
      <c r="B130" s="75" t="s">
        <v>325</v>
      </c>
      <c r="C130" s="75" t="s">
        <v>316</v>
      </c>
      <c r="D130" s="75" t="s">
        <v>326</v>
      </c>
      <c r="E130" s="141">
        <v>41300</v>
      </c>
      <c r="F130" s="141">
        <v>4000</v>
      </c>
      <c r="G130" s="141">
        <v>0</v>
      </c>
      <c r="H130" s="126">
        <f t="shared" si="60"/>
        <v>0</v>
      </c>
      <c r="I130" s="128"/>
      <c r="J130" s="141"/>
      <c r="K130" s="141"/>
      <c r="L130" s="141"/>
      <c r="M130" s="135"/>
      <c r="N130" s="128">
        <f t="shared" si="52"/>
        <v>0</v>
      </c>
      <c r="O130" s="33"/>
      <c r="P130" s="34"/>
    </row>
    <row r="131" spans="1:16" ht="93" thickTop="1" thickBot="1" x14ac:dyDescent="0.25">
      <c r="A131" s="76" t="s">
        <v>327</v>
      </c>
      <c r="B131" s="76" t="s">
        <v>328</v>
      </c>
      <c r="C131" s="76"/>
      <c r="D131" s="76" t="s">
        <v>329</v>
      </c>
      <c r="E131" s="142">
        <f t="shared" ref="E131:J131" si="62">SUM(E132:E133)</f>
        <v>70597322</v>
      </c>
      <c r="F131" s="142">
        <f t="shared" ref="F131" si="63">SUM(F132:F133)</f>
        <v>17884499</v>
      </c>
      <c r="G131" s="142">
        <f t="shared" si="62"/>
        <v>15780412.93</v>
      </c>
      <c r="H131" s="130">
        <f t="shared" si="60"/>
        <v>0.88235141112982807</v>
      </c>
      <c r="I131" s="142">
        <f t="shared" si="62"/>
        <v>2569482.9500000002</v>
      </c>
      <c r="J131" s="142">
        <f t="shared" si="62"/>
        <v>296677.21000000002</v>
      </c>
      <c r="K131" s="130">
        <f t="shared" ref="K131:K137" si="64">J131/I131</f>
        <v>0.11546183250603005</v>
      </c>
      <c r="L131" s="142"/>
      <c r="M131" s="142"/>
      <c r="N131" s="129">
        <f t="shared" si="52"/>
        <v>16077090.140000001</v>
      </c>
      <c r="P131" s="26"/>
    </row>
    <row r="132" spans="1:16" s="35" customFormat="1" ht="93" thickTop="1" thickBot="1" x14ac:dyDescent="0.25">
      <c r="A132" s="75" t="s">
        <v>330</v>
      </c>
      <c r="B132" s="75" t="s">
        <v>331</v>
      </c>
      <c r="C132" s="75" t="s">
        <v>316</v>
      </c>
      <c r="D132" s="75" t="s">
        <v>332</v>
      </c>
      <c r="E132" s="141">
        <v>63635631</v>
      </c>
      <c r="F132" s="141">
        <v>16174448</v>
      </c>
      <c r="G132" s="141">
        <v>14241937.689999999</v>
      </c>
      <c r="H132" s="126">
        <f t="shared" si="60"/>
        <v>0.88052078747911522</v>
      </c>
      <c r="I132" s="141">
        <v>2569482.9500000002</v>
      </c>
      <c r="J132" s="141">
        <v>296677.21000000002</v>
      </c>
      <c r="K132" s="126">
        <f t="shared" si="64"/>
        <v>0.11546183250603005</v>
      </c>
      <c r="L132" s="141"/>
      <c r="M132" s="135"/>
      <c r="N132" s="128">
        <f t="shared" si="52"/>
        <v>14538614.9</v>
      </c>
      <c r="O132" s="33"/>
      <c r="P132" s="34"/>
    </row>
    <row r="133" spans="1:16" s="35" customFormat="1" ht="138.75" thickTop="1" thickBot="1" x14ac:dyDescent="0.25">
      <c r="A133" s="75" t="s">
        <v>333</v>
      </c>
      <c r="B133" s="75" t="s">
        <v>334</v>
      </c>
      <c r="C133" s="75" t="s">
        <v>316</v>
      </c>
      <c r="D133" s="75" t="s">
        <v>335</v>
      </c>
      <c r="E133" s="141">
        <v>6961691</v>
      </c>
      <c r="F133" s="141">
        <v>1710051</v>
      </c>
      <c r="G133" s="141">
        <v>1538475.24</v>
      </c>
      <c r="H133" s="126">
        <f t="shared" si="60"/>
        <v>0.89966629065448922</v>
      </c>
      <c r="I133" s="141"/>
      <c r="J133" s="141"/>
      <c r="K133" s="126"/>
      <c r="L133" s="141"/>
      <c r="M133" s="135"/>
      <c r="N133" s="128">
        <f t="shared" si="52"/>
        <v>1538475.24</v>
      </c>
      <c r="O133" s="33"/>
      <c r="P133" s="34"/>
    </row>
    <row r="134" spans="1:16" s="35" customFormat="1" ht="93" hidden="1" thickTop="1" thickBot="1" x14ac:dyDescent="0.25">
      <c r="A134" s="58"/>
      <c r="B134" s="76" t="s">
        <v>393</v>
      </c>
      <c r="C134" s="76"/>
      <c r="D134" s="76" t="s">
        <v>394</v>
      </c>
      <c r="E134" s="142">
        <f>SUM(E135:E136)</f>
        <v>0</v>
      </c>
      <c r="F134" s="142">
        <f t="shared" ref="F134:G134" si="65">SUM(F135:F136)</f>
        <v>0</v>
      </c>
      <c r="G134" s="142">
        <f t="shared" si="65"/>
        <v>0</v>
      </c>
      <c r="H134" s="130">
        <v>0</v>
      </c>
      <c r="I134" s="114">
        <f t="shared" ref="I134:J134" si="66">I135</f>
        <v>0</v>
      </c>
      <c r="J134" s="114">
        <f t="shared" si="66"/>
        <v>0</v>
      </c>
      <c r="K134" s="97" t="e">
        <f t="shared" si="64"/>
        <v>#DIV/0!</v>
      </c>
      <c r="L134" s="114"/>
      <c r="M134" s="114"/>
      <c r="N134" s="96">
        <f t="shared" si="52"/>
        <v>0</v>
      </c>
      <c r="O134" s="33"/>
      <c r="P134" s="34"/>
    </row>
    <row r="135" spans="1:16" s="35" customFormat="1" ht="230.25" hidden="1" thickTop="1" thickBot="1" x14ac:dyDescent="0.25">
      <c r="A135" s="58"/>
      <c r="B135" s="92" t="s">
        <v>395</v>
      </c>
      <c r="C135" s="92" t="s">
        <v>316</v>
      </c>
      <c r="D135" s="92" t="s">
        <v>518</v>
      </c>
      <c r="E135" s="93"/>
      <c r="F135" s="93"/>
      <c r="G135" s="93"/>
      <c r="H135" s="91">
        <v>0</v>
      </c>
      <c r="I135" s="93">
        <v>0</v>
      </c>
      <c r="J135" s="93">
        <v>0</v>
      </c>
      <c r="K135" s="91" t="e">
        <f t="shared" si="64"/>
        <v>#DIV/0!</v>
      </c>
      <c r="L135" s="93"/>
      <c r="M135" s="94"/>
      <c r="N135" s="93">
        <f t="shared" si="52"/>
        <v>0</v>
      </c>
      <c r="O135" s="33"/>
      <c r="P135" s="34"/>
    </row>
    <row r="136" spans="1:16" s="35" customFormat="1" ht="138.75" hidden="1" thickTop="1" thickBot="1" x14ac:dyDescent="0.25">
      <c r="A136" s="58"/>
      <c r="B136" s="92" t="s">
        <v>543</v>
      </c>
      <c r="C136" s="92" t="s">
        <v>316</v>
      </c>
      <c r="D136" s="92" t="s">
        <v>544</v>
      </c>
      <c r="E136" s="93">
        <v>0</v>
      </c>
      <c r="F136" s="93">
        <v>0</v>
      </c>
      <c r="G136" s="93">
        <v>0</v>
      </c>
      <c r="H136" s="91" t="e">
        <f t="shared" si="60"/>
        <v>#DIV/0!</v>
      </c>
      <c r="I136" s="93"/>
      <c r="J136" s="93"/>
      <c r="K136" s="91"/>
      <c r="L136" s="93"/>
      <c r="M136" s="94"/>
      <c r="N136" s="93">
        <f t="shared" si="52"/>
        <v>0</v>
      </c>
      <c r="O136" s="33"/>
      <c r="P136" s="34"/>
    </row>
    <row r="137" spans="1:16" ht="93" thickTop="1" thickBot="1" x14ac:dyDescent="0.25">
      <c r="A137" s="67" t="s">
        <v>336</v>
      </c>
      <c r="B137" s="76" t="s">
        <v>337</v>
      </c>
      <c r="C137" s="76"/>
      <c r="D137" s="76" t="s">
        <v>338</v>
      </c>
      <c r="E137" s="142">
        <f t="shared" ref="E137:J137" si="67">SUM(E138:E140)</f>
        <v>8130620</v>
      </c>
      <c r="F137" s="142">
        <f t="shared" ref="F137" si="68">SUM(F138:F140)</f>
        <v>1680172.8</v>
      </c>
      <c r="G137" s="142">
        <f t="shared" si="67"/>
        <v>1563909.23</v>
      </c>
      <c r="H137" s="130">
        <f t="shared" si="60"/>
        <v>0.93080261149329402</v>
      </c>
      <c r="I137" s="142">
        <f t="shared" si="67"/>
        <v>50000</v>
      </c>
      <c r="J137" s="142">
        <f t="shared" si="67"/>
        <v>2700</v>
      </c>
      <c r="K137" s="130">
        <f t="shared" si="64"/>
        <v>5.3999999999999999E-2</v>
      </c>
      <c r="L137" s="142"/>
      <c r="M137" s="142"/>
      <c r="N137" s="129">
        <f t="shared" si="52"/>
        <v>1566609.23</v>
      </c>
      <c r="O137" s="50"/>
      <c r="P137" s="26"/>
    </row>
    <row r="138" spans="1:16" s="35" customFormat="1" ht="184.5" thickTop="1" thickBot="1" x14ac:dyDescent="0.25">
      <c r="A138" s="68" t="s">
        <v>339</v>
      </c>
      <c r="B138" s="145" t="s">
        <v>340</v>
      </c>
      <c r="C138" s="145" t="s">
        <v>316</v>
      </c>
      <c r="D138" s="75" t="s">
        <v>341</v>
      </c>
      <c r="E138" s="141">
        <v>775354</v>
      </c>
      <c r="F138" s="141">
        <v>5400</v>
      </c>
      <c r="G138" s="128">
        <v>0</v>
      </c>
      <c r="H138" s="126">
        <f t="shared" si="60"/>
        <v>0</v>
      </c>
      <c r="I138" s="128"/>
      <c r="J138" s="128"/>
      <c r="K138" s="128"/>
      <c r="L138" s="128"/>
      <c r="M138" s="135"/>
      <c r="N138" s="128">
        <f t="shared" si="52"/>
        <v>0</v>
      </c>
      <c r="O138" s="33"/>
      <c r="P138" s="34"/>
    </row>
    <row r="139" spans="1:16" s="35" customFormat="1" ht="138.75" thickTop="1" thickBot="1" x14ac:dyDescent="0.25">
      <c r="A139" s="68" t="s">
        <v>342</v>
      </c>
      <c r="B139" s="145" t="s">
        <v>343</v>
      </c>
      <c r="C139" s="145" t="s">
        <v>316</v>
      </c>
      <c r="D139" s="75" t="s">
        <v>344</v>
      </c>
      <c r="E139" s="141">
        <v>5242225</v>
      </c>
      <c r="F139" s="141">
        <v>1065725</v>
      </c>
      <c r="G139" s="128">
        <v>1065725</v>
      </c>
      <c r="H139" s="126">
        <f t="shared" si="60"/>
        <v>1</v>
      </c>
      <c r="I139" s="128"/>
      <c r="J139" s="128"/>
      <c r="K139" s="128"/>
      <c r="L139" s="128"/>
      <c r="M139" s="135"/>
      <c r="N139" s="128">
        <f t="shared" si="52"/>
        <v>1065725</v>
      </c>
      <c r="O139" s="33"/>
      <c r="P139" s="34"/>
    </row>
    <row r="140" spans="1:16" s="35" customFormat="1" ht="93" thickTop="1" thickBot="1" x14ac:dyDescent="0.25">
      <c r="A140" s="68" t="s">
        <v>345</v>
      </c>
      <c r="B140" s="145" t="s">
        <v>346</v>
      </c>
      <c r="C140" s="145" t="s">
        <v>316</v>
      </c>
      <c r="D140" s="75" t="s">
        <v>347</v>
      </c>
      <c r="E140" s="141">
        <v>2113041</v>
      </c>
      <c r="F140" s="141">
        <v>609047.80000000005</v>
      </c>
      <c r="G140" s="128">
        <v>498184.23</v>
      </c>
      <c r="H140" s="126">
        <f t="shared" si="60"/>
        <v>0.8179723003678856</v>
      </c>
      <c r="I140" s="128">
        <v>50000</v>
      </c>
      <c r="J140" s="128">
        <v>2700</v>
      </c>
      <c r="K140" s="126">
        <f t="shared" ref="K140" si="69">J140/I140</f>
        <v>5.3999999999999999E-2</v>
      </c>
      <c r="L140" s="128"/>
      <c r="M140" s="135"/>
      <c r="N140" s="128">
        <f t="shared" si="52"/>
        <v>500884.23</v>
      </c>
      <c r="O140" s="33"/>
      <c r="P140" s="34"/>
    </row>
    <row r="141" spans="1:16" ht="91.5" thickTop="1" thickBot="1" x14ac:dyDescent="0.25">
      <c r="A141" s="57" t="s">
        <v>350</v>
      </c>
      <c r="B141" s="77" t="s">
        <v>260</v>
      </c>
      <c r="C141" s="77"/>
      <c r="D141" s="78" t="s">
        <v>261</v>
      </c>
      <c r="E141" s="79">
        <f>SUM(E142:E155)-E142-E151</f>
        <v>376047971</v>
      </c>
      <c r="F141" s="79">
        <f>SUM(F142:F155)-F142-F151</f>
        <v>124853320</v>
      </c>
      <c r="G141" s="79">
        <f>SUM(G142:G155)-G142-G151</f>
        <v>113325807.91</v>
      </c>
      <c r="H141" s="80">
        <f>G141/F141</f>
        <v>0.90767156139700567</v>
      </c>
      <c r="I141" s="79">
        <f>SUM(I142:I155)-I142-I151</f>
        <v>32558393</v>
      </c>
      <c r="J141" s="79">
        <f>SUM(J142:J155)-J142-J151</f>
        <v>1792454.99</v>
      </c>
      <c r="K141" s="80">
        <f>J141/I141</f>
        <v>5.5053546101000744E-2</v>
      </c>
      <c r="L141" s="79"/>
      <c r="M141" s="79"/>
      <c r="N141" s="81">
        <f>J141+G141</f>
        <v>115118262.89999999</v>
      </c>
      <c r="O141" s="53" t="b">
        <f>N141=N143+N144+N145+N146+N149+N150+N152+N154+N155+N148+N147</f>
        <v>1</v>
      </c>
      <c r="P141" s="37"/>
    </row>
    <row r="142" spans="1:16" s="18" customFormat="1" ht="93" thickTop="1" thickBot="1" x14ac:dyDescent="0.25">
      <c r="A142" s="76" t="s">
        <v>351</v>
      </c>
      <c r="B142" s="76" t="s">
        <v>352</v>
      </c>
      <c r="C142" s="76"/>
      <c r="D142" s="76" t="s">
        <v>353</v>
      </c>
      <c r="E142" s="129">
        <f t="shared" ref="E142:J142" si="70">SUM(E143:E148)</f>
        <v>68822200</v>
      </c>
      <c r="F142" s="129">
        <f t="shared" ref="F142" si="71">SUM(F143:F148)</f>
        <v>46523700</v>
      </c>
      <c r="G142" s="129">
        <f t="shared" si="70"/>
        <v>46094840.080000006</v>
      </c>
      <c r="H142" s="130">
        <f>G142/F142</f>
        <v>0.99078190427674506</v>
      </c>
      <c r="I142" s="129">
        <f t="shared" si="70"/>
        <v>6288393</v>
      </c>
      <c r="J142" s="129">
        <f t="shared" si="70"/>
        <v>1792454.99</v>
      </c>
      <c r="K142" s="130">
        <f t="shared" ref="K142:K143" si="72">J142/I142</f>
        <v>0.28504182070045558</v>
      </c>
      <c r="L142" s="129"/>
      <c r="M142" s="129"/>
      <c r="N142" s="129">
        <f t="shared" ref="N142:N192" si="73">G142+J142</f>
        <v>47887295.070000008</v>
      </c>
      <c r="O142" s="20"/>
      <c r="P142" s="37"/>
    </row>
    <row r="143" spans="1:16" ht="93" thickTop="1" thickBot="1" x14ac:dyDescent="0.25">
      <c r="A143" s="75" t="s">
        <v>354</v>
      </c>
      <c r="B143" s="75" t="s">
        <v>355</v>
      </c>
      <c r="C143" s="75" t="s">
        <v>264</v>
      </c>
      <c r="D143" s="75" t="s">
        <v>356</v>
      </c>
      <c r="E143" s="141">
        <v>3272200</v>
      </c>
      <c r="F143" s="141">
        <v>1363700</v>
      </c>
      <c r="G143" s="141">
        <v>969328.52</v>
      </c>
      <c r="H143" s="126">
        <f>G143/F143</f>
        <v>0.7108077436386302</v>
      </c>
      <c r="I143" s="141">
        <v>1334400</v>
      </c>
      <c r="J143" s="171">
        <v>6901.31</v>
      </c>
      <c r="K143" s="126">
        <f t="shared" si="72"/>
        <v>5.171845023980816E-3</v>
      </c>
      <c r="L143" s="171"/>
      <c r="M143" s="135"/>
      <c r="N143" s="128">
        <f t="shared" si="73"/>
        <v>976229.83000000007</v>
      </c>
      <c r="P143" s="37"/>
    </row>
    <row r="144" spans="1:16" ht="138.75" customHeight="1" thickTop="1" thickBot="1" x14ac:dyDescent="0.25">
      <c r="A144" s="58"/>
      <c r="B144" s="75" t="s">
        <v>376</v>
      </c>
      <c r="C144" s="75" t="s">
        <v>359</v>
      </c>
      <c r="D144" s="75" t="s">
        <v>377</v>
      </c>
      <c r="E144" s="141">
        <v>40000000</v>
      </c>
      <c r="F144" s="141">
        <v>35000000</v>
      </c>
      <c r="G144" s="141">
        <v>35000000</v>
      </c>
      <c r="H144" s="126">
        <f t="shared" ref="H144:H155" si="74">G144/F144</f>
        <v>1</v>
      </c>
      <c r="I144" s="141"/>
      <c r="J144" s="171"/>
      <c r="K144" s="171"/>
      <c r="L144" s="171"/>
      <c r="M144" s="135"/>
      <c r="N144" s="128">
        <f t="shared" si="73"/>
        <v>35000000</v>
      </c>
      <c r="P144" s="37"/>
    </row>
    <row r="145" spans="1:16" ht="93" thickTop="1" thickBot="1" x14ac:dyDescent="0.25">
      <c r="A145" s="58"/>
      <c r="B145" s="75" t="s">
        <v>378</v>
      </c>
      <c r="C145" s="75" t="s">
        <v>359</v>
      </c>
      <c r="D145" s="75" t="s">
        <v>379</v>
      </c>
      <c r="E145" s="141">
        <v>25550000</v>
      </c>
      <c r="F145" s="141">
        <v>10160000</v>
      </c>
      <c r="G145" s="141">
        <v>10125511.560000001</v>
      </c>
      <c r="H145" s="126">
        <f t="shared" si="74"/>
        <v>0.99660546850393705</v>
      </c>
      <c r="I145" s="141">
        <v>953993</v>
      </c>
      <c r="J145" s="171">
        <v>182418.04</v>
      </c>
      <c r="K145" s="126">
        <f t="shared" ref="K145:K153" si="75">J145/I145</f>
        <v>0.19121528145384714</v>
      </c>
      <c r="L145" s="171"/>
      <c r="M145" s="135"/>
      <c r="N145" s="128">
        <f t="shared" si="73"/>
        <v>10307929.6</v>
      </c>
      <c r="P145" s="37"/>
    </row>
    <row r="146" spans="1:16" ht="123" thickTop="1" thickBot="1" x14ac:dyDescent="0.25">
      <c r="A146" s="58" t="s">
        <v>357</v>
      </c>
      <c r="B146" s="75" t="s">
        <v>358</v>
      </c>
      <c r="C146" s="75" t="s">
        <v>359</v>
      </c>
      <c r="D146" s="75" t="s">
        <v>360</v>
      </c>
      <c r="E146" s="141"/>
      <c r="F146" s="141"/>
      <c r="G146" s="141"/>
      <c r="H146" s="126">
        <v>0</v>
      </c>
      <c r="I146" s="141">
        <v>4000000</v>
      </c>
      <c r="J146" s="171">
        <v>1603135.64</v>
      </c>
      <c r="K146" s="126">
        <f t="shared" si="75"/>
        <v>0.40078390999999997</v>
      </c>
      <c r="L146" s="171"/>
      <c r="M146" s="135"/>
      <c r="N146" s="128">
        <f t="shared" si="73"/>
        <v>1603135.64</v>
      </c>
      <c r="O146" s="50" t="s">
        <v>433</v>
      </c>
      <c r="P146" s="37"/>
    </row>
    <row r="147" spans="1:16" ht="93" hidden="1" thickTop="1" thickBot="1" x14ac:dyDescent="0.25">
      <c r="A147" s="58"/>
      <c r="B147" s="92" t="s">
        <v>559</v>
      </c>
      <c r="C147" s="92" t="s">
        <v>359</v>
      </c>
      <c r="D147" s="92" t="s">
        <v>560</v>
      </c>
      <c r="E147" s="110">
        <v>0</v>
      </c>
      <c r="F147" s="110">
        <v>0</v>
      </c>
      <c r="G147" s="110">
        <v>0</v>
      </c>
      <c r="H147" s="91" t="e">
        <f t="shared" si="74"/>
        <v>#DIV/0!</v>
      </c>
      <c r="I147" s="110"/>
      <c r="J147" s="111"/>
      <c r="K147" s="91"/>
      <c r="L147" s="111"/>
      <c r="M147" s="94"/>
      <c r="N147" s="93">
        <f t="shared" si="73"/>
        <v>0</v>
      </c>
      <c r="O147" s="50"/>
      <c r="P147" s="37"/>
    </row>
    <row r="148" spans="1:16" ht="123" hidden="1" thickTop="1" thickBot="1" x14ac:dyDescent="0.25">
      <c r="A148" s="58" t="s">
        <v>361</v>
      </c>
      <c r="B148" s="92" t="s">
        <v>362</v>
      </c>
      <c r="C148" s="92" t="s">
        <v>359</v>
      </c>
      <c r="D148" s="92" t="s">
        <v>363</v>
      </c>
      <c r="E148" s="110"/>
      <c r="F148" s="110"/>
      <c r="G148" s="110"/>
      <c r="H148" s="91">
        <v>0</v>
      </c>
      <c r="I148" s="110">
        <v>0</v>
      </c>
      <c r="J148" s="111">
        <v>0</v>
      </c>
      <c r="K148" s="91" t="e">
        <f t="shared" si="75"/>
        <v>#DIV/0!</v>
      </c>
      <c r="L148" s="111"/>
      <c r="M148" s="94"/>
      <c r="N148" s="93">
        <f t="shared" si="73"/>
        <v>0</v>
      </c>
      <c r="O148" s="50" t="s">
        <v>433</v>
      </c>
      <c r="P148" s="37"/>
    </row>
    <row r="149" spans="1:16" ht="184.5" thickTop="1" thickBot="1" x14ac:dyDescent="0.25">
      <c r="A149" s="58" t="s">
        <v>364</v>
      </c>
      <c r="B149" s="75" t="s">
        <v>365</v>
      </c>
      <c r="C149" s="75" t="s">
        <v>359</v>
      </c>
      <c r="D149" s="75" t="s">
        <v>366</v>
      </c>
      <c r="E149" s="141">
        <v>6850000</v>
      </c>
      <c r="F149" s="141">
        <v>3318000</v>
      </c>
      <c r="G149" s="141">
        <v>2371666.11</v>
      </c>
      <c r="H149" s="126">
        <f t="shared" si="74"/>
        <v>0.71478785714285709</v>
      </c>
      <c r="I149" s="141"/>
      <c r="J149" s="171"/>
      <c r="K149" s="171"/>
      <c r="L149" s="171"/>
      <c r="M149" s="135"/>
      <c r="N149" s="128">
        <f t="shared" si="73"/>
        <v>2371666.11</v>
      </c>
      <c r="O149" s="50"/>
      <c r="P149" s="37"/>
    </row>
    <row r="150" spans="1:16" ht="62.25" thickTop="1" thickBot="1" x14ac:dyDescent="0.25">
      <c r="A150" s="58"/>
      <c r="B150" s="75" t="s">
        <v>368</v>
      </c>
      <c r="C150" s="75" t="s">
        <v>359</v>
      </c>
      <c r="D150" s="75" t="s">
        <v>369</v>
      </c>
      <c r="E150" s="141">
        <v>298067971</v>
      </c>
      <c r="F150" s="141">
        <v>72876350</v>
      </c>
      <c r="G150" s="141">
        <v>64773037.259999998</v>
      </c>
      <c r="H150" s="126">
        <f t="shared" si="74"/>
        <v>0.88880737385996966</v>
      </c>
      <c r="I150" s="128">
        <v>270000</v>
      </c>
      <c r="J150" s="141">
        <v>0</v>
      </c>
      <c r="K150" s="126">
        <f t="shared" si="75"/>
        <v>0</v>
      </c>
      <c r="L150" s="141"/>
      <c r="M150" s="135"/>
      <c r="N150" s="128">
        <f t="shared" si="73"/>
        <v>64773037.259999998</v>
      </c>
      <c r="O150" s="52"/>
      <c r="P150" s="37"/>
    </row>
    <row r="151" spans="1:16" ht="123" thickTop="1" thickBot="1" x14ac:dyDescent="0.25">
      <c r="A151" s="58"/>
      <c r="B151" s="76" t="s">
        <v>262</v>
      </c>
      <c r="C151" s="76"/>
      <c r="D151" s="76" t="s">
        <v>434</v>
      </c>
      <c r="E151" s="142">
        <f>SUM(E152:E154)</f>
        <v>0</v>
      </c>
      <c r="F151" s="142">
        <f>SUM(F152:F154)</f>
        <v>0</v>
      </c>
      <c r="G151" s="142">
        <f>SUM(G152:G154)</f>
        <v>0</v>
      </c>
      <c r="H151" s="130">
        <v>0</v>
      </c>
      <c r="I151" s="142">
        <f>SUM(I152:I154)</f>
        <v>26000000</v>
      </c>
      <c r="J151" s="142">
        <f>SUM(J152:J154)</f>
        <v>0</v>
      </c>
      <c r="K151" s="126">
        <f t="shared" si="75"/>
        <v>0</v>
      </c>
      <c r="L151" s="142"/>
      <c r="M151" s="159"/>
      <c r="N151" s="129">
        <f t="shared" si="73"/>
        <v>0</v>
      </c>
      <c r="O151" s="50" t="s">
        <v>433</v>
      </c>
      <c r="P151" s="37"/>
    </row>
    <row r="152" spans="1:16" ht="123" thickTop="1" thickBot="1" x14ac:dyDescent="0.25">
      <c r="A152" s="58" t="s">
        <v>367</v>
      </c>
      <c r="B152" s="75" t="s">
        <v>263</v>
      </c>
      <c r="C152" s="75" t="s">
        <v>264</v>
      </c>
      <c r="D152" s="75" t="s">
        <v>435</v>
      </c>
      <c r="E152" s="141"/>
      <c r="F152" s="141"/>
      <c r="G152" s="141"/>
      <c r="H152" s="126">
        <v>0</v>
      </c>
      <c r="I152" s="128">
        <v>26000000</v>
      </c>
      <c r="J152" s="141">
        <v>0</v>
      </c>
      <c r="K152" s="126">
        <f t="shared" si="75"/>
        <v>0</v>
      </c>
      <c r="L152" s="141"/>
      <c r="M152" s="135"/>
      <c r="N152" s="128">
        <f t="shared" si="73"/>
        <v>0</v>
      </c>
      <c r="O152" s="50" t="s">
        <v>433</v>
      </c>
      <c r="P152" s="30"/>
    </row>
    <row r="153" spans="1:16" ht="409.6" hidden="1" customHeight="1" thickTop="1" thickBot="1" x14ac:dyDescent="0.25">
      <c r="A153" s="58"/>
      <c r="B153" s="92" t="s">
        <v>495</v>
      </c>
      <c r="C153" s="92" t="s">
        <v>264</v>
      </c>
      <c r="D153" s="92" t="s">
        <v>496</v>
      </c>
      <c r="E153" s="110"/>
      <c r="F153" s="110"/>
      <c r="G153" s="110"/>
      <c r="H153" s="91" t="e">
        <f t="shared" si="74"/>
        <v>#DIV/0!</v>
      </c>
      <c r="I153" s="93">
        <v>0</v>
      </c>
      <c r="J153" s="110">
        <v>0</v>
      </c>
      <c r="K153" s="91" t="e">
        <f t="shared" si="75"/>
        <v>#DIV/0!</v>
      </c>
      <c r="L153" s="110"/>
      <c r="M153" s="94"/>
      <c r="N153" s="93">
        <f t="shared" si="73"/>
        <v>0</v>
      </c>
      <c r="P153" s="30"/>
    </row>
    <row r="154" spans="1:16" ht="184.5" hidden="1" thickTop="1" thickBot="1" x14ac:dyDescent="0.25">
      <c r="A154" s="58"/>
      <c r="B154" s="118" t="s">
        <v>348</v>
      </c>
      <c r="C154" s="118" t="s">
        <v>264</v>
      </c>
      <c r="D154" s="92" t="s">
        <v>349</v>
      </c>
      <c r="E154" s="110">
        <v>0</v>
      </c>
      <c r="F154" s="110">
        <v>0</v>
      </c>
      <c r="G154" s="93">
        <v>0</v>
      </c>
      <c r="H154" s="91">
        <v>0</v>
      </c>
      <c r="I154" s="93"/>
      <c r="J154" s="93"/>
      <c r="K154" s="93"/>
      <c r="L154" s="93"/>
      <c r="M154" s="94"/>
      <c r="N154" s="93">
        <f t="shared" si="73"/>
        <v>0</v>
      </c>
      <c r="O154" s="176" t="s">
        <v>433</v>
      </c>
      <c r="P154" s="177"/>
    </row>
    <row r="155" spans="1:16" ht="93" thickTop="1" thickBot="1" x14ac:dyDescent="0.25">
      <c r="A155" s="58"/>
      <c r="B155" s="75" t="s">
        <v>508</v>
      </c>
      <c r="C155" s="75" t="s">
        <v>509</v>
      </c>
      <c r="D155" s="75" t="s">
        <v>510</v>
      </c>
      <c r="E155" s="141">
        <v>2307800</v>
      </c>
      <c r="F155" s="141">
        <v>2135270</v>
      </c>
      <c r="G155" s="128">
        <v>86264.46</v>
      </c>
      <c r="H155" s="126">
        <f t="shared" si="74"/>
        <v>4.0399790190467716E-2</v>
      </c>
      <c r="I155" s="128"/>
      <c r="J155" s="128"/>
      <c r="K155" s="128"/>
      <c r="L155" s="128"/>
      <c r="M155" s="135"/>
      <c r="N155" s="128">
        <f t="shared" si="73"/>
        <v>86264.46</v>
      </c>
      <c r="O155" s="176" t="s">
        <v>433</v>
      </c>
      <c r="P155" s="177"/>
    </row>
    <row r="156" spans="1:16" s="38" customFormat="1" ht="101.25" customHeight="1" thickTop="1" thickBot="1" x14ac:dyDescent="0.25">
      <c r="A156" s="60" t="s">
        <v>370</v>
      </c>
      <c r="B156" s="77" t="s">
        <v>31</v>
      </c>
      <c r="C156" s="77"/>
      <c r="D156" s="78" t="s">
        <v>371</v>
      </c>
      <c r="E156" s="79">
        <f>E157+E159+E172+E180+E183</f>
        <v>192096235</v>
      </c>
      <c r="F156" s="79">
        <f>F157+F159+F172+F180+F183</f>
        <v>38191742</v>
      </c>
      <c r="G156" s="79">
        <f>G157+G159+G172+G180+G183</f>
        <v>33439745.91</v>
      </c>
      <c r="H156" s="80">
        <f>G156/F156</f>
        <v>0.87557529871248085</v>
      </c>
      <c r="I156" s="79">
        <f>I157+I159+I172+I180+I183</f>
        <v>141103818.11000001</v>
      </c>
      <c r="J156" s="79">
        <f>J157+J159+J172+J180+J183</f>
        <v>20120387.98</v>
      </c>
      <c r="K156" s="80">
        <f>J156/I156</f>
        <v>0.14259279620849657</v>
      </c>
      <c r="L156" s="79"/>
      <c r="M156" s="79"/>
      <c r="N156" s="81">
        <f>J156+G156</f>
        <v>53560133.890000001</v>
      </c>
      <c r="O156" s="53" t="b">
        <f>N156=N158+N160+N162+N163+N165+N166+N167+N171+N176+N179+N181+N184+N186+N187+N188+N189+N190+N191+N193+N195+N174</f>
        <v>1</v>
      </c>
      <c r="P156" s="51"/>
    </row>
    <row r="157" spans="1:16" s="38" customFormat="1" ht="91.5" thickTop="1" thickBot="1" x14ac:dyDescent="0.25">
      <c r="A157" s="82"/>
      <c r="B157" s="146" t="s">
        <v>414</v>
      </c>
      <c r="C157" s="146"/>
      <c r="D157" s="146" t="s">
        <v>415</v>
      </c>
      <c r="E157" s="147">
        <f>SUM(E158)</f>
        <v>160000</v>
      </c>
      <c r="F157" s="147">
        <f>SUM(F158)</f>
        <v>30000</v>
      </c>
      <c r="G157" s="147">
        <f>SUM(G158)</f>
        <v>15000</v>
      </c>
      <c r="H157" s="148">
        <f>G157/F157</f>
        <v>0.5</v>
      </c>
      <c r="I157" s="147">
        <f>SUM(I158)</f>
        <v>0</v>
      </c>
      <c r="J157" s="147">
        <f t="shared" ref="J157" si="76">SUM(J158)</f>
        <v>0</v>
      </c>
      <c r="K157" s="148">
        <v>0</v>
      </c>
      <c r="L157" s="147"/>
      <c r="M157" s="147"/>
      <c r="N157" s="147">
        <f t="shared" si="73"/>
        <v>15000</v>
      </c>
      <c r="O157" s="176" t="s">
        <v>433</v>
      </c>
      <c r="P157" s="177"/>
    </row>
    <row r="158" spans="1:16" s="38" customFormat="1" ht="62.25" thickTop="1" thickBot="1" x14ac:dyDescent="0.25">
      <c r="A158" s="82"/>
      <c r="B158" s="75" t="s">
        <v>416</v>
      </c>
      <c r="C158" s="75" t="s">
        <v>417</v>
      </c>
      <c r="D158" s="75" t="s">
        <v>418</v>
      </c>
      <c r="E158" s="128">
        <v>160000</v>
      </c>
      <c r="F158" s="128">
        <v>30000</v>
      </c>
      <c r="G158" s="128">
        <v>15000</v>
      </c>
      <c r="H158" s="126">
        <f t="shared" ref="H158" si="77">G158/F158</f>
        <v>0.5</v>
      </c>
      <c r="I158" s="128">
        <v>0</v>
      </c>
      <c r="J158" s="128">
        <v>0</v>
      </c>
      <c r="K158" s="126">
        <v>0</v>
      </c>
      <c r="L158" s="128"/>
      <c r="M158" s="135"/>
      <c r="N158" s="128">
        <f t="shared" si="73"/>
        <v>15000</v>
      </c>
      <c r="O158" s="176" t="s">
        <v>433</v>
      </c>
      <c r="P158" s="177"/>
    </row>
    <row r="159" spans="1:16" s="38" customFormat="1" ht="62.25" thickTop="1" thickBot="1" x14ac:dyDescent="0.25">
      <c r="A159" s="82"/>
      <c r="B159" s="146" t="s">
        <v>265</v>
      </c>
      <c r="C159" s="146"/>
      <c r="D159" s="146" t="s">
        <v>266</v>
      </c>
      <c r="E159" s="149">
        <f>SUM(E160:E171)-E161-E169</f>
        <v>50000</v>
      </c>
      <c r="F159" s="149">
        <f>SUM(F160:F171)-F161-F169</f>
        <v>0</v>
      </c>
      <c r="G159" s="149">
        <f>SUM(G160:G171)-G161-G169</f>
        <v>0</v>
      </c>
      <c r="H159" s="148">
        <v>0</v>
      </c>
      <c r="I159" s="149">
        <f>SUM(I160:I171)-I161-I169</f>
        <v>78844968.189999998</v>
      </c>
      <c r="J159" s="149">
        <f>SUM(J160:J171)-J161-J169</f>
        <v>4963089.6700000009</v>
      </c>
      <c r="K159" s="148">
        <f t="shared" ref="K159" si="78">J159/I159</f>
        <v>6.2947449709662956E-2</v>
      </c>
      <c r="L159" s="149"/>
      <c r="M159" s="149"/>
      <c r="N159" s="147">
        <f>G159+J159</f>
        <v>4963089.6700000009</v>
      </c>
      <c r="O159" s="176" t="s">
        <v>433</v>
      </c>
      <c r="P159" s="177"/>
    </row>
    <row r="160" spans="1:16" s="38" customFormat="1" ht="93" customHeight="1" thickTop="1" thickBot="1" x14ac:dyDescent="0.25">
      <c r="A160" s="82"/>
      <c r="B160" s="75" t="s">
        <v>380</v>
      </c>
      <c r="C160" s="75" t="s">
        <v>268</v>
      </c>
      <c r="D160" s="75" t="s">
        <v>525</v>
      </c>
      <c r="E160" s="141"/>
      <c r="F160" s="141"/>
      <c r="G160" s="141"/>
      <c r="H160" s="141"/>
      <c r="I160" s="128">
        <v>1000000</v>
      </c>
      <c r="J160" s="141">
        <v>0</v>
      </c>
      <c r="K160" s="126">
        <f>J160/I160</f>
        <v>0</v>
      </c>
      <c r="L160" s="141"/>
      <c r="M160" s="135"/>
      <c r="N160" s="128">
        <f t="shared" si="73"/>
        <v>0</v>
      </c>
      <c r="O160" s="39"/>
      <c r="P160" s="51"/>
    </row>
    <row r="161" spans="1:16" s="38" customFormat="1" ht="93" thickTop="1" thickBot="1" x14ac:dyDescent="0.25">
      <c r="A161" s="60"/>
      <c r="B161" s="76" t="s">
        <v>267</v>
      </c>
      <c r="C161" s="76"/>
      <c r="D161" s="76" t="s">
        <v>526</v>
      </c>
      <c r="E161" s="129"/>
      <c r="F161" s="129"/>
      <c r="G161" s="129"/>
      <c r="H161" s="130"/>
      <c r="I161" s="129">
        <f>SUM(I162:I166)</f>
        <v>74744968.189999998</v>
      </c>
      <c r="J161" s="129">
        <f>SUM(J162:J166)</f>
        <v>4886579.28</v>
      </c>
      <c r="K161" s="130">
        <f t="shared" ref="K161:K162" si="79">J161/I161</f>
        <v>6.537669890471326E-2</v>
      </c>
      <c r="L161" s="129"/>
      <c r="M161" s="129"/>
      <c r="N161" s="129">
        <f t="shared" si="73"/>
        <v>4886579.28</v>
      </c>
      <c r="O161" s="39"/>
      <c r="P161" s="51"/>
    </row>
    <row r="162" spans="1:16" s="38" customFormat="1" ht="48" thickTop="1" thickBot="1" x14ac:dyDescent="0.25">
      <c r="A162" s="60"/>
      <c r="B162" s="75" t="s">
        <v>396</v>
      </c>
      <c r="C162" s="75" t="s">
        <v>268</v>
      </c>
      <c r="D162" s="75" t="s">
        <v>527</v>
      </c>
      <c r="E162" s="128"/>
      <c r="F162" s="128"/>
      <c r="G162" s="128"/>
      <c r="H162" s="128"/>
      <c r="I162" s="128">
        <f>31260227.26+40425815.94</f>
        <v>71686043.200000003</v>
      </c>
      <c r="J162" s="128">
        <f>2888257.48+1998321.8</f>
        <v>4886579.28</v>
      </c>
      <c r="K162" s="126">
        <f t="shared" si="79"/>
        <v>6.8166396998181653E-2</v>
      </c>
      <c r="L162" s="128"/>
      <c r="M162" s="135"/>
      <c r="N162" s="128">
        <f t="shared" si="73"/>
        <v>4886579.28</v>
      </c>
      <c r="O162" s="39"/>
      <c r="P162" s="51"/>
    </row>
    <row r="163" spans="1:16" s="38" customFormat="1" ht="48" thickTop="1" thickBot="1" x14ac:dyDescent="0.25">
      <c r="A163" s="60"/>
      <c r="B163" s="75" t="s">
        <v>519</v>
      </c>
      <c r="C163" s="75" t="s">
        <v>268</v>
      </c>
      <c r="D163" s="75" t="s">
        <v>528</v>
      </c>
      <c r="E163" s="128"/>
      <c r="F163" s="128"/>
      <c r="G163" s="128"/>
      <c r="H163" s="128"/>
      <c r="I163" s="128">
        <v>3058924.99</v>
      </c>
      <c r="J163" s="128">
        <v>0</v>
      </c>
      <c r="K163" s="126">
        <f t="shared" ref="K163" si="80">J163/I163</f>
        <v>0</v>
      </c>
      <c r="L163" s="128"/>
      <c r="M163" s="135"/>
      <c r="N163" s="128">
        <f t="shared" ref="N163" si="81">G163+J163</f>
        <v>0</v>
      </c>
      <c r="O163" s="39"/>
      <c r="P163" s="51"/>
    </row>
    <row r="164" spans="1:16" s="38" customFormat="1" ht="123" hidden="1" thickTop="1" thickBot="1" x14ac:dyDescent="0.25">
      <c r="A164" s="60"/>
      <c r="B164" s="92" t="s">
        <v>448</v>
      </c>
      <c r="C164" s="92" t="s">
        <v>268</v>
      </c>
      <c r="D164" s="92" t="s">
        <v>523</v>
      </c>
      <c r="E164" s="93"/>
      <c r="F164" s="93"/>
      <c r="G164" s="93"/>
      <c r="H164" s="93"/>
      <c r="I164" s="93">
        <v>0</v>
      </c>
      <c r="J164" s="93">
        <v>0</v>
      </c>
      <c r="K164" s="91">
        <v>0</v>
      </c>
      <c r="L164" s="93"/>
      <c r="M164" s="94"/>
      <c r="N164" s="93">
        <f t="shared" si="73"/>
        <v>0</v>
      </c>
      <c r="O164" s="50" t="s">
        <v>433</v>
      </c>
      <c r="P164" s="51"/>
    </row>
    <row r="165" spans="1:16" s="38" customFormat="1" ht="48" hidden="1" thickTop="1" thickBot="1" x14ac:dyDescent="0.25">
      <c r="A165" s="60"/>
      <c r="B165" s="92" t="s">
        <v>397</v>
      </c>
      <c r="C165" s="92" t="s">
        <v>268</v>
      </c>
      <c r="D165" s="92" t="s">
        <v>529</v>
      </c>
      <c r="E165" s="93"/>
      <c r="F165" s="93"/>
      <c r="G165" s="93"/>
      <c r="H165" s="93"/>
      <c r="I165" s="93">
        <v>0</v>
      </c>
      <c r="J165" s="93">
        <v>0</v>
      </c>
      <c r="K165" s="91" t="e">
        <f t="shared" ref="K165" si="82">J165/I165</f>
        <v>#DIV/0!</v>
      </c>
      <c r="L165" s="93"/>
      <c r="M165" s="94"/>
      <c r="N165" s="93">
        <f t="shared" ref="N165" si="83">G165+J165</f>
        <v>0</v>
      </c>
      <c r="O165" s="39"/>
      <c r="P165" s="51"/>
    </row>
    <row r="166" spans="1:16" s="38" customFormat="1" ht="93" hidden="1" thickTop="1" thickBot="1" x14ac:dyDescent="0.25">
      <c r="A166" s="82"/>
      <c r="B166" s="92" t="s">
        <v>520</v>
      </c>
      <c r="C166" s="92" t="s">
        <v>268</v>
      </c>
      <c r="D166" s="92" t="s">
        <v>524</v>
      </c>
      <c r="E166" s="93"/>
      <c r="F166" s="93"/>
      <c r="G166" s="93"/>
      <c r="H166" s="93"/>
      <c r="I166" s="93">
        <v>0</v>
      </c>
      <c r="J166" s="93">
        <v>0</v>
      </c>
      <c r="K166" s="91" t="e">
        <f t="shared" ref="K166:K172" si="84">J166/I166</f>
        <v>#DIV/0!</v>
      </c>
      <c r="L166" s="93"/>
      <c r="M166" s="94"/>
      <c r="N166" s="93">
        <f t="shared" si="73"/>
        <v>0</v>
      </c>
      <c r="O166" s="39"/>
      <c r="P166" s="51"/>
    </row>
    <row r="167" spans="1:16" s="38" customFormat="1" ht="93" thickTop="1" thickBot="1" x14ac:dyDescent="0.25">
      <c r="A167" s="8"/>
      <c r="B167" s="75" t="s">
        <v>398</v>
      </c>
      <c r="C167" s="75" t="s">
        <v>268</v>
      </c>
      <c r="D167" s="75" t="s">
        <v>530</v>
      </c>
      <c r="E167" s="128"/>
      <c r="F167" s="128"/>
      <c r="G167" s="128"/>
      <c r="H167" s="128"/>
      <c r="I167" s="128">
        <v>3100000</v>
      </c>
      <c r="J167" s="128">
        <v>76510.39</v>
      </c>
      <c r="K167" s="126">
        <f t="shared" si="84"/>
        <v>2.4680770967741936E-2</v>
      </c>
      <c r="L167" s="128"/>
      <c r="M167" s="135"/>
      <c r="N167" s="128">
        <f t="shared" si="73"/>
        <v>76510.39</v>
      </c>
      <c r="O167" s="39"/>
      <c r="P167" s="51"/>
    </row>
    <row r="168" spans="1:16" s="38" customFormat="1" ht="93" hidden="1" thickTop="1" thickBot="1" x14ac:dyDescent="0.25">
      <c r="A168" s="82"/>
      <c r="B168" s="92" t="s">
        <v>449</v>
      </c>
      <c r="C168" s="92" t="s">
        <v>268</v>
      </c>
      <c r="D168" s="92" t="s">
        <v>450</v>
      </c>
      <c r="E168" s="93"/>
      <c r="F168" s="93"/>
      <c r="G168" s="93"/>
      <c r="H168" s="93"/>
      <c r="I168" s="93">
        <v>0</v>
      </c>
      <c r="J168" s="93">
        <v>0</v>
      </c>
      <c r="K168" s="91" t="e">
        <f t="shared" si="84"/>
        <v>#DIV/0!</v>
      </c>
      <c r="L168" s="93"/>
      <c r="M168" s="94"/>
      <c r="N168" s="93">
        <f t="shared" si="73"/>
        <v>0</v>
      </c>
      <c r="O168" s="39"/>
      <c r="P168" s="51"/>
    </row>
    <row r="169" spans="1:16" s="38" customFormat="1" ht="123" hidden="1" thickTop="1" thickBot="1" x14ac:dyDescent="0.25">
      <c r="A169" s="82"/>
      <c r="B169" s="95" t="s">
        <v>497</v>
      </c>
      <c r="C169" s="95"/>
      <c r="D169" s="95" t="s">
        <v>499</v>
      </c>
      <c r="E169" s="96">
        <f>E170</f>
        <v>0</v>
      </c>
      <c r="F169" s="96">
        <f>F170</f>
        <v>0</v>
      </c>
      <c r="G169" s="96">
        <f t="shared" ref="G169" si="85">G170</f>
        <v>0</v>
      </c>
      <c r="H169" s="97"/>
      <c r="I169" s="96">
        <f>I170</f>
        <v>0</v>
      </c>
      <c r="J169" s="96">
        <f>J170</f>
        <v>0</v>
      </c>
      <c r="K169" s="91" t="e">
        <f t="shared" si="84"/>
        <v>#DIV/0!</v>
      </c>
      <c r="L169" s="96"/>
      <c r="M169" s="96"/>
      <c r="N169" s="96">
        <f t="shared" si="73"/>
        <v>0</v>
      </c>
      <c r="O169" s="50" t="s">
        <v>433</v>
      </c>
      <c r="P169" s="51"/>
    </row>
    <row r="170" spans="1:16" s="38" customFormat="1" ht="138.75" hidden="1" thickTop="1" thickBot="1" x14ac:dyDescent="0.25">
      <c r="A170" s="82"/>
      <c r="B170" s="92" t="s">
        <v>498</v>
      </c>
      <c r="C170" s="92" t="s">
        <v>39</v>
      </c>
      <c r="D170" s="92" t="s">
        <v>500</v>
      </c>
      <c r="E170" s="93"/>
      <c r="F170" s="93"/>
      <c r="G170" s="93"/>
      <c r="H170" s="93"/>
      <c r="I170" s="93"/>
      <c r="J170" s="93">
        <v>0</v>
      </c>
      <c r="K170" s="91" t="e">
        <f t="shared" si="84"/>
        <v>#DIV/0!</v>
      </c>
      <c r="L170" s="93"/>
      <c r="M170" s="94"/>
      <c r="N170" s="93">
        <f t="shared" si="73"/>
        <v>0</v>
      </c>
      <c r="O170" s="39"/>
      <c r="P170" s="51"/>
    </row>
    <row r="171" spans="1:16" s="38" customFormat="1" ht="93" thickTop="1" thickBot="1" x14ac:dyDescent="0.25">
      <c r="A171" s="8"/>
      <c r="B171" s="75" t="s">
        <v>399</v>
      </c>
      <c r="C171" s="75" t="s">
        <v>39</v>
      </c>
      <c r="D171" s="75" t="s">
        <v>400</v>
      </c>
      <c r="E171" s="128">
        <v>50000</v>
      </c>
      <c r="F171" s="128">
        <v>0</v>
      </c>
      <c r="G171" s="128">
        <v>0</v>
      </c>
      <c r="H171" s="126">
        <v>0</v>
      </c>
      <c r="I171" s="128"/>
      <c r="J171" s="128"/>
      <c r="K171" s="126"/>
      <c r="L171" s="128"/>
      <c r="M171" s="135"/>
      <c r="N171" s="128">
        <f>G171+J171</f>
        <v>0</v>
      </c>
      <c r="O171" s="176" t="s">
        <v>433</v>
      </c>
      <c r="P171" s="177"/>
    </row>
    <row r="172" spans="1:16" s="38" customFormat="1" ht="91.5" thickTop="1" thickBot="1" x14ac:dyDescent="0.25">
      <c r="A172" s="57"/>
      <c r="B172" s="146" t="s">
        <v>381</v>
      </c>
      <c r="C172" s="146"/>
      <c r="D172" s="146" t="s">
        <v>382</v>
      </c>
      <c r="E172" s="147">
        <f>SUM(E173:E179)-E175-E178-E173</f>
        <v>170660533</v>
      </c>
      <c r="F172" s="147">
        <f>SUM(F173:F179)-F175-F178-F173</f>
        <v>32289930</v>
      </c>
      <c r="G172" s="147">
        <f>SUM(G173:G179)-G175-G178-G173</f>
        <v>31259159.75</v>
      </c>
      <c r="H172" s="148">
        <f t="shared" ref="H172" si="86">G172/F172</f>
        <v>0.96807765609897578</v>
      </c>
      <c r="I172" s="147">
        <f>SUM(I173:I179)-I175-I178-I173</f>
        <v>2935752</v>
      </c>
      <c r="J172" s="147">
        <f>SUM(J173:J179)-J175-J178-J173</f>
        <v>0</v>
      </c>
      <c r="K172" s="148">
        <f t="shared" si="84"/>
        <v>0</v>
      </c>
      <c r="L172" s="147"/>
      <c r="M172" s="147"/>
      <c r="N172" s="147">
        <f>G172+J172</f>
        <v>31259159.75</v>
      </c>
      <c r="O172" s="39"/>
      <c r="P172" s="51"/>
    </row>
    <row r="173" spans="1:16" s="38" customFormat="1" ht="93" thickTop="1" thickBot="1" x14ac:dyDescent="0.25">
      <c r="A173" s="57"/>
      <c r="B173" s="76" t="s">
        <v>465</v>
      </c>
      <c r="C173" s="76"/>
      <c r="D173" s="76" t="s">
        <v>466</v>
      </c>
      <c r="E173" s="129">
        <f>E174</f>
        <v>300000</v>
      </c>
      <c r="F173" s="129">
        <f>F174</f>
        <v>85000</v>
      </c>
      <c r="G173" s="129">
        <f>G174</f>
        <v>77056.009999999995</v>
      </c>
      <c r="H173" s="130">
        <f t="shared" ref="H173:H188" si="87">G173/F173</f>
        <v>0.90654129411764695</v>
      </c>
      <c r="I173" s="129">
        <f>I174</f>
        <v>0</v>
      </c>
      <c r="J173" s="129">
        <f>J174</f>
        <v>0</v>
      </c>
      <c r="K173" s="126">
        <v>0</v>
      </c>
      <c r="L173" s="129"/>
      <c r="M173" s="129"/>
      <c r="N173" s="129">
        <f t="shared" si="73"/>
        <v>77056.009999999995</v>
      </c>
      <c r="O173" s="50"/>
      <c r="P173" s="51"/>
    </row>
    <row r="174" spans="1:16" s="38" customFormat="1" ht="48" thickTop="1" thickBot="1" x14ac:dyDescent="0.25">
      <c r="A174" s="57"/>
      <c r="B174" s="75" t="s">
        <v>467</v>
      </c>
      <c r="C174" s="75" t="s">
        <v>468</v>
      </c>
      <c r="D174" s="75" t="s">
        <v>469</v>
      </c>
      <c r="E174" s="128">
        <v>300000</v>
      </c>
      <c r="F174" s="128">
        <v>85000</v>
      </c>
      <c r="G174" s="128">
        <v>77056.009999999995</v>
      </c>
      <c r="H174" s="126">
        <f>G174/F174</f>
        <v>0.90654129411764695</v>
      </c>
      <c r="I174" s="128"/>
      <c r="J174" s="128"/>
      <c r="K174" s="128"/>
      <c r="L174" s="128"/>
      <c r="M174" s="135"/>
      <c r="N174" s="128">
        <f t="shared" si="73"/>
        <v>77056.009999999995</v>
      </c>
      <c r="O174" s="39"/>
      <c r="P174" s="51"/>
    </row>
    <row r="175" spans="1:16" s="38" customFormat="1" ht="93" thickTop="1" thickBot="1" x14ac:dyDescent="0.25">
      <c r="A175" s="57"/>
      <c r="B175" s="76" t="s">
        <v>401</v>
      </c>
      <c r="C175" s="76"/>
      <c r="D175" s="76" t="s">
        <v>402</v>
      </c>
      <c r="E175" s="129">
        <f>E176</f>
        <v>158360533</v>
      </c>
      <c r="F175" s="129">
        <f t="shared" ref="F175:G175" si="88">F176</f>
        <v>32204930</v>
      </c>
      <c r="G175" s="129">
        <f t="shared" si="88"/>
        <v>31182103.739999998</v>
      </c>
      <c r="H175" s="126">
        <f t="shared" si="87"/>
        <v>0.96824007193929618</v>
      </c>
      <c r="I175" s="129"/>
      <c r="J175" s="129"/>
      <c r="K175" s="130"/>
      <c r="L175" s="129"/>
      <c r="M175" s="129"/>
      <c r="N175" s="129">
        <f t="shared" si="73"/>
        <v>31182103.739999998</v>
      </c>
      <c r="O175" s="50"/>
      <c r="P175" s="51"/>
    </row>
    <row r="176" spans="1:16" s="38" customFormat="1" ht="48" thickTop="1" thickBot="1" x14ac:dyDescent="0.25">
      <c r="A176" s="57"/>
      <c r="B176" s="75" t="s">
        <v>403</v>
      </c>
      <c r="C176" s="75" t="s">
        <v>404</v>
      </c>
      <c r="D176" s="75" t="s">
        <v>405</v>
      </c>
      <c r="E176" s="128">
        <v>158360533</v>
      </c>
      <c r="F176" s="128">
        <v>32204930</v>
      </c>
      <c r="G176" s="128">
        <v>31182103.739999998</v>
      </c>
      <c r="H176" s="126">
        <f t="shared" si="87"/>
        <v>0.96824007193929618</v>
      </c>
      <c r="I176" s="128"/>
      <c r="J176" s="128"/>
      <c r="K176" s="128"/>
      <c r="L176" s="128"/>
      <c r="M176" s="135"/>
      <c r="N176" s="128">
        <f t="shared" si="73"/>
        <v>31182103.739999998</v>
      </c>
      <c r="O176" s="39"/>
      <c r="P176" s="51"/>
    </row>
    <row r="177" spans="1:16" s="38" customFormat="1" ht="62.25" hidden="1" thickTop="1" thickBot="1" x14ac:dyDescent="0.25">
      <c r="A177" s="57"/>
      <c r="B177" s="92" t="s">
        <v>511</v>
      </c>
      <c r="C177" s="92" t="s">
        <v>384</v>
      </c>
      <c r="D177" s="92" t="s">
        <v>512</v>
      </c>
      <c r="E177" s="93">
        <v>0</v>
      </c>
      <c r="F177" s="93">
        <v>0</v>
      </c>
      <c r="G177" s="93">
        <v>0</v>
      </c>
      <c r="H177" s="91" t="e">
        <f t="shared" si="87"/>
        <v>#DIV/0!</v>
      </c>
      <c r="I177" s="93"/>
      <c r="J177" s="93"/>
      <c r="K177" s="93"/>
      <c r="L177" s="93"/>
      <c r="M177" s="94"/>
      <c r="N177" s="93">
        <f t="shared" si="73"/>
        <v>0</v>
      </c>
      <c r="O177" s="50"/>
      <c r="P177" s="51"/>
    </row>
    <row r="178" spans="1:16" s="38" customFormat="1" ht="93" thickTop="1" thickBot="1" x14ac:dyDescent="0.25">
      <c r="A178" s="57"/>
      <c r="B178" s="76" t="s">
        <v>446</v>
      </c>
      <c r="C178" s="76"/>
      <c r="D178" s="76" t="s">
        <v>447</v>
      </c>
      <c r="E178" s="129">
        <f>E179</f>
        <v>12000000</v>
      </c>
      <c r="F178" s="129">
        <f>F179</f>
        <v>0</v>
      </c>
      <c r="G178" s="129">
        <f>G179</f>
        <v>0</v>
      </c>
      <c r="H178" s="130">
        <v>0</v>
      </c>
      <c r="I178" s="129">
        <f>I179</f>
        <v>2935752</v>
      </c>
      <c r="J178" s="129">
        <f>J179</f>
        <v>0</v>
      </c>
      <c r="K178" s="130">
        <f t="shared" ref="K178:K179" si="89">J178/I178</f>
        <v>0</v>
      </c>
      <c r="L178" s="129"/>
      <c r="M178" s="159"/>
      <c r="N178" s="129">
        <f t="shared" si="73"/>
        <v>0</v>
      </c>
      <c r="O178" s="176" t="s">
        <v>433</v>
      </c>
      <c r="P178" s="177"/>
    </row>
    <row r="179" spans="1:16" s="38" customFormat="1" ht="138.75" thickTop="1" thickBot="1" x14ac:dyDescent="0.25">
      <c r="A179" s="8"/>
      <c r="B179" s="75" t="s">
        <v>383</v>
      </c>
      <c r="C179" s="75" t="s">
        <v>384</v>
      </c>
      <c r="D179" s="75" t="s">
        <v>385</v>
      </c>
      <c r="E179" s="141">
        <v>12000000</v>
      </c>
      <c r="F179" s="141">
        <v>0</v>
      </c>
      <c r="G179" s="141">
        <v>0</v>
      </c>
      <c r="H179" s="126">
        <v>0</v>
      </c>
      <c r="I179" s="141">
        <v>2935752</v>
      </c>
      <c r="J179" s="171">
        <v>0</v>
      </c>
      <c r="K179" s="126">
        <f t="shared" si="89"/>
        <v>0</v>
      </c>
      <c r="L179" s="171"/>
      <c r="M179" s="135"/>
      <c r="N179" s="128">
        <f t="shared" si="73"/>
        <v>0</v>
      </c>
      <c r="O179" s="176" t="s">
        <v>433</v>
      </c>
      <c r="P179" s="177"/>
    </row>
    <row r="180" spans="1:16" s="38" customFormat="1" ht="62.25" thickTop="1" thickBot="1" x14ac:dyDescent="0.25">
      <c r="A180" s="8"/>
      <c r="B180" s="146" t="s">
        <v>32</v>
      </c>
      <c r="C180" s="8"/>
      <c r="D180" s="146" t="s">
        <v>33</v>
      </c>
      <c r="E180" s="149">
        <f>E181+E182</f>
        <v>4883000</v>
      </c>
      <c r="F180" s="149">
        <f>F181+F182</f>
        <v>1220760</v>
      </c>
      <c r="G180" s="149">
        <f>G181+G182</f>
        <v>1201091.74</v>
      </c>
      <c r="H180" s="148">
        <f t="shared" si="87"/>
        <v>0.98388851207444539</v>
      </c>
      <c r="I180" s="149">
        <f>I181+I182</f>
        <v>0</v>
      </c>
      <c r="J180" s="149">
        <f>J181+J182</f>
        <v>0</v>
      </c>
      <c r="K180" s="148">
        <v>0</v>
      </c>
      <c r="L180" s="172"/>
      <c r="M180" s="172"/>
      <c r="N180" s="147">
        <f>G180+J180</f>
        <v>1201091.74</v>
      </c>
      <c r="O180" s="176" t="s">
        <v>433</v>
      </c>
      <c r="P180" s="177"/>
    </row>
    <row r="181" spans="1:16" s="38" customFormat="1" ht="48" thickTop="1" thickBot="1" x14ac:dyDescent="0.25">
      <c r="A181" s="8"/>
      <c r="B181" s="75" t="s">
        <v>34</v>
      </c>
      <c r="C181" s="75" t="s">
        <v>501</v>
      </c>
      <c r="D181" s="75" t="s">
        <v>35</v>
      </c>
      <c r="E181" s="141">
        <v>4883000</v>
      </c>
      <c r="F181" s="141">
        <v>1220760</v>
      </c>
      <c r="G181" s="141">
        <v>1201091.74</v>
      </c>
      <c r="H181" s="126">
        <f t="shared" si="87"/>
        <v>0.98388851207444539</v>
      </c>
      <c r="I181" s="141"/>
      <c r="J181" s="141"/>
      <c r="K181" s="126"/>
      <c r="L181" s="172"/>
      <c r="M181" s="172"/>
      <c r="N181" s="128">
        <f t="shared" si="73"/>
        <v>1201091.74</v>
      </c>
      <c r="O181" s="39"/>
      <c r="P181" s="51"/>
    </row>
    <row r="182" spans="1:16" s="38" customFormat="1" ht="138.75" hidden="1" thickTop="1" thickBot="1" x14ac:dyDescent="0.25">
      <c r="A182" s="57"/>
      <c r="B182" s="98" t="s">
        <v>451</v>
      </c>
      <c r="C182" s="98" t="s">
        <v>501</v>
      </c>
      <c r="D182" s="98" t="s">
        <v>452</v>
      </c>
      <c r="E182" s="112"/>
      <c r="F182" s="112"/>
      <c r="G182" s="112"/>
      <c r="H182" s="91" t="e">
        <f t="shared" si="87"/>
        <v>#DIV/0!</v>
      </c>
      <c r="I182" s="112">
        <v>0</v>
      </c>
      <c r="J182" s="112">
        <v>0</v>
      </c>
      <c r="K182" s="100">
        <v>0</v>
      </c>
      <c r="L182" s="121"/>
      <c r="M182" s="121"/>
      <c r="N182" s="99">
        <f t="shared" si="73"/>
        <v>0</v>
      </c>
      <c r="O182" s="50" t="s">
        <v>433</v>
      </c>
      <c r="P182" s="51"/>
    </row>
    <row r="183" spans="1:16" s="38" customFormat="1" ht="91.5" thickTop="1" thickBot="1" x14ac:dyDescent="0.25">
      <c r="A183" s="57"/>
      <c r="B183" s="146" t="s">
        <v>36</v>
      </c>
      <c r="C183" s="8"/>
      <c r="D183" s="146" t="s">
        <v>37</v>
      </c>
      <c r="E183" s="149">
        <f>SUM(E184:E195)-E192-E185</f>
        <v>16342702</v>
      </c>
      <c r="F183" s="149">
        <f>SUM(F184:F195)-F192-F185</f>
        <v>4651052</v>
      </c>
      <c r="G183" s="149">
        <f>SUM(G184:G195)-G192-G185</f>
        <v>964494.42000000016</v>
      </c>
      <c r="H183" s="148">
        <f t="shared" si="87"/>
        <v>0.20737123988293404</v>
      </c>
      <c r="I183" s="149">
        <f>SUM(I184:I195)-I192-I185</f>
        <v>59323097.920000002</v>
      </c>
      <c r="J183" s="149">
        <f>SUM(J184:J195)-J192-J185</f>
        <v>15157298.310000001</v>
      </c>
      <c r="K183" s="148">
        <f>J183/I183</f>
        <v>0.2555041601239425</v>
      </c>
      <c r="L183" s="172"/>
      <c r="M183" s="172"/>
      <c r="N183" s="147">
        <f t="shared" si="73"/>
        <v>16121792.73</v>
      </c>
      <c r="O183" s="39"/>
      <c r="P183" s="51"/>
    </row>
    <row r="184" spans="1:16" s="38" customFormat="1" ht="93" thickTop="1" thickBot="1" x14ac:dyDescent="0.25">
      <c r="A184" s="57"/>
      <c r="B184" s="75" t="s">
        <v>406</v>
      </c>
      <c r="C184" s="75" t="s">
        <v>407</v>
      </c>
      <c r="D184" s="75" t="s">
        <v>408</v>
      </c>
      <c r="E184" s="128">
        <v>8245000</v>
      </c>
      <c r="F184" s="128">
        <v>860000</v>
      </c>
      <c r="G184" s="128">
        <v>119115</v>
      </c>
      <c r="H184" s="126">
        <f t="shared" si="87"/>
        <v>0.13850581395348838</v>
      </c>
      <c r="I184" s="128"/>
      <c r="J184" s="128"/>
      <c r="K184" s="126"/>
      <c r="L184" s="128"/>
      <c r="M184" s="135"/>
      <c r="N184" s="128">
        <f t="shared" si="73"/>
        <v>119115</v>
      </c>
      <c r="O184" s="39"/>
      <c r="P184" s="51"/>
    </row>
    <row r="185" spans="1:16" s="38" customFormat="1" ht="62.25" thickTop="1" thickBot="1" x14ac:dyDescent="0.25">
      <c r="A185" s="60"/>
      <c r="B185" s="76" t="s">
        <v>470</v>
      </c>
      <c r="C185" s="76"/>
      <c r="D185" s="76" t="s">
        <v>472</v>
      </c>
      <c r="E185" s="129">
        <f>E186</f>
        <v>1026850</v>
      </c>
      <c r="F185" s="129">
        <f>F186</f>
        <v>256710</v>
      </c>
      <c r="G185" s="129">
        <f>G186</f>
        <v>214549.2</v>
      </c>
      <c r="H185" s="126">
        <f t="shared" si="87"/>
        <v>0.83576487086595774</v>
      </c>
      <c r="I185" s="129">
        <f>I186</f>
        <v>0</v>
      </c>
      <c r="J185" s="129">
        <f>J186</f>
        <v>0</v>
      </c>
      <c r="K185" s="130">
        <v>0</v>
      </c>
      <c r="L185" s="129"/>
      <c r="M185" s="159"/>
      <c r="N185" s="129">
        <f t="shared" si="73"/>
        <v>214549.2</v>
      </c>
      <c r="O185" s="176" t="s">
        <v>433</v>
      </c>
      <c r="P185" s="177"/>
    </row>
    <row r="186" spans="1:16" s="38" customFormat="1" ht="93" thickTop="1" thickBot="1" x14ac:dyDescent="0.25">
      <c r="A186" s="57"/>
      <c r="B186" s="75" t="s">
        <v>471</v>
      </c>
      <c r="C186" s="75" t="s">
        <v>373</v>
      </c>
      <c r="D186" s="75" t="s">
        <v>473</v>
      </c>
      <c r="E186" s="128">
        <v>1026850</v>
      </c>
      <c r="F186" s="128">
        <v>256710</v>
      </c>
      <c r="G186" s="128">
        <v>214549.2</v>
      </c>
      <c r="H186" s="126">
        <f t="shared" si="87"/>
        <v>0.83576487086595774</v>
      </c>
      <c r="I186" s="128"/>
      <c r="J186" s="128"/>
      <c r="K186" s="126"/>
      <c r="L186" s="128"/>
      <c r="M186" s="135"/>
      <c r="N186" s="128">
        <f t="shared" si="73"/>
        <v>214549.2</v>
      </c>
      <c r="O186" s="39"/>
      <c r="P186" s="51"/>
    </row>
    <row r="187" spans="1:16" s="38" customFormat="1" ht="93" thickTop="1" thickBot="1" x14ac:dyDescent="0.25">
      <c r="A187" s="57"/>
      <c r="B187" s="75" t="s">
        <v>409</v>
      </c>
      <c r="C187" s="75" t="s">
        <v>373</v>
      </c>
      <c r="D187" s="75" t="s">
        <v>410</v>
      </c>
      <c r="E187" s="128">
        <v>505000</v>
      </c>
      <c r="F187" s="128">
        <v>187000</v>
      </c>
      <c r="G187" s="128">
        <v>48622</v>
      </c>
      <c r="H187" s="126">
        <f t="shared" si="87"/>
        <v>0.2600106951871658</v>
      </c>
      <c r="I187" s="128"/>
      <c r="J187" s="128"/>
      <c r="K187" s="126"/>
      <c r="L187" s="128"/>
      <c r="M187" s="135"/>
      <c r="N187" s="128">
        <f t="shared" si="73"/>
        <v>48622</v>
      </c>
      <c r="O187" s="39"/>
      <c r="P187" s="51"/>
    </row>
    <row r="188" spans="1:16" s="38" customFormat="1" ht="62.25" thickTop="1" thickBot="1" x14ac:dyDescent="0.25">
      <c r="A188" s="57"/>
      <c r="B188" s="75" t="s">
        <v>372</v>
      </c>
      <c r="C188" s="75" t="s">
        <v>373</v>
      </c>
      <c r="D188" s="75" t="s">
        <v>374</v>
      </c>
      <c r="E188" s="141">
        <v>3874517</v>
      </c>
      <c r="F188" s="141">
        <v>2674517</v>
      </c>
      <c r="G188" s="141">
        <v>22694.12</v>
      </c>
      <c r="H188" s="126">
        <f t="shared" si="87"/>
        <v>8.4853152924434568E-3</v>
      </c>
      <c r="I188" s="128">
        <f>18455977.12+13660+13270990.8+15563884+100000</f>
        <v>47404511.920000002</v>
      </c>
      <c r="J188" s="141">
        <f>5396636.61+5237080.64+4309129.55</f>
        <v>14942846.800000001</v>
      </c>
      <c r="K188" s="126">
        <f>J188/I188</f>
        <v>0.31521992727649206</v>
      </c>
      <c r="L188" s="141"/>
      <c r="M188" s="135"/>
      <c r="N188" s="128">
        <f t="shared" si="73"/>
        <v>14965540.92</v>
      </c>
      <c r="O188" s="176"/>
      <c r="P188" s="177"/>
    </row>
    <row r="189" spans="1:16" s="38" customFormat="1" ht="93" thickTop="1" thickBot="1" x14ac:dyDescent="0.25">
      <c r="A189" s="57"/>
      <c r="B189" s="75" t="s">
        <v>419</v>
      </c>
      <c r="C189" s="75" t="s">
        <v>39</v>
      </c>
      <c r="D189" s="75" t="s">
        <v>420</v>
      </c>
      <c r="E189" s="128"/>
      <c r="F189" s="128"/>
      <c r="G189" s="128"/>
      <c r="H189" s="128"/>
      <c r="I189" s="128">
        <v>15000</v>
      </c>
      <c r="J189" s="128">
        <v>4000</v>
      </c>
      <c r="K189" s="126">
        <f>J189/I189</f>
        <v>0.26666666666666666</v>
      </c>
      <c r="L189" s="128"/>
      <c r="M189" s="135"/>
      <c r="N189" s="128">
        <f t="shared" si="73"/>
        <v>4000</v>
      </c>
      <c r="O189" s="39"/>
      <c r="P189" s="51"/>
    </row>
    <row r="190" spans="1:16" s="38" customFormat="1" ht="93" thickTop="1" thickBot="1" x14ac:dyDescent="0.25">
      <c r="A190" s="57"/>
      <c r="B190" s="75" t="s">
        <v>188</v>
      </c>
      <c r="C190" s="75" t="s">
        <v>39</v>
      </c>
      <c r="D190" s="75" t="s">
        <v>189</v>
      </c>
      <c r="E190" s="141"/>
      <c r="F190" s="141"/>
      <c r="G190" s="141"/>
      <c r="H190" s="141"/>
      <c r="I190" s="128">
        <f>300000+6387786</f>
        <v>6687786</v>
      </c>
      <c r="J190" s="141">
        <v>0</v>
      </c>
      <c r="K190" s="126">
        <f>J190/I190</f>
        <v>0</v>
      </c>
      <c r="L190" s="141"/>
      <c r="M190" s="135"/>
      <c r="N190" s="128">
        <f t="shared" si="73"/>
        <v>0</v>
      </c>
      <c r="O190" s="39"/>
      <c r="P190" s="51"/>
    </row>
    <row r="191" spans="1:16" s="38" customFormat="1" ht="93" thickTop="1" thickBot="1" x14ac:dyDescent="0.25">
      <c r="A191" s="57"/>
      <c r="B191" s="75" t="s">
        <v>38</v>
      </c>
      <c r="C191" s="75" t="s">
        <v>39</v>
      </c>
      <c r="D191" s="75" t="s">
        <v>40</v>
      </c>
      <c r="E191" s="128">
        <v>329335</v>
      </c>
      <c r="F191" s="128">
        <v>82335</v>
      </c>
      <c r="G191" s="128">
        <v>82333.740000000005</v>
      </c>
      <c r="H191" s="126">
        <f t="shared" ref="H191:H192" si="90">G191/F191</f>
        <v>0.99998469666605949</v>
      </c>
      <c r="I191" s="172"/>
      <c r="J191" s="172"/>
      <c r="K191" s="172"/>
      <c r="L191" s="172"/>
      <c r="M191" s="172"/>
      <c r="N191" s="128">
        <f t="shared" si="73"/>
        <v>82333.740000000005</v>
      </c>
      <c r="O191" s="39"/>
      <c r="P191" s="51"/>
    </row>
    <row r="192" spans="1:16" s="38" customFormat="1" ht="48" thickTop="1" thickBot="1" x14ac:dyDescent="0.25">
      <c r="A192" s="57"/>
      <c r="B192" s="76" t="s">
        <v>41</v>
      </c>
      <c r="C192" s="76"/>
      <c r="D192" s="76" t="s">
        <v>375</v>
      </c>
      <c r="E192" s="142">
        <f>SUM(E193:E195)</f>
        <v>2362000</v>
      </c>
      <c r="F192" s="142">
        <f>SUM(F193:F195)</f>
        <v>590490</v>
      </c>
      <c r="G192" s="142">
        <f>SUM(G193:G195)</f>
        <v>477180.36</v>
      </c>
      <c r="H192" s="126">
        <f t="shared" si="90"/>
        <v>0.80810912970583748</v>
      </c>
      <c r="I192" s="142">
        <f>SUM(I193:I195)</f>
        <v>5215800</v>
      </c>
      <c r="J192" s="142">
        <f>SUM(J193:J195)</f>
        <v>210451.51</v>
      </c>
      <c r="K192" s="130">
        <f>J192/I192</f>
        <v>4.0348845814640134E-2</v>
      </c>
      <c r="L192" s="142"/>
      <c r="M192" s="142"/>
      <c r="N192" s="129">
        <f t="shared" si="73"/>
        <v>687631.87</v>
      </c>
      <c r="O192" s="39"/>
      <c r="P192" s="51"/>
    </row>
    <row r="193" spans="1:16" s="38" customFormat="1" ht="276" thickTop="1" thickBot="1" x14ac:dyDescent="0.7">
      <c r="A193" s="57"/>
      <c r="B193" s="178" t="s">
        <v>42</v>
      </c>
      <c r="C193" s="178" t="s">
        <v>39</v>
      </c>
      <c r="D193" s="173" t="s">
        <v>43</v>
      </c>
      <c r="E193" s="182"/>
      <c r="F193" s="182"/>
      <c r="G193" s="182"/>
      <c r="H193" s="182"/>
      <c r="I193" s="182">
        <v>5215800</v>
      </c>
      <c r="J193" s="182">
        <v>210451.51</v>
      </c>
      <c r="K193" s="180">
        <f>J193/I193</f>
        <v>4.0348845814640134E-2</v>
      </c>
      <c r="L193" s="182"/>
      <c r="M193" s="201"/>
      <c r="N193" s="182">
        <f>J193+G193</f>
        <v>210451.51</v>
      </c>
      <c r="O193" s="39"/>
      <c r="P193" s="51"/>
    </row>
    <row r="194" spans="1:16" s="38" customFormat="1" ht="138.75" thickTop="1" thickBot="1" x14ac:dyDescent="0.25">
      <c r="A194" s="57"/>
      <c r="B194" s="179"/>
      <c r="C194" s="179"/>
      <c r="D194" s="174" t="s">
        <v>44</v>
      </c>
      <c r="E194" s="183"/>
      <c r="F194" s="183"/>
      <c r="G194" s="183"/>
      <c r="H194" s="183"/>
      <c r="I194" s="183"/>
      <c r="J194" s="183"/>
      <c r="K194" s="181"/>
      <c r="L194" s="183"/>
      <c r="M194" s="202"/>
      <c r="N194" s="183"/>
      <c r="O194" s="39"/>
      <c r="P194" s="51"/>
    </row>
    <row r="195" spans="1:16" s="38" customFormat="1" ht="48" thickTop="1" thickBot="1" x14ac:dyDescent="0.25">
      <c r="A195" s="57"/>
      <c r="B195" s="75" t="s">
        <v>45</v>
      </c>
      <c r="C195" s="75" t="s">
        <v>39</v>
      </c>
      <c r="D195" s="75" t="s">
        <v>46</v>
      </c>
      <c r="E195" s="128">
        <v>2362000</v>
      </c>
      <c r="F195" s="128">
        <v>590490</v>
      </c>
      <c r="G195" s="128">
        <v>477180.36</v>
      </c>
      <c r="H195" s="126">
        <f t="shared" ref="H195" si="91">G195/F195</f>
        <v>0.80810912970583748</v>
      </c>
      <c r="I195" s="128"/>
      <c r="J195" s="128"/>
      <c r="K195" s="126"/>
      <c r="L195" s="128"/>
      <c r="M195" s="135"/>
      <c r="N195" s="128">
        <f t="shared" ref="N195:N216" si="92">G195+J195</f>
        <v>477180.36</v>
      </c>
      <c r="O195" s="39"/>
      <c r="P195" s="51"/>
    </row>
    <row r="196" spans="1:16" s="38" customFormat="1" ht="107.45" customHeight="1" thickTop="1" thickBot="1" x14ac:dyDescent="0.25">
      <c r="A196" s="60"/>
      <c r="B196" s="77" t="s">
        <v>47</v>
      </c>
      <c r="C196" s="77"/>
      <c r="D196" s="78" t="s">
        <v>48</v>
      </c>
      <c r="E196" s="79">
        <f>SUM(E197:E210)-E197-E204-E206-E209-E200</f>
        <v>78072770.780000001</v>
      </c>
      <c r="F196" s="79">
        <f>SUM(F197:F210)-F197-F204-F206-F209-F200</f>
        <v>27868445</v>
      </c>
      <c r="G196" s="79">
        <f>SUM(G197:G210)-G197-G204-G206-G209-G200</f>
        <v>19733303.150000006</v>
      </c>
      <c r="H196" s="80">
        <f>G196/F196</f>
        <v>0.70808770098224016</v>
      </c>
      <c r="I196" s="79">
        <f>SUM(I197:I210)-I197-I204-I206-I209-I200</f>
        <v>102050000</v>
      </c>
      <c r="J196" s="79">
        <f>SUM(J197:J210)-J197-J204-J206-J209-J200</f>
        <v>38880830</v>
      </c>
      <c r="K196" s="80">
        <f t="shared" ref="K196:K202" si="93">J196/I196</f>
        <v>0.38099784419402255</v>
      </c>
      <c r="L196" s="79"/>
      <c r="M196" s="79"/>
      <c r="N196" s="81">
        <f>J196+G196</f>
        <v>58614133.150000006</v>
      </c>
      <c r="O196" s="53" t="b">
        <f>N196=N198+N199+N201+N202+N203+N205+N207+N210+N208</f>
        <v>1</v>
      </c>
      <c r="P196" s="51"/>
    </row>
    <row r="197" spans="1:16" s="38" customFormat="1" ht="107.45" customHeight="1" thickTop="1" thickBot="1" x14ac:dyDescent="0.25">
      <c r="A197" s="60"/>
      <c r="B197" s="146" t="s">
        <v>386</v>
      </c>
      <c r="C197" s="146"/>
      <c r="D197" s="150" t="s">
        <v>387</v>
      </c>
      <c r="E197" s="147">
        <f>SUM(E198:E199)</f>
        <v>7364881</v>
      </c>
      <c r="F197" s="147">
        <f>SUM(F198:F199)</f>
        <v>2453045</v>
      </c>
      <c r="G197" s="147">
        <f>SUM(G198:G199)</f>
        <v>390673.4</v>
      </c>
      <c r="H197" s="148">
        <f>G197/F197</f>
        <v>0.15926059244734606</v>
      </c>
      <c r="I197" s="147">
        <f>SUM(I198:I199)</f>
        <v>0</v>
      </c>
      <c r="J197" s="147">
        <f>SUM(J198:J199)</f>
        <v>0</v>
      </c>
      <c r="K197" s="148">
        <v>0</v>
      </c>
      <c r="L197" s="147"/>
      <c r="M197" s="147"/>
      <c r="N197" s="147">
        <f t="shared" si="92"/>
        <v>390673.4</v>
      </c>
      <c r="O197" s="176" t="s">
        <v>433</v>
      </c>
      <c r="P197" s="177"/>
    </row>
    <row r="198" spans="1:16" s="38" customFormat="1" ht="93" thickTop="1" thickBot="1" x14ac:dyDescent="0.25">
      <c r="A198" s="57"/>
      <c r="B198" s="75" t="s">
        <v>388</v>
      </c>
      <c r="C198" s="75" t="s">
        <v>389</v>
      </c>
      <c r="D198" s="75" t="s">
        <v>390</v>
      </c>
      <c r="E198" s="141">
        <v>4849736</v>
      </c>
      <c r="F198" s="141">
        <v>1907261</v>
      </c>
      <c r="G198" s="141">
        <v>0</v>
      </c>
      <c r="H198" s="126">
        <f>G198/F198</f>
        <v>0</v>
      </c>
      <c r="I198" s="128"/>
      <c r="J198" s="128"/>
      <c r="K198" s="126"/>
      <c r="L198" s="141"/>
      <c r="M198" s="135"/>
      <c r="N198" s="128">
        <f t="shared" si="92"/>
        <v>0</v>
      </c>
      <c r="O198" s="176"/>
      <c r="P198" s="177"/>
    </row>
    <row r="199" spans="1:16" s="38" customFormat="1" ht="48" thickTop="1" thickBot="1" x14ac:dyDescent="0.25">
      <c r="A199" s="57"/>
      <c r="B199" s="75" t="s">
        <v>391</v>
      </c>
      <c r="C199" s="75" t="s">
        <v>389</v>
      </c>
      <c r="D199" s="75" t="s">
        <v>392</v>
      </c>
      <c r="E199" s="141">
        <v>2515145</v>
      </c>
      <c r="F199" s="141">
        <v>545784</v>
      </c>
      <c r="G199" s="141">
        <v>390673.4</v>
      </c>
      <c r="H199" s="126">
        <f t="shared" ref="H199:H207" si="94">G199/F199</f>
        <v>0.71580222212450351</v>
      </c>
      <c r="I199" s="128"/>
      <c r="J199" s="128"/>
      <c r="K199" s="126"/>
      <c r="L199" s="141"/>
      <c r="M199" s="135"/>
      <c r="N199" s="128">
        <f t="shared" si="92"/>
        <v>390673.4</v>
      </c>
      <c r="O199" s="12"/>
      <c r="P199" s="51"/>
    </row>
    <row r="200" spans="1:16" s="38" customFormat="1" ht="62.25" thickTop="1" thickBot="1" x14ac:dyDescent="0.25">
      <c r="A200" s="57"/>
      <c r="B200" s="146" t="s">
        <v>513</v>
      </c>
      <c r="C200" s="146"/>
      <c r="D200" s="146" t="s">
        <v>514</v>
      </c>
      <c r="E200" s="149">
        <f>SUM(E201:E203)</f>
        <v>37551014</v>
      </c>
      <c r="F200" s="149">
        <f>SUM(F201:F203)</f>
        <v>22865400</v>
      </c>
      <c r="G200" s="149">
        <f>SUM(G201:G203)</f>
        <v>17288794.009999998</v>
      </c>
      <c r="H200" s="148">
        <f t="shared" si="94"/>
        <v>0.75611159262466421</v>
      </c>
      <c r="I200" s="149">
        <f t="shared" ref="I200:J200" si="95">SUM(I201:I203)</f>
        <v>100850000</v>
      </c>
      <c r="J200" s="149">
        <f t="shared" si="95"/>
        <v>38880830</v>
      </c>
      <c r="K200" s="148">
        <f t="shared" si="93"/>
        <v>0.38553128408527515</v>
      </c>
      <c r="L200" s="149"/>
      <c r="M200" s="149"/>
      <c r="N200" s="147">
        <f t="shared" ref="N200:N203" si="96">G200+J200</f>
        <v>56169624.009999998</v>
      </c>
      <c r="O200" s="176"/>
      <c r="P200" s="177"/>
    </row>
    <row r="201" spans="1:16" s="38" customFormat="1" ht="93" thickTop="1" thickBot="1" x14ac:dyDescent="0.25">
      <c r="A201" s="57"/>
      <c r="B201" s="75" t="s">
        <v>536</v>
      </c>
      <c r="C201" s="75" t="s">
        <v>516</v>
      </c>
      <c r="D201" s="75" t="s">
        <v>537</v>
      </c>
      <c r="E201" s="141">
        <v>2189014</v>
      </c>
      <c r="F201" s="141">
        <v>900000</v>
      </c>
      <c r="G201" s="141">
        <v>414226.69</v>
      </c>
      <c r="H201" s="126">
        <f t="shared" si="94"/>
        <v>0.46025187777777776</v>
      </c>
      <c r="I201" s="128"/>
      <c r="J201" s="141"/>
      <c r="K201" s="130"/>
      <c r="L201" s="141"/>
      <c r="M201" s="135"/>
      <c r="N201" s="128">
        <f t="shared" si="96"/>
        <v>414226.69</v>
      </c>
      <c r="O201" s="52"/>
      <c r="P201" s="52"/>
    </row>
    <row r="202" spans="1:16" s="38" customFormat="1" ht="62.25" thickTop="1" thickBot="1" x14ac:dyDescent="0.25">
      <c r="A202" s="57"/>
      <c r="B202" s="75" t="s">
        <v>538</v>
      </c>
      <c r="C202" s="75" t="s">
        <v>516</v>
      </c>
      <c r="D202" s="75" t="s">
        <v>539</v>
      </c>
      <c r="E202" s="141">
        <v>26000000</v>
      </c>
      <c r="F202" s="141">
        <v>21000000</v>
      </c>
      <c r="G202" s="141">
        <v>15967500</v>
      </c>
      <c r="H202" s="126">
        <f t="shared" si="94"/>
        <v>0.76035714285714284</v>
      </c>
      <c r="I202" s="128">
        <v>100500000</v>
      </c>
      <c r="J202" s="141">
        <v>38880830</v>
      </c>
      <c r="K202" s="126">
        <f t="shared" si="93"/>
        <v>0.38687393034825873</v>
      </c>
      <c r="L202" s="141"/>
      <c r="M202" s="135"/>
      <c r="N202" s="128">
        <f>G202+J202</f>
        <v>54848330</v>
      </c>
      <c r="O202" s="52"/>
      <c r="P202" s="52"/>
    </row>
    <row r="203" spans="1:16" s="38" customFormat="1" ht="48" thickTop="1" thickBot="1" x14ac:dyDescent="0.25">
      <c r="A203" s="57"/>
      <c r="B203" s="75" t="s">
        <v>515</v>
      </c>
      <c r="C203" s="75" t="s">
        <v>516</v>
      </c>
      <c r="D203" s="75" t="s">
        <v>517</v>
      </c>
      <c r="E203" s="141">
        <v>9362000</v>
      </c>
      <c r="F203" s="141">
        <v>965400</v>
      </c>
      <c r="G203" s="141">
        <v>907067.32</v>
      </c>
      <c r="H203" s="126">
        <f t="shared" si="94"/>
        <v>0.93957667288170699</v>
      </c>
      <c r="I203" s="128">
        <v>350000</v>
      </c>
      <c r="J203" s="141">
        <v>0</v>
      </c>
      <c r="K203" s="126">
        <f>J203/I203</f>
        <v>0</v>
      </c>
      <c r="L203" s="141"/>
      <c r="M203" s="135"/>
      <c r="N203" s="128">
        <f t="shared" si="96"/>
        <v>907067.32</v>
      </c>
      <c r="O203" s="12"/>
      <c r="P203" s="51"/>
    </row>
    <row r="204" spans="1:16" s="38" customFormat="1" ht="91.5" thickTop="1" thickBot="1" x14ac:dyDescent="0.25">
      <c r="A204" s="57"/>
      <c r="B204" s="146" t="s">
        <v>411</v>
      </c>
      <c r="C204" s="146"/>
      <c r="D204" s="146" t="s">
        <v>412</v>
      </c>
      <c r="E204" s="149">
        <f>SUM(E205:E205)</f>
        <v>0</v>
      </c>
      <c r="F204" s="149">
        <f>SUM(F205:F205)</f>
        <v>0</v>
      </c>
      <c r="G204" s="149">
        <f>SUM(G205:G205)</f>
        <v>0</v>
      </c>
      <c r="H204" s="148">
        <v>0</v>
      </c>
      <c r="I204" s="149">
        <f>SUM(I205:I205)</f>
        <v>1200000</v>
      </c>
      <c r="J204" s="149">
        <f>SUM(J205:J205)</f>
        <v>0</v>
      </c>
      <c r="K204" s="148">
        <f t="shared" ref="K204:K205" si="97">J204/I204</f>
        <v>0</v>
      </c>
      <c r="L204" s="149"/>
      <c r="M204" s="149"/>
      <c r="N204" s="147">
        <f t="shared" si="92"/>
        <v>0</v>
      </c>
      <c r="O204" s="176" t="s">
        <v>433</v>
      </c>
      <c r="P204" s="177"/>
    </row>
    <row r="205" spans="1:16" s="38" customFormat="1" ht="93" thickTop="1" thickBot="1" x14ac:dyDescent="0.25">
      <c r="A205" s="57"/>
      <c r="B205" s="75" t="s">
        <v>521</v>
      </c>
      <c r="C205" s="75" t="s">
        <v>413</v>
      </c>
      <c r="D205" s="75" t="s">
        <v>522</v>
      </c>
      <c r="E205" s="128"/>
      <c r="F205" s="128"/>
      <c r="G205" s="128"/>
      <c r="H205" s="126"/>
      <c r="I205" s="128">
        <v>1200000</v>
      </c>
      <c r="J205" s="128">
        <v>0</v>
      </c>
      <c r="K205" s="126">
        <f t="shared" si="97"/>
        <v>0</v>
      </c>
      <c r="L205" s="128"/>
      <c r="M205" s="135"/>
      <c r="N205" s="128">
        <f t="shared" si="92"/>
        <v>0</v>
      </c>
      <c r="O205" s="39"/>
      <c r="P205" s="51"/>
    </row>
    <row r="206" spans="1:16" s="38" customFormat="1" ht="62.25" thickTop="1" thickBot="1" x14ac:dyDescent="0.25">
      <c r="A206" s="57"/>
      <c r="B206" s="146" t="s">
        <v>49</v>
      </c>
      <c r="C206" s="146"/>
      <c r="D206" s="146" t="s">
        <v>50</v>
      </c>
      <c r="E206" s="147">
        <f>SUM(E207)</f>
        <v>10200000</v>
      </c>
      <c r="F206" s="147">
        <f>SUM(F207)</f>
        <v>2550000</v>
      </c>
      <c r="G206" s="147">
        <f t="shared" ref="G206:J206" si="98">SUM(G207)</f>
        <v>2053835.74</v>
      </c>
      <c r="H206" s="148">
        <f t="shared" si="94"/>
        <v>0.80542578039215684</v>
      </c>
      <c r="I206" s="147">
        <f t="shared" si="98"/>
        <v>0</v>
      </c>
      <c r="J206" s="147">
        <f t="shared" si="98"/>
        <v>0</v>
      </c>
      <c r="K206" s="148">
        <v>0</v>
      </c>
      <c r="L206" s="147"/>
      <c r="M206" s="147"/>
      <c r="N206" s="147">
        <f t="shared" si="92"/>
        <v>2053835.74</v>
      </c>
      <c r="O206" s="176" t="s">
        <v>433</v>
      </c>
      <c r="P206" s="177"/>
    </row>
    <row r="207" spans="1:16" s="38" customFormat="1" ht="48" thickTop="1" thickBot="1" x14ac:dyDescent="0.25">
      <c r="A207" s="57"/>
      <c r="B207" s="75" t="s">
        <v>51</v>
      </c>
      <c r="C207" s="75" t="s">
        <v>52</v>
      </c>
      <c r="D207" s="75" t="s">
        <v>53</v>
      </c>
      <c r="E207" s="128">
        <v>10200000</v>
      </c>
      <c r="F207" s="128">
        <v>2550000</v>
      </c>
      <c r="G207" s="128">
        <v>2053835.74</v>
      </c>
      <c r="H207" s="126">
        <f t="shared" si="94"/>
        <v>0.80542578039215684</v>
      </c>
      <c r="I207" s="128"/>
      <c r="J207" s="128"/>
      <c r="K207" s="126"/>
      <c r="L207" s="128"/>
      <c r="M207" s="135"/>
      <c r="N207" s="128">
        <f t="shared" si="92"/>
        <v>2053835.74</v>
      </c>
      <c r="O207" s="39"/>
      <c r="P207" s="51"/>
    </row>
    <row r="208" spans="1:16" s="38" customFormat="1" ht="62.25" thickTop="1" thickBot="1" x14ac:dyDescent="0.25">
      <c r="A208" s="57"/>
      <c r="B208" s="151">
        <v>8600</v>
      </c>
      <c r="C208" s="146" t="s">
        <v>24</v>
      </c>
      <c r="D208" s="151" t="s">
        <v>421</v>
      </c>
      <c r="E208" s="147">
        <v>525644</v>
      </c>
      <c r="F208" s="147">
        <v>0</v>
      </c>
      <c r="G208" s="147">
        <v>0</v>
      </c>
      <c r="H208" s="148">
        <v>0</v>
      </c>
      <c r="I208" s="147"/>
      <c r="J208" s="147"/>
      <c r="K208" s="147"/>
      <c r="L208" s="147"/>
      <c r="M208" s="162"/>
      <c r="N208" s="147">
        <f t="shared" si="92"/>
        <v>0</v>
      </c>
      <c r="O208" s="176" t="s">
        <v>433</v>
      </c>
      <c r="P208" s="177"/>
    </row>
    <row r="209" spans="1:27" s="38" customFormat="1" ht="62.25" thickTop="1" thickBot="1" x14ac:dyDescent="0.25">
      <c r="A209" s="57"/>
      <c r="B209" s="151">
        <v>8700</v>
      </c>
      <c r="C209" s="146"/>
      <c r="D209" s="151" t="s">
        <v>422</v>
      </c>
      <c r="E209" s="147">
        <f t="shared" ref="E209:J209" si="99">E210</f>
        <v>22431231.780000001</v>
      </c>
      <c r="F209" s="147">
        <f t="shared" si="99"/>
        <v>0</v>
      </c>
      <c r="G209" s="147">
        <f t="shared" si="99"/>
        <v>0</v>
      </c>
      <c r="H209" s="148">
        <v>0</v>
      </c>
      <c r="I209" s="147">
        <f t="shared" si="99"/>
        <v>0</v>
      </c>
      <c r="J209" s="147">
        <f t="shared" si="99"/>
        <v>0</v>
      </c>
      <c r="K209" s="148">
        <v>0</v>
      </c>
      <c r="L209" s="147"/>
      <c r="M209" s="147"/>
      <c r="N209" s="147">
        <f t="shared" si="92"/>
        <v>0</v>
      </c>
      <c r="O209" s="176" t="s">
        <v>433</v>
      </c>
      <c r="P209" s="177"/>
    </row>
    <row r="210" spans="1:27" s="38" customFormat="1" ht="62.25" thickTop="1" thickBot="1" x14ac:dyDescent="0.25">
      <c r="A210" s="57"/>
      <c r="B210" s="139">
        <v>8710</v>
      </c>
      <c r="C210" s="75" t="s">
        <v>29</v>
      </c>
      <c r="D210" s="138" t="s">
        <v>423</v>
      </c>
      <c r="E210" s="128">
        <v>22431231.780000001</v>
      </c>
      <c r="F210" s="128">
        <v>0</v>
      </c>
      <c r="G210" s="128">
        <v>0</v>
      </c>
      <c r="H210" s="126">
        <v>0</v>
      </c>
      <c r="I210" s="128"/>
      <c r="J210" s="128"/>
      <c r="K210" s="126"/>
      <c r="L210" s="128"/>
      <c r="M210" s="135"/>
      <c r="N210" s="128">
        <f t="shared" si="92"/>
        <v>0</v>
      </c>
      <c r="O210" s="176" t="s">
        <v>433</v>
      </c>
      <c r="P210" s="177"/>
    </row>
    <row r="211" spans="1:27" s="38" customFormat="1" ht="103.7" customHeight="1" thickTop="1" thickBot="1" x14ac:dyDescent="0.25">
      <c r="A211" s="60"/>
      <c r="B211" s="77" t="s">
        <v>54</v>
      </c>
      <c r="C211" s="77"/>
      <c r="D211" s="78" t="s">
        <v>55</v>
      </c>
      <c r="E211" s="79">
        <f>SUM(E212:E218)-E212-E214</f>
        <v>102620518.14</v>
      </c>
      <c r="F211" s="79">
        <f>SUM(F212:F218)-F212-F214</f>
        <v>86906693.140000001</v>
      </c>
      <c r="G211" s="79">
        <f>SUM(G212:G218)-G212-G214</f>
        <v>83700793.140000001</v>
      </c>
      <c r="H211" s="80">
        <f>G211/F211</f>
        <v>0.96311101154389178</v>
      </c>
      <c r="I211" s="79">
        <f>SUM(I212:I218)-I212-I214</f>
        <v>126402581.86</v>
      </c>
      <c r="J211" s="79">
        <f>SUM(J212:J218)-J212-J214</f>
        <v>100815030.63</v>
      </c>
      <c r="K211" s="80">
        <f>J211/I211</f>
        <v>0.79757097637182706</v>
      </c>
      <c r="L211" s="79"/>
      <c r="M211" s="79"/>
      <c r="N211" s="81">
        <f>J211+G211</f>
        <v>184515823.76999998</v>
      </c>
      <c r="O211" s="53" t="b">
        <f>N211=N213+N215+N216+N217+N218</f>
        <v>1</v>
      </c>
      <c r="P211" s="176"/>
      <c r="Q211" s="177"/>
    </row>
    <row r="212" spans="1:27" s="38" customFormat="1" ht="103.7" hidden="1" customHeight="1" thickTop="1" thickBot="1" x14ac:dyDescent="0.25">
      <c r="A212" s="60"/>
      <c r="B212" s="119" t="s">
        <v>424</v>
      </c>
      <c r="C212" s="119"/>
      <c r="D212" s="119" t="s">
        <v>425</v>
      </c>
      <c r="E212" s="103">
        <f t="shared" ref="E212:J212" si="100">E213</f>
        <v>0</v>
      </c>
      <c r="F212" s="103">
        <f t="shared" si="100"/>
        <v>0</v>
      </c>
      <c r="G212" s="103">
        <f t="shared" si="100"/>
        <v>0</v>
      </c>
      <c r="H212" s="120" t="e">
        <f>G212/F212</f>
        <v>#DIV/0!</v>
      </c>
      <c r="I212" s="103">
        <f t="shared" si="100"/>
        <v>0</v>
      </c>
      <c r="J212" s="103">
        <f t="shared" si="100"/>
        <v>0</v>
      </c>
      <c r="K212" s="120">
        <v>0</v>
      </c>
      <c r="L212" s="103"/>
      <c r="M212" s="103"/>
      <c r="N212" s="103">
        <f t="shared" si="92"/>
        <v>0</v>
      </c>
      <c r="O212" s="176" t="s">
        <v>433</v>
      </c>
      <c r="P212" s="177"/>
    </row>
    <row r="213" spans="1:27" s="38" customFormat="1" ht="103.7" hidden="1" customHeight="1" thickTop="1" thickBot="1" x14ac:dyDescent="0.25">
      <c r="A213" s="60"/>
      <c r="B213" s="109">
        <v>9110</v>
      </c>
      <c r="C213" s="92" t="s">
        <v>28</v>
      </c>
      <c r="D213" s="108" t="s">
        <v>426</v>
      </c>
      <c r="E213" s="93">
        <v>0</v>
      </c>
      <c r="F213" s="93">
        <v>0</v>
      </c>
      <c r="G213" s="93">
        <v>0</v>
      </c>
      <c r="H213" s="91" t="e">
        <f>G213/F213</f>
        <v>#DIV/0!</v>
      </c>
      <c r="I213" s="93"/>
      <c r="J213" s="93"/>
      <c r="K213" s="93"/>
      <c r="L213" s="93"/>
      <c r="M213" s="94"/>
      <c r="N213" s="93">
        <f t="shared" si="92"/>
        <v>0</v>
      </c>
      <c r="O213" s="12"/>
    </row>
    <row r="214" spans="1:27" s="38" customFormat="1" ht="136.5" thickTop="1" thickBot="1" x14ac:dyDescent="0.25">
      <c r="A214" s="60"/>
      <c r="B214" s="146" t="s">
        <v>56</v>
      </c>
      <c r="C214" s="146"/>
      <c r="D214" s="146" t="s">
        <v>57</v>
      </c>
      <c r="E214" s="147">
        <f>SUM(E215:E216)</f>
        <v>1333600</v>
      </c>
      <c r="F214" s="147">
        <f>SUM(F215:F216)</f>
        <v>333375</v>
      </c>
      <c r="G214" s="147">
        <f t="shared" ref="G214" si="101">SUM(G215:G216)</f>
        <v>333375</v>
      </c>
      <c r="H214" s="148">
        <f t="shared" ref="H214:H218" si="102">G214/F214</f>
        <v>1</v>
      </c>
      <c r="I214" s="147">
        <f t="shared" ref="I214:J214" si="103">SUM(I215:I216)</f>
        <v>0</v>
      </c>
      <c r="J214" s="147">
        <f t="shared" si="103"/>
        <v>0</v>
      </c>
      <c r="K214" s="148">
        <v>0</v>
      </c>
      <c r="L214" s="147"/>
      <c r="M214" s="147"/>
      <c r="N214" s="147">
        <f t="shared" si="92"/>
        <v>333375</v>
      </c>
      <c r="O214" s="176" t="s">
        <v>433</v>
      </c>
      <c r="P214" s="177"/>
    </row>
    <row r="215" spans="1:27" s="38" customFormat="1" ht="184.5" thickTop="1" thickBot="1" x14ac:dyDescent="0.25">
      <c r="A215" s="57"/>
      <c r="B215" s="75" t="s">
        <v>58</v>
      </c>
      <c r="C215" s="75" t="s">
        <v>28</v>
      </c>
      <c r="D215" s="75" t="s">
        <v>59</v>
      </c>
      <c r="E215" s="128">
        <v>1178000</v>
      </c>
      <c r="F215" s="128">
        <v>294480</v>
      </c>
      <c r="G215" s="128">
        <v>294480</v>
      </c>
      <c r="H215" s="126">
        <f>G215/F215</f>
        <v>1</v>
      </c>
      <c r="I215" s="128"/>
      <c r="J215" s="128"/>
      <c r="K215" s="128"/>
      <c r="L215" s="128"/>
      <c r="M215" s="135"/>
      <c r="N215" s="128">
        <f t="shared" si="92"/>
        <v>294480</v>
      </c>
      <c r="O215" s="39"/>
      <c r="P215" s="51"/>
    </row>
    <row r="216" spans="1:27" s="38" customFormat="1" ht="60.75" thickTop="1" thickBot="1" x14ac:dyDescent="0.8">
      <c r="A216" s="57"/>
      <c r="B216" s="75" t="s">
        <v>60</v>
      </c>
      <c r="C216" s="75" t="s">
        <v>28</v>
      </c>
      <c r="D216" s="75" t="s">
        <v>61</v>
      </c>
      <c r="E216" s="128">
        <v>155600</v>
      </c>
      <c r="F216" s="128">
        <v>38895</v>
      </c>
      <c r="G216" s="128">
        <v>38895</v>
      </c>
      <c r="H216" s="126">
        <f>G216/F216</f>
        <v>1</v>
      </c>
      <c r="I216" s="128"/>
      <c r="J216" s="128"/>
      <c r="K216" s="126"/>
      <c r="L216" s="128"/>
      <c r="M216" s="135"/>
      <c r="N216" s="128">
        <f t="shared" si="92"/>
        <v>38895</v>
      </c>
      <c r="O216" s="54"/>
      <c r="P216" s="51"/>
    </row>
    <row r="217" spans="1:27" s="38" customFormat="1" ht="136.5" thickTop="1" thickBot="1" x14ac:dyDescent="0.25">
      <c r="A217" s="57"/>
      <c r="B217" s="146" t="s">
        <v>62</v>
      </c>
      <c r="C217" s="146" t="s">
        <v>28</v>
      </c>
      <c r="D217" s="146" t="s">
        <v>63</v>
      </c>
      <c r="E217" s="152">
        <v>101286918.14</v>
      </c>
      <c r="F217" s="152">
        <v>86573318.140000001</v>
      </c>
      <c r="G217" s="152">
        <v>83367418.140000001</v>
      </c>
      <c r="H217" s="153">
        <f t="shared" si="102"/>
        <v>0.96296896008056831</v>
      </c>
      <c r="I217" s="152">
        <v>126402581.86</v>
      </c>
      <c r="J217" s="152">
        <v>100815030.63</v>
      </c>
      <c r="K217" s="153">
        <f t="shared" ref="K217" si="104">J217/I217</f>
        <v>0.79757097637182706</v>
      </c>
      <c r="L217" s="147"/>
      <c r="M217" s="147"/>
      <c r="N217" s="152">
        <f t="shared" ref="N217:N218" si="105">G217+J217</f>
        <v>184182448.76999998</v>
      </c>
      <c r="O217" s="39"/>
      <c r="P217" s="51"/>
    </row>
    <row r="218" spans="1:27" s="38" customFormat="1" ht="367.5" hidden="1" thickTop="1" thickBot="1" x14ac:dyDescent="0.25">
      <c r="A218" s="57"/>
      <c r="B218" s="85" t="s">
        <v>546</v>
      </c>
      <c r="C218" s="85" t="s">
        <v>28</v>
      </c>
      <c r="D218" s="85" t="s">
        <v>545</v>
      </c>
      <c r="E218" s="86">
        <v>0</v>
      </c>
      <c r="F218" s="86">
        <v>0</v>
      </c>
      <c r="G218" s="86">
        <v>0</v>
      </c>
      <c r="H218" s="84" t="e">
        <f t="shared" si="102"/>
        <v>#DIV/0!</v>
      </c>
      <c r="I218" s="86"/>
      <c r="J218" s="86"/>
      <c r="K218" s="84"/>
      <c r="L218" s="86"/>
      <c r="M218" s="87"/>
      <c r="N218" s="86">
        <f t="shared" si="105"/>
        <v>0</v>
      </c>
      <c r="O218" s="39"/>
      <c r="P218" s="51"/>
    </row>
    <row r="219" spans="1:27" s="38" customFormat="1" ht="71.45" customHeight="1" thickTop="1" thickBot="1" x14ac:dyDescent="0.25">
      <c r="A219" s="60"/>
      <c r="B219" s="63" t="s">
        <v>427</v>
      </c>
      <c r="C219" s="63" t="s">
        <v>427</v>
      </c>
      <c r="D219" s="64" t="s">
        <v>436</v>
      </c>
      <c r="E219" s="65">
        <f>E14+E19+E57+E70+E116+E125+E141+E156+E196+E211</f>
        <v>3939612317.1700001</v>
      </c>
      <c r="F219" s="65">
        <f>F14+F19+F57+F70+F116+F125+F141+F156+F196+F211</f>
        <v>1081282512.8199999</v>
      </c>
      <c r="G219" s="65">
        <f>G14+G19+G57+G70+G116+G125+G141+G156+G196+G211</f>
        <v>953074925.21999991</v>
      </c>
      <c r="H219" s="66">
        <f>G219/F219</f>
        <v>0.8814300739354114</v>
      </c>
      <c r="I219" s="65">
        <f>I14+I19+I57+I70+I116+I125+I141+I156+I196+I211</f>
        <v>762648177.69999993</v>
      </c>
      <c r="J219" s="65">
        <f>J14+J19+J57+J70+J116+J125+J141+J156+J196+J211</f>
        <v>228296987.81999999</v>
      </c>
      <c r="K219" s="66">
        <f>J219/I219</f>
        <v>0.29934771300247481</v>
      </c>
      <c r="L219" s="65" t="e">
        <f>#REF!+#REF!+#REF!+#REF!+#REF!+#REF!++L133+L142+L207+L166+L187+L199+L151+#REF!+#REF!</f>
        <v>#REF!</v>
      </c>
      <c r="M219" s="65" t="e">
        <f>#REF!+#REF!+#REF!+#REF!+#REF!+#REF!++M133+M142+M207+M166+M187+M199+M151+#REF!+#REF!</f>
        <v>#REF!</v>
      </c>
      <c r="N219" s="65">
        <f>N14+N19+N57+N70+N116+N125+N141+N156+N196+N211</f>
        <v>1181371913.04</v>
      </c>
      <c r="O219" s="53" t="b">
        <f>N219=J219+G219</f>
        <v>1</v>
      </c>
      <c r="P219" s="51"/>
    </row>
    <row r="220" spans="1:27" s="38" customFormat="1" ht="62.25" thickTop="1" thickBot="1" x14ac:dyDescent="0.25">
      <c r="A220" s="57"/>
      <c r="B220" s="8" t="s">
        <v>47</v>
      </c>
      <c r="C220" s="157"/>
      <c r="D220" s="160" t="s">
        <v>441</v>
      </c>
      <c r="E220" s="156">
        <f>E221</f>
        <v>0</v>
      </c>
      <c r="F220" s="156">
        <f t="shared" ref="F220:G220" si="106">F221</f>
        <v>0</v>
      </c>
      <c r="G220" s="156">
        <f t="shared" si="106"/>
        <v>0</v>
      </c>
      <c r="H220" s="153">
        <v>0</v>
      </c>
      <c r="I220" s="156">
        <f>I221</f>
        <v>0</v>
      </c>
      <c r="J220" s="156">
        <f>J221</f>
        <v>-134216.88</v>
      </c>
      <c r="K220" s="153"/>
      <c r="L220" s="156"/>
      <c r="M220" s="156"/>
      <c r="N220" s="152">
        <f t="shared" ref="N220:N227" si="107">G220+J220</f>
        <v>-134216.88</v>
      </c>
      <c r="O220" s="176" t="s">
        <v>433</v>
      </c>
      <c r="P220" s="177"/>
    </row>
    <row r="221" spans="1:27" s="38" customFormat="1" ht="62.25" thickTop="1" thickBot="1" x14ac:dyDescent="0.25">
      <c r="A221" s="57"/>
      <c r="B221" s="146" t="s">
        <v>439</v>
      </c>
      <c r="C221" s="157"/>
      <c r="D221" s="161" t="s">
        <v>442</v>
      </c>
      <c r="E221" s="162">
        <f>E222+E227+E225</f>
        <v>0</v>
      </c>
      <c r="F221" s="162">
        <f t="shared" ref="F221:G221" si="108">F222+F227+F225</f>
        <v>0</v>
      </c>
      <c r="G221" s="162">
        <f t="shared" si="108"/>
        <v>0</v>
      </c>
      <c r="H221" s="148">
        <v>0</v>
      </c>
      <c r="I221" s="162">
        <f>I222+I227+I225</f>
        <v>0</v>
      </c>
      <c r="J221" s="162">
        <f>J222+J227+J225</f>
        <v>-134216.88</v>
      </c>
      <c r="K221" s="148"/>
      <c r="L221" s="162"/>
      <c r="M221" s="162"/>
      <c r="N221" s="147">
        <f t="shared" si="107"/>
        <v>-134216.88</v>
      </c>
      <c r="O221" s="176" t="s">
        <v>433</v>
      </c>
      <c r="P221" s="177"/>
    </row>
    <row r="222" spans="1:27" s="38" customFormat="1" ht="184.5" thickTop="1" thickBot="1" x14ac:dyDescent="0.25">
      <c r="A222" s="60"/>
      <c r="B222" s="76" t="s">
        <v>440</v>
      </c>
      <c r="C222" s="157"/>
      <c r="D222" s="158" t="s">
        <v>443</v>
      </c>
      <c r="E222" s="159">
        <f>E223+E224</f>
        <v>0</v>
      </c>
      <c r="F222" s="159">
        <f>F223+F224</f>
        <v>0</v>
      </c>
      <c r="G222" s="159">
        <f>G223+G224</f>
        <v>0</v>
      </c>
      <c r="H222" s="130">
        <v>0</v>
      </c>
      <c r="I222" s="159">
        <f>I223+I224</f>
        <v>0</v>
      </c>
      <c r="J222" s="159">
        <f>J223+J224</f>
        <v>-130345.53</v>
      </c>
      <c r="K222" s="126"/>
      <c r="L222" s="159"/>
      <c r="M222" s="159"/>
      <c r="N222" s="129">
        <f t="shared" si="107"/>
        <v>-130345.53</v>
      </c>
      <c r="O222" s="176" t="s">
        <v>433</v>
      </c>
      <c r="P222" s="177"/>
    </row>
    <row r="223" spans="1:27" s="38" customFormat="1" ht="184.5" hidden="1" customHeight="1" thickTop="1" thickBot="1" x14ac:dyDescent="0.25">
      <c r="A223" s="60"/>
      <c r="B223" s="123" t="s">
        <v>437</v>
      </c>
      <c r="C223" s="123" t="s">
        <v>88</v>
      </c>
      <c r="D223" s="124" t="s">
        <v>444</v>
      </c>
      <c r="E223" s="94">
        <v>0</v>
      </c>
      <c r="F223" s="94">
        <v>0</v>
      </c>
      <c r="G223" s="94">
        <v>0</v>
      </c>
      <c r="H223" s="91">
        <v>0</v>
      </c>
      <c r="I223" s="94">
        <v>0</v>
      </c>
      <c r="J223" s="94">
        <v>0</v>
      </c>
      <c r="K223" s="91" t="e">
        <f>J223/I223</f>
        <v>#DIV/0!</v>
      </c>
      <c r="L223" s="122"/>
      <c r="M223" s="122"/>
      <c r="N223" s="93">
        <f>G223+J223</f>
        <v>0</v>
      </c>
      <c r="O223" s="176" t="s">
        <v>433</v>
      </c>
      <c r="P223" s="177"/>
    </row>
    <row r="224" spans="1:27" s="38" customFormat="1" ht="184.5" thickTop="1" thickBot="1" x14ac:dyDescent="1.2">
      <c r="A224" s="57"/>
      <c r="B224" s="154" t="s">
        <v>438</v>
      </c>
      <c r="C224" s="154" t="s">
        <v>88</v>
      </c>
      <c r="D224" s="155" t="s">
        <v>445</v>
      </c>
      <c r="E224" s="156"/>
      <c r="F224" s="156"/>
      <c r="G224" s="156"/>
      <c r="H224" s="148"/>
      <c r="I224" s="135">
        <v>0</v>
      </c>
      <c r="J224" s="135">
        <v>-130345.53</v>
      </c>
      <c r="K224" s="126"/>
      <c r="L224" s="156"/>
      <c r="M224" s="156"/>
      <c r="N224" s="128">
        <f t="shared" si="107"/>
        <v>-130345.53</v>
      </c>
      <c r="O224" s="176" t="s">
        <v>433</v>
      </c>
      <c r="P224" s="177"/>
      <c r="AA224" s="56"/>
    </row>
    <row r="225" spans="1:27" s="38" customFormat="1" ht="138.75" thickTop="1" thickBot="1" x14ac:dyDescent="1.2">
      <c r="A225" s="60"/>
      <c r="B225" s="163" t="s">
        <v>556</v>
      </c>
      <c r="C225" s="163"/>
      <c r="D225" s="164" t="s">
        <v>555</v>
      </c>
      <c r="E225" s="159">
        <f>E226</f>
        <v>0</v>
      </c>
      <c r="F225" s="159">
        <f>F226</f>
        <v>0</v>
      </c>
      <c r="G225" s="159">
        <f>G226</f>
        <v>0</v>
      </c>
      <c r="H225" s="130">
        <v>0</v>
      </c>
      <c r="I225" s="159">
        <f>I226</f>
        <v>0</v>
      </c>
      <c r="J225" s="159">
        <f>J226</f>
        <v>-3871.35</v>
      </c>
      <c r="K225" s="130"/>
      <c r="L225" s="159"/>
      <c r="M225" s="159"/>
      <c r="N225" s="129">
        <f t="shared" ref="N225" si="109">G225+J225</f>
        <v>-3871.35</v>
      </c>
      <c r="O225" s="176" t="s">
        <v>433</v>
      </c>
      <c r="P225" s="177"/>
      <c r="AA225" s="56"/>
    </row>
    <row r="226" spans="1:27" s="38" customFormat="1" ht="138.75" thickTop="1" thickBot="1" x14ac:dyDescent="1.2">
      <c r="A226" s="60"/>
      <c r="B226" s="154" t="s">
        <v>557</v>
      </c>
      <c r="C226" s="154" t="s">
        <v>88</v>
      </c>
      <c r="D226" s="155" t="s">
        <v>558</v>
      </c>
      <c r="E226" s="135"/>
      <c r="F226" s="135"/>
      <c r="G226" s="135"/>
      <c r="H226" s="126"/>
      <c r="I226" s="135">
        <v>0</v>
      </c>
      <c r="J226" s="135">
        <v>-3871.35</v>
      </c>
      <c r="K226" s="126"/>
      <c r="L226" s="156"/>
      <c r="M226" s="156"/>
      <c r="N226" s="128">
        <f>G226+J226</f>
        <v>-3871.35</v>
      </c>
      <c r="O226" s="176" t="s">
        <v>433</v>
      </c>
      <c r="P226" s="177"/>
      <c r="AA226" s="56"/>
    </row>
    <row r="227" spans="1:27" s="38" customFormat="1" ht="138.75" thickTop="1" thickBot="1" x14ac:dyDescent="1.2">
      <c r="A227" s="60"/>
      <c r="B227" s="163" t="s">
        <v>554</v>
      </c>
      <c r="C227" s="157"/>
      <c r="D227" s="158" t="s">
        <v>551</v>
      </c>
      <c r="E227" s="159">
        <f>SUM(E228:E229)</f>
        <v>0</v>
      </c>
      <c r="F227" s="159">
        <f>SUM(F228:F229)</f>
        <v>0</v>
      </c>
      <c r="G227" s="159">
        <f>SUM(G228:G229)</f>
        <v>0</v>
      </c>
      <c r="H227" s="130">
        <v>0</v>
      </c>
      <c r="I227" s="159">
        <f>SUM(I228:I229)</f>
        <v>0</v>
      </c>
      <c r="J227" s="159">
        <f>SUM(J228:J229)</f>
        <v>0</v>
      </c>
      <c r="K227" s="130">
        <v>0</v>
      </c>
      <c r="L227" s="159"/>
      <c r="M227" s="159"/>
      <c r="N227" s="129">
        <f t="shared" si="107"/>
        <v>0</v>
      </c>
      <c r="O227" s="176" t="s">
        <v>433</v>
      </c>
      <c r="P227" s="177"/>
      <c r="AA227" s="56"/>
    </row>
    <row r="228" spans="1:27" s="38" customFormat="1" ht="138.75" thickTop="1" thickBot="1" x14ac:dyDescent="1.2">
      <c r="A228" s="60"/>
      <c r="B228" s="154" t="s">
        <v>553</v>
      </c>
      <c r="C228" s="154" t="s">
        <v>39</v>
      </c>
      <c r="D228" s="155" t="s">
        <v>552</v>
      </c>
      <c r="E228" s="156"/>
      <c r="F228" s="156"/>
      <c r="G228" s="156"/>
      <c r="H228" s="148"/>
      <c r="I228" s="135">
        <v>17857810</v>
      </c>
      <c r="J228" s="135">
        <v>0</v>
      </c>
      <c r="K228" s="126">
        <f>J228/I228</f>
        <v>0</v>
      </c>
      <c r="L228" s="156"/>
      <c r="M228" s="156"/>
      <c r="N228" s="128">
        <f>G228+J228</f>
        <v>0</v>
      </c>
      <c r="O228" s="83"/>
      <c r="P228" s="51"/>
      <c r="AA228" s="56"/>
    </row>
    <row r="229" spans="1:27" s="38" customFormat="1" ht="138.75" thickTop="1" thickBot="1" x14ac:dyDescent="1.2">
      <c r="A229" s="60"/>
      <c r="B229" s="154" t="s">
        <v>579</v>
      </c>
      <c r="C229" s="154" t="s">
        <v>39</v>
      </c>
      <c r="D229" s="155" t="s">
        <v>580</v>
      </c>
      <c r="E229" s="156"/>
      <c r="F229" s="156"/>
      <c r="G229" s="156"/>
      <c r="H229" s="148"/>
      <c r="I229" s="135">
        <v>-17857810</v>
      </c>
      <c r="J229" s="135">
        <v>0</v>
      </c>
      <c r="K229" s="126">
        <f>J229/I229</f>
        <v>0</v>
      </c>
      <c r="L229" s="156"/>
      <c r="M229" s="156"/>
      <c r="N229" s="128">
        <f>G229+J229</f>
        <v>0</v>
      </c>
      <c r="O229" s="83"/>
      <c r="P229" s="51"/>
      <c r="AA229" s="56"/>
    </row>
    <row r="230" spans="1:27" s="38" customFormat="1" ht="119.25" customHeight="1" thickTop="1" thickBot="1" x14ac:dyDescent="0.25">
      <c r="A230" s="60"/>
      <c r="B230" s="63" t="s">
        <v>427</v>
      </c>
      <c r="C230" s="63" t="s">
        <v>427</v>
      </c>
      <c r="D230" s="64" t="s">
        <v>428</v>
      </c>
      <c r="E230" s="65">
        <f>E219+E220</f>
        <v>3939612317.1700001</v>
      </c>
      <c r="F230" s="65">
        <f>F219+F220</f>
        <v>1081282512.8199999</v>
      </c>
      <c r="G230" s="65">
        <f>G219+G220</f>
        <v>953074925.21999991</v>
      </c>
      <c r="H230" s="66">
        <f>G230/F230</f>
        <v>0.8814300739354114</v>
      </c>
      <c r="I230" s="65">
        <f>I219+I220</f>
        <v>762648177.69999993</v>
      </c>
      <c r="J230" s="65">
        <f>J219+J220</f>
        <v>228162770.94</v>
      </c>
      <c r="K230" s="66">
        <f>J230/I230</f>
        <v>0.29917172506475398</v>
      </c>
      <c r="L230" s="65" t="e">
        <f>#REF!+#REF!+#REF!+#REF!+#REF!+#REF!++L140+L149+L213+L179+L193+#REF!+L159+#REF!+#REF!</f>
        <v>#REF!</v>
      </c>
      <c r="M230" s="65" t="e">
        <f>#REF!+#REF!+#REF!+#REF!+#REF!+#REF!++M140+M149+M213+M179+M193+#REF!+M159+#REF!+#REF!</f>
        <v>#REF!</v>
      </c>
      <c r="N230" s="65">
        <f>N219+N220</f>
        <v>1181237696.1599998</v>
      </c>
      <c r="O230" s="53" t="b">
        <f>N230=J230+G230</f>
        <v>1</v>
      </c>
      <c r="P230" s="51"/>
      <c r="S230" s="65">
        <f>N230/(I230+E230)*100</f>
        <v>25.120635010516505</v>
      </c>
      <c r="T230" s="65">
        <f>G230/E230*100</f>
        <v>24.192099335922382</v>
      </c>
    </row>
    <row r="231" spans="1:27" ht="46.5" thickTop="1" x14ac:dyDescent="0.2">
      <c r="A231" s="205" t="s">
        <v>535</v>
      </c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40"/>
    </row>
    <row r="232" spans="1:27" ht="45.75" x14ac:dyDescent="0.65">
      <c r="A232" s="41"/>
      <c r="B232" s="42"/>
      <c r="C232" s="42"/>
      <c r="D232" s="43" t="s">
        <v>565</v>
      </c>
      <c r="E232"/>
      <c r="F232"/>
      <c r="G232" s="43"/>
      <c r="H232" s="45"/>
      <c r="I232" s="43" t="s">
        <v>566</v>
      </c>
      <c r="J232" s="45"/>
      <c r="K232" s="45"/>
      <c r="L232" s="45"/>
      <c r="M232" s="45"/>
      <c r="N232" s="45"/>
      <c r="O232" s="40"/>
    </row>
    <row r="233" spans="1:27" ht="45.75" x14ac:dyDescent="0.65">
      <c r="A233" s="61"/>
      <c r="B233" s="62"/>
      <c r="C233" s="62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40"/>
    </row>
    <row r="234" spans="1:27" ht="45.75" x14ac:dyDescent="0.65">
      <c r="A234" s="41"/>
      <c r="B234" s="42"/>
      <c r="C234" s="42"/>
      <c r="D234" s="43" t="s">
        <v>563</v>
      </c>
      <c r="E234" s="44"/>
      <c r="F234" s="44"/>
      <c r="G234" s="43"/>
      <c r="H234" s="45"/>
      <c r="I234" s="43" t="s">
        <v>564</v>
      </c>
      <c r="J234" s="45"/>
      <c r="K234" s="45"/>
      <c r="L234" s="45"/>
      <c r="M234" s="45"/>
      <c r="N234" s="45"/>
      <c r="O234" s="40"/>
    </row>
    <row r="235" spans="1:27" ht="45.75" x14ac:dyDescent="0.65">
      <c r="A235" s="2"/>
      <c r="B235" s="2"/>
      <c r="C235" s="2"/>
      <c r="D235" s="198"/>
      <c r="E235" s="198"/>
      <c r="F235" s="198"/>
      <c r="G235" s="198"/>
      <c r="H235" s="198"/>
      <c r="I235" s="198"/>
      <c r="J235" s="198"/>
      <c r="K235" s="198"/>
      <c r="L235" s="198"/>
      <c r="M235" s="198"/>
      <c r="N235" s="198"/>
      <c r="O235" s="46"/>
    </row>
    <row r="252" spans="5:10" ht="47.25" hidden="1" thickTop="1" thickBot="1" x14ac:dyDescent="0.25">
      <c r="E252" s="55">
        <f>E219-E211-E209</f>
        <v>3814560567.25</v>
      </c>
      <c r="F252" s="55">
        <f>F219-F211-F209</f>
        <v>994375819.67999995</v>
      </c>
      <c r="I252" s="55">
        <f>I219-I211-I209</f>
        <v>636245595.83999991</v>
      </c>
      <c r="J252" s="175"/>
    </row>
    <row r="260" spans="9:9" ht="45.75" x14ac:dyDescent="0.2">
      <c r="I260" s="175"/>
    </row>
    <row r="261" spans="9:9" ht="312" customHeight="1" x14ac:dyDescent="0.2"/>
    <row r="262" spans="9:9" ht="183" customHeight="1" x14ac:dyDescent="0.2"/>
    <row r="263" spans="9:9" ht="228" customHeight="1" x14ac:dyDescent="0.2"/>
    <row r="264" spans="9:9" ht="294" customHeight="1" x14ac:dyDescent="0.2"/>
    <row r="265" spans="9:9" ht="258" customHeight="1" x14ac:dyDescent="0.2"/>
    <row r="266" spans="9:9" ht="180" customHeight="1" x14ac:dyDescent="0.2"/>
    <row r="267" spans="9:9" ht="249" customHeight="1" x14ac:dyDescent="0.2"/>
  </sheetData>
  <mergeCells count="120">
    <mergeCell ref="K2:N2"/>
    <mergeCell ref="J3:N3"/>
    <mergeCell ref="A8:B8"/>
    <mergeCell ref="A4:N4"/>
    <mergeCell ref="N10:N12"/>
    <mergeCell ref="E11:E12"/>
    <mergeCell ref="H11:H12"/>
    <mergeCell ref="I11:I12"/>
    <mergeCell ref="J11:J12"/>
    <mergeCell ref="E10:H10"/>
    <mergeCell ref="A10:A12"/>
    <mergeCell ref="B10:B12"/>
    <mergeCell ref="C10:C12"/>
    <mergeCell ref="D10:D12"/>
    <mergeCell ref="M11:M12"/>
    <mergeCell ref="I10:M10"/>
    <mergeCell ref="A5:N5"/>
    <mergeCell ref="A7:B7"/>
    <mergeCell ref="D235:N235"/>
    <mergeCell ref="F11:F12"/>
    <mergeCell ref="G11:G12"/>
    <mergeCell ref="K11:K12"/>
    <mergeCell ref="L193:L194"/>
    <mergeCell ref="M193:M194"/>
    <mergeCell ref="N193:N194"/>
    <mergeCell ref="L28:L29"/>
    <mergeCell ref="M28:M29"/>
    <mergeCell ref="N28:N29"/>
    <mergeCell ref="G28:G29"/>
    <mergeCell ref="I28:I29"/>
    <mergeCell ref="J28:J29"/>
    <mergeCell ref="K28:K29"/>
    <mergeCell ref="A231:N231"/>
    <mergeCell ref="D233:N233"/>
    <mergeCell ref="A28:A29"/>
    <mergeCell ref="B109:B111"/>
    <mergeCell ref="C109:C111"/>
    <mergeCell ref="E99:E101"/>
    <mergeCell ref="K99:K101"/>
    <mergeCell ref="F99:F101"/>
    <mergeCell ref="B28:B29"/>
    <mergeCell ref="C28:C29"/>
    <mergeCell ref="E28:E29"/>
    <mergeCell ref="F28:F29"/>
    <mergeCell ref="N102:N105"/>
    <mergeCell ref="F106:F108"/>
    <mergeCell ref="G106:G108"/>
    <mergeCell ref="O154:P154"/>
    <mergeCell ref="O155:P155"/>
    <mergeCell ref="H99:H101"/>
    <mergeCell ref="H102:H105"/>
    <mergeCell ref="H106:H108"/>
    <mergeCell ref="H109:H111"/>
    <mergeCell ref="N106:N108"/>
    <mergeCell ref="G99:G101"/>
    <mergeCell ref="I99:I101"/>
    <mergeCell ref="J99:J101"/>
    <mergeCell ref="N99:N101"/>
    <mergeCell ref="H28:H29"/>
    <mergeCell ref="O28:O29"/>
    <mergeCell ref="K109:K111"/>
    <mergeCell ref="N109:N111"/>
    <mergeCell ref="F109:F111"/>
    <mergeCell ref="G109:G111"/>
    <mergeCell ref="F102:F105"/>
    <mergeCell ref="G102:G105"/>
    <mergeCell ref="B99:B101"/>
    <mergeCell ref="C99:C101"/>
    <mergeCell ref="B102:B105"/>
    <mergeCell ref="C102:C105"/>
    <mergeCell ref="B106:B108"/>
    <mergeCell ref="C106:C108"/>
    <mergeCell ref="E102:E105"/>
    <mergeCell ref="E106:E108"/>
    <mergeCell ref="O197:P197"/>
    <mergeCell ref="O157:P157"/>
    <mergeCell ref="O158:P158"/>
    <mergeCell ref="K106:K108"/>
    <mergeCell ref="K102:K105"/>
    <mergeCell ref="I106:I108"/>
    <mergeCell ref="J106:J108"/>
    <mergeCell ref="I102:I105"/>
    <mergeCell ref="J102:J105"/>
    <mergeCell ref="E109:E111"/>
    <mergeCell ref="I109:I111"/>
    <mergeCell ref="J109:J111"/>
    <mergeCell ref="O159:P159"/>
    <mergeCell ref="O171:P171"/>
    <mergeCell ref="O208:P208"/>
    <mergeCell ref="O185:P185"/>
    <mergeCell ref="B193:B194"/>
    <mergeCell ref="K193:K194"/>
    <mergeCell ref="O188:P188"/>
    <mergeCell ref="C193:C194"/>
    <mergeCell ref="E193:E194"/>
    <mergeCell ref="F193:F194"/>
    <mergeCell ref="G193:G194"/>
    <mergeCell ref="H193:H194"/>
    <mergeCell ref="I193:I194"/>
    <mergeCell ref="J193:J194"/>
    <mergeCell ref="O178:P178"/>
    <mergeCell ref="O179:P179"/>
    <mergeCell ref="O180:P180"/>
    <mergeCell ref="O227:P227"/>
    <mergeCell ref="O223:P223"/>
    <mergeCell ref="O222:P222"/>
    <mergeCell ref="O221:P221"/>
    <mergeCell ref="O220:P220"/>
    <mergeCell ref="O198:P198"/>
    <mergeCell ref="O210:P210"/>
    <mergeCell ref="O209:P209"/>
    <mergeCell ref="O200:P200"/>
    <mergeCell ref="O225:P225"/>
    <mergeCell ref="O214:P214"/>
    <mergeCell ref="P211:Q211"/>
    <mergeCell ref="O224:P224"/>
    <mergeCell ref="O226:P226"/>
    <mergeCell ref="O204:P204"/>
    <mergeCell ref="O206:P206"/>
    <mergeCell ref="O212:P212"/>
  </mergeCells>
  <pageMargins left="0.23622047244094491" right="0.27559055118110237" top="0.27559055118110237" bottom="0.15748031496062992" header="0.23622047244094491" footer="0.27559055118110237"/>
  <pageSetup paperSize="9" scale="18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Ковтун Денис Леонідович</cp:lastModifiedBy>
  <cp:lastPrinted>2023-08-04T10:59:15Z</cp:lastPrinted>
  <dcterms:created xsi:type="dcterms:W3CDTF">2021-05-18T12:47:38Z</dcterms:created>
  <dcterms:modified xsi:type="dcterms:W3CDTF">2024-05-21T05:26:24Z</dcterms:modified>
</cp:coreProperties>
</file>