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ЦяКнига"/>
  <mc:AlternateContent xmlns:mc="http://schemas.openxmlformats.org/markup-compatibility/2006">
    <mc:Choice Requires="x15">
      <x15ac:absPath xmlns:x15ac="http://schemas.microsoft.com/office/spreadsheetml/2010/11/ac" url="O:\BUDJET\2023\Рішення від 15.12.2023 №\Рішення МВК від 12.12.2023 № 1415\"/>
    </mc:Choice>
  </mc:AlternateContent>
  <xr:revisionPtr revIDLastSave="0" documentId="13_ncr:1_{6AEAE958-F48E-4294-8438-92B0546E1FD3}" xr6:coauthVersionLast="47" xr6:coauthVersionMax="47" xr10:uidLastSave="{00000000-0000-0000-0000-000000000000}"/>
  <bookViews>
    <workbookView xWindow="-120" yWindow="-120" windowWidth="29040" windowHeight="15720" tabRatio="583" activeTab="8" xr2:uid="{00000000-000D-0000-FFFF-FFFF00000000}"/>
  </bookViews>
  <sheets>
    <sheet name="d1" sheetId="188" r:id="rId1"/>
    <sheet name="d2" sheetId="172" r:id="rId2"/>
    <sheet name="d3" sheetId="165" r:id="rId3"/>
    <sheet name="d4" sheetId="107" r:id="rId4"/>
    <sheet name="d5" sheetId="170" r:id="rId5"/>
    <sheet name="d6" sheetId="184" r:id="rId6"/>
    <sheet name="d7" sheetId="167" r:id="rId7"/>
    <sheet name="d8" sheetId="108" r:id="rId8"/>
    <sheet name="d9" sheetId="197" r:id="rId9"/>
    <sheet name="d3П" sheetId="198" r:id="rId10"/>
    <sheet name="d3Р" sheetId="199" r:id="rId11"/>
  </sheets>
  <definedNames>
    <definedName name="_GoBack" localSheetId="5">'d6'!#REF!</definedName>
    <definedName name="_xlnm.Print_Titles" localSheetId="2">'d3'!$11:$14</definedName>
    <definedName name="_xlnm.Print_Titles" localSheetId="9">d3П!$11:$14</definedName>
    <definedName name="_xlnm.Print_Titles" localSheetId="10">d3Р!$11:$14</definedName>
    <definedName name="_xlnm.Print_Titles" localSheetId="5">'d6'!$9:$10</definedName>
    <definedName name="_xlnm.Print_Titles" localSheetId="6">'d7'!$12:$14</definedName>
    <definedName name="_xlnm.Print_Area" localSheetId="0">'d1'!$A$1:$F$148</definedName>
    <definedName name="_xlnm.Print_Area" localSheetId="1">'d2'!$A$1:$F$64</definedName>
    <definedName name="_xlnm.Print_Area" localSheetId="2">'d3'!$A$1:$P$427</definedName>
    <definedName name="_xlnm.Print_Area" localSheetId="9">d3П!$A$1:$P$427</definedName>
    <definedName name="_xlnm.Print_Area" localSheetId="10">d3Р!$A$1:$P$422</definedName>
    <definedName name="_xlnm.Print_Area" localSheetId="3">'d4'!$B$1:$Q$33</definedName>
    <definedName name="_xlnm.Print_Area" localSheetId="4">'d5'!$A$1:$D$109</definedName>
    <definedName name="_xlnm.Print_Area" localSheetId="5">'d6'!$B$1:$K$131</definedName>
    <definedName name="_xlnm.Print_Area" localSheetId="6">'d7'!$A$1:$J$353</definedName>
    <definedName name="_xlnm.Print_Area" localSheetId="7">'d8'!$A$1:$D$41</definedName>
    <definedName name="_xlnm.Print_Area" localSheetId="8">'d9'!$A$1:$F$36</definedName>
    <definedName name="С16" localSheetId="0">#REF!</definedName>
    <definedName name="С16" localSheetId="1">#REF!</definedName>
    <definedName name="С16" localSheetId="4">#REF!</definedName>
    <definedName name="С16" localSheetId="5">#REF!</definedName>
    <definedName name="С16" localSheetId="6">#REF!</definedName>
    <definedName name="С16" localSheetId="8">#REF!</definedName>
    <definedName name="С1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65" l="1"/>
  <c r="F64" i="165"/>
  <c r="F67" i="165"/>
  <c r="G48" i="165"/>
  <c r="F48" i="165"/>
  <c r="Q24" i="107"/>
  <c r="I22" i="107"/>
  <c r="H230" i="165"/>
  <c r="F230" i="165"/>
  <c r="F225" i="165"/>
  <c r="H423" i="165"/>
  <c r="O423" i="165" l="1"/>
  <c r="K423" i="165"/>
  <c r="J423" i="165"/>
  <c r="F423" i="165"/>
  <c r="F414" i="165" l="1"/>
  <c r="K176" i="165"/>
  <c r="H149" i="167" l="1"/>
  <c r="F179" i="165"/>
  <c r="F157" i="165"/>
  <c r="F154" i="165"/>
  <c r="D78" i="170"/>
  <c r="D59" i="170"/>
  <c r="H43" i="167" l="1"/>
  <c r="F43" i="165"/>
  <c r="J36" i="167"/>
  <c r="I36" i="167"/>
  <c r="K35" i="165"/>
  <c r="P423" i="165"/>
  <c r="N125" i="184"/>
  <c r="M125" i="184"/>
  <c r="L125" i="184"/>
  <c r="J63" i="184"/>
  <c r="I63" i="184"/>
  <c r="H63" i="184"/>
  <c r="J70" i="184"/>
  <c r="I70" i="184" s="1"/>
  <c r="K70" i="184" s="1"/>
  <c r="I25" i="184" l="1"/>
  <c r="K25" i="184" s="1"/>
  <c r="K296" i="165" l="1"/>
  <c r="H249" i="167"/>
  <c r="F289" i="165"/>
  <c r="H246" i="167"/>
  <c r="F288" i="165"/>
  <c r="F285" i="165"/>
  <c r="F269" i="165"/>
  <c r="P420" i="199"/>
  <c r="O420" i="199"/>
  <c r="N420" i="199"/>
  <c r="M420" i="199"/>
  <c r="L420" i="199"/>
  <c r="K420" i="199"/>
  <c r="J420" i="199"/>
  <c r="I420" i="199"/>
  <c r="H420" i="199"/>
  <c r="G420" i="199"/>
  <c r="F420" i="199"/>
  <c r="E420" i="199"/>
  <c r="P419" i="199"/>
  <c r="O419" i="199"/>
  <c r="N419" i="199"/>
  <c r="M419" i="199"/>
  <c r="L419" i="199"/>
  <c r="K419" i="199"/>
  <c r="J419" i="199"/>
  <c r="I419" i="199"/>
  <c r="H419" i="199"/>
  <c r="G419" i="199"/>
  <c r="F419" i="199"/>
  <c r="E419" i="199"/>
  <c r="P418" i="199"/>
  <c r="O418" i="199"/>
  <c r="N418" i="199"/>
  <c r="M418" i="199"/>
  <c r="L418" i="199"/>
  <c r="K418" i="199"/>
  <c r="J418" i="199"/>
  <c r="I418" i="199"/>
  <c r="H418" i="199"/>
  <c r="G418" i="199"/>
  <c r="F418" i="199"/>
  <c r="E418" i="199"/>
  <c r="P417" i="199"/>
  <c r="O417" i="199"/>
  <c r="N417" i="199"/>
  <c r="M417" i="199"/>
  <c r="L417" i="199"/>
  <c r="K417" i="199"/>
  <c r="J417" i="199"/>
  <c r="I417" i="199"/>
  <c r="H417" i="199"/>
  <c r="G417" i="199"/>
  <c r="F417" i="199"/>
  <c r="E417" i="199"/>
  <c r="P416" i="199"/>
  <c r="O416" i="199"/>
  <c r="N416" i="199"/>
  <c r="M416" i="199"/>
  <c r="L416" i="199"/>
  <c r="K416" i="199"/>
  <c r="J416" i="199"/>
  <c r="I416" i="199"/>
  <c r="H416" i="199"/>
  <c r="G416" i="199"/>
  <c r="F416" i="199"/>
  <c r="E416" i="199"/>
  <c r="P415" i="199"/>
  <c r="O415" i="199"/>
  <c r="N415" i="199"/>
  <c r="M415" i="199"/>
  <c r="L415" i="199"/>
  <c r="K415" i="199"/>
  <c r="J415" i="199"/>
  <c r="I415" i="199"/>
  <c r="H415" i="199"/>
  <c r="G415" i="199"/>
  <c r="F415" i="199"/>
  <c r="E415" i="199"/>
  <c r="O414" i="199"/>
  <c r="N414" i="199"/>
  <c r="M414" i="199"/>
  <c r="L414" i="199"/>
  <c r="K414" i="199"/>
  <c r="J414" i="199"/>
  <c r="I414" i="199"/>
  <c r="H414" i="199"/>
  <c r="G414" i="199"/>
  <c r="F414" i="199"/>
  <c r="O413" i="199"/>
  <c r="N413" i="199"/>
  <c r="M413" i="199"/>
  <c r="L413" i="199"/>
  <c r="K413" i="199"/>
  <c r="J413" i="199"/>
  <c r="I413" i="199"/>
  <c r="H413" i="199"/>
  <c r="G413" i="199"/>
  <c r="P412" i="199"/>
  <c r="O412" i="199"/>
  <c r="N412" i="199"/>
  <c r="M412" i="199"/>
  <c r="L412" i="199"/>
  <c r="K412" i="199"/>
  <c r="J412" i="199"/>
  <c r="I412" i="199"/>
  <c r="H412" i="199"/>
  <c r="G412" i="199"/>
  <c r="F412" i="199"/>
  <c r="E412" i="199"/>
  <c r="O411" i="199"/>
  <c r="N411" i="199"/>
  <c r="M411" i="199"/>
  <c r="L411" i="199"/>
  <c r="K411" i="199"/>
  <c r="J411" i="199"/>
  <c r="I411" i="199"/>
  <c r="H411" i="199"/>
  <c r="G411" i="199"/>
  <c r="P410" i="199"/>
  <c r="O410" i="199"/>
  <c r="N410" i="199"/>
  <c r="M410" i="199"/>
  <c r="L410" i="199"/>
  <c r="K410" i="199"/>
  <c r="J410" i="199"/>
  <c r="I410" i="199"/>
  <c r="H410" i="199"/>
  <c r="G410" i="199"/>
  <c r="F410" i="199"/>
  <c r="E410" i="199"/>
  <c r="P409" i="199"/>
  <c r="O409" i="199"/>
  <c r="N409" i="199"/>
  <c r="M409" i="199"/>
  <c r="L409" i="199"/>
  <c r="K409" i="199"/>
  <c r="J409" i="199"/>
  <c r="I409" i="199"/>
  <c r="H409" i="199"/>
  <c r="G409" i="199"/>
  <c r="F409" i="199"/>
  <c r="E409" i="199"/>
  <c r="P408" i="199"/>
  <c r="O408" i="199"/>
  <c r="N408" i="199"/>
  <c r="M408" i="199"/>
  <c r="L408" i="199"/>
  <c r="K408" i="199"/>
  <c r="J408" i="199"/>
  <c r="I408" i="199"/>
  <c r="H408" i="199"/>
  <c r="G408" i="199"/>
  <c r="F408" i="199"/>
  <c r="E408" i="199"/>
  <c r="P407" i="199"/>
  <c r="O407" i="199"/>
  <c r="N407" i="199"/>
  <c r="M407" i="199"/>
  <c r="L407" i="199"/>
  <c r="K407" i="199"/>
  <c r="J407" i="199"/>
  <c r="I407" i="199"/>
  <c r="H407" i="199"/>
  <c r="G407" i="199"/>
  <c r="F407" i="199"/>
  <c r="E407" i="199"/>
  <c r="P406" i="199"/>
  <c r="O406" i="199"/>
  <c r="N406" i="199"/>
  <c r="M406" i="199"/>
  <c r="L406" i="199"/>
  <c r="K406" i="199"/>
  <c r="J406" i="199"/>
  <c r="I406" i="199"/>
  <c r="H406" i="199"/>
  <c r="G406" i="199"/>
  <c r="F406" i="199"/>
  <c r="E406" i="199"/>
  <c r="P405" i="199"/>
  <c r="O405" i="199"/>
  <c r="N405" i="199"/>
  <c r="M405" i="199"/>
  <c r="M404" i="199" s="1"/>
  <c r="M403" i="199" s="1"/>
  <c r="L405" i="199"/>
  <c r="K405" i="199"/>
  <c r="J405" i="199"/>
  <c r="I405" i="199"/>
  <c r="H405" i="199"/>
  <c r="G405" i="199"/>
  <c r="F405" i="199"/>
  <c r="E405" i="199"/>
  <c r="P402" i="199"/>
  <c r="O402" i="199"/>
  <c r="N402" i="199"/>
  <c r="M402" i="199"/>
  <c r="L402" i="199"/>
  <c r="K402" i="199"/>
  <c r="J402" i="199"/>
  <c r="I402" i="199"/>
  <c r="H402" i="199"/>
  <c r="G402" i="199"/>
  <c r="F402" i="199"/>
  <c r="E402" i="199"/>
  <c r="P401" i="199"/>
  <c r="O401" i="199"/>
  <c r="N401" i="199"/>
  <c r="M401" i="199"/>
  <c r="L401" i="199"/>
  <c r="K401" i="199"/>
  <c r="J401" i="199"/>
  <c r="I401" i="199"/>
  <c r="H401" i="199"/>
  <c r="G401" i="199"/>
  <c r="F401" i="199"/>
  <c r="E401" i="199"/>
  <c r="P400" i="199"/>
  <c r="O400" i="199"/>
  <c r="N400" i="199"/>
  <c r="M400" i="199"/>
  <c r="L400" i="199"/>
  <c r="K400" i="199"/>
  <c r="J400" i="199"/>
  <c r="I400" i="199"/>
  <c r="H400" i="199"/>
  <c r="G400" i="199"/>
  <c r="F400" i="199"/>
  <c r="E400" i="199"/>
  <c r="P399" i="199"/>
  <c r="O399" i="199"/>
  <c r="N399" i="199"/>
  <c r="M399" i="199"/>
  <c r="L399" i="199"/>
  <c r="K399" i="199"/>
  <c r="J399" i="199"/>
  <c r="I399" i="199"/>
  <c r="H399" i="199"/>
  <c r="G399" i="199"/>
  <c r="F399" i="199"/>
  <c r="E399" i="199"/>
  <c r="P398" i="199"/>
  <c r="O398" i="199"/>
  <c r="N398" i="199"/>
  <c r="M398" i="199"/>
  <c r="L398" i="199"/>
  <c r="K398" i="199"/>
  <c r="J398" i="199"/>
  <c r="I398" i="199"/>
  <c r="H398" i="199"/>
  <c r="G398" i="199"/>
  <c r="F398" i="199"/>
  <c r="E398" i="199"/>
  <c r="P397" i="199"/>
  <c r="O397" i="199"/>
  <c r="N397" i="199"/>
  <c r="M397" i="199"/>
  <c r="L397" i="199"/>
  <c r="K397" i="199"/>
  <c r="J397" i="199"/>
  <c r="I397" i="199"/>
  <c r="H397" i="199"/>
  <c r="G397" i="199"/>
  <c r="F397" i="199"/>
  <c r="E397" i="199"/>
  <c r="P396" i="199"/>
  <c r="O396" i="199"/>
  <c r="N396" i="199"/>
  <c r="M396" i="199"/>
  <c r="M395" i="199" s="1"/>
  <c r="M394" i="199" s="1"/>
  <c r="L396" i="199"/>
  <c r="K396" i="199"/>
  <c r="J396" i="199"/>
  <c r="I396" i="199"/>
  <c r="H396" i="199"/>
  <c r="G396" i="199"/>
  <c r="F396" i="199"/>
  <c r="E396" i="199"/>
  <c r="P393" i="199"/>
  <c r="O393" i="199"/>
  <c r="N393" i="199"/>
  <c r="M393" i="199"/>
  <c r="L393" i="199"/>
  <c r="K393" i="199"/>
  <c r="J393" i="199"/>
  <c r="I393" i="199"/>
  <c r="H393" i="199"/>
  <c r="G393" i="199"/>
  <c r="F393" i="199"/>
  <c r="E393" i="199"/>
  <c r="P392" i="199"/>
  <c r="O392" i="199"/>
  <c r="N392" i="199"/>
  <c r="M392" i="199"/>
  <c r="L392" i="199"/>
  <c r="K392" i="199"/>
  <c r="J392" i="199"/>
  <c r="I392" i="199"/>
  <c r="H392" i="199"/>
  <c r="G392" i="199"/>
  <c r="F392" i="199"/>
  <c r="E392" i="199"/>
  <c r="P391" i="199"/>
  <c r="O391" i="199"/>
  <c r="N391" i="199"/>
  <c r="M391" i="199"/>
  <c r="L391" i="199"/>
  <c r="K391" i="199"/>
  <c r="J391" i="199"/>
  <c r="I391" i="199"/>
  <c r="H391" i="199"/>
  <c r="G391" i="199"/>
  <c r="F391" i="199"/>
  <c r="E391" i="199"/>
  <c r="P390" i="199"/>
  <c r="O390" i="199"/>
  <c r="N390" i="199"/>
  <c r="M390" i="199"/>
  <c r="L390" i="199"/>
  <c r="K390" i="199"/>
  <c r="J390" i="199"/>
  <c r="I390" i="199"/>
  <c r="H390" i="199"/>
  <c r="G390" i="199"/>
  <c r="F390" i="199"/>
  <c r="E390" i="199"/>
  <c r="P389" i="199"/>
  <c r="O389" i="199"/>
  <c r="N389" i="199"/>
  <c r="M389" i="199"/>
  <c r="L389" i="199"/>
  <c r="K389" i="199"/>
  <c r="J389" i="199"/>
  <c r="I389" i="199"/>
  <c r="H389" i="199"/>
  <c r="G389" i="199"/>
  <c r="F389" i="199"/>
  <c r="E389" i="199"/>
  <c r="P388" i="199"/>
  <c r="O388" i="199"/>
  <c r="N388" i="199"/>
  <c r="M388" i="199"/>
  <c r="L388" i="199"/>
  <c r="K388" i="199"/>
  <c r="J388" i="199"/>
  <c r="I388" i="199"/>
  <c r="H388" i="199"/>
  <c r="G388" i="199"/>
  <c r="F388" i="199"/>
  <c r="E388" i="199"/>
  <c r="P387" i="199"/>
  <c r="O387" i="199"/>
  <c r="N387" i="199"/>
  <c r="M387" i="199"/>
  <c r="L387" i="199"/>
  <c r="K387" i="199"/>
  <c r="J387" i="199"/>
  <c r="I387" i="199"/>
  <c r="H387" i="199"/>
  <c r="G387" i="199"/>
  <c r="F387" i="199"/>
  <c r="E387" i="199"/>
  <c r="P386" i="199"/>
  <c r="O386" i="199"/>
  <c r="N386" i="199"/>
  <c r="M386" i="199"/>
  <c r="L386" i="199"/>
  <c r="K386" i="199"/>
  <c r="J386" i="199"/>
  <c r="I386" i="199"/>
  <c r="H386" i="199"/>
  <c r="G386" i="199"/>
  <c r="F386" i="199"/>
  <c r="E386" i="199"/>
  <c r="P383" i="199"/>
  <c r="O383" i="199"/>
  <c r="N383" i="199"/>
  <c r="M383" i="199"/>
  <c r="L383" i="199"/>
  <c r="K383" i="199"/>
  <c r="J383" i="199"/>
  <c r="I383" i="199"/>
  <c r="H383" i="199"/>
  <c r="G383" i="199"/>
  <c r="F383" i="199"/>
  <c r="E383" i="199"/>
  <c r="P382" i="199"/>
  <c r="O382" i="199"/>
  <c r="N382" i="199"/>
  <c r="M382" i="199"/>
  <c r="L382" i="199"/>
  <c r="K382" i="199"/>
  <c r="J382" i="199"/>
  <c r="I382" i="199"/>
  <c r="H382" i="199"/>
  <c r="G382" i="199"/>
  <c r="F382" i="199"/>
  <c r="E382" i="199"/>
  <c r="P381" i="199"/>
  <c r="O381" i="199"/>
  <c r="N381" i="199"/>
  <c r="M381" i="199"/>
  <c r="L381" i="199"/>
  <c r="K381" i="199"/>
  <c r="J381" i="199"/>
  <c r="I381" i="199"/>
  <c r="H381" i="199"/>
  <c r="G381" i="199"/>
  <c r="F381" i="199"/>
  <c r="E381" i="199"/>
  <c r="P380" i="199"/>
  <c r="O380" i="199"/>
  <c r="N380" i="199"/>
  <c r="M380" i="199"/>
  <c r="L380" i="199"/>
  <c r="K380" i="199"/>
  <c r="J380" i="199"/>
  <c r="I380" i="199"/>
  <c r="H380" i="199"/>
  <c r="G380" i="199"/>
  <c r="F380" i="199"/>
  <c r="E380" i="199"/>
  <c r="P379" i="199"/>
  <c r="O379" i="199"/>
  <c r="N379" i="199"/>
  <c r="M379" i="199"/>
  <c r="L379" i="199"/>
  <c r="K379" i="199"/>
  <c r="J379" i="199"/>
  <c r="I379" i="199"/>
  <c r="H379" i="199"/>
  <c r="G379" i="199"/>
  <c r="F379" i="199"/>
  <c r="E379" i="199"/>
  <c r="P378" i="199"/>
  <c r="O378" i="199"/>
  <c r="N378" i="199"/>
  <c r="M378" i="199"/>
  <c r="L378" i="199"/>
  <c r="K378" i="199"/>
  <c r="J378" i="199"/>
  <c r="I378" i="199"/>
  <c r="H378" i="199"/>
  <c r="G378" i="199"/>
  <c r="F378" i="199"/>
  <c r="E378" i="199"/>
  <c r="P377" i="199"/>
  <c r="O377" i="199"/>
  <c r="N377" i="199"/>
  <c r="M377" i="199"/>
  <c r="L377" i="199"/>
  <c r="K377" i="199"/>
  <c r="J377" i="199"/>
  <c r="I377" i="199"/>
  <c r="H377" i="199"/>
  <c r="G377" i="199"/>
  <c r="F377" i="199"/>
  <c r="E377" i="199"/>
  <c r="P376" i="199"/>
  <c r="O376" i="199"/>
  <c r="N376" i="199"/>
  <c r="M376" i="199"/>
  <c r="L376" i="199"/>
  <c r="K376" i="199"/>
  <c r="J376" i="199"/>
  <c r="I376" i="199"/>
  <c r="H376" i="199"/>
  <c r="G376" i="199"/>
  <c r="F376" i="199"/>
  <c r="E376" i="199"/>
  <c r="P375" i="199"/>
  <c r="O375" i="199"/>
  <c r="N375" i="199"/>
  <c r="M375" i="199"/>
  <c r="L375" i="199"/>
  <c r="K375" i="199"/>
  <c r="J375" i="199"/>
  <c r="I375" i="199"/>
  <c r="H375" i="199"/>
  <c r="G375" i="199"/>
  <c r="F375" i="199"/>
  <c r="E375" i="199"/>
  <c r="P374" i="199"/>
  <c r="O374" i="199"/>
  <c r="N374" i="199"/>
  <c r="M374" i="199"/>
  <c r="L374" i="199"/>
  <c r="K374" i="199"/>
  <c r="J374" i="199"/>
  <c r="I374" i="199"/>
  <c r="H374" i="199"/>
  <c r="G374" i="199"/>
  <c r="F374" i="199"/>
  <c r="E374" i="199"/>
  <c r="P373" i="199"/>
  <c r="O373" i="199"/>
  <c r="N373" i="199"/>
  <c r="M373" i="199"/>
  <c r="L373" i="199"/>
  <c r="K373" i="199"/>
  <c r="J373" i="199"/>
  <c r="I373" i="199"/>
  <c r="H373" i="199"/>
  <c r="G373" i="199"/>
  <c r="F373" i="199"/>
  <c r="E373" i="199"/>
  <c r="P372" i="199"/>
  <c r="O372" i="199"/>
  <c r="N372" i="199"/>
  <c r="M372" i="199"/>
  <c r="L372" i="199"/>
  <c r="K372" i="199"/>
  <c r="J372" i="199"/>
  <c r="I372" i="199"/>
  <c r="H372" i="199"/>
  <c r="G372" i="199"/>
  <c r="F372" i="199"/>
  <c r="E372" i="199"/>
  <c r="P371" i="199"/>
  <c r="O371" i="199"/>
  <c r="N371" i="199"/>
  <c r="M371" i="199"/>
  <c r="L371" i="199"/>
  <c r="K371" i="199"/>
  <c r="J371" i="199"/>
  <c r="I371" i="199"/>
  <c r="H371" i="199"/>
  <c r="G371" i="199"/>
  <c r="F371" i="199"/>
  <c r="E371" i="199"/>
  <c r="P370" i="199"/>
  <c r="O370" i="199"/>
  <c r="N370" i="199"/>
  <c r="M370" i="199"/>
  <c r="L370" i="199"/>
  <c r="K370" i="199"/>
  <c r="J370" i="199"/>
  <c r="I370" i="199"/>
  <c r="H370" i="199"/>
  <c r="G370" i="199"/>
  <c r="F370" i="199"/>
  <c r="E370" i="199"/>
  <c r="P369" i="199"/>
  <c r="O369" i="199"/>
  <c r="N369" i="199"/>
  <c r="M369" i="199"/>
  <c r="M366" i="199" s="1"/>
  <c r="M365" i="199" s="1"/>
  <c r="L369" i="199"/>
  <c r="K369" i="199"/>
  <c r="J369" i="199"/>
  <c r="I369" i="199"/>
  <c r="H369" i="199"/>
  <c r="G369" i="199"/>
  <c r="F369" i="199"/>
  <c r="E369" i="199"/>
  <c r="P368" i="199"/>
  <c r="O368" i="199"/>
  <c r="N368" i="199"/>
  <c r="M368" i="199"/>
  <c r="L368" i="199"/>
  <c r="K368" i="199"/>
  <c r="J368" i="199"/>
  <c r="I368" i="199"/>
  <c r="H368" i="199"/>
  <c r="G368" i="199"/>
  <c r="F368" i="199"/>
  <c r="E368" i="199"/>
  <c r="P367" i="199"/>
  <c r="O367" i="199"/>
  <c r="N367" i="199"/>
  <c r="M367" i="199"/>
  <c r="L367" i="199"/>
  <c r="K367" i="199"/>
  <c r="J367" i="199"/>
  <c r="I367" i="199"/>
  <c r="H367" i="199"/>
  <c r="G367" i="199"/>
  <c r="F367" i="199"/>
  <c r="E367" i="199"/>
  <c r="P364" i="199"/>
  <c r="O364" i="199"/>
  <c r="N364" i="199"/>
  <c r="M364" i="199"/>
  <c r="L364" i="199"/>
  <c r="K364" i="199"/>
  <c r="J364" i="199"/>
  <c r="I364" i="199"/>
  <c r="H364" i="199"/>
  <c r="G364" i="199"/>
  <c r="F364" i="199"/>
  <c r="E364" i="199"/>
  <c r="P363" i="199"/>
  <c r="O363" i="199"/>
  <c r="N363" i="199"/>
  <c r="M363" i="199"/>
  <c r="L363" i="199"/>
  <c r="K363" i="199"/>
  <c r="J363" i="199"/>
  <c r="I363" i="199"/>
  <c r="H363" i="199"/>
  <c r="G363" i="199"/>
  <c r="F363" i="199"/>
  <c r="E363" i="199"/>
  <c r="P362" i="199"/>
  <c r="O362" i="199"/>
  <c r="N362" i="199"/>
  <c r="M362" i="199"/>
  <c r="L362" i="199"/>
  <c r="K362" i="199"/>
  <c r="J362" i="199"/>
  <c r="I362" i="199"/>
  <c r="H362" i="199"/>
  <c r="G362" i="199"/>
  <c r="F362" i="199"/>
  <c r="E362" i="199"/>
  <c r="P361" i="199"/>
  <c r="O361" i="199"/>
  <c r="N361" i="199"/>
  <c r="M361" i="199"/>
  <c r="L361" i="199"/>
  <c r="K361" i="199"/>
  <c r="J361" i="199"/>
  <c r="I361" i="199"/>
  <c r="H361" i="199"/>
  <c r="G361" i="199"/>
  <c r="F361" i="199"/>
  <c r="E361" i="199"/>
  <c r="P360" i="199"/>
  <c r="O360" i="199"/>
  <c r="N360" i="199"/>
  <c r="M360" i="199"/>
  <c r="L360" i="199"/>
  <c r="K360" i="199"/>
  <c r="J360" i="199"/>
  <c r="I360" i="199"/>
  <c r="H360" i="199"/>
  <c r="G360" i="199"/>
  <c r="F360" i="199"/>
  <c r="E360" i="199"/>
  <c r="P359" i="199"/>
  <c r="O359" i="199"/>
  <c r="N359" i="199"/>
  <c r="M359" i="199"/>
  <c r="L359" i="199"/>
  <c r="K359" i="199"/>
  <c r="J359" i="199"/>
  <c r="I359" i="199"/>
  <c r="H359" i="199"/>
  <c r="G359" i="199"/>
  <c r="F359" i="199"/>
  <c r="E359" i="199"/>
  <c r="P358" i="199"/>
  <c r="O358" i="199"/>
  <c r="N358" i="199"/>
  <c r="M358" i="199"/>
  <c r="L358" i="199"/>
  <c r="K358" i="199"/>
  <c r="J358" i="199"/>
  <c r="I358" i="199"/>
  <c r="H358" i="199"/>
  <c r="G358" i="199"/>
  <c r="F358" i="199"/>
  <c r="E358" i="199"/>
  <c r="P357" i="199"/>
  <c r="O357" i="199"/>
  <c r="N357" i="199"/>
  <c r="M357" i="199"/>
  <c r="L357" i="199"/>
  <c r="K357" i="199"/>
  <c r="J357" i="199"/>
  <c r="I357" i="199"/>
  <c r="H357" i="199"/>
  <c r="G357" i="199"/>
  <c r="F357" i="199"/>
  <c r="E357" i="199"/>
  <c r="P356" i="199"/>
  <c r="O356" i="199"/>
  <c r="N356" i="199"/>
  <c r="M356" i="199"/>
  <c r="L356" i="199"/>
  <c r="K356" i="199"/>
  <c r="J356" i="199"/>
  <c r="I356" i="199"/>
  <c r="H356" i="199"/>
  <c r="G356" i="199"/>
  <c r="F356" i="199"/>
  <c r="E356" i="199"/>
  <c r="P355" i="199"/>
  <c r="O355" i="199"/>
  <c r="N355" i="199"/>
  <c r="M355" i="199"/>
  <c r="L355" i="199"/>
  <c r="K355" i="199"/>
  <c r="J355" i="199"/>
  <c r="I355" i="199"/>
  <c r="H355" i="199"/>
  <c r="G355" i="199"/>
  <c r="F355" i="199"/>
  <c r="E355" i="199"/>
  <c r="P354" i="199"/>
  <c r="O354" i="199"/>
  <c r="N354" i="199"/>
  <c r="M354" i="199"/>
  <c r="L354" i="199"/>
  <c r="K354" i="199"/>
  <c r="J354" i="199"/>
  <c r="I354" i="199"/>
  <c r="H354" i="199"/>
  <c r="G354" i="199"/>
  <c r="F354" i="199"/>
  <c r="E354" i="199"/>
  <c r="P353" i="199"/>
  <c r="O353" i="199"/>
  <c r="N353" i="199"/>
  <c r="M353" i="199"/>
  <c r="L353" i="199"/>
  <c r="K353" i="199"/>
  <c r="J353" i="199"/>
  <c r="I353" i="199"/>
  <c r="H353" i="199"/>
  <c r="G353" i="199"/>
  <c r="F353" i="199"/>
  <c r="E353" i="199"/>
  <c r="P352" i="199"/>
  <c r="O352" i="199"/>
  <c r="N352" i="199"/>
  <c r="M352" i="199"/>
  <c r="L352" i="199"/>
  <c r="K352" i="199"/>
  <c r="J352" i="199"/>
  <c r="I352" i="199"/>
  <c r="H352" i="199"/>
  <c r="G352" i="199"/>
  <c r="F352" i="199"/>
  <c r="E352" i="199"/>
  <c r="P351" i="199"/>
  <c r="O351" i="199"/>
  <c r="N351" i="199"/>
  <c r="M351" i="199"/>
  <c r="L351" i="199"/>
  <c r="K351" i="199"/>
  <c r="J351" i="199"/>
  <c r="I351" i="199"/>
  <c r="H351" i="199"/>
  <c r="G351" i="199"/>
  <c r="F351" i="199"/>
  <c r="E351" i="199"/>
  <c r="P350" i="199"/>
  <c r="O350" i="199"/>
  <c r="N350" i="199"/>
  <c r="M350" i="199"/>
  <c r="L350" i="199"/>
  <c r="K350" i="199"/>
  <c r="J350" i="199"/>
  <c r="I350" i="199"/>
  <c r="H350" i="199"/>
  <c r="G350" i="199"/>
  <c r="F350" i="199"/>
  <c r="E350" i="199"/>
  <c r="P349" i="199"/>
  <c r="O349" i="199"/>
  <c r="N349" i="199"/>
  <c r="M349" i="199"/>
  <c r="L349" i="199"/>
  <c r="K349" i="199"/>
  <c r="J349" i="199"/>
  <c r="I349" i="199"/>
  <c r="H349" i="199"/>
  <c r="G349" i="199"/>
  <c r="F349" i="199"/>
  <c r="E349" i="199"/>
  <c r="P348" i="199"/>
  <c r="O348" i="199"/>
  <c r="N348" i="199"/>
  <c r="M348" i="199"/>
  <c r="M347" i="199" s="1"/>
  <c r="M346" i="199" s="1"/>
  <c r="L348" i="199"/>
  <c r="K348" i="199"/>
  <c r="J348" i="199"/>
  <c r="I348" i="199"/>
  <c r="I347" i="199" s="1"/>
  <c r="I346" i="199" s="1"/>
  <c r="H348" i="199"/>
  <c r="G348" i="199"/>
  <c r="F348" i="199"/>
  <c r="E348" i="199"/>
  <c r="P345" i="199"/>
  <c r="O345" i="199"/>
  <c r="N345" i="199"/>
  <c r="M345" i="199"/>
  <c r="L345" i="199"/>
  <c r="K345" i="199"/>
  <c r="J345" i="199"/>
  <c r="I345" i="199"/>
  <c r="H345" i="199"/>
  <c r="G345" i="199"/>
  <c r="F345" i="199"/>
  <c r="E345" i="199"/>
  <c r="P344" i="199"/>
  <c r="O344" i="199"/>
  <c r="N344" i="199"/>
  <c r="M344" i="199"/>
  <c r="L344" i="199"/>
  <c r="K344" i="199"/>
  <c r="J344" i="199"/>
  <c r="I344" i="199"/>
  <c r="H344" i="199"/>
  <c r="G344" i="199"/>
  <c r="F344" i="199"/>
  <c r="E344" i="199"/>
  <c r="P343" i="199"/>
  <c r="O343" i="199"/>
  <c r="N343" i="199"/>
  <c r="M343" i="199"/>
  <c r="L343" i="199"/>
  <c r="K343" i="199"/>
  <c r="J343" i="199"/>
  <c r="I343" i="199"/>
  <c r="H343" i="199"/>
  <c r="G343" i="199"/>
  <c r="F343" i="199"/>
  <c r="E343" i="199"/>
  <c r="P342" i="199"/>
  <c r="O342" i="199"/>
  <c r="N342" i="199"/>
  <c r="M342" i="199"/>
  <c r="L342" i="199"/>
  <c r="K342" i="199"/>
  <c r="J342" i="199"/>
  <c r="I342" i="199"/>
  <c r="H342" i="199"/>
  <c r="G342" i="199"/>
  <c r="F342" i="199"/>
  <c r="E342" i="199"/>
  <c r="P341" i="199"/>
  <c r="O341" i="199"/>
  <c r="N341" i="199"/>
  <c r="M341" i="199"/>
  <c r="L341" i="199"/>
  <c r="K341" i="199"/>
  <c r="J341" i="199"/>
  <c r="I341" i="199"/>
  <c r="H341" i="199"/>
  <c r="G341" i="199"/>
  <c r="F341" i="199"/>
  <c r="E341" i="199"/>
  <c r="P340" i="199"/>
  <c r="O340" i="199"/>
  <c r="N340" i="199"/>
  <c r="M340" i="199"/>
  <c r="L340" i="199"/>
  <c r="K340" i="199"/>
  <c r="J340" i="199"/>
  <c r="I340" i="199"/>
  <c r="H340" i="199"/>
  <c r="G340" i="199"/>
  <c r="F340" i="199"/>
  <c r="E340" i="199"/>
  <c r="P339" i="199"/>
  <c r="O339" i="199"/>
  <c r="N339" i="199"/>
  <c r="M339" i="199"/>
  <c r="M338" i="199" s="1"/>
  <c r="M337" i="199" s="1"/>
  <c r="L339" i="199"/>
  <c r="K339" i="199"/>
  <c r="J339" i="199"/>
  <c r="I339" i="199"/>
  <c r="H339" i="199"/>
  <c r="G339" i="199"/>
  <c r="F339" i="199"/>
  <c r="E339" i="199"/>
  <c r="P330" i="199"/>
  <c r="O330" i="199"/>
  <c r="N330" i="199"/>
  <c r="M330" i="199"/>
  <c r="L330" i="199"/>
  <c r="K330" i="199"/>
  <c r="J330" i="199"/>
  <c r="I330" i="199"/>
  <c r="H330" i="199"/>
  <c r="G330" i="199"/>
  <c r="F330" i="199"/>
  <c r="E330" i="199"/>
  <c r="P329" i="199"/>
  <c r="O329" i="199"/>
  <c r="N329" i="199"/>
  <c r="M329" i="199"/>
  <c r="L329" i="199"/>
  <c r="K329" i="199"/>
  <c r="J329" i="199"/>
  <c r="I329" i="199"/>
  <c r="H329" i="199"/>
  <c r="G329" i="199"/>
  <c r="F329" i="199"/>
  <c r="E329" i="199"/>
  <c r="P328" i="199"/>
  <c r="O328" i="199"/>
  <c r="N328" i="199"/>
  <c r="M328" i="199"/>
  <c r="L328" i="199"/>
  <c r="K328" i="199"/>
  <c r="J328" i="199"/>
  <c r="I328" i="199"/>
  <c r="H328" i="199"/>
  <c r="G328" i="199"/>
  <c r="F328" i="199"/>
  <c r="E328" i="199"/>
  <c r="P327" i="199"/>
  <c r="O327" i="199"/>
  <c r="N327" i="199"/>
  <c r="M327" i="199"/>
  <c r="L327" i="199"/>
  <c r="K327" i="199"/>
  <c r="J327" i="199"/>
  <c r="I327" i="199"/>
  <c r="H327" i="199"/>
  <c r="G327" i="199"/>
  <c r="F327" i="199"/>
  <c r="E327" i="199"/>
  <c r="P326" i="199"/>
  <c r="O326" i="199"/>
  <c r="N326" i="199"/>
  <c r="M326" i="199"/>
  <c r="L326" i="199"/>
  <c r="K326" i="199"/>
  <c r="J326" i="199"/>
  <c r="I326" i="199"/>
  <c r="H326" i="199"/>
  <c r="G326" i="199"/>
  <c r="F326" i="199"/>
  <c r="E326" i="199"/>
  <c r="P325" i="199"/>
  <c r="O325" i="199"/>
  <c r="N325" i="199"/>
  <c r="M325" i="199"/>
  <c r="L325" i="199"/>
  <c r="K325" i="199"/>
  <c r="J325" i="199"/>
  <c r="I325" i="199"/>
  <c r="H325" i="199"/>
  <c r="G325" i="199"/>
  <c r="F325" i="199"/>
  <c r="E325" i="199"/>
  <c r="P324" i="199"/>
  <c r="O324" i="199"/>
  <c r="N324" i="199"/>
  <c r="M324" i="199"/>
  <c r="L324" i="199"/>
  <c r="K324" i="199"/>
  <c r="J324" i="199"/>
  <c r="I324" i="199"/>
  <c r="H324" i="199"/>
  <c r="G324" i="199"/>
  <c r="F324" i="199"/>
  <c r="E324" i="199"/>
  <c r="P323" i="199"/>
  <c r="O323" i="199"/>
  <c r="N323" i="199"/>
  <c r="M323" i="199"/>
  <c r="L323" i="199"/>
  <c r="K323" i="199"/>
  <c r="J323" i="199"/>
  <c r="I323" i="199"/>
  <c r="I313" i="199" s="1"/>
  <c r="I312" i="199" s="1"/>
  <c r="H323" i="199"/>
  <c r="G323" i="199"/>
  <c r="F323" i="199"/>
  <c r="E323" i="199"/>
  <c r="P322" i="199"/>
  <c r="O322" i="199"/>
  <c r="N322" i="199"/>
  <c r="M322" i="199"/>
  <c r="L322" i="199"/>
  <c r="K322" i="199"/>
  <c r="J322" i="199"/>
  <c r="I322" i="199"/>
  <c r="H322" i="199"/>
  <c r="G322" i="199"/>
  <c r="F322" i="199"/>
  <c r="E322" i="199"/>
  <c r="P321" i="199"/>
  <c r="O321" i="199"/>
  <c r="N321" i="199"/>
  <c r="M321" i="199"/>
  <c r="L321" i="199"/>
  <c r="K321" i="199"/>
  <c r="J321" i="199"/>
  <c r="I321" i="199"/>
  <c r="H321" i="199"/>
  <c r="G321" i="199"/>
  <c r="F321" i="199"/>
  <c r="E321" i="199"/>
  <c r="P320" i="199"/>
  <c r="O320" i="199"/>
  <c r="N320" i="199"/>
  <c r="M320" i="199"/>
  <c r="L320" i="199"/>
  <c r="K320" i="199"/>
  <c r="J320" i="199"/>
  <c r="I320" i="199"/>
  <c r="H320" i="199"/>
  <c r="G320" i="199"/>
  <c r="F320" i="199"/>
  <c r="E320" i="199"/>
  <c r="P319" i="199"/>
  <c r="O319" i="199"/>
  <c r="N319" i="199"/>
  <c r="M319" i="199"/>
  <c r="L319" i="199"/>
  <c r="K319" i="199"/>
  <c r="J319" i="199"/>
  <c r="I319" i="199"/>
  <c r="H319" i="199"/>
  <c r="G319" i="199"/>
  <c r="F319" i="199"/>
  <c r="E319" i="199"/>
  <c r="P318" i="199"/>
  <c r="O318" i="199"/>
  <c r="N318" i="199"/>
  <c r="M318" i="199"/>
  <c r="L318" i="199"/>
  <c r="K318" i="199"/>
  <c r="J318" i="199"/>
  <c r="I318" i="199"/>
  <c r="H318" i="199"/>
  <c r="G318" i="199"/>
  <c r="F318" i="199"/>
  <c r="E318" i="199"/>
  <c r="P317" i="199"/>
  <c r="O317" i="199"/>
  <c r="N317" i="199"/>
  <c r="M317" i="199"/>
  <c r="L317" i="199"/>
  <c r="K317" i="199"/>
  <c r="J317" i="199"/>
  <c r="I317" i="199"/>
  <c r="H317" i="199"/>
  <c r="G317" i="199"/>
  <c r="F317" i="199"/>
  <c r="E317" i="199"/>
  <c r="P316" i="199"/>
  <c r="O316" i="199"/>
  <c r="N316" i="199"/>
  <c r="M316" i="199"/>
  <c r="L316" i="199"/>
  <c r="K316" i="199"/>
  <c r="J316" i="199"/>
  <c r="I316" i="199"/>
  <c r="H316" i="199"/>
  <c r="G316" i="199"/>
  <c r="F316" i="199"/>
  <c r="E316" i="199"/>
  <c r="P315" i="199"/>
  <c r="O315" i="199"/>
  <c r="N315" i="199"/>
  <c r="M315" i="199"/>
  <c r="L315" i="199"/>
  <c r="K315" i="199"/>
  <c r="J315" i="199"/>
  <c r="I315" i="199"/>
  <c r="H315" i="199"/>
  <c r="G315" i="199"/>
  <c r="F315" i="199"/>
  <c r="E315" i="199"/>
  <c r="P314" i="199"/>
  <c r="O314" i="199"/>
  <c r="N314" i="199"/>
  <c r="M314" i="199"/>
  <c r="L314" i="199"/>
  <c r="K314" i="199"/>
  <c r="J314" i="199"/>
  <c r="I314" i="199"/>
  <c r="H314" i="199"/>
  <c r="G314" i="199"/>
  <c r="F314" i="199"/>
  <c r="E314" i="199"/>
  <c r="P311" i="199"/>
  <c r="O311" i="199"/>
  <c r="N311" i="199"/>
  <c r="M311" i="199"/>
  <c r="L311" i="199"/>
  <c r="K311" i="199"/>
  <c r="J311" i="199"/>
  <c r="I311" i="199"/>
  <c r="H311" i="199"/>
  <c r="G311" i="199"/>
  <c r="F311" i="199"/>
  <c r="E311" i="199"/>
  <c r="P310" i="199"/>
  <c r="O310" i="199"/>
  <c r="N310" i="199"/>
  <c r="M310" i="199"/>
  <c r="L310" i="199"/>
  <c r="K310" i="199"/>
  <c r="J310" i="199"/>
  <c r="I310" i="199"/>
  <c r="H310" i="199"/>
  <c r="G310" i="199"/>
  <c r="F310" i="199"/>
  <c r="E310" i="199"/>
  <c r="P309" i="199"/>
  <c r="O309" i="199"/>
  <c r="N309" i="199"/>
  <c r="M309" i="199"/>
  <c r="L309" i="199"/>
  <c r="K309" i="199"/>
  <c r="J309" i="199"/>
  <c r="I309" i="199"/>
  <c r="H309" i="199"/>
  <c r="G309" i="199"/>
  <c r="F309" i="199"/>
  <c r="E309" i="199"/>
  <c r="P308" i="199"/>
  <c r="O308" i="199"/>
  <c r="N308" i="199"/>
  <c r="M308" i="199"/>
  <c r="L308" i="199"/>
  <c r="K308" i="199"/>
  <c r="J308" i="199"/>
  <c r="I308" i="199"/>
  <c r="H308" i="199"/>
  <c r="G308" i="199"/>
  <c r="F308" i="199"/>
  <c r="E308" i="199"/>
  <c r="P307" i="199"/>
  <c r="O307" i="199"/>
  <c r="N307" i="199"/>
  <c r="M307" i="199"/>
  <c r="L307" i="199"/>
  <c r="K307" i="199"/>
  <c r="J307" i="199"/>
  <c r="I307" i="199"/>
  <c r="H307" i="199"/>
  <c r="G307" i="199"/>
  <c r="F307" i="199"/>
  <c r="E307" i="199"/>
  <c r="P306" i="199"/>
  <c r="O306" i="199"/>
  <c r="N306" i="199"/>
  <c r="M306" i="199"/>
  <c r="L306" i="199"/>
  <c r="K306" i="199"/>
  <c r="J306" i="199"/>
  <c r="I306" i="199"/>
  <c r="H306" i="199"/>
  <c r="G306" i="199"/>
  <c r="F306" i="199"/>
  <c r="E306" i="199"/>
  <c r="P305" i="199"/>
  <c r="O305" i="199"/>
  <c r="N305" i="199"/>
  <c r="M305" i="199"/>
  <c r="L305" i="199"/>
  <c r="K305" i="199"/>
  <c r="J305" i="199"/>
  <c r="I305" i="199"/>
  <c r="H305" i="199"/>
  <c r="G305" i="199"/>
  <c r="F305" i="199"/>
  <c r="E305" i="199"/>
  <c r="P304" i="199"/>
  <c r="O304" i="199"/>
  <c r="N304" i="199"/>
  <c r="M304" i="199"/>
  <c r="L304" i="199"/>
  <c r="K304" i="199"/>
  <c r="J304" i="199"/>
  <c r="I304" i="199"/>
  <c r="H304" i="199"/>
  <c r="G304" i="199"/>
  <c r="F304" i="199"/>
  <c r="E304" i="199"/>
  <c r="P303" i="199"/>
  <c r="O303" i="199"/>
  <c r="N303" i="199"/>
  <c r="M303" i="199"/>
  <c r="L303" i="199"/>
  <c r="K303" i="199"/>
  <c r="J303" i="199"/>
  <c r="I303" i="199"/>
  <c r="H303" i="199"/>
  <c r="G303" i="199"/>
  <c r="F303" i="199"/>
  <c r="E303" i="199"/>
  <c r="P302" i="199"/>
  <c r="O302" i="199"/>
  <c r="N302" i="199"/>
  <c r="M302" i="199"/>
  <c r="L302" i="199"/>
  <c r="K302" i="199"/>
  <c r="J302" i="199"/>
  <c r="I302" i="199"/>
  <c r="H302" i="199"/>
  <c r="G302" i="199"/>
  <c r="F302" i="199"/>
  <c r="P301" i="199"/>
  <c r="O301" i="199"/>
  <c r="N301" i="199"/>
  <c r="M301" i="199"/>
  <c r="L301" i="199"/>
  <c r="K301" i="199"/>
  <c r="J301" i="199"/>
  <c r="I301" i="199"/>
  <c r="H301" i="199"/>
  <c r="G301" i="199"/>
  <c r="F301" i="199"/>
  <c r="E301" i="199"/>
  <c r="P300" i="199"/>
  <c r="O300" i="199"/>
  <c r="N300" i="199"/>
  <c r="M300" i="199"/>
  <c r="L300" i="199"/>
  <c r="K300" i="199"/>
  <c r="J300" i="199"/>
  <c r="I300" i="199"/>
  <c r="H300" i="199"/>
  <c r="G300" i="199"/>
  <c r="F300" i="199"/>
  <c r="E300" i="199"/>
  <c r="P299" i="199"/>
  <c r="O299" i="199"/>
  <c r="N299" i="199"/>
  <c r="M299" i="199"/>
  <c r="L299" i="199"/>
  <c r="K299" i="199"/>
  <c r="J299" i="199"/>
  <c r="I299" i="199"/>
  <c r="H299" i="199"/>
  <c r="G299" i="199"/>
  <c r="F299" i="199"/>
  <c r="E299" i="199"/>
  <c r="P298" i="199"/>
  <c r="O298" i="199"/>
  <c r="N298" i="199"/>
  <c r="M298" i="199"/>
  <c r="L298" i="199"/>
  <c r="K298" i="199"/>
  <c r="J298" i="199"/>
  <c r="I298" i="199"/>
  <c r="H298" i="199"/>
  <c r="G298" i="199"/>
  <c r="F298" i="199"/>
  <c r="E298" i="199"/>
  <c r="P297" i="199"/>
  <c r="O297" i="199"/>
  <c r="N297" i="199"/>
  <c r="M297" i="199"/>
  <c r="L297" i="199"/>
  <c r="K297" i="199"/>
  <c r="J297" i="199"/>
  <c r="I297" i="199"/>
  <c r="H297" i="199"/>
  <c r="G297" i="199"/>
  <c r="F297" i="199"/>
  <c r="E297" i="199"/>
  <c r="N296" i="199"/>
  <c r="M296" i="199"/>
  <c r="L296" i="199"/>
  <c r="K296" i="199"/>
  <c r="I296" i="199"/>
  <c r="H296" i="199"/>
  <c r="G296" i="199"/>
  <c r="F296" i="199"/>
  <c r="E296" i="199"/>
  <c r="N295" i="199"/>
  <c r="M295" i="199"/>
  <c r="L295" i="199"/>
  <c r="I295" i="199"/>
  <c r="H295" i="199"/>
  <c r="G295" i="199"/>
  <c r="F295" i="199"/>
  <c r="E295" i="199"/>
  <c r="N294" i="199"/>
  <c r="M294" i="199"/>
  <c r="L294" i="199"/>
  <c r="I294" i="199"/>
  <c r="H294" i="199"/>
  <c r="G294" i="199"/>
  <c r="F294" i="199"/>
  <c r="E294" i="199"/>
  <c r="P293" i="199"/>
  <c r="O293" i="199"/>
  <c r="N293" i="199"/>
  <c r="M293" i="199"/>
  <c r="L293" i="199"/>
  <c r="K293" i="199"/>
  <c r="J293" i="199"/>
  <c r="I293" i="199"/>
  <c r="H293" i="199"/>
  <c r="G293" i="199"/>
  <c r="F293" i="199"/>
  <c r="E293" i="199"/>
  <c r="P292" i="199"/>
  <c r="O292" i="199"/>
  <c r="N292" i="199"/>
  <c r="M292" i="199"/>
  <c r="L292" i="199"/>
  <c r="K292" i="199"/>
  <c r="J292" i="199"/>
  <c r="I292" i="199"/>
  <c r="H292" i="199"/>
  <c r="G292" i="199"/>
  <c r="F292" i="199"/>
  <c r="E292" i="199"/>
  <c r="N291" i="199"/>
  <c r="M291" i="199"/>
  <c r="L291" i="199"/>
  <c r="I291" i="199"/>
  <c r="H291" i="199"/>
  <c r="G291" i="199"/>
  <c r="F291" i="199"/>
  <c r="E291" i="199"/>
  <c r="P290" i="199"/>
  <c r="O290" i="199"/>
  <c r="N290" i="199"/>
  <c r="M290" i="199"/>
  <c r="L290" i="199"/>
  <c r="K290" i="199"/>
  <c r="J290" i="199"/>
  <c r="I290" i="199"/>
  <c r="H290" i="199"/>
  <c r="G290" i="199"/>
  <c r="F290" i="199"/>
  <c r="E290" i="199"/>
  <c r="O289" i="199"/>
  <c r="N289" i="199"/>
  <c r="M289" i="199"/>
  <c r="L289" i="199"/>
  <c r="K289" i="199"/>
  <c r="J289" i="199"/>
  <c r="I289" i="199"/>
  <c r="H289" i="199"/>
  <c r="G289" i="199"/>
  <c r="F289" i="199"/>
  <c r="O288" i="199"/>
  <c r="N288" i="199"/>
  <c r="M288" i="199"/>
  <c r="L288" i="199"/>
  <c r="K288" i="199"/>
  <c r="J288" i="199"/>
  <c r="I288" i="199"/>
  <c r="H288" i="199"/>
  <c r="G288" i="199"/>
  <c r="F288" i="199"/>
  <c r="P287" i="199"/>
  <c r="O287" i="199"/>
  <c r="N287" i="199"/>
  <c r="M287" i="199"/>
  <c r="L287" i="199"/>
  <c r="K287" i="199"/>
  <c r="J287" i="199"/>
  <c r="I287" i="199"/>
  <c r="H287" i="199"/>
  <c r="G287" i="199"/>
  <c r="F287" i="199"/>
  <c r="E287" i="199"/>
  <c r="P286" i="199"/>
  <c r="O286" i="199"/>
  <c r="N286" i="199"/>
  <c r="M286" i="199"/>
  <c r="L286" i="199"/>
  <c r="K286" i="199"/>
  <c r="J286" i="199"/>
  <c r="I286" i="199"/>
  <c r="H286" i="199"/>
  <c r="G286" i="199"/>
  <c r="F286" i="199"/>
  <c r="E286" i="199"/>
  <c r="O285" i="199"/>
  <c r="N285" i="199"/>
  <c r="M285" i="199"/>
  <c r="L285" i="199"/>
  <c r="K285" i="199"/>
  <c r="J285" i="199"/>
  <c r="I285" i="199"/>
  <c r="H285" i="199"/>
  <c r="G285" i="199"/>
  <c r="F285" i="199"/>
  <c r="O284" i="199"/>
  <c r="N284" i="199"/>
  <c r="M284" i="199"/>
  <c r="L284" i="199"/>
  <c r="K284" i="199"/>
  <c r="J284" i="199"/>
  <c r="I284" i="199"/>
  <c r="H284" i="199"/>
  <c r="G284" i="199"/>
  <c r="O283" i="199"/>
  <c r="N283" i="199"/>
  <c r="M283" i="199"/>
  <c r="L283" i="199"/>
  <c r="K283" i="199"/>
  <c r="J283" i="199"/>
  <c r="I283" i="199"/>
  <c r="H283" i="199"/>
  <c r="G283" i="199"/>
  <c r="P282" i="199"/>
  <c r="O282" i="199"/>
  <c r="N282" i="199"/>
  <c r="M282" i="199"/>
  <c r="L282" i="199"/>
  <c r="K282" i="199"/>
  <c r="J282" i="199"/>
  <c r="I282" i="199"/>
  <c r="H282" i="199"/>
  <c r="G282" i="199"/>
  <c r="F282" i="199"/>
  <c r="E282" i="199"/>
  <c r="P281" i="199"/>
  <c r="O281" i="199"/>
  <c r="N281" i="199"/>
  <c r="M281" i="199"/>
  <c r="L281" i="199"/>
  <c r="K281" i="199"/>
  <c r="J281" i="199"/>
  <c r="I281" i="199"/>
  <c r="H281" i="199"/>
  <c r="G281" i="199"/>
  <c r="F281" i="199"/>
  <c r="E281" i="199"/>
  <c r="P280" i="199"/>
  <c r="O280" i="199"/>
  <c r="N280" i="199"/>
  <c r="M280" i="199"/>
  <c r="L280" i="199"/>
  <c r="K280" i="199"/>
  <c r="J280" i="199"/>
  <c r="I280" i="199"/>
  <c r="H280" i="199"/>
  <c r="G280" i="199"/>
  <c r="F280" i="199"/>
  <c r="E280" i="199"/>
  <c r="P279" i="199"/>
  <c r="O279" i="199"/>
  <c r="N279" i="199"/>
  <c r="M279" i="199"/>
  <c r="M278" i="199" s="1"/>
  <c r="M277" i="199" s="1"/>
  <c r="L279" i="199"/>
  <c r="K279" i="199"/>
  <c r="J279" i="199"/>
  <c r="I279" i="199"/>
  <c r="I278" i="199" s="1"/>
  <c r="I277" i="199" s="1"/>
  <c r="H279" i="199"/>
  <c r="G279" i="199"/>
  <c r="F279" i="199"/>
  <c r="E279" i="199"/>
  <c r="P273" i="199"/>
  <c r="O273" i="199"/>
  <c r="N273" i="199"/>
  <c r="M273" i="199"/>
  <c r="L273" i="199"/>
  <c r="K273" i="199"/>
  <c r="J273" i="199"/>
  <c r="I273" i="199"/>
  <c r="H273" i="199"/>
  <c r="G273" i="199"/>
  <c r="F273" i="199"/>
  <c r="P272" i="199"/>
  <c r="O272" i="199"/>
  <c r="N272" i="199"/>
  <c r="M272" i="199"/>
  <c r="L272" i="199"/>
  <c r="K272" i="199"/>
  <c r="J272" i="199"/>
  <c r="I272" i="199"/>
  <c r="H272" i="199"/>
  <c r="G272" i="199"/>
  <c r="F272" i="199"/>
  <c r="E272" i="199"/>
  <c r="P271" i="199"/>
  <c r="O271" i="199"/>
  <c r="N271" i="199"/>
  <c r="M271" i="199"/>
  <c r="L271" i="199"/>
  <c r="K271" i="199"/>
  <c r="J271" i="199"/>
  <c r="I271" i="199"/>
  <c r="H271" i="199"/>
  <c r="G271" i="199"/>
  <c r="F271" i="199"/>
  <c r="E271" i="199"/>
  <c r="P270" i="199"/>
  <c r="O270" i="199"/>
  <c r="N270" i="199"/>
  <c r="M270" i="199"/>
  <c r="L270" i="199"/>
  <c r="K270" i="199"/>
  <c r="J270" i="199"/>
  <c r="I270" i="199"/>
  <c r="H270" i="199"/>
  <c r="G270" i="199"/>
  <c r="F270" i="199"/>
  <c r="E270" i="199"/>
  <c r="O269" i="199"/>
  <c r="N269" i="199"/>
  <c r="M269" i="199"/>
  <c r="L269" i="199"/>
  <c r="K269" i="199"/>
  <c r="J269" i="199"/>
  <c r="I269" i="199"/>
  <c r="H269" i="199"/>
  <c r="G269" i="199"/>
  <c r="F269" i="199"/>
  <c r="O268" i="199"/>
  <c r="N268" i="199"/>
  <c r="M268" i="199"/>
  <c r="L268" i="199"/>
  <c r="K268" i="199"/>
  <c r="J268" i="199"/>
  <c r="I268" i="199"/>
  <c r="H268" i="199"/>
  <c r="G268" i="199"/>
  <c r="P267" i="199"/>
  <c r="O267" i="199"/>
  <c r="N267" i="199"/>
  <c r="M267" i="199"/>
  <c r="L267" i="199"/>
  <c r="K267" i="199"/>
  <c r="J267" i="199"/>
  <c r="I267" i="199"/>
  <c r="H267" i="199"/>
  <c r="G267" i="199"/>
  <c r="F267" i="199"/>
  <c r="E267" i="199"/>
  <c r="P266" i="199"/>
  <c r="O266" i="199"/>
  <c r="N266" i="199"/>
  <c r="M266" i="199"/>
  <c r="L266" i="199"/>
  <c r="K266" i="199"/>
  <c r="J266" i="199"/>
  <c r="I266" i="199"/>
  <c r="H266" i="199"/>
  <c r="G266" i="199"/>
  <c r="F266" i="199"/>
  <c r="E266" i="199"/>
  <c r="O265" i="199"/>
  <c r="N265" i="199"/>
  <c r="M265" i="199"/>
  <c r="L265" i="199"/>
  <c r="K265" i="199"/>
  <c r="J265" i="199"/>
  <c r="I265" i="199"/>
  <c r="H265" i="199"/>
  <c r="G265" i="199"/>
  <c r="P264" i="199"/>
  <c r="O264" i="199"/>
  <c r="N264" i="199"/>
  <c r="M264" i="199"/>
  <c r="L264" i="199"/>
  <c r="K264" i="199"/>
  <c r="J264" i="199"/>
  <c r="I264" i="199"/>
  <c r="H264" i="199"/>
  <c r="G264" i="199"/>
  <c r="F264" i="199"/>
  <c r="E264" i="199"/>
  <c r="P263" i="199"/>
  <c r="O263" i="199"/>
  <c r="N263" i="199"/>
  <c r="M263" i="199"/>
  <c r="L263" i="199"/>
  <c r="K263" i="199"/>
  <c r="J263" i="199"/>
  <c r="I263" i="199"/>
  <c r="H263" i="199"/>
  <c r="G263" i="199"/>
  <c r="F263" i="199"/>
  <c r="E263" i="199"/>
  <c r="P262" i="199"/>
  <c r="O262" i="199"/>
  <c r="N262" i="199"/>
  <c r="M262" i="199"/>
  <c r="L262" i="199"/>
  <c r="K262" i="199"/>
  <c r="J262" i="199"/>
  <c r="I262" i="199"/>
  <c r="H262" i="199"/>
  <c r="G262" i="199"/>
  <c r="F262" i="199"/>
  <c r="E262" i="199"/>
  <c r="P261" i="199"/>
  <c r="O261" i="199"/>
  <c r="N261" i="199"/>
  <c r="M261" i="199"/>
  <c r="L261" i="199"/>
  <c r="K261" i="199"/>
  <c r="J261" i="199"/>
  <c r="I261" i="199"/>
  <c r="H261" i="199"/>
  <c r="G261" i="199"/>
  <c r="F261" i="199"/>
  <c r="E261" i="199"/>
  <c r="P260" i="199"/>
  <c r="O260" i="199"/>
  <c r="N260" i="199"/>
  <c r="M260" i="199"/>
  <c r="L260" i="199"/>
  <c r="K260" i="199"/>
  <c r="J260" i="199"/>
  <c r="I260" i="199"/>
  <c r="H260" i="199"/>
  <c r="G260" i="199"/>
  <c r="F260" i="199"/>
  <c r="E260" i="199"/>
  <c r="P259" i="199"/>
  <c r="O259" i="199"/>
  <c r="N259" i="199"/>
  <c r="M259" i="199"/>
  <c r="L259" i="199"/>
  <c r="K259" i="199"/>
  <c r="J259" i="199"/>
  <c r="I259" i="199"/>
  <c r="H259" i="199"/>
  <c r="G259" i="199"/>
  <c r="F259" i="199"/>
  <c r="E259" i="199"/>
  <c r="P258" i="199"/>
  <c r="O258" i="199"/>
  <c r="N258" i="199"/>
  <c r="M258" i="199"/>
  <c r="L258" i="199"/>
  <c r="K258" i="199"/>
  <c r="J258" i="199"/>
  <c r="I258" i="199"/>
  <c r="H258" i="199"/>
  <c r="G258" i="199"/>
  <c r="F258" i="199"/>
  <c r="E258" i="199"/>
  <c r="P257" i="199"/>
  <c r="O257" i="199"/>
  <c r="N257" i="199"/>
  <c r="M257" i="199"/>
  <c r="L257" i="199"/>
  <c r="K257" i="199"/>
  <c r="J257" i="199"/>
  <c r="I257" i="199"/>
  <c r="H257" i="199"/>
  <c r="G257" i="199"/>
  <c r="F257" i="199"/>
  <c r="E257" i="199"/>
  <c r="P256" i="199"/>
  <c r="O256" i="199"/>
  <c r="N256" i="199"/>
  <c r="M256" i="199"/>
  <c r="L256" i="199"/>
  <c r="K256" i="199"/>
  <c r="J256" i="199"/>
  <c r="I256" i="199"/>
  <c r="H256" i="199"/>
  <c r="G256" i="199"/>
  <c r="F256" i="199"/>
  <c r="E256" i="199"/>
  <c r="P255" i="199"/>
  <c r="O255" i="199"/>
  <c r="N255" i="199"/>
  <c r="M255" i="199"/>
  <c r="L255" i="199"/>
  <c r="K255" i="199"/>
  <c r="J255" i="199"/>
  <c r="I255" i="199"/>
  <c r="H255" i="199"/>
  <c r="G255" i="199"/>
  <c r="F255" i="199"/>
  <c r="E255" i="199"/>
  <c r="P254" i="199"/>
  <c r="O254" i="199"/>
  <c r="N254" i="199"/>
  <c r="M254" i="199"/>
  <c r="L254" i="199"/>
  <c r="K254" i="199"/>
  <c r="J254" i="199"/>
  <c r="I254" i="199"/>
  <c r="H254" i="199"/>
  <c r="G254" i="199"/>
  <c r="F254" i="199"/>
  <c r="E254" i="199"/>
  <c r="P253" i="199"/>
  <c r="O253" i="199"/>
  <c r="N253" i="199"/>
  <c r="M253" i="199"/>
  <c r="L253" i="199"/>
  <c r="K253" i="199"/>
  <c r="J253" i="199"/>
  <c r="I253" i="199"/>
  <c r="I252" i="199" s="1"/>
  <c r="I251" i="199" s="1"/>
  <c r="H253" i="199"/>
  <c r="G253" i="199"/>
  <c r="F253" i="199"/>
  <c r="E253" i="199"/>
  <c r="P247" i="199"/>
  <c r="O247" i="199"/>
  <c r="N247" i="199"/>
  <c r="M247" i="199"/>
  <c r="L247" i="199"/>
  <c r="K247" i="199"/>
  <c r="J247" i="199"/>
  <c r="I247" i="199"/>
  <c r="H247" i="199"/>
  <c r="G247" i="199"/>
  <c r="F247" i="199"/>
  <c r="E247" i="199"/>
  <c r="P246" i="199"/>
  <c r="O246" i="199"/>
  <c r="N246" i="199"/>
  <c r="M246" i="199"/>
  <c r="L246" i="199"/>
  <c r="K246" i="199"/>
  <c r="J246" i="199"/>
  <c r="I246" i="199"/>
  <c r="H246" i="199"/>
  <c r="G246" i="199"/>
  <c r="F246" i="199"/>
  <c r="E246" i="199"/>
  <c r="P245" i="199"/>
  <c r="O245" i="199"/>
  <c r="N245" i="199"/>
  <c r="M245" i="199"/>
  <c r="L245" i="199"/>
  <c r="K245" i="199"/>
  <c r="J245" i="199"/>
  <c r="I245" i="199"/>
  <c r="H245" i="199"/>
  <c r="G245" i="199"/>
  <c r="F245" i="199"/>
  <c r="E245" i="199"/>
  <c r="P244" i="199"/>
  <c r="O244" i="199"/>
  <c r="N244" i="199"/>
  <c r="M244" i="199"/>
  <c r="L244" i="199"/>
  <c r="K244" i="199"/>
  <c r="J244" i="199"/>
  <c r="I244" i="199"/>
  <c r="H244" i="199"/>
  <c r="G244" i="199"/>
  <c r="F244" i="199"/>
  <c r="E244" i="199"/>
  <c r="P243" i="199"/>
  <c r="O243" i="199"/>
  <c r="N243" i="199"/>
  <c r="M243" i="199"/>
  <c r="L243" i="199"/>
  <c r="K243" i="199"/>
  <c r="J243" i="199"/>
  <c r="I243" i="199"/>
  <c r="H243" i="199"/>
  <c r="G243" i="199"/>
  <c r="F243" i="199"/>
  <c r="E243" i="199"/>
  <c r="P242" i="199"/>
  <c r="O242" i="199"/>
  <c r="N242" i="199"/>
  <c r="M242" i="199"/>
  <c r="L242" i="199"/>
  <c r="K242" i="199"/>
  <c r="J242" i="199"/>
  <c r="I242" i="199"/>
  <c r="H242" i="199"/>
  <c r="G242" i="199"/>
  <c r="F242" i="199"/>
  <c r="E242" i="199"/>
  <c r="P241" i="199"/>
  <c r="O241" i="199"/>
  <c r="N241" i="199"/>
  <c r="M241" i="199"/>
  <c r="L241" i="199"/>
  <c r="K241" i="199"/>
  <c r="J241" i="199"/>
  <c r="I241" i="199"/>
  <c r="H241" i="199"/>
  <c r="G241" i="199"/>
  <c r="F241" i="199"/>
  <c r="E241" i="199"/>
  <c r="P240" i="199"/>
  <c r="O240" i="199"/>
  <c r="N240" i="199"/>
  <c r="M240" i="199"/>
  <c r="L240" i="199"/>
  <c r="K240" i="199"/>
  <c r="J240" i="199"/>
  <c r="I240" i="199"/>
  <c r="H240" i="199"/>
  <c r="G240" i="199"/>
  <c r="F240" i="199"/>
  <c r="E240" i="199"/>
  <c r="P239" i="199"/>
  <c r="O239" i="199"/>
  <c r="N239" i="199"/>
  <c r="M239" i="199"/>
  <c r="L239" i="199"/>
  <c r="K239" i="199"/>
  <c r="J239" i="199"/>
  <c r="I239" i="199"/>
  <c r="H239" i="199"/>
  <c r="G239" i="199"/>
  <c r="F239" i="199"/>
  <c r="E239" i="199"/>
  <c r="P238" i="199"/>
  <c r="O238" i="199"/>
  <c r="N238" i="199"/>
  <c r="M238" i="199"/>
  <c r="L238" i="199"/>
  <c r="K238" i="199"/>
  <c r="J238" i="199"/>
  <c r="I238" i="199"/>
  <c r="H238" i="199"/>
  <c r="G238" i="199"/>
  <c r="F238" i="199"/>
  <c r="E238" i="199"/>
  <c r="P237" i="199"/>
  <c r="O237" i="199"/>
  <c r="N237" i="199"/>
  <c r="M237" i="199"/>
  <c r="L237" i="199"/>
  <c r="K237" i="199"/>
  <c r="J237" i="199"/>
  <c r="I237" i="199"/>
  <c r="H237" i="199"/>
  <c r="G237" i="199"/>
  <c r="F237" i="199"/>
  <c r="E237" i="199"/>
  <c r="P236" i="199"/>
  <c r="O236" i="199"/>
  <c r="N236" i="199"/>
  <c r="M236" i="199"/>
  <c r="L236" i="199"/>
  <c r="K236" i="199"/>
  <c r="J236" i="199"/>
  <c r="I236" i="199"/>
  <c r="H236" i="199"/>
  <c r="G236" i="199"/>
  <c r="F236" i="199"/>
  <c r="E236" i="199"/>
  <c r="P235" i="199"/>
  <c r="O235" i="199"/>
  <c r="N235" i="199"/>
  <c r="M235" i="199"/>
  <c r="L235" i="199"/>
  <c r="K235" i="199"/>
  <c r="J235" i="199"/>
  <c r="I235" i="199"/>
  <c r="H235" i="199"/>
  <c r="G235" i="199"/>
  <c r="F235" i="199"/>
  <c r="E235" i="199"/>
  <c r="P234" i="199"/>
  <c r="O234" i="199"/>
  <c r="N234" i="199"/>
  <c r="M234" i="199"/>
  <c r="L234" i="199"/>
  <c r="K234" i="199"/>
  <c r="J234" i="199"/>
  <c r="I234" i="199"/>
  <c r="H234" i="199"/>
  <c r="G234" i="199"/>
  <c r="F234" i="199"/>
  <c r="E234" i="199"/>
  <c r="P233" i="199"/>
  <c r="O233" i="199"/>
  <c r="N233" i="199"/>
  <c r="M233" i="199"/>
  <c r="L233" i="199"/>
  <c r="K233" i="199"/>
  <c r="J233" i="199"/>
  <c r="I233" i="199"/>
  <c r="H233" i="199"/>
  <c r="G233" i="199"/>
  <c r="F233" i="199"/>
  <c r="E233" i="199"/>
  <c r="P232" i="199"/>
  <c r="O232" i="199"/>
  <c r="N232" i="199"/>
  <c r="M232" i="199"/>
  <c r="L232" i="199"/>
  <c r="K232" i="199"/>
  <c r="J232" i="199"/>
  <c r="I232" i="199"/>
  <c r="H232" i="199"/>
  <c r="G232" i="199"/>
  <c r="F232" i="199"/>
  <c r="E232" i="199"/>
  <c r="P231" i="199"/>
  <c r="O231" i="199"/>
  <c r="N231" i="199"/>
  <c r="M231" i="199"/>
  <c r="L231" i="199"/>
  <c r="K231" i="199"/>
  <c r="J231" i="199"/>
  <c r="I231" i="199"/>
  <c r="H231" i="199"/>
  <c r="G231" i="199"/>
  <c r="F231" i="199"/>
  <c r="E231" i="199"/>
  <c r="O230" i="199"/>
  <c r="N230" i="199"/>
  <c r="M230" i="199"/>
  <c r="L230" i="199"/>
  <c r="K230" i="199"/>
  <c r="J230" i="199"/>
  <c r="I230" i="199"/>
  <c r="H230" i="199"/>
  <c r="G230" i="199"/>
  <c r="F230" i="199"/>
  <c r="O229" i="199"/>
  <c r="N229" i="199"/>
  <c r="M229" i="199"/>
  <c r="L229" i="199"/>
  <c r="K229" i="199"/>
  <c r="J229" i="199"/>
  <c r="I229" i="199"/>
  <c r="G229" i="199"/>
  <c r="P228" i="199"/>
  <c r="O228" i="199"/>
  <c r="N228" i="199"/>
  <c r="M228" i="199"/>
  <c r="L228" i="199"/>
  <c r="K228" i="199"/>
  <c r="J228" i="199"/>
  <c r="I228" i="199"/>
  <c r="H228" i="199"/>
  <c r="G228" i="199"/>
  <c r="F228" i="199"/>
  <c r="E228" i="199"/>
  <c r="P227" i="199"/>
  <c r="O227" i="199"/>
  <c r="N227" i="199"/>
  <c r="M227" i="199"/>
  <c r="L227" i="199"/>
  <c r="K227" i="199"/>
  <c r="J227" i="199"/>
  <c r="I227" i="199"/>
  <c r="H227" i="199"/>
  <c r="G227" i="199"/>
  <c r="F227" i="199"/>
  <c r="E227" i="199"/>
  <c r="P226" i="199"/>
  <c r="O226" i="199"/>
  <c r="N226" i="199"/>
  <c r="M226" i="199"/>
  <c r="L226" i="199"/>
  <c r="K226" i="199"/>
  <c r="J226" i="199"/>
  <c r="I226" i="199"/>
  <c r="H226" i="199"/>
  <c r="G226" i="199"/>
  <c r="F226" i="199"/>
  <c r="E226" i="199"/>
  <c r="O225" i="199"/>
  <c r="N225" i="199"/>
  <c r="M225" i="199"/>
  <c r="L225" i="199"/>
  <c r="K225" i="199"/>
  <c r="J225" i="199"/>
  <c r="I225" i="199"/>
  <c r="H225" i="199"/>
  <c r="G225" i="199"/>
  <c r="F225" i="199"/>
  <c r="O224" i="199"/>
  <c r="N224" i="199"/>
  <c r="M224" i="199"/>
  <c r="L224" i="199"/>
  <c r="K224" i="199"/>
  <c r="J224" i="199"/>
  <c r="I224" i="199"/>
  <c r="H224" i="199"/>
  <c r="G224" i="199"/>
  <c r="O223" i="199"/>
  <c r="N223" i="199"/>
  <c r="M223" i="199"/>
  <c r="L223" i="199"/>
  <c r="K223" i="199"/>
  <c r="J223" i="199"/>
  <c r="I223" i="199"/>
  <c r="G223" i="199"/>
  <c r="P222" i="199"/>
  <c r="O222" i="199"/>
  <c r="N222" i="199"/>
  <c r="M222" i="199"/>
  <c r="L222" i="199"/>
  <c r="K222" i="199"/>
  <c r="J222" i="199"/>
  <c r="I222" i="199"/>
  <c r="H222" i="199"/>
  <c r="G222" i="199"/>
  <c r="F222" i="199"/>
  <c r="E222" i="199"/>
  <c r="P221" i="199"/>
  <c r="O221" i="199"/>
  <c r="N221" i="199"/>
  <c r="M221" i="199"/>
  <c r="L221" i="199"/>
  <c r="K221" i="199"/>
  <c r="J221" i="199"/>
  <c r="I221" i="199"/>
  <c r="H221" i="199"/>
  <c r="G221" i="199"/>
  <c r="F221" i="199"/>
  <c r="E221" i="199"/>
  <c r="P220" i="199"/>
  <c r="O220" i="199"/>
  <c r="N220" i="199"/>
  <c r="M220" i="199"/>
  <c r="L220" i="199"/>
  <c r="K220" i="199"/>
  <c r="J220" i="199"/>
  <c r="I220" i="199"/>
  <c r="H220" i="199"/>
  <c r="G220" i="199"/>
  <c r="F220" i="199"/>
  <c r="E220" i="199"/>
  <c r="P219" i="199"/>
  <c r="O219" i="199"/>
  <c r="N219" i="199"/>
  <c r="M219" i="199"/>
  <c r="L219" i="199"/>
  <c r="K219" i="199"/>
  <c r="J219" i="199"/>
  <c r="I219" i="199"/>
  <c r="H219" i="199"/>
  <c r="G219" i="199"/>
  <c r="F219" i="199"/>
  <c r="E219" i="199"/>
  <c r="P218" i="199"/>
  <c r="O218" i="199"/>
  <c r="N218" i="199"/>
  <c r="M218" i="199"/>
  <c r="L218" i="199"/>
  <c r="K218" i="199"/>
  <c r="J218" i="199"/>
  <c r="I218" i="199"/>
  <c r="H218" i="199"/>
  <c r="G218" i="199"/>
  <c r="F218" i="199"/>
  <c r="E218" i="199"/>
  <c r="P217" i="199"/>
  <c r="O217" i="199"/>
  <c r="N217" i="199"/>
  <c r="M217" i="199"/>
  <c r="L217" i="199"/>
  <c r="K217" i="199"/>
  <c r="J217" i="199"/>
  <c r="I217" i="199"/>
  <c r="H217" i="199"/>
  <c r="G217" i="199"/>
  <c r="F217" i="199"/>
  <c r="E217" i="199"/>
  <c r="P210" i="199"/>
  <c r="O210" i="199"/>
  <c r="N210" i="199"/>
  <c r="M210" i="199"/>
  <c r="L210" i="199"/>
  <c r="K210" i="199"/>
  <c r="J210" i="199"/>
  <c r="I210" i="199"/>
  <c r="H210" i="199"/>
  <c r="G210" i="199"/>
  <c r="F210" i="199"/>
  <c r="E210" i="199"/>
  <c r="P209" i="199"/>
  <c r="O209" i="199"/>
  <c r="N209" i="199"/>
  <c r="M209" i="199"/>
  <c r="L209" i="199"/>
  <c r="K209" i="199"/>
  <c r="J209" i="199"/>
  <c r="I209" i="199"/>
  <c r="H209" i="199"/>
  <c r="G209" i="199"/>
  <c r="F209" i="199"/>
  <c r="E209" i="199"/>
  <c r="P208" i="199"/>
  <c r="O208" i="199"/>
  <c r="N208" i="199"/>
  <c r="M208" i="199"/>
  <c r="L208" i="199"/>
  <c r="K208" i="199"/>
  <c r="J208" i="199"/>
  <c r="I208" i="199"/>
  <c r="H208" i="199"/>
  <c r="G208" i="199"/>
  <c r="F208" i="199"/>
  <c r="E208" i="199"/>
  <c r="P207" i="199"/>
  <c r="O207" i="199"/>
  <c r="N207" i="199"/>
  <c r="M207" i="199"/>
  <c r="L207" i="199"/>
  <c r="K207" i="199"/>
  <c r="J207" i="199"/>
  <c r="I207" i="199"/>
  <c r="H207" i="199"/>
  <c r="G207" i="199"/>
  <c r="F207" i="199"/>
  <c r="E207" i="199"/>
  <c r="P206" i="199"/>
  <c r="O206" i="199"/>
  <c r="N206" i="199"/>
  <c r="M206" i="199"/>
  <c r="L206" i="199"/>
  <c r="K206" i="199"/>
  <c r="J206" i="199"/>
  <c r="I206" i="199"/>
  <c r="H206" i="199"/>
  <c r="G206" i="199"/>
  <c r="F206" i="199"/>
  <c r="E206" i="199"/>
  <c r="P205" i="199"/>
  <c r="O205" i="199"/>
  <c r="N205" i="199"/>
  <c r="M205" i="199"/>
  <c r="L205" i="199"/>
  <c r="K205" i="199"/>
  <c r="J205" i="199"/>
  <c r="I205" i="199"/>
  <c r="H205" i="199"/>
  <c r="G205" i="199"/>
  <c r="F205" i="199"/>
  <c r="E205" i="199"/>
  <c r="P204" i="199"/>
  <c r="O204" i="199"/>
  <c r="N204" i="199"/>
  <c r="M204" i="199"/>
  <c r="L204" i="199"/>
  <c r="K204" i="199"/>
  <c r="J204" i="199"/>
  <c r="I204" i="199"/>
  <c r="H204" i="199"/>
  <c r="G204" i="199"/>
  <c r="F204" i="199"/>
  <c r="E204" i="199"/>
  <c r="P203" i="199"/>
  <c r="O203" i="199"/>
  <c r="N203" i="199"/>
  <c r="M203" i="199"/>
  <c r="L203" i="199"/>
  <c r="K203" i="199"/>
  <c r="J203" i="199"/>
  <c r="I203" i="199"/>
  <c r="H203" i="199"/>
  <c r="G203" i="199"/>
  <c r="F203" i="199"/>
  <c r="E203" i="199"/>
  <c r="P202" i="199"/>
  <c r="O202" i="199"/>
  <c r="N202" i="199"/>
  <c r="M202" i="199"/>
  <c r="L202" i="199"/>
  <c r="K202" i="199"/>
  <c r="J202" i="199"/>
  <c r="I202" i="199"/>
  <c r="H202" i="199"/>
  <c r="G202" i="199"/>
  <c r="F202" i="199"/>
  <c r="E202" i="199"/>
  <c r="P201" i="199"/>
  <c r="O201" i="199"/>
  <c r="N201" i="199"/>
  <c r="M201" i="199"/>
  <c r="L201" i="199"/>
  <c r="K201" i="199"/>
  <c r="J201" i="199"/>
  <c r="I201" i="199"/>
  <c r="H201" i="199"/>
  <c r="G201" i="199"/>
  <c r="F201" i="199"/>
  <c r="E201" i="199"/>
  <c r="P200" i="199"/>
  <c r="O200" i="199"/>
  <c r="N200" i="199"/>
  <c r="M200" i="199"/>
  <c r="L200" i="199"/>
  <c r="K200" i="199"/>
  <c r="J200" i="199"/>
  <c r="I200" i="199"/>
  <c r="H200" i="199"/>
  <c r="G200" i="199"/>
  <c r="F200" i="199"/>
  <c r="E200" i="199"/>
  <c r="P199" i="199"/>
  <c r="O199" i="199"/>
  <c r="N199" i="199"/>
  <c r="M199" i="199"/>
  <c r="L199" i="199"/>
  <c r="K199" i="199"/>
  <c r="J199" i="199"/>
  <c r="I199" i="199"/>
  <c r="H199" i="199"/>
  <c r="G199" i="199"/>
  <c r="F199" i="199"/>
  <c r="E199" i="199"/>
  <c r="P198" i="199"/>
  <c r="O198" i="199"/>
  <c r="N198" i="199"/>
  <c r="M198" i="199"/>
  <c r="L198" i="199"/>
  <c r="K198" i="199"/>
  <c r="J198" i="199"/>
  <c r="I198" i="199"/>
  <c r="H198" i="199"/>
  <c r="G198" i="199"/>
  <c r="F198" i="199"/>
  <c r="E198" i="199"/>
  <c r="P197" i="199"/>
  <c r="O197" i="199"/>
  <c r="N197" i="199"/>
  <c r="M197" i="199"/>
  <c r="L197" i="199"/>
  <c r="K197" i="199"/>
  <c r="J197" i="199"/>
  <c r="I197" i="199"/>
  <c r="H197" i="199"/>
  <c r="G197" i="199"/>
  <c r="F197" i="199"/>
  <c r="E197" i="199"/>
  <c r="P196" i="199"/>
  <c r="O196" i="199"/>
  <c r="N196" i="199"/>
  <c r="M196" i="199"/>
  <c r="L196" i="199"/>
  <c r="K196" i="199"/>
  <c r="J196" i="199"/>
  <c r="I196" i="199"/>
  <c r="H196" i="199"/>
  <c r="G196" i="199"/>
  <c r="F196" i="199"/>
  <c r="E196" i="199"/>
  <c r="P195" i="199"/>
  <c r="O195" i="199"/>
  <c r="N195" i="199"/>
  <c r="M195" i="199"/>
  <c r="M194" i="199" s="1"/>
  <c r="M193" i="199" s="1"/>
  <c r="L195" i="199"/>
  <c r="K195" i="199"/>
  <c r="J195" i="199"/>
  <c r="I195" i="199"/>
  <c r="H195" i="199"/>
  <c r="G195" i="199"/>
  <c r="F195" i="199"/>
  <c r="E195" i="199"/>
  <c r="F176" i="199"/>
  <c r="G176" i="199"/>
  <c r="H176" i="199"/>
  <c r="I176" i="199"/>
  <c r="K176" i="199"/>
  <c r="L176" i="199"/>
  <c r="M176" i="199"/>
  <c r="N176" i="199"/>
  <c r="E162" i="199"/>
  <c r="P189" i="199"/>
  <c r="O189" i="199"/>
  <c r="N189" i="199"/>
  <c r="M189" i="199"/>
  <c r="L189" i="199"/>
  <c r="K189" i="199"/>
  <c r="J189" i="199"/>
  <c r="I189" i="199"/>
  <c r="H189" i="199"/>
  <c r="G189" i="199"/>
  <c r="F189" i="199"/>
  <c r="E189" i="199"/>
  <c r="P188" i="199"/>
  <c r="O188" i="199"/>
  <c r="N188" i="199"/>
  <c r="M188" i="199"/>
  <c r="L188" i="199"/>
  <c r="K188" i="199"/>
  <c r="J188" i="199"/>
  <c r="I188" i="199"/>
  <c r="H188" i="199"/>
  <c r="G188" i="199"/>
  <c r="F188" i="199"/>
  <c r="E188" i="199"/>
  <c r="P187" i="199"/>
  <c r="O187" i="199"/>
  <c r="N187" i="199"/>
  <c r="M187" i="199"/>
  <c r="L187" i="199"/>
  <c r="K187" i="199"/>
  <c r="J187" i="199"/>
  <c r="I187" i="199"/>
  <c r="H187" i="199"/>
  <c r="G187" i="199"/>
  <c r="F187" i="199"/>
  <c r="E187" i="199"/>
  <c r="P186" i="199"/>
  <c r="O186" i="199"/>
  <c r="N186" i="199"/>
  <c r="M186" i="199"/>
  <c r="L186" i="199"/>
  <c r="K186" i="199"/>
  <c r="J186" i="199"/>
  <c r="I186" i="199"/>
  <c r="H186" i="199"/>
  <c r="G186" i="199"/>
  <c r="F186" i="199"/>
  <c r="E186" i="199"/>
  <c r="P185" i="199"/>
  <c r="O185" i="199"/>
  <c r="N185" i="199"/>
  <c r="M185" i="199"/>
  <c r="L185" i="199"/>
  <c r="K185" i="199"/>
  <c r="J185" i="199"/>
  <c r="I185" i="199"/>
  <c r="H185" i="199"/>
  <c r="G185" i="199"/>
  <c r="F185" i="199"/>
  <c r="E185" i="199"/>
  <c r="P184" i="199"/>
  <c r="O184" i="199"/>
  <c r="N184" i="199"/>
  <c r="M184" i="199"/>
  <c r="L184" i="199"/>
  <c r="K184" i="199"/>
  <c r="J184" i="199"/>
  <c r="I184" i="199"/>
  <c r="H184" i="199"/>
  <c r="G184" i="199"/>
  <c r="F184" i="199"/>
  <c r="E184" i="199"/>
  <c r="P183" i="199"/>
  <c r="O183" i="199"/>
  <c r="N183" i="199"/>
  <c r="M183" i="199"/>
  <c r="L183" i="199"/>
  <c r="K183" i="199"/>
  <c r="J183" i="199"/>
  <c r="I183" i="199"/>
  <c r="H183" i="199"/>
  <c r="G183" i="199"/>
  <c r="F183" i="199"/>
  <c r="E183" i="199"/>
  <c r="P182" i="199"/>
  <c r="O182" i="199"/>
  <c r="N182" i="199"/>
  <c r="M182" i="199"/>
  <c r="L182" i="199"/>
  <c r="K182" i="199"/>
  <c r="J182" i="199"/>
  <c r="I182" i="199"/>
  <c r="H182" i="199"/>
  <c r="G182" i="199"/>
  <c r="F182" i="199"/>
  <c r="E182" i="199"/>
  <c r="P181" i="199"/>
  <c r="O181" i="199"/>
  <c r="N181" i="199"/>
  <c r="M181" i="199"/>
  <c r="L181" i="199"/>
  <c r="K181" i="199"/>
  <c r="J181" i="199"/>
  <c r="I181" i="199"/>
  <c r="H181" i="199"/>
  <c r="G181" i="199"/>
  <c r="F181" i="199"/>
  <c r="E181" i="199"/>
  <c r="P180" i="199"/>
  <c r="O180" i="199"/>
  <c r="N180" i="199"/>
  <c r="M180" i="199"/>
  <c r="L180" i="199"/>
  <c r="K180" i="199"/>
  <c r="J180" i="199"/>
  <c r="I180" i="199"/>
  <c r="H180" i="199"/>
  <c r="G180" i="199"/>
  <c r="F180" i="199"/>
  <c r="E180" i="199"/>
  <c r="O179" i="199"/>
  <c r="N179" i="199"/>
  <c r="M179" i="199"/>
  <c r="L179" i="199"/>
  <c r="K179" i="199"/>
  <c r="J179" i="199"/>
  <c r="I179" i="199"/>
  <c r="H179" i="199"/>
  <c r="G179" i="199"/>
  <c r="F179" i="199"/>
  <c r="P178" i="199"/>
  <c r="O178" i="199"/>
  <c r="N178" i="199"/>
  <c r="M178" i="199"/>
  <c r="L178" i="199"/>
  <c r="K178" i="199"/>
  <c r="J178" i="199"/>
  <c r="I178" i="199"/>
  <c r="H178" i="199"/>
  <c r="G178" i="199"/>
  <c r="F178" i="199"/>
  <c r="E178" i="199"/>
  <c r="O177" i="199"/>
  <c r="N177" i="199"/>
  <c r="M177" i="199"/>
  <c r="L177" i="199"/>
  <c r="K177" i="199"/>
  <c r="J177" i="199"/>
  <c r="I177" i="199"/>
  <c r="H177" i="199"/>
  <c r="G177" i="199"/>
  <c r="E176" i="199"/>
  <c r="P175" i="199"/>
  <c r="O175" i="199"/>
  <c r="N175" i="199"/>
  <c r="M175" i="199"/>
  <c r="L175" i="199"/>
  <c r="K175" i="199"/>
  <c r="J175" i="199"/>
  <c r="I175" i="199"/>
  <c r="H175" i="199"/>
  <c r="G175" i="199"/>
  <c r="F175" i="199"/>
  <c r="E175" i="199"/>
  <c r="P174" i="199"/>
  <c r="O174" i="199"/>
  <c r="N174" i="199"/>
  <c r="M174" i="199"/>
  <c r="L174" i="199"/>
  <c r="K174" i="199"/>
  <c r="J174" i="199"/>
  <c r="I174" i="199"/>
  <c r="H174" i="199"/>
  <c r="G174" i="199"/>
  <c r="F174" i="199"/>
  <c r="E174" i="199"/>
  <c r="P173" i="199"/>
  <c r="O173" i="199"/>
  <c r="N173" i="199"/>
  <c r="M173" i="199"/>
  <c r="L173" i="199"/>
  <c r="K173" i="199"/>
  <c r="J173" i="199"/>
  <c r="I173" i="199"/>
  <c r="H173" i="199"/>
  <c r="G173" i="199"/>
  <c r="F173" i="199"/>
  <c r="E173" i="199"/>
  <c r="P172" i="199"/>
  <c r="O172" i="199"/>
  <c r="N172" i="199"/>
  <c r="M172" i="199"/>
  <c r="L172" i="199"/>
  <c r="K172" i="199"/>
  <c r="J172" i="199"/>
  <c r="I172" i="199"/>
  <c r="H172" i="199"/>
  <c r="G172" i="199"/>
  <c r="F172" i="199"/>
  <c r="P171" i="199"/>
  <c r="O171" i="199"/>
  <c r="N171" i="199"/>
  <c r="M171" i="199"/>
  <c r="L171" i="199"/>
  <c r="K171" i="199"/>
  <c r="J171" i="199"/>
  <c r="I171" i="199"/>
  <c r="H171" i="199"/>
  <c r="G171" i="199"/>
  <c r="F171" i="199"/>
  <c r="P170" i="199"/>
  <c r="O170" i="199"/>
  <c r="N170" i="199"/>
  <c r="M170" i="199"/>
  <c r="L170" i="199"/>
  <c r="K170" i="199"/>
  <c r="J170" i="199"/>
  <c r="I170" i="199"/>
  <c r="H170" i="199"/>
  <c r="G170" i="199"/>
  <c r="F170" i="199"/>
  <c r="E170" i="199"/>
  <c r="P169" i="199"/>
  <c r="O169" i="199"/>
  <c r="N169" i="199"/>
  <c r="M169" i="199"/>
  <c r="L169" i="199"/>
  <c r="K169" i="199"/>
  <c r="J169" i="199"/>
  <c r="I169" i="199"/>
  <c r="H169" i="199"/>
  <c r="G169" i="199"/>
  <c r="P168" i="199"/>
  <c r="O168" i="199"/>
  <c r="N168" i="199"/>
  <c r="M168" i="199"/>
  <c r="L168" i="199"/>
  <c r="K168" i="199"/>
  <c r="J168" i="199"/>
  <c r="I168" i="199"/>
  <c r="H168" i="199"/>
  <c r="G168" i="199"/>
  <c r="P167" i="199"/>
  <c r="O167" i="199"/>
  <c r="N167" i="199"/>
  <c r="M167" i="199"/>
  <c r="L167" i="199"/>
  <c r="K167" i="199"/>
  <c r="J167" i="199"/>
  <c r="I167" i="199"/>
  <c r="H167" i="199"/>
  <c r="G167" i="199"/>
  <c r="P166" i="199"/>
  <c r="O166" i="199"/>
  <c r="N166" i="199"/>
  <c r="M166" i="199"/>
  <c r="L166" i="199"/>
  <c r="K166" i="199"/>
  <c r="J166" i="199"/>
  <c r="I166" i="199"/>
  <c r="H166" i="199"/>
  <c r="G166" i="199"/>
  <c r="F166" i="199"/>
  <c r="E166" i="199"/>
  <c r="P165" i="199"/>
  <c r="O165" i="199"/>
  <c r="N165" i="199"/>
  <c r="M165" i="199"/>
  <c r="L165" i="199"/>
  <c r="K165" i="199"/>
  <c r="J165" i="199"/>
  <c r="I165" i="199"/>
  <c r="H165" i="199"/>
  <c r="G165" i="199"/>
  <c r="F165" i="199"/>
  <c r="P164" i="199"/>
  <c r="O164" i="199"/>
  <c r="N164" i="199"/>
  <c r="M164" i="199"/>
  <c r="L164" i="199"/>
  <c r="K164" i="199"/>
  <c r="J164" i="199"/>
  <c r="I164" i="199"/>
  <c r="H164" i="199"/>
  <c r="G164" i="199"/>
  <c r="F164" i="199"/>
  <c r="P163" i="199"/>
  <c r="O163" i="199"/>
  <c r="N163" i="199"/>
  <c r="M163" i="199"/>
  <c r="L163" i="199"/>
  <c r="K163" i="199"/>
  <c r="J163" i="199"/>
  <c r="I163" i="199"/>
  <c r="H163" i="199"/>
  <c r="G163" i="199"/>
  <c r="F163" i="199"/>
  <c r="P162" i="199"/>
  <c r="O162" i="199"/>
  <c r="N162" i="199"/>
  <c r="M162" i="199"/>
  <c r="L162" i="199"/>
  <c r="K162" i="199"/>
  <c r="J162" i="199"/>
  <c r="I162" i="199"/>
  <c r="H162" i="199"/>
  <c r="G162" i="199"/>
  <c r="F162" i="199"/>
  <c r="P161" i="199"/>
  <c r="O161" i="199"/>
  <c r="N161" i="199"/>
  <c r="M161" i="199"/>
  <c r="L161" i="199"/>
  <c r="K161" i="199"/>
  <c r="J161" i="199"/>
  <c r="I161" i="199"/>
  <c r="H161" i="199"/>
  <c r="G161" i="199"/>
  <c r="F161" i="199"/>
  <c r="E161" i="199"/>
  <c r="P160" i="199"/>
  <c r="O160" i="199"/>
  <c r="N160" i="199"/>
  <c r="M160" i="199"/>
  <c r="L160" i="199"/>
  <c r="K160" i="199"/>
  <c r="J160" i="199"/>
  <c r="I160" i="199"/>
  <c r="H160" i="199"/>
  <c r="G160" i="199"/>
  <c r="F160" i="199"/>
  <c r="E160" i="199"/>
  <c r="P159" i="199"/>
  <c r="O159" i="199"/>
  <c r="N159" i="199"/>
  <c r="M159" i="199"/>
  <c r="L159" i="199"/>
  <c r="K159" i="199"/>
  <c r="J159" i="199"/>
  <c r="I159" i="199"/>
  <c r="H159" i="199"/>
  <c r="G159" i="199"/>
  <c r="F159" i="199"/>
  <c r="E159" i="199"/>
  <c r="P158" i="199"/>
  <c r="O158" i="199"/>
  <c r="N158" i="199"/>
  <c r="M158" i="199"/>
  <c r="L158" i="199"/>
  <c r="K158" i="199"/>
  <c r="J158" i="199"/>
  <c r="I158" i="199"/>
  <c r="H158" i="199"/>
  <c r="G158" i="199"/>
  <c r="F158" i="199"/>
  <c r="E158" i="199"/>
  <c r="O157" i="199"/>
  <c r="N157" i="199"/>
  <c r="M157" i="199"/>
  <c r="L157" i="199"/>
  <c r="K157" i="199"/>
  <c r="J157" i="199"/>
  <c r="I157" i="199"/>
  <c r="H157" i="199"/>
  <c r="G157" i="199"/>
  <c r="F157" i="199"/>
  <c r="P156" i="199"/>
  <c r="O156" i="199"/>
  <c r="N156" i="199"/>
  <c r="M156" i="199"/>
  <c r="L156" i="199"/>
  <c r="K156" i="199"/>
  <c r="J156" i="199"/>
  <c r="I156" i="199"/>
  <c r="H156" i="199"/>
  <c r="G156" i="199"/>
  <c r="F156" i="199"/>
  <c r="E156" i="199"/>
  <c r="P155" i="199"/>
  <c r="O155" i="199"/>
  <c r="N155" i="199"/>
  <c r="M155" i="199"/>
  <c r="L155" i="199"/>
  <c r="K155" i="199"/>
  <c r="J155" i="199"/>
  <c r="I155" i="199"/>
  <c r="H155" i="199"/>
  <c r="G155" i="199"/>
  <c r="F155" i="199"/>
  <c r="E155" i="199"/>
  <c r="O154" i="199"/>
  <c r="N154" i="199"/>
  <c r="M154" i="199"/>
  <c r="L154" i="199"/>
  <c r="K154" i="199"/>
  <c r="J154" i="199"/>
  <c r="I154" i="199"/>
  <c r="H154" i="199"/>
  <c r="G154" i="199"/>
  <c r="F154" i="199"/>
  <c r="P153" i="199"/>
  <c r="O153" i="199"/>
  <c r="N153" i="199"/>
  <c r="M153" i="199"/>
  <c r="L153" i="199"/>
  <c r="K153" i="199"/>
  <c r="J153" i="199"/>
  <c r="I153" i="199"/>
  <c r="H153" i="199"/>
  <c r="G153" i="199"/>
  <c r="F153" i="199"/>
  <c r="E153" i="199"/>
  <c r="P152" i="199"/>
  <c r="O152" i="199"/>
  <c r="N152" i="199"/>
  <c r="M152" i="199"/>
  <c r="L152" i="199"/>
  <c r="K152" i="199"/>
  <c r="J152" i="199"/>
  <c r="I152" i="199"/>
  <c r="H152" i="199"/>
  <c r="G152" i="199"/>
  <c r="F152" i="199"/>
  <c r="E152" i="199"/>
  <c r="P151" i="199"/>
  <c r="O151" i="199"/>
  <c r="N151" i="199"/>
  <c r="M151" i="199"/>
  <c r="L151" i="199"/>
  <c r="K151" i="199"/>
  <c r="J151" i="199"/>
  <c r="I151" i="199"/>
  <c r="H151" i="199"/>
  <c r="G151" i="199"/>
  <c r="F151" i="199"/>
  <c r="E151" i="199"/>
  <c r="P150" i="199"/>
  <c r="O150" i="199"/>
  <c r="N150" i="199"/>
  <c r="M150" i="199"/>
  <c r="L150" i="199"/>
  <c r="K150" i="199"/>
  <c r="J150" i="199"/>
  <c r="I150" i="199"/>
  <c r="H150" i="199"/>
  <c r="G150" i="199"/>
  <c r="F150" i="199"/>
  <c r="E150" i="199"/>
  <c r="P149" i="199"/>
  <c r="O149" i="199"/>
  <c r="N149" i="199"/>
  <c r="M149" i="199"/>
  <c r="L149" i="199"/>
  <c r="K149" i="199"/>
  <c r="J149" i="199"/>
  <c r="I149" i="199"/>
  <c r="H149" i="199"/>
  <c r="G149" i="199"/>
  <c r="F149" i="199"/>
  <c r="E149" i="199"/>
  <c r="P148" i="199"/>
  <c r="O148" i="199"/>
  <c r="N148" i="199"/>
  <c r="M148" i="199"/>
  <c r="L148" i="199"/>
  <c r="K148" i="199"/>
  <c r="J148" i="199"/>
  <c r="I148" i="199"/>
  <c r="H148" i="199"/>
  <c r="G148" i="199"/>
  <c r="F148" i="199"/>
  <c r="E148" i="199"/>
  <c r="P147" i="199"/>
  <c r="O147" i="199"/>
  <c r="N147" i="199"/>
  <c r="M147" i="199"/>
  <c r="L147" i="199"/>
  <c r="K147" i="199"/>
  <c r="J147" i="199"/>
  <c r="I147" i="199"/>
  <c r="H147" i="199"/>
  <c r="G147" i="199"/>
  <c r="F147" i="199"/>
  <c r="E147" i="199"/>
  <c r="P146" i="199"/>
  <c r="O146" i="199"/>
  <c r="N146" i="199"/>
  <c r="M146" i="199"/>
  <c r="L146" i="199"/>
  <c r="K146" i="199"/>
  <c r="J146" i="199"/>
  <c r="I146" i="199"/>
  <c r="H146" i="199"/>
  <c r="G146" i="199"/>
  <c r="F146" i="199"/>
  <c r="E146" i="199"/>
  <c r="P145" i="199"/>
  <c r="O145" i="199"/>
  <c r="N145" i="199"/>
  <c r="M145" i="199"/>
  <c r="L145" i="199"/>
  <c r="K145" i="199"/>
  <c r="J145" i="199"/>
  <c r="I145" i="199"/>
  <c r="H145" i="199"/>
  <c r="G145" i="199"/>
  <c r="F145" i="199"/>
  <c r="E145" i="199"/>
  <c r="P144" i="199"/>
  <c r="O144" i="199"/>
  <c r="N144" i="199"/>
  <c r="M144" i="199"/>
  <c r="L144" i="199"/>
  <c r="K144" i="199"/>
  <c r="J144" i="199"/>
  <c r="I144" i="199"/>
  <c r="H144" i="199"/>
  <c r="G144" i="199"/>
  <c r="F144" i="199"/>
  <c r="E144" i="199"/>
  <c r="P143" i="199"/>
  <c r="O143" i="199"/>
  <c r="N143" i="199"/>
  <c r="M143" i="199"/>
  <c r="L143" i="199"/>
  <c r="K143" i="199"/>
  <c r="J143" i="199"/>
  <c r="I143" i="199"/>
  <c r="H143" i="199"/>
  <c r="G143" i="199"/>
  <c r="F143" i="199"/>
  <c r="E143" i="199"/>
  <c r="P142" i="199"/>
  <c r="O142" i="199"/>
  <c r="N142" i="199"/>
  <c r="M142" i="199"/>
  <c r="L142" i="199"/>
  <c r="K142" i="199"/>
  <c r="J142" i="199"/>
  <c r="I142" i="199"/>
  <c r="H142" i="199"/>
  <c r="G142" i="199"/>
  <c r="F142" i="199"/>
  <c r="E142" i="199"/>
  <c r="P141" i="199"/>
  <c r="O141" i="199"/>
  <c r="N141" i="199"/>
  <c r="M141" i="199"/>
  <c r="L141" i="199"/>
  <c r="K141" i="199"/>
  <c r="J141" i="199"/>
  <c r="I141" i="199"/>
  <c r="H141" i="199"/>
  <c r="G141" i="199"/>
  <c r="F141" i="199"/>
  <c r="E141" i="199"/>
  <c r="P140" i="199"/>
  <c r="O140" i="199"/>
  <c r="N140" i="199"/>
  <c r="M140" i="199"/>
  <c r="L140" i="199"/>
  <c r="K140" i="199"/>
  <c r="J140" i="199"/>
  <c r="I140" i="199"/>
  <c r="H140" i="199"/>
  <c r="G140" i="199"/>
  <c r="F140" i="199"/>
  <c r="E140" i="199"/>
  <c r="N139" i="199"/>
  <c r="M139" i="199"/>
  <c r="L139" i="199"/>
  <c r="I139" i="199"/>
  <c r="H139" i="199"/>
  <c r="G139" i="199"/>
  <c r="P138" i="199"/>
  <c r="O138" i="199"/>
  <c r="N138" i="199"/>
  <c r="M138" i="199"/>
  <c r="L138" i="199"/>
  <c r="K138" i="199"/>
  <c r="J138" i="199"/>
  <c r="I138" i="199"/>
  <c r="H138" i="199"/>
  <c r="G138" i="199"/>
  <c r="F138" i="199"/>
  <c r="E138" i="199"/>
  <c r="P137" i="199"/>
  <c r="O137" i="199"/>
  <c r="N137" i="199"/>
  <c r="M137" i="199"/>
  <c r="L137" i="199"/>
  <c r="K137" i="199"/>
  <c r="J137" i="199"/>
  <c r="I137" i="199"/>
  <c r="H137" i="199"/>
  <c r="G137" i="199"/>
  <c r="F137" i="199"/>
  <c r="E137" i="199"/>
  <c r="P136" i="199"/>
  <c r="O136" i="199"/>
  <c r="N136" i="199"/>
  <c r="M136" i="199"/>
  <c r="L136" i="199"/>
  <c r="K136" i="199"/>
  <c r="J136" i="199"/>
  <c r="I136" i="199"/>
  <c r="H136" i="199"/>
  <c r="G136" i="199"/>
  <c r="F136" i="199"/>
  <c r="E136" i="199"/>
  <c r="P135" i="199"/>
  <c r="O135" i="199"/>
  <c r="N135" i="199"/>
  <c r="M135" i="199"/>
  <c r="L135" i="199"/>
  <c r="K135" i="199"/>
  <c r="J135" i="199"/>
  <c r="I135" i="199"/>
  <c r="H135" i="199"/>
  <c r="G135" i="199"/>
  <c r="F135" i="199"/>
  <c r="E135" i="199"/>
  <c r="P130" i="199"/>
  <c r="O130" i="199"/>
  <c r="N130" i="199"/>
  <c r="M130" i="199"/>
  <c r="L130" i="199"/>
  <c r="K130" i="199"/>
  <c r="J130" i="199"/>
  <c r="I130" i="199"/>
  <c r="H130" i="199"/>
  <c r="G130" i="199"/>
  <c r="F130" i="199"/>
  <c r="E130" i="199"/>
  <c r="P129" i="199"/>
  <c r="O129" i="199"/>
  <c r="N129" i="199"/>
  <c r="M129" i="199"/>
  <c r="L129" i="199"/>
  <c r="K129" i="199"/>
  <c r="J129" i="199"/>
  <c r="I129" i="199"/>
  <c r="H129" i="199"/>
  <c r="G129" i="199"/>
  <c r="F129" i="199"/>
  <c r="E129" i="199"/>
  <c r="P128" i="199"/>
  <c r="O128" i="199"/>
  <c r="N128" i="199"/>
  <c r="M128" i="199"/>
  <c r="L128" i="199"/>
  <c r="K128" i="199"/>
  <c r="J128" i="199"/>
  <c r="I128" i="199"/>
  <c r="H128" i="199"/>
  <c r="G128" i="199"/>
  <c r="F128" i="199"/>
  <c r="E128" i="199"/>
  <c r="P127" i="199"/>
  <c r="O127" i="199"/>
  <c r="N127" i="199"/>
  <c r="M127" i="199"/>
  <c r="L127" i="199"/>
  <c r="K127" i="199"/>
  <c r="J127" i="199"/>
  <c r="I127" i="199"/>
  <c r="H127" i="199"/>
  <c r="G127" i="199"/>
  <c r="F127" i="199"/>
  <c r="E127" i="199"/>
  <c r="P126" i="199"/>
  <c r="O126" i="199"/>
  <c r="N126" i="199"/>
  <c r="M126" i="199"/>
  <c r="L126" i="199"/>
  <c r="K126" i="199"/>
  <c r="J126" i="199"/>
  <c r="I126" i="199"/>
  <c r="H126" i="199"/>
  <c r="G126" i="199"/>
  <c r="F126" i="199"/>
  <c r="E126" i="199"/>
  <c r="P125" i="199"/>
  <c r="O125" i="199"/>
  <c r="N125" i="199"/>
  <c r="M125" i="199"/>
  <c r="L125" i="199"/>
  <c r="K125" i="199"/>
  <c r="J125" i="199"/>
  <c r="I125" i="199"/>
  <c r="H125" i="199"/>
  <c r="G125" i="199"/>
  <c r="F125" i="199"/>
  <c r="E125" i="199"/>
  <c r="P124" i="199"/>
  <c r="O124" i="199"/>
  <c r="N124" i="199"/>
  <c r="M124" i="199"/>
  <c r="L124" i="199"/>
  <c r="K124" i="199"/>
  <c r="J124" i="199"/>
  <c r="I124" i="199"/>
  <c r="H124" i="199"/>
  <c r="G124" i="199"/>
  <c r="F124" i="199"/>
  <c r="E124" i="199"/>
  <c r="P123" i="199"/>
  <c r="O123" i="199"/>
  <c r="N123" i="199"/>
  <c r="M123" i="199"/>
  <c r="L123" i="199"/>
  <c r="K123" i="199"/>
  <c r="J123" i="199"/>
  <c r="I123" i="199"/>
  <c r="H123" i="199"/>
  <c r="G123" i="199"/>
  <c r="F123" i="199"/>
  <c r="E123" i="199"/>
  <c r="P122" i="199"/>
  <c r="O122" i="199"/>
  <c r="N122" i="199"/>
  <c r="M122" i="199"/>
  <c r="L122" i="199"/>
  <c r="K122" i="199"/>
  <c r="J122" i="199"/>
  <c r="I122" i="199"/>
  <c r="H122" i="199"/>
  <c r="G122" i="199"/>
  <c r="F122" i="199"/>
  <c r="E122" i="199"/>
  <c r="P121" i="199"/>
  <c r="O121" i="199"/>
  <c r="N121" i="199"/>
  <c r="M121" i="199"/>
  <c r="L121" i="199"/>
  <c r="K121" i="199"/>
  <c r="J121" i="199"/>
  <c r="I121" i="199"/>
  <c r="H121" i="199"/>
  <c r="G121" i="199"/>
  <c r="F121" i="199"/>
  <c r="E121" i="199"/>
  <c r="P120" i="199"/>
  <c r="O120" i="199"/>
  <c r="N120" i="199"/>
  <c r="M120" i="199"/>
  <c r="L120" i="199"/>
  <c r="K120" i="199"/>
  <c r="J120" i="199"/>
  <c r="I120" i="199"/>
  <c r="H120" i="199"/>
  <c r="G120" i="199"/>
  <c r="F120" i="199"/>
  <c r="E120" i="199"/>
  <c r="P119" i="199"/>
  <c r="O119" i="199"/>
  <c r="N119" i="199"/>
  <c r="M119" i="199"/>
  <c r="L119" i="199"/>
  <c r="K119" i="199"/>
  <c r="J119" i="199"/>
  <c r="I119" i="199"/>
  <c r="H119" i="199"/>
  <c r="G119" i="199"/>
  <c r="F119" i="199"/>
  <c r="E119" i="199"/>
  <c r="P118" i="199"/>
  <c r="O118" i="199"/>
  <c r="N118" i="199"/>
  <c r="M118" i="199"/>
  <c r="L118" i="199"/>
  <c r="K118" i="199"/>
  <c r="J118" i="199"/>
  <c r="I118" i="199"/>
  <c r="H118" i="199"/>
  <c r="G118" i="199"/>
  <c r="F118" i="199"/>
  <c r="E118" i="199"/>
  <c r="P117" i="199"/>
  <c r="O117" i="199"/>
  <c r="N117" i="199"/>
  <c r="M117" i="199"/>
  <c r="L117" i="199"/>
  <c r="K117" i="199"/>
  <c r="J117" i="199"/>
  <c r="I117" i="199"/>
  <c r="H117" i="199"/>
  <c r="G117" i="199"/>
  <c r="F117" i="199"/>
  <c r="E117" i="199"/>
  <c r="P116" i="199"/>
  <c r="O116" i="199"/>
  <c r="N116" i="199"/>
  <c r="M116" i="199"/>
  <c r="L116" i="199"/>
  <c r="K116" i="199"/>
  <c r="J116" i="199"/>
  <c r="I116" i="199"/>
  <c r="H116" i="199"/>
  <c r="G116" i="199"/>
  <c r="F116" i="199"/>
  <c r="E116" i="199"/>
  <c r="P115" i="199"/>
  <c r="O115" i="199"/>
  <c r="N115" i="199"/>
  <c r="M115" i="199"/>
  <c r="L115" i="199"/>
  <c r="K115" i="199"/>
  <c r="J115" i="199"/>
  <c r="I115" i="199"/>
  <c r="H115" i="199"/>
  <c r="G115" i="199"/>
  <c r="F115" i="199"/>
  <c r="E115" i="199"/>
  <c r="P114" i="199"/>
  <c r="O114" i="199"/>
  <c r="N114" i="199"/>
  <c r="M114" i="199"/>
  <c r="L114" i="199"/>
  <c r="K114" i="199"/>
  <c r="J114" i="199"/>
  <c r="I114" i="199"/>
  <c r="H114" i="199"/>
  <c r="G114" i="199"/>
  <c r="F114" i="199"/>
  <c r="E114" i="199"/>
  <c r="P113" i="199"/>
  <c r="O113" i="199"/>
  <c r="N113" i="199"/>
  <c r="M113" i="199"/>
  <c r="L113" i="199"/>
  <c r="K113" i="199"/>
  <c r="J113" i="199"/>
  <c r="I113" i="199"/>
  <c r="H113" i="199"/>
  <c r="G113" i="199"/>
  <c r="F113" i="199"/>
  <c r="E113" i="199"/>
  <c r="P112" i="199"/>
  <c r="O112" i="199"/>
  <c r="N112" i="199"/>
  <c r="M112" i="199"/>
  <c r="L112" i="199"/>
  <c r="K112" i="199"/>
  <c r="J112" i="199"/>
  <c r="I112" i="199"/>
  <c r="H112" i="199"/>
  <c r="G112" i="199"/>
  <c r="F112" i="199"/>
  <c r="E112" i="199"/>
  <c r="P111" i="199"/>
  <c r="O111" i="199"/>
  <c r="N111" i="199"/>
  <c r="M111" i="199"/>
  <c r="L111" i="199"/>
  <c r="K111" i="199"/>
  <c r="J111" i="199"/>
  <c r="I111" i="199"/>
  <c r="H111" i="199"/>
  <c r="G111" i="199"/>
  <c r="F111" i="199"/>
  <c r="E111" i="199"/>
  <c r="P110" i="199"/>
  <c r="O110" i="199"/>
  <c r="N110" i="199"/>
  <c r="M110" i="199"/>
  <c r="L110" i="199"/>
  <c r="K110" i="199"/>
  <c r="J110" i="199"/>
  <c r="I110" i="199"/>
  <c r="H110" i="199"/>
  <c r="G110" i="199"/>
  <c r="F110" i="199"/>
  <c r="E110" i="199"/>
  <c r="P109" i="199"/>
  <c r="O109" i="199"/>
  <c r="N109" i="199"/>
  <c r="M109" i="199"/>
  <c r="L109" i="199"/>
  <c r="K109" i="199"/>
  <c r="J109" i="199"/>
  <c r="I109" i="199"/>
  <c r="H109" i="199"/>
  <c r="G109" i="199"/>
  <c r="F109" i="199"/>
  <c r="E109" i="199"/>
  <c r="P108" i="199"/>
  <c r="O108" i="199"/>
  <c r="N108" i="199"/>
  <c r="M108" i="199"/>
  <c r="L108" i="199"/>
  <c r="K108" i="199"/>
  <c r="J108" i="199"/>
  <c r="I108" i="199"/>
  <c r="H108" i="199"/>
  <c r="G108" i="199"/>
  <c r="F108" i="199"/>
  <c r="E108" i="199"/>
  <c r="P107" i="199"/>
  <c r="O107" i="199"/>
  <c r="N107" i="199"/>
  <c r="M107" i="199"/>
  <c r="L107" i="199"/>
  <c r="K107" i="199"/>
  <c r="J107" i="199"/>
  <c r="I107" i="199"/>
  <c r="H107" i="199"/>
  <c r="G107" i="199"/>
  <c r="F107" i="199"/>
  <c r="E107" i="199"/>
  <c r="P106" i="199"/>
  <c r="O106" i="199"/>
  <c r="N106" i="199"/>
  <c r="M106" i="199"/>
  <c r="L106" i="199"/>
  <c r="K106" i="199"/>
  <c r="J106" i="199"/>
  <c r="I106" i="199"/>
  <c r="H106" i="199"/>
  <c r="G106" i="199"/>
  <c r="F106" i="199"/>
  <c r="E106" i="199"/>
  <c r="P105" i="199"/>
  <c r="O105" i="199"/>
  <c r="N105" i="199"/>
  <c r="M105" i="199"/>
  <c r="L105" i="199"/>
  <c r="K105" i="199"/>
  <c r="J105" i="199"/>
  <c r="I105" i="199"/>
  <c r="H105" i="199"/>
  <c r="G105" i="199"/>
  <c r="F105" i="199"/>
  <c r="E105" i="199"/>
  <c r="P99" i="199"/>
  <c r="O99" i="199"/>
  <c r="N99" i="199"/>
  <c r="M99" i="199"/>
  <c r="L99" i="199"/>
  <c r="K99" i="199"/>
  <c r="J99" i="199"/>
  <c r="I99" i="199"/>
  <c r="H99" i="199"/>
  <c r="G99" i="199"/>
  <c r="F99" i="199"/>
  <c r="E99" i="199"/>
  <c r="P98" i="199"/>
  <c r="O98" i="199"/>
  <c r="N98" i="199"/>
  <c r="M98" i="199"/>
  <c r="L98" i="199"/>
  <c r="K98" i="199"/>
  <c r="J98" i="199"/>
  <c r="I98" i="199"/>
  <c r="H98" i="199"/>
  <c r="G98" i="199"/>
  <c r="F98" i="199"/>
  <c r="E98" i="199"/>
  <c r="P97" i="199"/>
  <c r="O97" i="199"/>
  <c r="N97" i="199"/>
  <c r="M97" i="199"/>
  <c r="L97" i="199"/>
  <c r="K97" i="199"/>
  <c r="J97" i="199"/>
  <c r="I97" i="199"/>
  <c r="H97" i="199"/>
  <c r="G97" i="199"/>
  <c r="F97" i="199"/>
  <c r="E97" i="199"/>
  <c r="P96" i="199"/>
  <c r="O96" i="199"/>
  <c r="N96" i="199"/>
  <c r="M96" i="199"/>
  <c r="L96" i="199"/>
  <c r="K96" i="199"/>
  <c r="J96" i="199"/>
  <c r="I96" i="199"/>
  <c r="H96" i="199"/>
  <c r="G96" i="199"/>
  <c r="F96" i="199"/>
  <c r="E96" i="199"/>
  <c r="P95" i="199"/>
  <c r="O95" i="199"/>
  <c r="N95" i="199"/>
  <c r="M95" i="199"/>
  <c r="L95" i="199"/>
  <c r="K95" i="199"/>
  <c r="J95" i="199"/>
  <c r="I95" i="199"/>
  <c r="H95" i="199"/>
  <c r="G95" i="199"/>
  <c r="F95" i="199"/>
  <c r="E95" i="199"/>
  <c r="P94" i="199"/>
  <c r="O94" i="199"/>
  <c r="N94" i="199"/>
  <c r="M94" i="199"/>
  <c r="L94" i="199"/>
  <c r="K94" i="199"/>
  <c r="J94" i="199"/>
  <c r="I94" i="199"/>
  <c r="H94" i="199"/>
  <c r="G94" i="199"/>
  <c r="F94" i="199"/>
  <c r="E94" i="199"/>
  <c r="P93" i="199"/>
  <c r="O93" i="199"/>
  <c r="N93" i="199"/>
  <c r="M93" i="199"/>
  <c r="L93" i="199"/>
  <c r="K93" i="199"/>
  <c r="J93" i="199"/>
  <c r="I93" i="199"/>
  <c r="H93" i="199"/>
  <c r="G93" i="199"/>
  <c r="F93" i="199"/>
  <c r="E93" i="199"/>
  <c r="P92" i="199"/>
  <c r="O92" i="199"/>
  <c r="N92" i="199"/>
  <c r="M92" i="199"/>
  <c r="L92" i="199"/>
  <c r="K92" i="199"/>
  <c r="J92" i="199"/>
  <c r="I92" i="199"/>
  <c r="H92" i="199"/>
  <c r="G92" i="199"/>
  <c r="F92" i="199"/>
  <c r="E92" i="199"/>
  <c r="P91" i="199"/>
  <c r="O91" i="199"/>
  <c r="N91" i="199"/>
  <c r="M91" i="199"/>
  <c r="L91" i="199"/>
  <c r="K91" i="199"/>
  <c r="J91" i="199"/>
  <c r="I91" i="199"/>
  <c r="H91" i="199"/>
  <c r="G91" i="199"/>
  <c r="F91" i="199"/>
  <c r="E91" i="199"/>
  <c r="P90" i="199"/>
  <c r="O90" i="199"/>
  <c r="N90" i="199"/>
  <c r="M90" i="199"/>
  <c r="L90" i="199"/>
  <c r="K90" i="199"/>
  <c r="J90" i="199"/>
  <c r="I90" i="199"/>
  <c r="H90" i="199"/>
  <c r="G90" i="199"/>
  <c r="F90" i="199"/>
  <c r="E90" i="199"/>
  <c r="P89" i="199"/>
  <c r="O89" i="199"/>
  <c r="N89" i="199"/>
  <c r="M89" i="199"/>
  <c r="L89" i="199"/>
  <c r="K89" i="199"/>
  <c r="J89" i="199"/>
  <c r="I89" i="199"/>
  <c r="H89" i="199"/>
  <c r="G89" i="199"/>
  <c r="F89" i="199"/>
  <c r="E89" i="199"/>
  <c r="P88" i="199"/>
  <c r="O88" i="199"/>
  <c r="N88" i="199"/>
  <c r="M88" i="199"/>
  <c r="L88" i="199"/>
  <c r="K88" i="199"/>
  <c r="J88" i="199"/>
  <c r="I88" i="199"/>
  <c r="H88" i="199"/>
  <c r="G88" i="199"/>
  <c r="F88" i="199"/>
  <c r="E88" i="199"/>
  <c r="P87" i="199"/>
  <c r="O87" i="199"/>
  <c r="N87" i="199"/>
  <c r="M87" i="199"/>
  <c r="L87" i="199"/>
  <c r="K87" i="199"/>
  <c r="J87" i="199"/>
  <c r="I87" i="199"/>
  <c r="H87" i="199"/>
  <c r="G87" i="199"/>
  <c r="F87" i="199"/>
  <c r="E87" i="199"/>
  <c r="P86" i="199"/>
  <c r="O86" i="199"/>
  <c r="N86" i="199"/>
  <c r="M86" i="199"/>
  <c r="L86" i="199"/>
  <c r="K86" i="199"/>
  <c r="J86" i="199"/>
  <c r="I86" i="199"/>
  <c r="H86" i="199"/>
  <c r="G86" i="199"/>
  <c r="F86" i="199"/>
  <c r="E86" i="199"/>
  <c r="P85" i="199"/>
  <c r="O85" i="199"/>
  <c r="N85" i="199"/>
  <c r="M85" i="199"/>
  <c r="L85" i="199"/>
  <c r="K85" i="199"/>
  <c r="J85" i="199"/>
  <c r="I85" i="199"/>
  <c r="H85" i="199"/>
  <c r="G85" i="199"/>
  <c r="F85" i="199"/>
  <c r="E85" i="199"/>
  <c r="P84" i="199"/>
  <c r="O84" i="199"/>
  <c r="N84" i="199"/>
  <c r="M84" i="199"/>
  <c r="L84" i="199"/>
  <c r="K84" i="199"/>
  <c r="J84" i="199"/>
  <c r="I84" i="199"/>
  <c r="H84" i="199"/>
  <c r="G84" i="199"/>
  <c r="F84" i="199"/>
  <c r="E84" i="199"/>
  <c r="P83" i="199"/>
  <c r="O83" i="199"/>
  <c r="N83" i="199"/>
  <c r="M83" i="199"/>
  <c r="L83" i="199"/>
  <c r="K83" i="199"/>
  <c r="J83" i="199"/>
  <c r="I83" i="199"/>
  <c r="H83" i="199"/>
  <c r="G83" i="199"/>
  <c r="F83" i="199"/>
  <c r="E83" i="199"/>
  <c r="P82" i="199"/>
  <c r="O82" i="199"/>
  <c r="N82" i="199"/>
  <c r="M82" i="199"/>
  <c r="L82" i="199"/>
  <c r="K82" i="199"/>
  <c r="J82" i="199"/>
  <c r="I82" i="199"/>
  <c r="H82" i="199"/>
  <c r="G82" i="199"/>
  <c r="F82" i="199"/>
  <c r="E82" i="199"/>
  <c r="P81" i="199"/>
  <c r="O81" i="199"/>
  <c r="N81" i="199"/>
  <c r="M81" i="199"/>
  <c r="L81" i="199"/>
  <c r="K81" i="199"/>
  <c r="J81" i="199"/>
  <c r="I81" i="199"/>
  <c r="H81" i="199"/>
  <c r="G81" i="199"/>
  <c r="F81" i="199"/>
  <c r="E81" i="199"/>
  <c r="P80" i="199"/>
  <c r="O80" i="199"/>
  <c r="N80" i="199"/>
  <c r="M80" i="199"/>
  <c r="L80" i="199"/>
  <c r="K80" i="199"/>
  <c r="J80" i="199"/>
  <c r="I80" i="199"/>
  <c r="H80" i="199"/>
  <c r="G80" i="199"/>
  <c r="F80" i="199"/>
  <c r="E80" i="199"/>
  <c r="P79" i="199"/>
  <c r="O79" i="199"/>
  <c r="N79" i="199"/>
  <c r="M79" i="199"/>
  <c r="L79" i="199"/>
  <c r="K79" i="199"/>
  <c r="J79" i="199"/>
  <c r="I79" i="199"/>
  <c r="H79" i="199"/>
  <c r="G79" i="199"/>
  <c r="F79" i="199"/>
  <c r="E79" i="199"/>
  <c r="P78" i="199"/>
  <c r="O78" i="199"/>
  <c r="N78" i="199"/>
  <c r="M78" i="199"/>
  <c r="L78" i="199"/>
  <c r="K78" i="199"/>
  <c r="J78" i="199"/>
  <c r="I78" i="199"/>
  <c r="H78" i="199"/>
  <c r="G78" i="199"/>
  <c r="F78" i="199"/>
  <c r="E78" i="199"/>
  <c r="P77" i="199"/>
  <c r="O77" i="199"/>
  <c r="N77" i="199"/>
  <c r="M77" i="199"/>
  <c r="L77" i="199"/>
  <c r="K77" i="199"/>
  <c r="J77" i="199"/>
  <c r="I77" i="199"/>
  <c r="H77" i="199"/>
  <c r="G77" i="199"/>
  <c r="F77" i="199"/>
  <c r="E77" i="199"/>
  <c r="P76" i="199"/>
  <c r="O76" i="199"/>
  <c r="N76" i="199"/>
  <c r="M76" i="199"/>
  <c r="L76" i="199"/>
  <c r="K76" i="199"/>
  <c r="J76" i="199"/>
  <c r="I76" i="199"/>
  <c r="H76" i="199"/>
  <c r="G76" i="199"/>
  <c r="F76" i="199"/>
  <c r="E76" i="199"/>
  <c r="P75" i="199"/>
  <c r="O75" i="199"/>
  <c r="N75" i="199"/>
  <c r="M75" i="199"/>
  <c r="L75" i="199"/>
  <c r="K75" i="199"/>
  <c r="J75" i="199"/>
  <c r="I75" i="199"/>
  <c r="H75" i="199"/>
  <c r="G75" i="199"/>
  <c r="F75" i="199"/>
  <c r="E75" i="199"/>
  <c r="P74" i="199"/>
  <c r="O74" i="199"/>
  <c r="N74" i="199"/>
  <c r="M74" i="199"/>
  <c r="L74" i="199"/>
  <c r="K74" i="199"/>
  <c r="J74" i="199"/>
  <c r="I74" i="199"/>
  <c r="H74" i="199"/>
  <c r="G74" i="199"/>
  <c r="F74" i="199"/>
  <c r="E74" i="199"/>
  <c r="P73" i="199"/>
  <c r="O73" i="199"/>
  <c r="N73" i="199"/>
  <c r="M73" i="199"/>
  <c r="L73" i="199"/>
  <c r="K73" i="199"/>
  <c r="J73" i="199"/>
  <c r="I73" i="199"/>
  <c r="H73" i="199"/>
  <c r="G73" i="199"/>
  <c r="F73" i="199"/>
  <c r="E73" i="199"/>
  <c r="P72" i="199"/>
  <c r="O72" i="199"/>
  <c r="N72" i="199"/>
  <c r="M72" i="199"/>
  <c r="L72" i="199"/>
  <c r="K72" i="199"/>
  <c r="J72" i="199"/>
  <c r="I72" i="199"/>
  <c r="H72" i="199"/>
  <c r="G72" i="199"/>
  <c r="F72" i="199"/>
  <c r="E72" i="199"/>
  <c r="P71" i="199"/>
  <c r="O71" i="199"/>
  <c r="N71" i="199"/>
  <c r="M71" i="199"/>
  <c r="L71" i="199"/>
  <c r="K71" i="199"/>
  <c r="J71" i="199"/>
  <c r="I71" i="199"/>
  <c r="H71" i="199"/>
  <c r="G71" i="199"/>
  <c r="F71" i="199"/>
  <c r="E71" i="199"/>
  <c r="P70" i="199"/>
  <c r="O70" i="199"/>
  <c r="N70" i="199"/>
  <c r="M70" i="199"/>
  <c r="L70" i="199"/>
  <c r="K70" i="199"/>
  <c r="J70" i="199"/>
  <c r="I70" i="199"/>
  <c r="H70" i="199"/>
  <c r="G70" i="199"/>
  <c r="F70" i="199"/>
  <c r="E70" i="199"/>
  <c r="P69" i="199"/>
  <c r="O69" i="199"/>
  <c r="N69" i="199"/>
  <c r="M69" i="199"/>
  <c r="L69" i="199"/>
  <c r="K69" i="199"/>
  <c r="J69" i="199"/>
  <c r="I69" i="199"/>
  <c r="H69" i="199"/>
  <c r="G69" i="199"/>
  <c r="F69" i="199"/>
  <c r="E69" i="199"/>
  <c r="P68" i="199"/>
  <c r="O68" i="199"/>
  <c r="N68" i="199"/>
  <c r="M68" i="199"/>
  <c r="L68" i="199"/>
  <c r="K68" i="199"/>
  <c r="J68" i="199"/>
  <c r="I68" i="199"/>
  <c r="H68" i="199"/>
  <c r="G68" i="199"/>
  <c r="F68" i="199"/>
  <c r="E68" i="199"/>
  <c r="O67" i="199"/>
  <c r="N67" i="199"/>
  <c r="M67" i="199"/>
  <c r="L67" i="199"/>
  <c r="K67" i="199"/>
  <c r="J67" i="199"/>
  <c r="I67" i="199"/>
  <c r="H67" i="199"/>
  <c r="G67" i="199"/>
  <c r="F67" i="199"/>
  <c r="O66" i="199"/>
  <c r="N66" i="199"/>
  <c r="M66" i="199"/>
  <c r="L66" i="199"/>
  <c r="K66" i="199"/>
  <c r="J66" i="199"/>
  <c r="I66" i="199"/>
  <c r="H66" i="199"/>
  <c r="G66" i="199"/>
  <c r="P65" i="199"/>
  <c r="O65" i="199"/>
  <c r="N65" i="199"/>
  <c r="M65" i="199"/>
  <c r="L65" i="199"/>
  <c r="K65" i="199"/>
  <c r="J65" i="199"/>
  <c r="I65" i="199"/>
  <c r="H65" i="199"/>
  <c r="G65" i="199"/>
  <c r="F65" i="199"/>
  <c r="E65" i="199"/>
  <c r="O64" i="199"/>
  <c r="N64" i="199"/>
  <c r="M64" i="199"/>
  <c r="L64" i="199"/>
  <c r="K64" i="199"/>
  <c r="J64" i="199"/>
  <c r="I64" i="199"/>
  <c r="H64" i="199"/>
  <c r="G64" i="199"/>
  <c r="F64" i="199"/>
  <c r="O63" i="199"/>
  <c r="N63" i="199"/>
  <c r="M63" i="199"/>
  <c r="L63" i="199"/>
  <c r="K63" i="199"/>
  <c r="J63" i="199"/>
  <c r="I63" i="199"/>
  <c r="H63" i="199"/>
  <c r="P62" i="199"/>
  <c r="O62" i="199"/>
  <c r="N62" i="199"/>
  <c r="M62" i="199"/>
  <c r="L62" i="199"/>
  <c r="K62" i="199"/>
  <c r="J62" i="199"/>
  <c r="I62" i="199"/>
  <c r="H62" i="199"/>
  <c r="G62" i="199"/>
  <c r="F62" i="199"/>
  <c r="E62" i="199"/>
  <c r="P61" i="199"/>
  <c r="O61" i="199"/>
  <c r="N61" i="199"/>
  <c r="M61" i="199"/>
  <c r="L61" i="199"/>
  <c r="K61" i="199"/>
  <c r="J61" i="199"/>
  <c r="I61" i="199"/>
  <c r="H61" i="199"/>
  <c r="G61" i="199"/>
  <c r="F61" i="199"/>
  <c r="E61" i="199"/>
  <c r="P60" i="199"/>
  <c r="O60" i="199"/>
  <c r="N60" i="199"/>
  <c r="M60" i="199"/>
  <c r="L60" i="199"/>
  <c r="K60" i="199"/>
  <c r="J60" i="199"/>
  <c r="I60" i="199"/>
  <c r="H60" i="199"/>
  <c r="G60" i="199"/>
  <c r="F60" i="199"/>
  <c r="E60" i="199"/>
  <c r="P59" i="199"/>
  <c r="O59" i="199"/>
  <c r="N59" i="199"/>
  <c r="M59" i="199"/>
  <c r="L59" i="199"/>
  <c r="K59" i="199"/>
  <c r="J59" i="199"/>
  <c r="I59" i="199"/>
  <c r="H59" i="199"/>
  <c r="G59" i="199"/>
  <c r="F59" i="199"/>
  <c r="E59" i="199"/>
  <c r="P58" i="199"/>
  <c r="O58" i="199"/>
  <c r="N58" i="199"/>
  <c r="M58" i="199"/>
  <c r="L58" i="199"/>
  <c r="K58" i="199"/>
  <c r="J58" i="199"/>
  <c r="I58" i="199"/>
  <c r="H58" i="199"/>
  <c r="G58" i="199"/>
  <c r="F58" i="199"/>
  <c r="E58" i="199"/>
  <c r="P57" i="199"/>
  <c r="O57" i="199"/>
  <c r="N57" i="199"/>
  <c r="M57" i="199"/>
  <c r="L57" i="199"/>
  <c r="K57" i="199"/>
  <c r="J57" i="199"/>
  <c r="I57" i="199"/>
  <c r="H57" i="199"/>
  <c r="G57" i="199"/>
  <c r="F57" i="199"/>
  <c r="E57" i="199"/>
  <c r="P56" i="199"/>
  <c r="O56" i="199"/>
  <c r="N56" i="199"/>
  <c r="M56" i="199"/>
  <c r="L56" i="199"/>
  <c r="K56" i="199"/>
  <c r="J56" i="199"/>
  <c r="I56" i="199"/>
  <c r="H56" i="199"/>
  <c r="G56" i="199"/>
  <c r="F56" i="199"/>
  <c r="E56" i="199"/>
  <c r="P55" i="199"/>
  <c r="O55" i="199"/>
  <c r="N55" i="199"/>
  <c r="M55" i="199"/>
  <c r="L55" i="199"/>
  <c r="K55" i="199"/>
  <c r="J55" i="199"/>
  <c r="I55" i="199"/>
  <c r="H55" i="199"/>
  <c r="G55" i="199"/>
  <c r="F55" i="199"/>
  <c r="E55" i="199"/>
  <c r="P54" i="199"/>
  <c r="O54" i="199"/>
  <c r="N54" i="199"/>
  <c r="M54" i="199"/>
  <c r="L54" i="199"/>
  <c r="K54" i="199"/>
  <c r="J54" i="199"/>
  <c r="I54" i="199"/>
  <c r="H54" i="199"/>
  <c r="G54" i="199"/>
  <c r="F54" i="199"/>
  <c r="E54" i="199"/>
  <c r="P53" i="199"/>
  <c r="O53" i="199"/>
  <c r="N53" i="199"/>
  <c r="M53" i="199"/>
  <c r="L53" i="199"/>
  <c r="K53" i="199"/>
  <c r="J53" i="199"/>
  <c r="I53" i="199"/>
  <c r="H53" i="199"/>
  <c r="G53" i="199"/>
  <c r="F53" i="199"/>
  <c r="E53" i="199"/>
  <c r="P52" i="199"/>
  <c r="O52" i="199"/>
  <c r="N52" i="199"/>
  <c r="M52" i="199"/>
  <c r="L52" i="199"/>
  <c r="K52" i="199"/>
  <c r="J52" i="199"/>
  <c r="I52" i="199"/>
  <c r="H52" i="199"/>
  <c r="G52" i="199"/>
  <c r="F52" i="199"/>
  <c r="E52" i="199"/>
  <c r="P51" i="199"/>
  <c r="O51" i="199"/>
  <c r="N51" i="199"/>
  <c r="M51" i="199"/>
  <c r="L51" i="199"/>
  <c r="K51" i="199"/>
  <c r="J51" i="199"/>
  <c r="I51" i="199"/>
  <c r="H51" i="199"/>
  <c r="G51" i="199"/>
  <c r="F51" i="199"/>
  <c r="E51" i="199"/>
  <c r="P50" i="199"/>
  <c r="O50" i="199"/>
  <c r="N50" i="199"/>
  <c r="M50" i="199"/>
  <c r="L50" i="199"/>
  <c r="K50" i="199"/>
  <c r="J50" i="199"/>
  <c r="I50" i="199"/>
  <c r="H50" i="199"/>
  <c r="G50" i="199"/>
  <c r="F50" i="199"/>
  <c r="E50" i="199"/>
  <c r="P49" i="199"/>
  <c r="O49" i="199"/>
  <c r="N49" i="199"/>
  <c r="M49" i="199"/>
  <c r="L49" i="199"/>
  <c r="K49" i="199"/>
  <c r="J49" i="199"/>
  <c r="I49" i="199"/>
  <c r="H49" i="199"/>
  <c r="G49" i="199"/>
  <c r="F49" i="199"/>
  <c r="E49" i="199"/>
  <c r="O48" i="199"/>
  <c r="N48" i="199"/>
  <c r="M48" i="199"/>
  <c r="L48" i="199"/>
  <c r="K48" i="199"/>
  <c r="J48" i="199"/>
  <c r="I48" i="199"/>
  <c r="H48" i="199"/>
  <c r="G48" i="199"/>
  <c r="F48" i="199"/>
  <c r="O47" i="199"/>
  <c r="N47" i="199"/>
  <c r="M47" i="199"/>
  <c r="L47" i="199"/>
  <c r="K47" i="199"/>
  <c r="J47" i="199"/>
  <c r="I47" i="199"/>
  <c r="H47" i="199"/>
  <c r="O43" i="199"/>
  <c r="N43" i="199"/>
  <c r="M43" i="199"/>
  <c r="L43" i="199"/>
  <c r="K43" i="199"/>
  <c r="J43" i="199"/>
  <c r="I43" i="199"/>
  <c r="H43" i="199"/>
  <c r="G43" i="199"/>
  <c r="F43" i="199"/>
  <c r="P42" i="199"/>
  <c r="O42" i="199"/>
  <c r="N42" i="199"/>
  <c r="M42" i="199"/>
  <c r="L42" i="199"/>
  <c r="K42" i="199"/>
  <c r="J42" i="199"/>
  <c r="I42" i="199"/>
  <c r="H42" i="199"/>
  <c r="G42" i="199"/>
  <c r="F42" i="199"/>
  <c r="E42" i="199"/>
  <c r="P41" i="199"/>
  <c r="O41" i="199"/>
  <c r="N41" i="199"/>
  <c r="M41" i="199"/>
  <c r="L41" i="199"/>
  <c r="K41" i="199"/>
  <c r="J41" i="199"/>
  <c r="I41" i="199"/>
  <c r="H41" i="199"/>
  <c r="G41" i="199"/>
  <c r="F41" i="199"/>
  <c r="E41" i="199"/>
  <c r="P40" i="199"/>
  <c r="O40" i="199"/>
  <c r="N40" i="199"/>
  <c r="M40" i="199"/>
  <c r="L40" i="199"/>
  <c r="K40" i="199"/>
  <c r="J40" i="199"/>
  <c r="I40" i="199"/>
  <c r="H40" i="199"/>
  <c r="G40" i="199"/>
  <c r="F40" i="199"/>
  <c r="E40" i="199"/>
  <c r="O39" i="199"/>
  <c r="N39" i="199"/>
  <c r="M39" i="199"/>
  <c r="L39" i="199"/>
  <c r="K39" i="199"/>
  <c r="J39" i="199"/>
  <c r="I39" i="199"/>
  <c r="H39" i="199"/>
  <c r="G39" i="199"/>
  <c r="P38" i="199"/>
  <c r="O38" i="199"/>
  <c r="N38" i="199"/>
  <c r="M38" i="199"/>
  <c r="L38" i="199"/>
  <c r="K38" i="199"/>
  <c r="J38" i="199"/>
  <c r="I38" i="199"/>
  <c r="H38" i="199"/>
  <c r="G38" i="199"/>
  <c r="F38" i="199"/>
  <c r="E38" i="199"/>
  <c r="P37" i="199"/>
  <c r="O37" i="199"/>
  <c r="N37" i="199"/>
  <c r="M37" i="199"/>
  <c r="L37" i="199"/>
  <c r="K37" i="199"/>
  <c r="J37" i="199"/>
  <c r="I37" i="199"/>
  <c r="H37" i="199"/>
  <c r="G37" i="199"/>
  <c r="F37" i="199"/>
  <c r="E37" i="199"/>
  <c r="P36" i="199"/>
  <c r="O36" i="199"/>
  <c r="N36" i="199"/>
  <c r="M36" i="199"/>
  <c r="L36" i="199"/>
  <c r="K36" i="199"/>
  <c r="J36" i="199"/>
  <c r="I36" i="199"/>
  <c r="H36" i="199"/>
  <c r="G36" i="199"/>
  <c r="F36" i="199"/>
  <c r="E36" i="199"/>
  <c r="N35" i="199"/>
  <c r="M35" i="199"/>
  <c r="L35" i="199"/>
  <c r="K35" i="199"/>
  <c r="I35" i="199"/>
  <c r="H35" i="199"/>
  <c r="G35" i="199"/>
  <c r="F35" i="199"/>
  <c r="E35" i="199"/>
  <c r="N34" i="199"/>
  <c r="M34" i="199"/>
  <c r="L34" i="199"/>
  <c r="I34" i="199"/>
  <c r="H34" i="199"/>
  <c r="G34" i="199"/>
  <c r="F34" i="199"/>
  <c r="E34" i="199"/>
  <c r="N33" i="199"/>
  <c r="M33" i="199"/>
  <c r="L33" i="199"/>
  <c r="I33" i="199"/>
  <c r="H33" i="199"/>
  <c r="G33" i="199"/>
  <c r="F33" i="199"/>
  <c r="E33" i="199"/>
  <c r="P32" i="199"/>
  <c r="O32" i="199"/>
  <c r="N32" i="199"/>
  <c r="M32" i="199"/>
  <c r="L32" i="199"/>
  <c r="K32" i="199"/>
  <c r="J32" i="199"/>
  <c r="I32" i="199"/>
  <c r="H32" i="199"/>
  <c r="G32" i="199"/>
  <c r="F32" i="199"/>
  <c r="E32" i="199"/>
  <c r="P31" i="199"/>
  <c r="O31" i="199"/>
  <c r="N31" i="199"/>
  <c r="M31" i="199"/>
  <c r="L31" i="199"/>
  <c r="K31" i="199"/>
  <c r="J31" i="199"/>
  <c r="I31" i="199"/>
  <c r="H31" i="199"/>
  <c r="G31" i="199"/>
  <c r="F31" i="199"/>
  <c r="P30" i="199"/>
  <c r="O30" i="199"/>
  <c r="N30" i="199"/>
  <c r="M30" i="199"/>
  <c r="L30" i="199"/>
  <c r="K30" i="199"/>
  <c r="J30" i="199"/>
  <c r="I30" i="199"/>
  <c r="H30" i="199"/>
  <c r="G30" i="199"/>
  <c r="F30" i="199"/>
  <c r="E30" i="199"/>
  <c r="P29" i="199"/>
  <c r="O29" i="199"/>
  <c r="N29" i="199"/>
  <c r="M29" i="199"/>
  <c r="L29" i="199"/>
  <c r="K29" i="199"/>
  <c r="J29" i="199"/>
  <c r="I29" i="199"/>
  <c r="H29" i="199"/>
  <c r="G29" i="199"/>
  <c r="F29" i="199"/>
  <c r="E29" i="199"/>
  <c r="P28" i="199"/>
  <c r="O28" i="199"/>
  <c r="N28" i="199"/>
  <c r="M28" i="199"/>
  <c r="L28" i="199"/>
  <c r="K28" i="199"/>
  <c r="J28" i="199"/>
  <c r="I28" i="199"/>
  <c r="H28" i="199"/>
  <c r="G28" i="199"/>
  <c r="F28" i="199"/>
  <c r="E28" i="199"/>
  <c r="P27" i="199"/>
  <c r="O27" i="199"/>
  <c r="N27" i="199"/>
  <c r="M27" i="199"/>
  <c r="L27" i="199"/>
  <c r="K27" i="199"/>
  <c r="J27" i="199"/>
  <c r="I27" i="199"/>
  <c r="H27" i="199"/>
  <c r="G27" i="199"/>
  <c r="F27" i="199"/>
  <c r="E27" i="199"/>
  <c r="P26" i="199"/>
  <c r="O26" i="199"/>
  <c r="N26" i="199"/>
  <c r="M26" i="199"/>
  <c r="L26" i="199"/>
  <c r="K26" i="199"/>
  <c r="J26" i="199"/>
  <c r="I26" i="199"/>
  <c r="H26" i="199"/>
  <c r="G26" i="199"/>
  <c r="F26" i="199"/>
  <c r="E26" i="199"/>
  <c r="P25" i="199"/>
  <c r="O25" i="199"/>
  <c r="N25" i="199"/>
  <c r="M25" i="199"/>
  <c r="L25" i="199"/>
  <c r="K25" i="199"/>
  <c r="J25" i="199"/>
  <c r="I25" i="199"/>
  <c r="H25" i="199"/>
  <c r="G25" i="199"/>
  <c r="F25" i="199"/>
  <c r="E25" i="199"/>
  <c r="P24" i="199"/>
  <c r="O24" i="199"/>
  <c r="N24" i="199"/>
  <c r="M24" i="199"/>
  <c r="L24" i="199"/>
  <c r="K24" i="199"/>
  <c r="J24" i="199"/>
  <c r="I24" i="199"/>
  <c r="H24" i="199"/>
  <c r="G24" i="199"/>
  <c r="F24" i="199"/>
  <c r="E24" i="199"/>
  <c r="P23" i="199"/>
  <c r="O23" i="199"/>
  <c r="N23" i="199"/>
  <c r="M23" i="199"/>
  <c r="L23" i="199"/>
  <c r="K23" i="199"/>
  <c r="J23" i="199"/>
  <c r="I23" i="199"/>
  <c r="H23" i="199"/>
  <c r="G23" i="199"/>
  <c r="F23" i="199"/>
  <c r="E23" i="199"/>
  <c r="P22" i="199"/>
  <c r="O22" i="199"/>
  <c r="N22" i="199"/>
  <c r="M22" i="199"/>
  <c r="L22" i="199"/>
  <c r="K22" i="199"/>
  <c r="J22" i="199"/>
  <c r="I22" i="199"/>
  <c r="H22" i="199"/>
  <c r="G22" i="199"/>
  <c r="F22" i="199"/>
  <c r="E22" i="199"/>
  <c r="P21" i="199"/>
  <c r="O21" i="199"/>
  <c r="N21" i="199"/>
  <c r="M21" i="199"/>
  <c r="L21" i="199"/>
  <c r="K21" i="199"/>
  <c r="J21" i="199"/>
  <c r="I21" i="199"/>
  <c r="H21" i="199"/>
  <c r="G21" i="199"/>
  <c r="F21" i="199"/>
  <c r="E21" i="199"/>
  <c r="P20" i="199"/>
  <c r="O20" i="199"/>
  <c r="N20" i="199"/>
  <c r="M20" i="199"/>
  <c r="L20" i="199"/>
  <c r="K20" i="199"/>
  <c r="J20" i="199"/>
  <c r="I20" i="199"/>
  <c r="H20" i="199"/>
  <c r="G20" i="199"/>
  <c r="F20" i="199"/>
  <c r="E20" i="199"/>
  <c r="P19" i="199"/>
  <c r="O19" i="199"/>
  <c r="N19" i="199"/>
  <c r="M19" i="199"/>
  <c r="L19" i="199"/>
  <c r="K19" i="199"/>
  <c r="J19" i="199"/>
  <c r="I19" i="199"/>
  <c r="H19" i="199"/>
  <c r="G19" i="199"/>
  <c r="F19" i="199"/>
  <c r="E19" i="199"/>
  <c r="P18" i="199"/>
  <c r="O18" i="199"/>
  <c r="N18" i="199"/>
  <c r="M18" i="199"/>
  <c r="L18" i="199"/>
  <c r="K18" i="199"/>
  <c r="J18" i="199"/>
  <c r="I18" i="199"/>
  <c r="H18" i="199"/>
  <c r="G18" i="199"/>
  <c r="F18" i="199"/>
  <c r="E18" i="199"/>
  <c r="P17" i="199"/>
  <c r="F17" i="199"/>
  <c r="G17" i="199"/>
  <c r="H17" i="199"/>
  <c r="I17" i="199"/>
  <c r="J17" i="199"/>
  <c r="K17" i="199"/>
  <c r="L17" i="199"/>
  <c r="M17" i="199"/>
  <c r="N17" i="199"/>
  <c r="O17" i="199"/>
  <c r="E17" i="199"/>
  <c r="P423" i="199"/>
  <c r="O423" i="199"/>
  <c r="N423" i="199"/>
  <c r="M423" i="199"/>
  <c r="L423" i="199"/>
  <c r="K423" i="199"/>
  <c r="J423" i="199"/>
  <c r="H423" i="199"/>
  <c r="G423" i="199"/>
  <c r="F423" i="199"/>
  <c r="E423" i="199"/>
  <c r="L404" i="199"/>
  <c r="L403" i="199" s="1"/>
  <c r="G395" i="199"/>
  <c r="G394" i="199" s="1"/>
  <c r="N395" i="199"/>
  <c r="N394" i="199" s="1"/>
  <c r="K395" i="199"/>
  <c r="L395" i="199"/>
  <c r="H395" i="199"/>
  <c r="H394" i="199" s="1"/>
  <c r="K394" i="199"/>
  <c r="Q391" i="199"/>
  <c r="M385" i="199"/>
  <c r="M384" i="199" s="1"/>
  <c r="I385" i="199"/>
  <c r="I384" i="199" s="1"/>
  <c r="N385" i="199"/>
  <c r="N384" i="199" s="1"/>
  <c r="G385" i="199"/>
  <c r="G384" i="199" s="1"/>
  <c r="L385" i="199"/>
  <c r="L384" i="199" s="1"/>
  <c r="H385" i="199"/>
  <c r="H384" i="199" s="1"/>
  <c r="K366" i="199"/>
  <c r="K365" i="199" s="1"/>
  <c r="L366" i="199"/>
  <c r="G366" i="199"/>
  <c r="G365" i="199" s="1"/>
  <c r="H347" i="199"/>
  <c r="H346" i="199" s="1"/>
  <c r="L347" i="199"/>
  <c r="L346" i="199" s="1"/>
  <c r="G347" i="199"/>
  <c r="G346" i="199" s="1"/>
  <c r="I338" i="199"/>
  <c r="I337" i="199" s="1"/>
  <c r="L338" i="199"/>
  <c r="F338" i="199"/>
  <c r="N338" i="199"/>
  <c r="N337" i="199" s="1"/>
  <c r="G338" i="199"/>
  <c r="G337" i="199" s="1"/>
  <c r="F337" i="199"/>
  <c r="O336" i="199"/>
  <c r="J336" i="199" s="1"/>
  <c r="E336" i="199"/>
  <c r="O334" i="199"/>
  <c r="E334" i="199"/>
  <c r="N333" i="199"/>
  <c r="M333" i="199"/>
  <c r="L333" i="199"/>
  <c r="K333" i="199"/>
  <c r="I333" i="199"/>
  <c r="H333" i="199"/>
  <c r="H332" i="199" s="1"/>
  <c r="G333" i="199"/>
  <c r="F333" i="199"/>
  <c r="N332" i="199"/>
  <c r="M332" i="199"/>
  <c r="L332" i="199"/>
  <c r="K332" i="199"/>
  <c r="I332" i="199"/>
  <c r="G332" i="199"/>
  <c r="F332" i="199"/>
  <c r="P331" i="199"/>
  <c r="O331" i="199"/>
  <c r="J331" i="199" s="1"/>
  <c r="E331" i="199"/>
  <c r="L313" i="199"/>
  <c r="G313" i="199"/>
  <c r="G312" i="199" s="1"/>
  <c r="G278" i="199"/>
  <c r="G277" i="199" s="1"/>
  <c r="O276" i="199"/>
  <c r="J276" i="199" s="1"/>
  <c r="E276" i="199"/>
  <c r="P276" i="199" s="1"/>
  <c r="P275" i="199" s="1"/>
  <c r="P274" i="199" s="1"/>
  <c r="O275" i="199"/>
  <c r="O274" i="199" s="1"/>
  <c r="N275" i="199"/>
  <c r="N274" i="199" s="1"/>
  <c r="N252" i="199" s="1"/>
  <c r="N251" i="199" s="1"/>
  <c r="M275" i="199"/>
  <c r="L275" i="199"/>
  <c r="K275" i="199"/>
  <c r="K274" i="199" s="1"/>
  <c r="J275" i="199"/>
  <c r="J274" i="199" s="1"/>
  <c r="I275" i="199"/>
  <c r="H275" i="199"/>
  <c r="G275" i="199"/>
  <c r="G274" i="199" s="1"/>
  <c r="F275" i="199"/>
  <c r="E275" i="199"/>
  <c r="M274" i="199"/>
  <c r="L274" i="199"/>
  <c r="I274" i="199"/>
  <c r="H274" i="199"/>
  <c r="F274" i="199"/>
  <c r="E274" i="199"/>
  <c r="G252" i="199"/>
  <c r="G251" i="199" s="1"/>
  <c r="M252" i="199"/>
  <c r="M251" i="199" s="1"/>
  <c r="H252" i="199"/>
  <c r="H251" i="199" s="1"/>
  <c r="O250" i="199"/>
  <c r="J250" i="199"/>
  <c r="E250" i="199"/>
  <c r="O249" i="199"/>
  <c r="N249" i="199"/>
  <c r="N248" i="199" s="1"/>
  <c r="N216" i="199" s="1"/>
  <c r="N215" i="199" s="1"/>
  <c r="M249" i="199"/>
  <c r="L249" i="199"/>
  <c r="K249" i="199"/>
  <c r="J249" i="199"/>
  <c r="J248" i="199" s="1"/>
  <c r="I249" i="199"/>
  <c r="H249" i="199"/>
  <c r="G249" i="199"/>
  <c r="F249" i="199"/>
  <c r="F248" i="199" s="1"/>
  <c r="O248" i="199"/>
  <c r="M248" i="199"/>
  <c r="L248" i="199"/>
  <c r="K248" i="199"/>
  <c r="I248" i="199"/>
  <c r="H248" i="199"/>
  <c r="G248" i="199"/>
  <c r="G216" i="199"/>
  <c r="G215" i="199" s="1"/>
  <c r="O214" i="199"/>
  <c r="J214" i="199"/>
  <c r="E214" i="199"/>
  <c r="O213" i="199"/>
  <c r="N213" i="199"/>
  <c r="N212" i="199" s="1"/>
  <c r="N194" i="199" s="1"/>
  <c r="N193" i="199" s="1"/>
  <c r="M213" i="199"/>
  <c r="L213" i="199"/>
  <c r="K213" i="199"/>
  <c r="J213" i="199"/>
  <c r="J212" i="199" s="1"/>
  <c r="I213" i="199"/>
  <c r="H213" i="199"/>
  <c r="G213" i="199"/>
  <c r="F213" i="199"/>
  <c r="F212" i="199" s="1"/>
  <c r="F194" i="199" s="1"/>
  <c r="F193" i="199" s="1"/>
  <c r="O212" i="199"/>
  <c r="M212" i="199"/>
  <c r="L212" i="199"/>
  <c r="K212" i="199"/>
  <c r="I212" i="199"/>
  <c r="H212" i="199"/>
  <c r="G212" i="199"/>
  <c r="K211" i="199"/>
  <c r="O211" i="199" s="1"/>
  <c r="J211" i="199"/>
  <c r="E211" i="199"/>
  <c r="P211" i="199" s="1"/>
  <c r="G194" i="199"/>
  <c r="G193" i="199" s="1"/>
  <c r="H194" i="199"/>
  <c r="H193" i="199" s="1"/>
  <c r="O191" i="199"/>
  <c r="J191" i="199" s="1"/>
  <c r="J190" i="199" s="1"/>
  <c r="E191" i="199"/>
  <c r="O190" i="199"/>
  <c r="N190" i="199"/>
  <c r="M190" i="199"/>
  <c r="L190" i="199"/>
  <c r="K190" i="199"/>
  <c r="I190" i="199"/>
  <c r="H190" i="199"/>
  <c r="G190" i="199"/>
  <c r="F190" i="199"/>
  <c r="O132" i="199"/>
  <c r="J132" i="199"/>
  <c r="E132" i="199"/>
  <c r="P132" i="199" s="1"/>
  <c r="O131" i="199"/>
  <c r="J131" i="199"/>
  <c r="E131" i="199"/>
  <c r="P131" i="199" s="1"/>
  <c r="G104" i="199"/>
  <c r="N104" i="199"/>
  <c r="N103" i="199" s="1"/>
  <c r="G103" i="199"/>
  <c r="O102" i="199"/>
  <c r="J102" i="199"/>
  <c r="J101" i="199" s="1"/>
  <c r="E102" i="199"/>
  <c r="E101" i="199" s="1"/>
  <c r="E100" i="199" s="1"/>
  <c r="O101" i="199"/>
  <c r="N101" i="199"/>
  <c r="M101" i="199"/>
  <c r="M100" i="199" s="1"/>
  <c r="L101" i="199"/>
  <c r="K101" i="199"/>
  <c r="I101" i="199"/>
  <c r="I100" i="199" s="1"/>
  <c r="H101" i="199"/>
  <c r="G101" i="199"/>
  <c r="G100" i="199" s="1"/>
  <c r="F101" i="199"/>
  <c r="O100" i="199"/>
  <c r="N100" i="199"/>
  <c r="L100" i="199"/>
  <c r="K100" i="199"/>
  <c r="J100" i="199"/>
  <c r="H100" i="199"/>
  <c r="F100" i="199"/>
  <c r="I46" i="199"/>
  <c r="I45" i="199" s="1"/>
  <c r="N46" i="199"/>
  <c r="N45" i="199" s="1"/>
  <c r="O44" i="199"/>
  <c r="J44" i="199" s="1"/>
  <c r="F44" i="199"/>
  <c r="E44" i="199"/>
  <c r="P44" i="199" s="1"/>
  <c r="L16" i="199"/>
  <c r="N16" i="199"/>
  <c r="H16" i="199"/>
  <c r="G16" i="199"/>
  <c r="J97" i="167"/>
  <c r="I97" i="167"/>
  <c r="L87" i="165"/>
  <c r="K96" i="165"/>
  <c r="K83" i="165"/>
  <c r="K94" i="165"/>
  <c r="G55" i="165"/>
  <c r="F55" i="165"/>
  <c r="G54" i="165"/>
  <c r="F54" i="165"/>
  <c r="G67" i="165"/>
  <c r="G61" i="165"/>
  <c r="F61" i="165"/>
  <c r="G59" i="165"/>
  <c r="F59" i="165"/>
  <c r="G52" i="165"/>
  <c r="F52" i="165"/>
  <c r="G50" i="165"/>
  <c r="F50" i="165"/>
  <c r="G307" i="165"/>
  <c r="G221" i="165"/>
  <c r="F221" i="165"/>
  <c r="G237" i="165"/>
  <c r="F237" i="165"/>
  <c r="G222" i="165"/>
  <c r="F222" i="165"/>
  <c r="G230" i="165"/>
  <c r="F205" i="165"/>
  <c r="K204" i="165"/>
  <c r="F204" i="165"/>
  <c r="F201" i="165"/>
  <c r="K112" i="165"/>
  <c r="K109" i="165"/>
  <c r="K298" i="167"/>
  <c r="G104" i="167"/>
  <c r="K106" i="165"/>
  <c r="F112" i="165"/>
  <c r="F356" i="165"/>
  <c r="G406" i="165"/>
  <c r="F406" i="165"/>
  <c r="H160" i="167"/>
  <c r="G15" i="199" l="1"/>
  <c r="H15" i="199"/>
  <c r="N15" i="199"/>
  <c r="L312" i="199"/>
  <c r="M46" i="199"/>
  <c r="M45" i="199" s="1"/>
  <c r="G134" i="199"/>
  <c r="G133" i="199" s="1"/>
  <c r="L15" i="199"/>
  <c r="M16" i="199"/>
  <c r="O404" i="199"/>
  <c r="O403" i="199" s="1"/>
  <c r="L104" i="199"/>
  <c r="L103" i="199" s="1"/>
  <c r="L134" i="199"/>
  <c r="H134" i="199"/>
  <c r="H133" i="199" s="1"/>
  <c r="L194" i="199"/>
  <c r="E338" i="199"/>
  <c r="K347" i="199"/>
  <c r="K346" i="199" s="1"/>
  <c r="L365" i="199"/>
  <c r="M134" i="199"/>
  <c r="M133" i="199" s="1"/>
  <c r="I134" i="199"/>
  <c r="I133" i="199" s="1"/>
  <c r="N134" i="199"/>
  <c r="N133" i="199" s="1"/>
  <c r="I194" i="199"/>
  <c r="I193" i="199" s="1"/>
  <c r="M216" i="199"/>
  <c r="M215" i="199" s="1"/>
  <c r="H278" i="199"/>
  <c r="H277" i="199" s="1"/>
  <c r="L278" i="199"/>
  <c r="E313" i="199"/>
  <c r="L337" i="199"/>
  <c r="I16" i="199"/>
  <c r="K46" i="199"/>
  <c r="K45" i="199" s="1"/>
  <c r="L46" i="199"/>
  <c r="P102" i="199"/>
  <c r="P101" i="199" s="1"/>
  <c r="P100" i="199" s="1"/>
  <c r="F104" i="199"/>
  <c r="F103" i="199" s="1"/>
  <c r="K104" i="199"/>
  <c r="K103" i="199" s="1"/>
  <c r="E190" i="199"/>
  <c r="P191" i="199"/>
  <c r="P190" i="199" s="1"/>
  <c r="I216" i="199"/>
  <c r="I215" i="199" s="1"/>
  <c r="H104" i="199"/>
  <c r="H103" i="199" s="1"/>
  <c r="P214" i="199"/>
  <c r="P213" i="199" s="1"/>
  <c r="P212" i="199" s="1"/>
  <c r="E213" i="199"/>
  <c r="E212" i="199" s="1"/>
  <c r="P250" i="199"/>
  <c r="P249" i="199" s="1"/>
  <c r="P248" i="199" s="1"/>
  <c r="E249" i="199"/>
  <c r="E248" i="199" s="1"/>
  <c r="N278" i="199"/>
  <c r="N277" i="199" s="1"/>
  <c r="K313" i="199"/>
  <c r="K312" i="199" s="1"/>
  <c r="M104" i="199"/>
  <c r="M103" i="199" s="1"/>
  <c r="L216" i="199"/>
  <c r="K216" i="199"/>
  <c r="K215" i="199" s="1"/>
  <c r="M313" i="199"/>
  <c r="M312" i="199" s="1"/>
  <c r="G404" i="199"/>
  <c r="G403" i="199" s="1"/>
  <c r="K194" i="199"/>
  <c r="K193" i="199" s="1"/>
  <c r="L252" i="199"/>
  <c r="K252" i="199"/>
  <c r="K251" i="199" s="1"/>
  <c r="H313" i="199"/>
  <c r="H312" i="199" s="1"/>
  <c r="J334" i="199"/>
  <c r="J333" i="199" s="1"/>
  <c r="J332" i="199" s="1"/>
  <c r="O333" i="199"/>
  <c r="O332" i="199" s="1"/>
  <c r="K338" i="199"/>
  <c r="K337" i="199" s="1"/>
  <c r="N313" i="199"/>
  <c r="N312" i="199" s="1"/>
  <c r="P336" i="199"/>
  <c r="E333" i="199"/>
  <c r="E332" i="199" s="1"/>
  <c r="F347" i="199"/>
  <c r="F346" i="199" s="1"/>
  <c r="N366" i="199"/>
  <c r="N365" i="199" s="1"/>
  <c r="L394" i="199"/>
  <c r="F313" i="199"/>
  <c r="F312" i="199" s="1"/>
  <c r="F385" i="199"/>
  <c r="F384" i="199" s="1"/>
  <c r="K385" i="199"/>
  <c r="K384" i="199" s="1"/>
  <c r="I404" i="199"/>
  <c r="I403" i="199" s="1"/>
  <c r="P334" i="199"/>
  <c r="P333" i="199" s="1"/>
  <c r="P332" i="199" s="1"/>
  <c r="H338" i="199"/>
  <c r="H337" i="199" s="1"/>
  <c r="N347" i="199"/>
  <c r="N346" i="199" s="1"/>
  <c r="I366" i="199"/>
  <c r="I365" i="199" s="1"/>
  <c r="H366" i="199"/>
  <c r="H365" i="199" s="1"/>
  <c r="K404" i="199"/>
  <c r="K403" i="199" s="1"/>
  <c r="H404" i="199"/>
  <c r="H403" i="199" s="1"/>
  <c r="Q423" i="199"/>
  <c r="F366" i="199"/>
  <c r="F365" i="199" s="1"/>
  <c r="F395" i="199"/>
  <c r="F394" i="199" s="1"/>
  <c r="J433" i="199"/>
  <c r="E385" i="199"/>
  <c r="E384" i="199" s="1"/>
  <c r="I395" i="199"/>
  <c r="I394" i="199" s="1"/>
  <c r="N404" i="199"/>
  <c r="N403" i="199" s="1"/>
  <c r="F35" i="165"/>
  <c r="G18" i="165"/>
  <c r="F18" i="165"/>
  <c r="E312" i="199" l="1"/>
  <c r="J347" i="199"/>
  <c r="J346" i="199" s="1"/>
  <c r="L277" i="199"/>
  <c r="J404" i="199"/>
  <c r="J403" i="199" s="1"/>
  <c r="O313" i="199"/>
  <c r="I15" i="199"/>
  <c r="O338" i="199"/>
  <c r="L251" i="199"/>
  <c r="M421" i="199"/>
  <c r="M432" i="199" s="1"/>
  <c r="M15" i="199"/>
  <c r="O216" i="199"/>
  <c r="O215" i="199" s="1"/>
  <c r="I104" i="199"/>
  <c r="I103" i="199" s="1"/>
  <c r="O46" i="199"/>
  <c r="O45" i="199" s="1"/>
  <c r="L193" i="199"/>
  <c r="L133" i="199"/>
  <c r="O366" i="199"/>
  <c r="J104" i="199"/>
  <c r="J103" i="199" s="1"/>
  <c r="H46" i="199"/>
  <c r="N421" i="199"/>
  <c r="N432" i="199" s="1"/>
  <c r="O385" i="199"/>
  <c r="O384" i="199" s="1"/>
  <c r="E347" i="199"/>
  <c r="L215" i="199"/>
  <c r="E194" i="199"/>
  <c r="O104" i="199"/>
  <c r="O103" i="199" s="1"/>
  <c r="O395" i="199"/>
  <c r="E395" i="199"/>
  <c r="O252" i="199"/>
  <c r="O251" i="199" s="1"/>
  <c r="E104" i="199"/>
  <c r="E103" i="199" s="1"/>
  <c r="O194" i="199"/>
  <c r="O193" i="199" s="1"/>
  <c r="L45" i="199"/>
  <c r="J46" i="199"/>
  <c r="J45" i="199" s="1"/>
  <c r="E337" i="199"/>
  <c r="P104" i="199"/>
  <c r="O347" i="199"/>
  <c r="O346" i="199" s="1"/>
  <c r="L421" i="199"/>
  <c r="L432" i="199" s="1"/>
  <c r="F178" i="165"/>
  <c r="G153" i="165"/>
  <c r="F153" i="165"/>
  <c r="H150" i="165"/>
  <c r="G150" i="165"/>
  <c r="F150" i="165"/>
  <c r="G160" i="165"/>
  <c r="G423" i="165"/>
  <c r="G136" i="165"/>
  <c r="F136" i="165"/>
  <c r="H36" i="167"/>
  <c r="E126" i="188"/>
  <c r="H106" i="184"/>
  <c r="H20" i="184"/>
  <c r="I32" i="184"/>
  <c r="K32" i="184" s="1"/>
  <c r="I31" i="184"/>
  <c r="K31" i="184" s="1"/>
  <c r="J28" i="184"/>
  <c r="I115" i="184"/>
  <c r="I114" i="184"/>
  <c r="I112" i="184"/>
  <c r="I113" i="184"/>
  <c r="P103" i="199" l="1"/>
  <c r="Q104" i="199"/>
  <c r="O312" i="199"/>
  <c r="J313" i="199"/>
  <c r="H45" i="199"/>
  <c r="O337" i="199"/>
  <c r="J338" i="199"/>
  <c r="J385" i="199"/>
  <c r="J384" i="199" s="1"/>
  <c r="P385" i="199"/>
  <c r="O365" i="199"/>
  <c r="J366" i="199"/>
  <c r="J365" i="199" s="1"/>
  <c r="E366" i="199"/>
  <c r="J252" i="199"/>
  <c r="E193" i="199"/>
  <c r="E394" i="199"/>
  <c r="O394" i="199"/>
  <c r="J395" i="199"/>
  <c r="J394" i="199" s="1"/>
  <c r="J216" i="199"/>
  <c r="J215" i="199" s="1"/>
  <c r="E346" i="199"/>
  <c r="P347" i="199"/>
  <c r="J194" i="199"/>
  <c r="J193" i="199" s="1"/>
  <c r="I421" i="199"/>
  <c r="I432" i="199" s="1"/>
  <c r="K115" i="184"/>
  <c r="K114" i="184"/>
  <c r="K113" i="184"/>
  <c r="K112" i="184"/>
  <c r="L423" i="165"/>
  <c r="J56" i="184"/>
  <c r="J64" i="184"/>
  <c r="J260" i="167"/>
  <c r="I260" i="167"/>
  <c r="H250" i="167"/>
  <c r="H148" i="167"/>
  <c r="P423" i="198"/>
  <c r="O423" i="198"/>
  <c r="N423" i="198"/>
  <c r="M423" i="198"/>
  <c r="L423" i="198"/>
  <c r="K423" i="198"/>
  <c r="J423" i="198"/>
  <c r="H423" i="198"/>
  <c r="G423" i="198"/>
  <c r="F423" i="198"/>
  <c r="E423" i="198"/>
  <c r="O420" i="198"/>
  <c r="J420" i="198"/>
  <c r="E420" i="198"/>
  <c r="O419" i="198"/>
  <c r="N419" i="198"/>
  <c r="N418" i="198" s="1"/>
  <c r="M419" i="198"/>
  <c r="L419" i="198"/>
  <c r="K419" i="198"/>
  <c r="J419" i="198"/>
  <c r="J418" i="198" s="1"/>
  <c r="I419" i="198"/>
  <c r="H419" i="198"/>
  <c r="G419" i="198"/>
  <c r="F419" i="198"/>
  <c r="F418" i="198" s="1"/>
  <c r="E419" i="198"/>
  <c r="O418" i="198"/>
  <c r="M418" i="198"/>
  <c r="L418" i="198"/>
  <c r="K418" i="198"/>
  <c r="I418" i="198"/>
  <c r="H418" i="198"/>
  <c r="G418" i="198"/>
  <c r="E418" i="198"/>
  <c r="O417" i="198"/>
  <c r="J417" i="198"/>
  <c r="P417" i="198" s="1"/>
  <c r="P416" i="198" s="1"/>
  <c r="P415" i="198" s="1"/>
  <c r="F417" i="198"/>
  <c r="E417" i="198" s="1"/>
  <c r="E416" i="198" s="1"/>
  <c r="E415" i="198" s="1"/>
  <c r="O416" i="198"/>
  <c r="O415" i="198" s="1"/>
  <c r="N416" i="198"/>
  <c r="N415" i="198" s="1"/>
  <c r="M416" i="198"/>
  <c r="L416" i="198"/>
  <c r="K416" i="198"/>
  <c r="K415" i="198" s="1"/>
  <c r="J416" i="198"/>
  <c r="J415" i="198" s="1"/>
  <c r="I416" i="198"/>
  <c r="H416" i="198"/>
  <c r="G416" i="198"/>
  <c r="G415" i="198" s="1"/>
  <c r="F416" i="198"/>
  <c r="F415" i="198" s="1"/>
  <c r="M415" i="198"/>
  <c r="L415" i="198"/>
  <c r="I415" i="198"/>
  <c r="H415" i="198"/>
  <c r="O414" i="198"/>
  <c r="F414" i="198"/>
  <c r="N413" i="198"/>
  <c r="N411" i="198" s="1"/>
  <c r="M413" i="198"/>
  <c r="L413" i="198"/>
  <c r="K413" i="198"/>
  <c r="K411" i="198" s="1"/>
  <c r="K404" i="198" s="1"/>
  <c r="K403" i="198" s="1"/>
  <c r="I413" i="198"/>
  <c r="H413" i="198"/>
  <c r="G413" i="198"/>
  <c r="F413" i="198"/>
  <c r="O412" i="198"/>
  <c r="F412" i="198"/>
  <c r="E412" i="198"/>
  <c r="M411" i="198"/>
  <c r="L411" i="198"/>
  <c r="I411" i="198"/>
  <c r="H411" i="198"/>
  <c r="O410" i="198"/>
  <c r="J410" i="198" s="1"/>
  <c r="J409" i="198" s="1"/>
  <c r="J408" i="198" s="1"/>
  <c r="E410" i="198"/>
  <c r="O409" i="198"/>
  <c r="N409" i="198"/>
  <c r="M409" i="198"/>
  <c r="L409" i="198"/>
  <c r="K409" i="198"/>
  <c r="I409" i="198"/>
  <c r="I408" i="198" s="1"/>
  <c r="H409" i="198"/>
  <c r="G409" i="198"/>
  <c r="F409" i="198"/>
  <c r="E409" i="198"/>
  <c r="E408" i="198" s="1"/>
  <c r="O408" i="198"/>
  <c r="N408" i="198"/>
  <c r="M408" i="198"/>
  <c r="L408" i="198"/>
  <c r="L404" i="198" s="1"/>
  <c r="K408" i="198"/>
  <c r="H408" i="198"/>
  <c r="G408" i="198"/>
  <c r="F408" i="198"/>
  <c r="O407" i="198"/>
  <c r="J407" i="198" s="1"/>
  <c r="E407" i="198"/>
  <c r="O406" i="198"/>
  <c r="J406" i="198" s="1"/>
  <c r="H406" i="198"/>
  <c r="H405" i="198" s="1"/>
  <c r="F406" i="198"/>
  <c r="E406" i="198" s="1"/>
  <c r="E405" i="198" s="1"/>
  <c r="O405" i="198"/>
  <c r="N405" i="198"/>
  <c r="M405" i="198"/>
  <c r="L405" i="198"/>
  <c r="K405" i="198"/>
  <c r="I405" i="198"/>
  <c r="G405" i="198"/>
  <c r="F405" i="198"/>
  <c r="H404" i="198"/>
  <c r="H403" i="198" s="1"/>
  <c r="L403" i="198"/>
  <c r="O402" i="198"/>
  <c r="K402" i="198"/>
  <c r="E402" i="198"/>
  <c r="N401" i="198"/>
  <c r="M401" i="198"/>
  <c r="L401" i="198"/>
  <c r="L398" i="198" s="1"/>
  <c r="K401" i="198"/>
  <c r="I401" i="198"/>
  <c r="I398" i="198" s="1"/>
  <c r="I395" i="198" s="1"/>
  <c r="I394" i="198" s="1"/>
  <c r="H401" i="198"/>
  <c r="H398" i="198" s="1"/>
  <c r="G401" i="198"/>
  <c r="F401" i="198"/>
  <c r="E401" i="198"/>
  <c r="O400" i="198"/>
  <c r="O399" i="198" s="1"/>
  <c r="K400" i="198"/>
  <c r="J400" i="198"/>
  <c r="J399" i="198" s="1"/>
  <c r="E400" i="198"/>
  <c r="N399" i="198"/>
  <c r="M399" i="198"/>
  <c r="M398" i="198" s="1"/>
  <c r="L399" i="198"/>
  <c r="K399" i="198"/>
  <c r="I399" i="198"/>
  <c r="H399" i="198"/>
  <c r="G399" i="198"/>
  <c r="F399" i="198"/>
  <c r="E399" i="198"/>
  <c r="N398" i="198"/>
  <c r="K398" i="198"/>
  <c r="G398" i="198"/>
  <c r="F398" i="198"/>
  <c r="E398" i="198"/>
  <c r="K397" i="198"/>
  <c r="H397" i="198"/>
  <c r="F397" i="198"/>
  <c r="E397" i="198"/>
  <c r="N396" i="198"/>
  <c r="M396" i="198"/>
  <c r="L396" i="198"/>
  <c r="L395" i="198" s="1"/>
  <c r="I396" i="198"/>
  <c r="H396" i="198"/>
  <c r="H395" i="198" s="1"/>
  <c r="H394" i="198" s="1"/>
  <c r="G396" i="198"/>
  <c r="F396" i="198"/>
  <c r="N395" i="198"/>
  <c r="N394" i="198" s="1"/>
  <c r="M395" i="198"/>
  <c r="G395" i="198"/>
  <c r="F395" i="198"/>
  <c r="F394" i="198" s="1"/>
  <c r="M394" i="198"/>
  <c r="G394" i="198"/>
  <c r="K393" i="198"/>
  <c r="O393" i="198" s="1"/>
  <c r="J393" i="198" s="1"/>
  <c r="J392" i="198" s="1"/>
  <c r="F393" i="198"/>
  <c r="E393" i="198"/>
  <c r="P393" i="198" s="1"/>
  <c r="P392" i="198" s="1"/>
  <c r="O392" i="198"/>
  <c r="N392" i="198"/>
  <c r="M392" i="198"/>
  <c r="L392" i="198"/>
  <c r="K392" i="198"/>
  <c r="I392" i="198"/>
  <c r="H392" i="198"/>
  <c r="G392" i="198"/>
  <c r="F392" i="198"/>
  <c r="E392" i="198"/>
  <c r="O391" i="198"/>
  <c r="L391" i="198"/>
  <c r="J391" i="198"/>
  <c r="Q391" i="198" s="1"/>
  <c r="O390" i="198"/>
  <c r="N390" i="198"/>
  <c r="M390" i="198"/>
  <c r="L390" i="198"/>
  <c r="K390" i="198"/>
  <c r="I390" i="198"/>
  <c r="I389" i="198" s="1"/>
  <c r="H390" i="198"/>
  <c r="H389" i="198" s="1"/>
  <c r="G390" i="198"/>
  <c r="F390" i="198"/>
  <c r="E390" i="198"/>
  <c r="E389" i="198" s="1"/>
  <c r="O389" i="198"/>
  <c r="N389" i="198"/>
  <c r="M389" i="198"/>
  <c r="L389" i="198"/>
  <c r="L385" i="198" s="1"/>
  <c r="L384" i="198" s="1"/>
  <c r="K389" i="198"/>
  <c r="G389" i="198"/>
  <c r="F389" i="198"/>
  <c r="P388" i="198"/>
  <c r="O388" i="198"/>
  <c r="J388" i="198"/>
  <c r="E388" i="198"/>
  <c r="O387" i="198"/>
  <c r="J387" i="198"/>
  <c r="H387" i="198"/>
  <c r="H386" i="198" s="1"/>
  <c r="E387" i="198"/>
  <c r="E386" i="198" s="1"/>
  <c r="O386" i="198"/>
  <c r="N386" i="198"/>
  <c r="M386" i="198"/>
  <c r="L386" i="198"/>
  <c r="K386" i="198"/>
  <c r="J386" i="198"/>
  <c r="I386" i="198"/>
  <c r="G386" i="198"/>
  <c r="F386" i="198"/>
  <c r="O385" i="198"/>
  <c r="N385" i="198"/>
  <c r="N384" i="198" s="1"/>
  <c r="K385" i="198"/>
  <c r="K384" i="198" s="1"/>
  <c r="G385" i="198"/>
  <c r="F385" i="198"/>
  <c r="F384" i="198" s="1"/>
  <c r="O384" i="198"/>
  <c r="G384" i="198"/>
  <c r="O383" i="198"/>
  <c r="J383" i="198"/>
  <c r="E383" i="198"/>
  <c r="O382" i="198"/>
  <c r="N382" i="198"/>
  <c r="M382" i="198"/>
  <c r="L382" i="198"/>
  <c r="K382" i="198"/>
  <c r="I382" i="198"/>
  <c r="H382" i="198"/>
  <c r="G382" i="198"/>
  <c r="F382" i="198"/>
  <c r="E382" i="198"/>
  <c r="O381" i="198"/>
  <c r="N381" i="198"/>
  <c r="M381" i="198"/>
  <c r="L381" i="198"/>
  <c r="K381" i="198"/>
  <c r="I381" i="198"/>
  <c r="H381" i="198"/>
  <c r="G381" i="198"/>
  <c r="G366" i="198" s="1"/>
  <c r="G365" i="198" s="1"/>
  <c r="F381" i="198"/>
  <c r="E381" i="198"/>
  <c r="O380" i="198"/>
  <c r="J380" i="198"/>
  <c r="J379" i="198" s="1"/>
  <c r="J378" i="198" s="1"/>
  <c r="F380" i="198"/>
  <c r="E380" i="198"/>
  <c r="O379" i="198"/>
  <c r="O378" i="198" s="1"/>
  <c r="N379" i="198"/>
  <c r="M379" i="198"/>
  <c r="L379" i="198"/>
  <c r="L378" i="198" s="1"/>
  <c r="K379" i="198"/>
  <c r="I379" i="198"/>
  <c r="H379" i="198"/>
  <c r="G379" i="198"/>
  <c r="G378" i="198" s="1"/>
  <c r="F379" i="198"/>
  <c r="E379" i="198"/>
  <c r="N378" i="198"/>
  <c r="M378" i="198"/>
  <c r="K378" i="198"/>
  <c r="I378" i="198"/>
  <c r="H378" i="198"/>
  <c r="F378" i="198"/>
  <c r="E378" i="198"/>
  <c r="O377" i="198"/>
  <c r="K377" i="198"/>
  <c r="F377" i="198"/>
  <c r="N376" i="198"/>
  <c r="N372" i="198" s="1"/>
  <c r="N369" i="198" s="1"/>
  <c r="M376" i="198"/>
  <c r="L376" i="198"/>
  <c r="K376" i="198"/>
  <c r="K372" i="198" s="1"/>
  <c r="K369" i="198" s="1"/>
  <c r="I376" i="198"/>
  <c r="I372" i="198" s="1"/>
  <c r="H376" i="198"/>
  <c r="G376" i="198"/>
  <c r="G372" i="198" s="1"/>
  <c r="G369" i="198" s="1"/>
  <c r="O375" i="198"/>
  <c r="J375" i="198"/>
  <c r="F375" i="198"/>
  <c r="E375" i="198" s="1"/>
  <c r="O374" i="198"/>
  <c r="J374" i="198" s="1"/>
  <c r="F374" i="198"/>
  <c r="E374" i="198"/>
  <c r="P373" i="198"/>
  <c r="O373" i="198"/>
  <c r="J373" i="198" s="1"/>
  <c r="F373" i="198"/>
  <c r="E373" i="198"/>
  <c r="M372" i="198"/>
  <c r="M369" i="198" s="1"/>
  <c r="M366" i="198" s="1"/>
  <c r="M365" i="198" s="1"/>
  <c r="L372" i="198"/>
  <c r="H372" i="198"/>
  <c r="H369" i="198" s="1"/>
  <c r="H366" i="198" s="1"/>
  <c r="H365" i="198" s="1"/>
  <c r="O371" i="198"/>
  <c r="J371" i="198"/>
  <c r="E371" i="198"/>
  <c r="P371" i="198" s="1"/>
  <c r="P370" i="198" s="1"/>
  <c r="O370" i="198"/>
  <c r="N370" i="198"/>
  <c r="M370" i="198"/>
  <c r="L370" i="198"/>
  <c r="K370" i="198"/>
  <c r="J370" i="198"/>
  <c r="I370" i="198"/>
  <c r="H370" i="198"/>
  <c r="G370" i="198"/>
  <c r="F370" i="198"/>
  <c r="E370" i="198"/>
  <c r="L369" i="198"/>
  <c r="L366" i="198" s="1"/>
  <c r="I369" i="198"/>
  <c r="I366" i="198" s="1"/>
  <c r="I365" i="198" s="1"/>
  <c r="O368" i="198"/>
  <c r="J368" i="198"/>
  <c r="F368" i="198"/>
  <c r="E368" i="198"/>
  <c r="E367" i="198" s="1"/>
  <c r="O367" i="198"/>
  <c r="N367" i="198"/>
  <c r="M367" i="198"/>
  <c r="L367" i="198"/>
  <c r="K367" i="198"/>
  <c r="J367" i="198"/>
  <c r="I367" i="198"/>
  <c r="H367" i="198"/>
  <c r="G367" i="198"/>
  <c r="F367" i="198"/>
  <c r="N366" i="198"/>
  <c r="N365" i="198" s="1"/>
  <c r="O364" i="198"/>
  <c r="O363" i="198" s="1"/>
  <c r="E364" i="198"/>
  <c r="N363" i="198"/>
  <c r="M363" i="198"/>
  <c r="L363" i="198"/>
  <c r="K363" i="198"/>
  <c r="I363" i="198"/>
  <c r="H363" i="198"/>
  <c r="G363" i="198"/>
  <c r="F363" i="198"/>
  <c r="E363" i="198"/>
  <c r="O362" i="198"/>
  <c r="J362" i="198" s="1"/>
  <c r="J361" i="198" s="1"/>
  <c r="J360" i="198" s="1"/>
  <c r="F362" i="198"/>
  <c r="E362" i="198"/>
  <c r="P362" i="198" s="1"/>
  <c r="P361" i="198" s="1"/>
  <c r="O361" i="198"/>
  <c r="N361" i="198"/>
  <c r="M361" i="198"/>
  <c r="L361" i="198"/>
  <c r="K361" i="198"/>
  <c r="I361" i="198"/>
  <c r="H361" i="198"/>
  <c r="H360" i="198" s="1"/>
  <c r="G361" i="198"/>
  <c r="F361" i="198"/>
  <c r="E361" i="198"/>
  <c r="P360" i="198"/>
  <c r="O360" i="198"/>
  <c r="N360" i="198"/>
  <c r="M360" i="198"/>
  <c r="L360" i="198"/>
  <c r="K360" i="198"/>
  <c r="I360" i="198"/>
  <c r="G360" i="198"/>
  <c r="F360" i="198"/>
  <c r="E360" i="198"/>
  <c r="O359" i="198"/>
  <c r="K359" i="198"/>
  <c r="E359" i="198"/>
  <c r="N358" i="198"/>
  <c r="M358" i="198"/>
  <c r="L358" i="198"/>
  <c r="L351" i="198" s="1"/>
  <c r="K358" i="198"/>
  <c r="I358" i="198"/>
  <c r="H358" i="198"/>
  <c r="H351" i="198" s="1"/>
  <c r="G358" i="198"/>
  <c r="F358" i="198"/>
  <c r="E358" i="198"/>
  <c r="O357" i="198"/>
  <c r="J357" i="198"/>
  <c r="E357" i="198"/>
  <c r="P357" i="198" s="1"/>
  <c r="O356" i="198"/>
  <c r="J356" i="198"/>
  <c r="J355" i="198" s="1"/>
  <c r="J352" i="198" s="1"/>
  <c r="F356" i="198"/>
  <c r="E356" i="198" s="1"/>
  <c r="O355" i="198"/>
  <c r="N355" i="198"/>
  <c r="M355" i="198"/>
  <c r="M352" i="198" s="1"/>
  <c r="L355" i="198"/>
  <c r="K355" i="198"/>
  <c r="I355" i="198"/>
  <c r="I352" i="198" s="1"/>
  <c r="I351" i="198" s="1"/>
  <c r="I347" i="198" s="1"/>
  <c r="I346" i="198" s="1"/>
  <c r="H355" i="198"/>
  <c r="G355" i="198"/>
  <c r="F355" i="198"/>
  <c r="F352" i="198" s="1"/>
  <c r="F351" i="198" s="1"/>
  <c r="E355" i="198"/>
  <c r="O354" i="198"/>
  <c r="J354" i="198"/>
  <c r="E354" i="198"/>
  <c r="O353" i="198"/>
  <c r="O352" i="198" s="1"/>
  <c r="N353" i="198"/>
  <c r="M353" i="198"/>
  <c r="L353" i="198"/>
  <c r="K353" i="198"/>
  <c r="K352" i="198" s="1"/>
  <c r="K351" i="198" s="1"/>
  <c r="J353" i="198"/>
  <c r="I353" i="198"/>
  <c r="H353" i="198"/>
  <c r="G353" i="198"/>
  <c r="F353" i="198"/>
  <c r="N352" i="198"/>
  <c r="N351" i="198" s="1"/>
  <c r="N347" i="198" s="1"/>
  <c r="N346" i="198" s="1"/>
  <c r="L352" i="198"/>
  <c r="H352" i="198"/>
  <c r="G352" i="198"/>
  <c r="G351" i="198" s="1"/>
  <c r="G347" i="198" s="1"/>
  <c r="G346" i="198" s="1"/>
  <c r="M351" i="198"/>
  <c r="O350" i="198"/>
  <c r="J350" i="198"/>
  <c r="P350" i="198" s="1"/>
  <c r="E350" i="198"/>
  <c r="K349" i="198"/>
  <c r="H349" i="198"/>
  <c r="F349" i="198"/>
  <c r="E349" i="198"/>
  <c r="E348" i="198" s="1"/>
  <c r="N348" i="198"/>
  <c r="M348" i="198"/>
  <c r="L348" i="198"/>
  <c r="I348" i="198"/>
  <c r="H348" i="198"/>
  <c r="G348" i="198"/>
  <c r="F348" i="198"/>
  <c r="F347" i="198"/>
  <c r="F346" i="198" s="1"/>
  <c r="K345" i="198"/>
  <c r="E345" i="198"/>
  <c r="N344" i="198"/>
  <c r="M344" i="198"/>
  <c r="L344" i="198"/>
  <c r="I344" i="198"/>
  <c r="H344" i="198"/>
  <c r="G344" i="198"/>
  <c r="G343" i="198" s="1"/>
  <c r="F344" i="198"/>
  <c r="E344" i="198"/>
  <c r="N343" i="198"/>
  <c r="M343" i="198"/>
  <c r="L343" i="198"/>
  <c r="I343" i="198"/>
  <c r="H343" i="198"/>
  <c r="F343" i="198"/>
  <c r="E343" i="198"/>
  <c r="O342" i="198"/>
  <c r="J342" i="198" s="1"/>
  <c r="F342" i="198"/>
  <c r="E342" i="198" s="1"/>
  <c r="P341" i="198"/>
  <c r="O341" i="198"/>
  <c r="J341" i="198" s="1"/>
  <c r="E341" i="198"/>
  <c r="O340" i="198"/>
  <c r="J340" i="198" s="1"/>
  <c r="K340" i="198"/>
  <c r="H340" i="198"/>
  <c r="H339" i="198" s="1"/>
  <c r="F340" i="198"/>
  <c r="E340" i="198" s="1"/>
  <c r="E339" i="198" s="1"/>
  <c r="E338" i="198" s="1"/>
  <c r="O339" i="198"/>
  <c r="N339" i="198"/>
  <c r="M339" i="198"/>
  <c r="L339" i="198"/>
  <c r="K339" i="198"/>
  <c r="I339" i="198"/>
  <c r="G339" i="198"/>
  <c r="G338" i="198" s="1"/>
  <c r="F339" i="198"/>
  <c r="M338" i="198"/>
  <c r="L338" i="198"/>
  <c r="I338" i="198"/>
  <c r="H338" i="198"/>
  <c r="M337" i="198"/>
  <c r="L337" i="198"/>
  <c r="I337" i="198"/>
  <c r="H337" i="198"/>
  <c r="G337" i="198"/>
  <c r="P336" i="198"/>
  <c r="O336" i="198"/>
  <c r="J336" i="198" s="1"/>
  <c r="E336" i="198"/>
  <c r="P334" i="198"/>
  <c r="P333" i="198" s="1"/>
  <c r="P332" i="198" s="1"/>
  <c r="O334" i="198"/>
  <c r="J334" i="198" s="1"/>
  <c r="J333" i="198" s="1"/>
  <c r="J332" i="198" s="1"/>
  <c r="E334" i="198"/>
  <c r="O333" i="198"/>
  <c r="O332" i="198" s="1"/>
  <c r="N333" i="198"/>
  <c r="M333" i="198"/>
  <c r="L333" i="198"/>
  <c r="L332" i="198" s="1"/>
  <c r="K333" i="198"/>
  <c r="I333" i="198"/>
  <c r="H333" i="198"/>
  <c r="G333" i="198"/>
  <c r="G332" i="198" s="1"/>
  <c r="F333" i="198"/>
  <c r="E333" i="198"/>
  <c r="N332" i="198"/>
  <c r="M332" i="198"/>
  <c r="K332" i="198"/>
  <c r="I332" i="198"/>
  <c r="H332" i="198"/>
  <c r="H323" i="198" s="1"/>
  <c r="F332" i="198"/>
  <c r="E332" i="198"/>
  <c r="P331" i="198"/>
  <c r="O331" i="198"/>
  <c r="J331" i="198" s="1"/>
  <c r="E331" i="198"/>
  <c r="O330" i="198"/>
  <c r="J330" i="198" s="1"/>
  <c r="K330" i="198"/>
  <c r="E330" i="198"/>
  <c r="P330" i="198" s="1"/>
  <c r="P329" i="198"/>
  <c r="O329" i="198"/>
  <c r="J329" i="198" s="1"/>
  <c r="E329" i="198"/>
  <c r="O328" i="198"/>
  <c r="K328" i="198"/>
  <c r="J328" i="198"/>
  <c r="E328" i="198"/>
  <c r="E326" i="198" s="1"/>
  <c r="E324" i="198" s="1"/>
  <c r="E323" i="198" s="1"/>
  <c r="K327" i="198"/>
  <c r="E327" i="198"/>
  <c r="N326" i="198"/>
  <c r="N324" i="198" s="1"/>
  <c r="N323" i="198" s="1"/>
  <c r="M326" i="198"/>
  <c r="L326" i="198"/>
  <c r="I326" i="198"/>
  <c r="H326" i="198"/>
  <c r="G326" i="198"/>
  <c r="G324" i="198" s="1"/>
  <c r="F326" i="198"/>
  <c r="F324" i="198" s="1"/>
  <c r="F323" i="198" s="1"/>
  <c r="O325" i="198"/>
  <c r="J325" i="198" s="1"/>
  <c r="K325" i="198"/>
  <c r="E325" i="198"/>
  <c r="P325" i="198" s="1"/>
  <c r="M324" i="198"/>
  <c r="L324" i="198"/>
  <c r="I324" i="198"/>
  <c r="H324" i="198"/>
  <c r="M323" i="198"/>
  <c r="L323" i="198"/>
  <c r="I323" i="198"/>
  <c r="G323" i="198"/>
  <c r="O322" i="198"/>
  <c r="K322" i="198"/>
  <c r="E322" i="198"/>
  <c r="E321" i="198" s="1"/>
  <c r="N321" i="198"/>
  <c r="M321" i="198"/>
  <c r="L321" i="198"/>
  <c r="L320" i="198" s="1"/>
  <c r="L313" i="198" s="1"/>
  <c r="K321" i="198"/>
  <c r="I321" i="198"/>
  <c r="H321" i="198"/>
  <c r="G321" i="198"/>
  <c r="F321" i="198"/>
  <c r="N320" i="198"/>
  <c r="M320" i="198"/>
  <c r="K320" i="198"/>
  <c r="I320" i="198"/>
  <c r="H320" i="198"/>
  <c r="G320" i="198"/>
  <c r="F320" i="198"/>
  <c r="E320" i="198"/>
  <c r="O319" i="198"/>
  <c r="O318" i="198" s="1"/>
  <c r="K319" i="198"/>
  <c r="J319" i="198"/>
  <c r="J318" i="198" s="1"/>
  <c r="E319" i="198"/>
  <c r="P319" i="198" s="1"/>
  <c r="P318" i="198" s="1"/>
  <c r="N318" i="198"/>
  <c r="M318" i="198"/>
  <c r="L318" i="198"/>
  <c r="K318" i="198"/>
  <c r="I318" i="198"/>
  <c r="H318" i="198"/>
  <c r="G318" i="198"/>
  <c r="F318" i="198"/>
  <c r="E318" i="198"/>
  <c r="O317" i="198"/>
  <c r="J317" i="198"/>
  <c r="E317" i="198"/>
  <c r="O316" i="198"/>
  <c r="J316" i="198"/>
  <c r="P316" i="198" s="1"/>
  <c r="E316" i="198"/>
  <c r="O315" i="198"/>
  <c r="J315" i="198"/>
  <c r="H315" i="198"/>
  <c r="H314" i="198" s="1"/>
  <c r="E315" i="198"/>
  <c r="O314" i="198"/>
  <c r="N314" i="198"/>
  <c r="M314" i="198"/>
  <c r="M313" i="198" s="1"/>
  <c r="M312" i="198" s="1"/>
  <c r="L314" i="198"/>
  <c r="K314" i="198"/>
  <c r="J314" i="198"/>
  <c r="I314" i="198"/>
  <c r="G314" i="198"/>
  <c r="F314" i="198"/>
  <c r="H313" i="198"/>
  <c r="H312" i="198" s="1"/>
  <c r="G313" i="198"/>
  <c r="G312" i="198" s="1"/>
  <c r="O311" i="198"/>
  <c r="J311" i="198" s="1"/>
  <c r="J310" i="198" s="1"/>
  <c r="J309" i="198" s="1"/>
  <c r="E311" i="198"/>
  <c r="N310" i="198"/>
  <c r="M310" i="198"/>
  <c r="L310" i="198"/>
  <c r="L309" i="198" s="1"/>
  <c r="K310" i="198"/>
  <c r="K309" i="198" s="1"/>
  <c r="I310" i="198"/>
  <c r="H310" i="198"/>
  <c r="G310" i="198"/>
  <c r="G309" i="198" s="1"/>
  <c r="F310" i="198"/>
  <c r="E310" i="198"/>
  <c r="N309" i="198"/>
  <c r="M309" i="198"/>
  <c r="I309" i="198"/>
  <c r="H309" i="198"/>
  <c r="F309" i="198"/>
  <c r="E309" i="198"/>
  <c r="O308" i="198"/>
  <c r="J308" i="198" s="1"/>
  <c r="H308" i="198"/>
  <c r="G308" i="198"/>
  <c r="G305" i="198" s="1"/>
  <c r="G304" i="198" s="1"/>
  <c r="F308" i="198"/>
  <c r="E308" i="198" s="1"/>
  <c r="P308" i="198" s="1"/>
  <c r="O307" i="198"/>
  <c r="J307" i="198"/>
  <c r="H307" i="198"/>
  <c r="E307" i="198"/>
  <c r="P307" i="198" s="1"/>
  <c r="O306" i="198"/>
  <c r="K306" i="198"/>
  <c r="K305" i="198" s="1"/>
  <c r="K304" i="198" s="1"/>
  <c r="F306" i="198"/>
  <c r="E306" i="198" s="1"/>
  <c r="N305" i="198"/>
  <c r="M305" i="198"/>
  <c r="M304" i="198" s="1"/>
  <c r="L305" i="198"/>
  <c r="I305" i="198"/>
  <c r="H305" i="198"/>
  <c r="F305" i="198"/>
  <c r="F304" i="198" s="1"/>
  <c r="N304" i="198"/>
  <c r="L304" i="198"/>
  <c r="I304" i="198"/>
  <c r="H304" i="198"/>
  <c r="O303" i="198"/>
  <c r="J303" i="198"/>
  <c r="E303" i="198"/>
  <c r="L301" i="198"/>
  <c r="J301" i="198"/>
  <c r="O300" i="198"/>
  <c r="N300" i="198"/>
  <c r="M300" i="198"/>
  <c r="L300" i="198"/>
  <c r="L297" i="198" s="1"/>
  <c r="K300" i="198"/>
  <c r="I300" i="198"/>
  <c r="H300" i="198"/>
  <c r="H297" i="198" s="1"/>
  <c r="G300" i="198"/>
  <c r="F300" i="198"/>
  <c r="O299" i="198"/>
  <c r="K299" i="198"/>
  <c r="J299" i="198"/>
  <c r="E299" i="198"/>
  <c r="P299" i="198" s="1"/>
  <c r="O298" i="198"/>
  <c r="J298" i="198"/>
  <c r="E298" i="198"/>
  <c r="O297" i="198"/>
  <c r="N297" i="198"/>
  <c r="N291" i="198" s="1"/>
  <c r="M297" i="198"/>
  <c r="K297" i="198"/>
  <c r="I297" i="198"/>
  <c r="I291" i="198" s="1"/>
  <c r="I278" i="198" s="1"/>
  <c r="I277" i="198" s="1"/>
  <c r="G297" i="198"/>
  <c r="F297" i="198"/>
  <c r="F291" i="198" s="1"/>
  <c r="K296" i="198"/>
  <c r="O296" i="198" s="1"/>
  <c r="J296" i="198"/>
  <c r="F296" i="198"/>
  <c r="E296" i="198"/>
  <c r="O295" i="198"/>
  <c r="O294" i="198" s="1"/>
  <c r="N295" i="198"/>
  <c r="M295" i="198"/>
  <c r="L295" i="198"/>
  <c r="L294" i="198" s="1"/>
  <c r="K295" i="198"/>
  <c r="K294" i="198" s="1"/>
  <c r="K291" i="198" s="1"/>
  <c r="I295" i="198"/>
  <c r="H295" i="198"/>
  <c r="H294" i="198" s="1"/>
  <c r="G295" i="198"/>
  <c r="G294" i="198" s="1"/>
  <c r="G291" i="198" s="1"/>
  <c r="F295" i="198"/>
  <c r="E295" i="198"/>
  <c r="N294" i="198"/>
  <c r="M294" i="198"/>
  <c r="I294" i="198"/>
  <c r="F294" i="198"/>
  <c r="E294" i="198"/>
  <c r="O293" i="198"/>
  <c r="K293" i="198"/>
  <c r="E293" i="198"/>
  <c r="N292" i="198"/>
  <c r="M292" i="198"/>
  <c r="L292" i="198"/>
  <c r="K292" i="198"/>
  <c r="I292" i="198"/>
  <c r="H292" i="198"/>
  <c r="H291" i="198" s="1"/>
  <c r="G292" i="198"/>
  <c r="F292" i="198"/>
  <c r="M291" i="198"/>
  <c r="O290" i="198"/>
  <c r="J290" i="198"/>
  <c r="E290" i="198"/>
  <c r="P290" i="198" s="1"/>
  <c r="K289" i="198"/>
  <c r="O289" i="198" s="1"/>
  <c r="J289" i="198"/>
  <c r="F289" i="198"/>
  <c r="E289" i="198" s="1"/>
  <c r="O288" i="198"/>
  <c r="J288" i="198"/>
  <c r="F288" i="198"/>
  <c r="E288" i="198"/>
  <c r="P288" i="198" s="1"/>
  <c r="O287" i="198"/>
  <c r="J287" i="198" s="1"/>
  <c r="F287" i="198"/>
  <c r="E287" i="198"/>
  <c r="K286" i="198"/>
  <c r="O286" i="198" s="1"/>
  <c r="J286" i="198"/>
  <c r="F286" i="198"/>
  <c r="O285" i="198"/>
  <c r="J285" i="198"/>
  <c r="F285" i="198"/>
  <c r="E285" i="198"/>
  <c r="O284" i="198"/>
  <c r="N284" i="198"/>
  <c r="M284" i="198"/>
  <c r="L284" i="198"/>
  <c r="K284" i="198"/>
  <c r="I284" i="198"/>
  <c r="H284" i="198"/>
  <c r="H283" i="198" s="1"/>
  <c r="G284" i="198"/>
  <c r="O283" i="198"/>
  <c r="N283" i="198"/>
  <c r="M283" i="198"/>
  <c r="L283" i="198"/>
  <c r="K283" i="198"/>
  <c r="I283" i="198"/>
  <c r="G283" i="198"/>
  <c r="O282" i="198"/>
  <c r="J282" i="198" s="1"/>
  <c r="J279" i="198" s="1"/>
  <c r="F282" i="198"/>
  <c r="E282" i="198"/>
  <c r="P281" i="198"/>
  <c r="O281" i="198"/>
  <c r="J281" i="198"/>
  <c r="E281" i="198"/>
  <c r="O280" i="198"/>
  <c r="J280" i="198"/>
  <c r="H280" i="198"/>
  <c r="H279" i="198" s="1"/>
  <c r="F280" i="198"/>
  <c r="E280" i="198" s="1"/>
  <c r="E279" i="198" s="1"/>
  <c r="O279" i="198"/>
  <c r="N279" i="198"/>
  <c r="M279" i="198"/>
  <c r="L279" i="198"/>
  <c r="K279" i="198"/>
  <c r="K278" i="198" s="1"/>
  <c r="K277" i="198" s="1"/>
  <c r="I279" i="198"/>
  <c r="G279" i="198"/>
  <c r="F279" i="198"/>
  <c r="O276" i="198"/>
  <c r="J276" i="198" s="1"/>
  <c r="J275" i="198" s="1"/>
  <c r="J274" i="198" s="1"/>
  <c r="E276" i="198"/>
  <c r="N275" i="198"/>
  <c r="M275" i="198"/>
  <c r="L275" i="198"/>
  <c r="L274" i="198" s="1"/>
  <c r="K275" i="198"/>
  <c r="I275" i="198"/>
  <c r="H275" i="198"/>
  <c r="H274" i="198" s="1"/>
  <c r="G275" i="198"/>
  <c r="G274" i="198" s="1"/>
  <c r="G252" i="198" s="1"/>
  <c r="G251" i="198" s="1"/>
  <c r="F275" i="198"/>
  <c r="E275" i="198"/>
  <c r="N274" i="198"/>
  <c r="M274" i="198"/>
  <c r="K274" i="198"/>
  <c r="I274" i="198"/>
  <c r="F274" i="198"/>
  <c r="E274" i="198"/>
  <c r="O272" i="198"/>
  <c r="E272" i="198"/>
  <c r="N271" i="198"/>
  <c r="M271" i="198"/>
  <c r="L271" i="198"/>
  <c r="L268" i="198" s="1"/>
  <c r="L265" i="198" s="1"/>
  <c r="K271" i="198"/>
  <c r="K268" i="198" s="1"/>
  <c r="I271" i="198"/>
  <c r="H271" i="198"/>
  <c r="H268" i="198" s="1"/>
  <c r="H265" i="198" s="1"/>
  <c r="G271" i="198"/>
  <c r="G268" i="198" s="1"/>
  <c r="F271" i="198"/>
  <c r="E271" i="198"/>
  <c r="P270" i="198"/>
  <c r="O270" i="198"/>
  <c r="J270" i="198" s="1"/>
  <c r="K270" i="198"/>
  <c r="E270" i="198"/>
  <c r="P269" i="198"/>
  <c r="O269" i="198"/>
  <c r="J269" i="198" s="1"/>
  <c r="F269" i="198"/>
  <c r="E269" i="198"/>
  <c r="E268" i="198" s="1"/>
  <c r="E265" i="198" s="1"/>
  <c r="N268" i="198"/>
  <c r="N265" i="198" s="1"/>
  <c r="M268" i="198"/>
  <c r="M265" i="198" s="1"/>
  <c r="I268" i="198"/>
  <c r="I265" i="198" s="1"/>
  <c r="F268" i="198"/>
  <c r="F265" i="198" s="1"/>
  <c r="K267" i="198"/>
  <c r="O267" i="198" s="1"/>
  <c r="O266" i="198" s="1"/>
  <c r="J267" i="198"/>
  <c r="J266" i="198" s="1"/>
  <c r="E267" i="198"/>
  <c r="N266" i="198"/>
  <c r="M266" i="198"/>
  <c r="L266" i="198"/>
  <c r="I266" i="198"/>
  <c r="H266" i="198"/>
  <c r="G266" i="198"/>
  <c r="F266" i="198"/>
  <c r="E266" i="198"/>
  <c r="G265" i="198"/>
  <c r="O264" i="198"/>
  <c r="J264" i="198"/>
  <c r="F264" i="198"/>
  <c r="E264" i="198" s="1"/>
  <c r="P264" i="198" s="1"/>
  <c r="O263" i="198"/>
  <c r="J263" i="198" s="1"/>
  <c r="K263" i="198"/>
  <c r="F263" i="198"/>
  <c r="E263" i="198" s="1"/>
  <c r="P263" i="198" s="1"/>
  <c r="O262" i="198"/>
  <c r="J262" i="198"/>
  <c r="F262" i="198"/>
  <c r="K261" i="198"/>
  <c r="O261" i="198" s="1"/>
  <c r="F261" i="198"/>
  <c r="E261" i="198"/>
  <c r="K260" i="198"/>
  <c r="O260" i="198" s="1"/>
  <c r="J260" i="198"/>
  <c r="E260" i="198"/>
  <c r="K259" i="198"/>
  <c r="O259" i="198" s="1"/>
  <c r="J259" i="198"/>
  <c r="F259" i="198"/>
  <c r="E259" i="198"/>
  <c r="N258" i="198"/>
  <c r="M258" i="198"/>
  <c r="L258" i="198"/>
  <c r="K258" i="198"/>
  <c r="I258" i="198"/>
  <c r="H258" i="198"/>
  <c r="H257" i="198" s="1"/>
  <c r="G258" i="198"/>
  <c r="F258" i="198"/>
  <c r="N257" i="198"/>
  <c r="M257" i="198"/>
  <c r="L257" i="198"/>
  <c r="K257" i="198"/>
  <c r="I257" i="198"/>
  <c r="G257" i="198"/>
  <c r="P256" i="198"/>
  <c r="J256" i="198"/>
  <c r="E256" i="198"/>
  <c r="O255" i="198"/>
  <c r="J255" i="198"/>
  <c r="P255" i="198" s="1"/>
  <c r="E255" i="198"/>
  <c r="K254" i="198"/>
  <c r="H254" i="198"/>
  <c r="F254" i="198"/>
  <c r="E254" i="198"/>
  <c r="N253" i="198"/>
  <c r="M253" i="198"/>
  <c r="M252" i="198" s="1"/>
  <c r="M251" i="198" s="1"/>
  <c r="L253" i="198"/>
  <c r="I253" i="198"/>
  <c r="I252" i="198" s="1"/>
  <c r="I251" i="198" s="1"/>
  <c r="H253" i="198"/>
  <c r="G253" i="198"/>
  <c r="F253" i="198"/>
  <c r="E253" i="198"/>
  <c r="O250" i="198"/>
  <c r="J250" i="198" s="1"/>
  <c r="J249" i="198" s="1"/>
  <c r="J248" i="198" s="1"/>
  <c r="E250" i="198"/>
  <c r="N249" i="198"/>
  <c r="N248" i="198" s="1"/>
  <c r="M249" i="198"/>
  <c r="L249" i="198"/>
  <c r="K249" i="198"/>
  <c r="K248" i="198" s="1"/>
  <c r="I249" i="198"/>
  <c r="H249" i="198"/>
  <c r="G249" i="198"/>
  <c r="G248" i="198" s="1"/>
  <c r="F249" i="198"/>
  <c r="E249" i="198"/>
  <c r="M248" i="198"/>
  <c r="L248" i="198"/>
  <c r="I248" i="198"/>
  <c r="H248" i="198"/>
  <c r="F248" i="198"/>
  <c r="E248" i="198"/>
  <c r="K247" i="198"/>
  <c r="K245" i="198" s="1"/>
  <c r="K241" i="198" s="1"/>
  <c r="E247" i="198"/>
  <c r="P246" i="198"/>
  <c r="O246" i="198"/>
  <c r="J246" i="198" s="1"/>
  <c r="K246" i="198"/>
  <c r="E246" i="198"/>
  <c r="N245" i="198"/>
  <c r="M245" i="198"/>
  <c r="L245" i="198"/>
  <c r="L241" i="198" s="1"/>
  <c r="I245" i="198"/>
  <c r="I241" i="198" s="1"/>
  <c r="H245" i="198"/>
  <c r="H241" i="198" s="1"/>
  <c r="G245" i="198"/>
  <c r="F245" i="198"/>
  <c r="E245" i="198"/>
  <c r="K244" i="198"/>
  <c r="O244" i="198" s="1"/>
  <c r="O243" i="198" s="1"/>
  <c r="O242" i="198" s="1"/>
  <c r="J244" i="198"/>
  <c r="J243" i="198" s="1"/>
  <c r="E244" i="198"/>
  <c r="N243" i="198"/>
  <c r="M243" i="198"/>
  <c r="L243" i="198"/>
  <c r="K243" i="198"/>
  <c r="I243" i="198"/>
  <c r="H243" i="198"/>
  <c r="G243" i="198"/>
  <c r="F243" i="198"/>
  <c r="N242" i="198"/>
  <c r="N241" i="198" s="1"/>
  <c r="M242" i="198"/>
  <c r="M241" i="198" s="1"/>
  <c r="L242" i="198"/>
  <c r="K242" i="198"/>
  <c r="J242" i="198"/>
  <c r="I242" i="198"/>
  <c r="H242" i="198"/>
  <c r="G242" i="198"/>
  <c r="F242" i="198"/>
  <c r="F241" i="198" s="1"/>
  <c r="G241" i="198"/>
  <c r="O240" i="198"/>
  <c r="J240" i="198"/>
  <c r="F240" i="198"/>
  <c r="E240" i="198" s="1"/>
  <c r="O239" i="198"/>
  <c r="O238" i="198" s="1"/>
  <c r="N239" i="198"/>
  <c r="N238" i="198" s="1"/>
  <c r="M239" i="198"/>
  <c r="L239" i="198"/>
  <c r="K239" i="198"/>
  <c r="K238" i="198" s="1"/>
  <c r="J239" i="198"/>
  <c r="J238" i="198" s="1"/>
  <c r="I239" i="198"/>
  <c r="H239" i="198"/>
  <c r="G239" i="198"/>
  <c r="G238" i="198" s="1"/>
  <c r="F239" i="198"/>
  <c r="F238" i="198" s="1"/>
  <c r="M238" i="198"/>
  <c r="L238" i="198"/>
  <c r="I238" i="198"/>
  <c r="H238" i="198"/>
  <c r="O237" i="198"/>
  <c r="J237" i="198"/>
  <c r="F237" i="198"/>
  <c r="E237" i="198"/>
  <c r="O236" i="198"/>
  <c r="F236" i="198"/>
  <c r="E236" i="198"/>
  <c r="O235" i="198"/>
  <c r="J235" i="198"/>
  <c r="F235" i="198"/>
  <c r="E235" i="198"/>
  <c r="E234" i="198" s="1"/>
  <c r="N234" i="198"/>
  <c r="M234" i="198"/>
  <c r="L234" i="198"/>
  <c r="K234" i="198"/>
  <c r="I234" i="198"/>
  <c r="H234" i="198"/>
  <c r="G234" i="198"/>
  <c r="F234" i="198"/>
  <c r="O233" i="198"/>
  <c r="J233" i="198"/>
  <c r="J232" i="198" s="1"/>
  <c r="G233" i="198"/>
  <c r="F233" i="198"/>
  <c r="E233" i="198"/>
  <c r="O232" i="198"/>
  <c r="N232" i="198"/>
  <c r="M232" i="198"/>
  <c r="L232" i="198"/>
  <c r="K232" i="198"/>
  <c r="I232" i="198"/>
  <c r="H232" i="198"/>
  <c r="G232" i="198"/>
  <c r="F232" i="198"/>
  <c r="E232" i="198"/>
  <c r="O231" i="198"/>
  <c r="J231" i="198" s="1"/>
  <c r="P231" i="198" s="1"/>
  <c r="F231" i="198"/>
  <c r="E231" i="198"/>
  <c r="M230" i="198"/>
  <c r="K230" i="198"/>
  <c r="H230" i="198"/>
  <c r="G230" i="198"/>
  <c r="F230" i="198"/>
  <c r="N229" i="198"/>
  <c r="M229" i="198"/>
  <c r="L229" i="198"/>
  <c r="I229" i="198"/>
  <c r="H229" i="198"/>
  <c r="G229" i="198"/>
  <c r="O228" i="198"/>
  <c r="J228" i="198"/>
  <c r="J227" i="198" s="1"/>
  <c r="E228" i="198"/>
  <c r="O227" i="198"/>
  <c r="N227" i="198"/>
  <c r="M227" i="198"/>
  <c r="M223" i="198" s="1"/>
  <c r="L227" i="198"/>
  <c r="K227" i="198"/>
  <c r="I227" i="198"/>
  <c r="I223" i="198" s="1"/>
  <c r="H227" i="198"/>
  <c r="G227" i="198"/>
  <c r="F227" i="198"/>
  <c r="E227" i="198"/>
  <c r="O226" i="198"/>
  <c r="J226" i="198"/>
  <c r="F226" i="198"/>
  <c r="O225" i="198"/>
  <c r="F225" i="198"/>
  <c r="E225" i="198"/>
  <c r="N224" i="198"/>
  <c r="M224" i="198"/>
  <c r="L224" i="198"/>
  <c r="L223" i="198" s="1"/>
  <c r="K224" i="198"/>
  <c r="I224" i="198"/>
  <c r="H224" i="198"/>
  <c r="H223" i="198" s="1"/>
  <c r="G224" i="198"/>
  <c r="G223" i="198" s="1"/>
  <c r="O222" i="198"/>
  <c r="J222" i="198" s="1"/>
  <c r="H222" i="198"/>
  <c r="F222" i="198"/>
  <c r="F220" i="198" s="1"/>
  <c r="F217" i="198" s="1"/>
  <c r="E222" i="198"/>
  <c r="P222" i="198" s="1"/>
  <c r="K221" i="198"/>
  <c r="H221" i="198"/>
  <c r="F221" i="198"/>
  <c r="E221" i="198"/>
  <c r="N220" i="198"/>
  <c r="M220" i="198"/>
  <c r="M217" i="198" s="1"/>
  <c r="L220" i="198"/>
  <c r="I220" i="198"/>
  <c r="I217" i="198" s="1"/>
  <c r="H220" i="198"/>
  <c r="G220" i="198"/>
  <c r="P219" i="198"/>
  <c r="O219" i="198"/>
  <c r="J219" i="198"/>
  <c r="H219" i="198"/>
  <c r="G219" i="198"/>
  <c r="F219" i="198"/>
  <c r="E219" i="198"/>
  <c r="P218" i="198"/>
  <c r="O218" i="198"/>
  <c r="N218" i="198"/>
  <c r="M218" i="198"/>
  <c r="L218" i="198"/>
  <c r="L217" i="198" s="1"/>
  <c r="K218" i="198"/>
  <c r="J218" i="198"/>
  <c r="I218" i="198"/>
  <c r="H218" i="198"/>
  <c r="H217" i="198" s="1"/>
  <c r="H216" i="198" s="1"/>
  <c r="H215" i="198" s="1"/>
  <c r="G218" i="198"/>
  <c r="F218" i="198"/>
  <c r="E218" i="198"/>
  <c r="N217" i="198"/>
  <c r="G217" i="198"/>
  <c r="P214" i="198"/>
  <c r="P213" i="198" s="1"/>
  <c r="P212" i="198" s="1"/>
  <c r="O214" i="198"/>
  <c r="J214" i="198"/>
  <c r="E214" i="198"/>
  <c r="O213" i="198"/>
  <c r="N213" i="198"/>
  <c r="M213" i="198"/>
  <c r="L213" i="198"/>
  <c r="K213" i="198"/>
  <c r="J213" i="198"/>
  <c r="I213" i="198"/>
  <c r="H213" i="198"/>
  <c r="G213" i="198"/>
  <c r="F213" i="198"/>
  <c r="E213" i="198"/>
  <c r="O212" i="198"/>
  <c r="N212" i="198"/>
  <c r="M212" i="198"/>
  <c r="L212" i="198"/>
  <c r="L194" i="198" s="1"/>
  <c r="K212" i="198"/>
  <c r="J212" i="198"/>
  <c r="I212" i="198"/>
  <c r="H212" i="198"/>
  <c r="G212" i="198"/>
  <c r="F212" i="198"/>
  <c r="E212" i="198"/>
  <c r="P211" i="198"/>
  <c r="K211" i="198"/>
  <c r="O211" i="198" s="1"/>
  <c r="J211" i="198"/>
  <c r="E211" i="198"/>
  <c r="E207" i="198" s="1"/>
  <c r="E206" i="198" s="1"/>
  <c r="K210" i="198"/>
  <c r="O210" i="198" s="1"/>
  <c r="J210" i="198" s="1"/>
  <c r="E210" i="198"/>
  <c r="O209" i="198"/>
  <c r="O208" i="198" s="1"/>
  <c r="E209" i="198"/>
  <c r="N208" i="198"/>
  <c r="N207" i="198" s="1"/>
  <c r="N206" i="198" s="1"/>
  <c r="M208" i="198"/>
  <c r="L208" i="198"/>
  <c r="K208" i="198"/>
  <c r="K207" i="198" s="1"/>
  <c r="K206" i="198" s="1"/>
  <c r="I208" i="198"/>
  <c r="H208" i="198"/>
  <c r="G208" i="198"/>
  <c r="G207" i="198" s="1"/>
  <c r="G206" i="198" s="1"/>
  <c r="G194" i="198" s="1"/>
  <c r="G193" i="198" s="1"/>
  <c r="F208" i="198"/>
  <c r="F207" i="198" s="1"/>
  <c r="F206" i="198" s="1"/>
  <c r="E208" i="198"/>
  <c r="M207" i="198"/>
  <c r="L207" i="198"/>
  <c r="I207" i="198"/>
  <c r="H207" i="198"/>
  <c r="M206" i="198"/>
  <c r="L206" i="198"/>
  <c r="I206" i="198"/>
  <c r="H206" i="198"/>
  <c r="O205" i="198"/>
  <c r="J205" i="198"/>
  <c r="F205" i="198"/>
  <c r="E205" i="198"/>
  <c r="P205" i="198" s="1"/>
  <c r="O204" i="198"/>
  <c r="H204" i="198"/>
  <c r="F204" i="198"/>
  <c r="N203" i="198"/>
  <c r="N197" i="198" s="1"/>
  <c r="M203" i="198"/>
  <c r="M197" i="198" s="1"/>
  <c r="M194" i="198" s="1"/>
  <c r="M193" i="198" s="1"/>
  <c r="L203" i="198"/>
  <c r="K203" i="198"/>
  <c r="I203" i="198"/>
  <c r="I197" i="198" s="1"/>
  <c r="I194" i="198" s="1"/>
  <c r="I193" i="198" s="1"/>
  <c r="H203" i="198"/>
  <c r="G203" i="198"/>
  <c r="O202" i="198"/>
  <c r="J202" i="198"/>
  <c r="F202" i="198"/>
  <c r="E202" i="198" s="1"/>
  <c r="P202" i="198" s="1"/>
  <c r="K201" i="198"/>
  <c r="O201" i="198" s="1"/>
  <c r="J201" i="198" s="1"/>
  <c r="H201" i="198"/>
  <c r="G201" i="198"/>
  <c r="F201" i="198"/>
  <c r="E201" i="198" s="1"/>
  <c r="O200" i="198"/>
  <c r="J200" i="198" s="1"/>
  <c r="K200" i="198"/>
  <c r="H200" i="198"/>
  <c r="G200" i="198"/>
  <c r="F200" i="198"/>
  <c r="E200" i="198" s="1"/>
  <c r="P200" i="198" s="1"/>
  <c r="K199" i="198"/>
  <c r="O199" i="198" s="1"/>
  <c r="J199" i="198" s="1"/>
  <c r="H199" i="198"/>
  <c r="F199" i="198"/>
  <c r="E199" i="198"/>
  <c r="O198" i="198"/>
  <c r="J198" i="198" s="1"/>
  <c r="F198" i="198"/>
  <c r="E198" i="198"/>
  <c r="L197" i="198"/>
  <c r="H197" i="198"/>
  <c r="G197" i="198"/>
  <c r="O196" i="198"/>
  <c r="J196" i="198" s="1"/>
  <c r="K196" i="198"/>
  <c r="H196" i="198"/>
  <c r="H195" i="198" s="1"/>
  <c r="F196" i="198"/>
  <c r="E196" i="198" s="1"/>
  <c r="E195" i="198" s="1"/>
  <c r="O195" i="198"/>
  <c r="N195" i="198"/>
  <c r="M195" i="198"/>
  <c r="L195" i="198"/>
  <c r="K195" i="198"/>
  <c r="J195" i="198"/>
  <c r="I195" i="198"/>
  <c r="G195" i="198"/>
  <c r="F195" i="198"/>
  <c r="H194" i="198"/>
  <c r="H193" i="198" s="1"/>
  <c r="P191" i="198"/>
  <c r="P190" i="198" s="1"/>
  <c r="O191" i="198"/>
  <c r="J191" i="198" s="1"/>
  <c r="J190" i="198" s="1"/>
  <c r="E191" i="198"/>
  <c r="O190" i="198"/>
  <c r="O188" i="198" s="1"/>
  <c r="O184" i="198" s="1"/>
  <c r="N190" i="198"/>
  <c r="M190" i="198"/>
  <c r="L190" i="198"/>
  <c r="L188" i="198" s="1"/>
  <c r="K190" i="198"/>
  <c r="K188" i="198" s="1"/>
  <c r="I190" i="198"/>
  <c r="H190" i="198"/>
  <c r="G190" i="198"/>
  <c r="G188" i="198" s="1"/>
  <c r="G184" i="198" s="1"/>
  <c r="F190" i="198"/>
  <c r="E190" i="198"/>
  <c r="O189" i="198"/>
  <c r="J189" i="198" s="1"/>
  <c r="K189" i="198"/>
  <c r="E189" i="198"/>
  <c r="P189" i="198" s="1"/>
  <c r="N188" i="198"/>
  <c r="M188" i="198"/>
  <c r="M184" i="198" s="1"/>
  <c r="I188" i="198"/>
  <c r="H188" i="198"/>
  <c r="F188" i="198"/>
  <c r="E188" i="198"/>
  <c r="K187" i="198"/>
  <c r="O187" i="198" s="1"/>
  <c r="O186" i="198" s="1"/>
  <c r="O185" i="198" s="1"/>
  <c r="J187" i="198"/>
  <c r="J186" i="198" s="1"/>
  <c r="J185" i="198" s="1"/>
  <c r="N186" i="198"/>
  <c r="M186" i="198"/>
  <c r="L186" i="198"/>
  <c r="L185" i="198" s="1"/>
  <c r="I186" i="198"/>
  <c r="I185" i="198" s="1"/>
  <c r="I184" i="198" s="1"/>
  <c r="H186" i="198"/>
  <c r="G186" i="198"/>
  <c r="F186" i="198"/>
  <c r="E186" i="198"/>
  <c r="E185" i="198" s="1"/>
  <c r="N185" i="198"/>
  <c r="M185" i="198"/>
  <c r="H185" i="198"/>
  <c r="G185" i="198"/>
  <c r="F185" i="198"/>
  <c r="N184" i="198"/>
  <c r="H184" i="198"/>
  <c r="F184" i="198"/>
  <c r="P183" i="198"/>
  <c r="O183" i="198"/>
  <c r="J183" i="198"/>
  <c r="E183" i="198"/>
  <c r="P182" i="198"/>
  <c r="O182" i="198"/>
  <c r="J182" i="198"/>
  <c r="E182" i="198"/>
  <c r="P181" i="198"/>
  <c r="O181" i="198"/>
  <c r="N181" i="198"/>
  <c r="M181" i="198"/>
  <c r="L181" i="198"/>
  <c r="K181" i="198"/>
  <c r="J181" i="198"/>
  <c r="I181" i="198"/>
  <c r="H181" i="198"/>
  <c r="G181" i="198"/>
  <c r="F181" i="198"/>
  <c r="E181" i="198"/>
  <c r="P180" i="198"/>
  <c r="O180" i="198"/>
  <c r="N180" i="198"/>
  <c r="M180" i="198"/>
  <c r="L180" i="198"/>
  <c r="K180" i="198"/>
  <c r="J180" i="198"/>
  <c r="I180" i="198"/>
  <c r="H180" i="198"/>
  <c r="G180" i="198"/>
  <c r="F180" i="198"/>
  <c r="E180" i="198"/>
  <c r="K179" i="198"/>
  <c r="O179" i="198" s="1"/>
  <c r="J179" i="198" s="1"/>
  <c r="P179" i="198" s="1"/>
  <c r="F179" i="198"/>
  <c r="E179" i="198" s="1"/>
  <c r="N178" i="198"/>
  <c r="N177" i="198" s="1"/>
  <c r="M178" i="198"/>
  <c r="L178" i="198"/>
  <c r="L177" i="198" s="1"/>
  <c r="K178" i="198"/>
  <c r="K177" i="198" s="1"/>
  <c r="H178" i="198"/>
  <c r="G178" i="198"/>
  <c r="F178" i="198"/>
  <c r="F177" i="198" s="1"/>
  <c r="E178" i="198"/>
  <c r="M177" i="198"/>
  <c r="I177" i="198"/>
  <c r="H177" i="198"/>
  <c r="G177" i="198"/>
  <c r="E177" i="198"/>
  <c r="K176" i="198"/>
  <c r="O176" i="198" s="1"/>
  <c r="J176" i="198" s="1"/>
  <c r="F176" i="198"/>
  <c r="E176" i="198"/>
  <c r="O173" i="198"/>
  <c r="J173" i="198" s="1"/>
  <c r="P173" i="198" s="1"/>
  <c r="E173" i="198"/>
  <c r="P170" i="198"/>
  <c r="O170" i="198"/>
  <c r="J170" i="198" s="1"/>
  <c r="K170" i="198"/>
  <c r="E170" i="198"/>
  <c r="K166" i="198"/>
  <c r="O166" i="198" s="1"/>
  <c r="O161" i="198" s="1"/>
  <c r="E166" i="198"/>
  <c r="O162" i="198"/>
  <c r="J162" i="198"/>
  <c r="E162" i="198"/>
  <c r="N161" i="198"/>
  <c r="M161" i="198"/>
  <c r="L161" i="198"/>
  <c r="K161" i="198"/>
  <c r="I161" i="198"/>
  <c r="H161" i="198"/>
  <c r="G161" i="198"/>
  <c r="F161" i="198"/>
  <c r="E161" i="198"/>
  <c r="O160" i="198"/>
  <c r="J160" i="198"/>
  <c r="E160" i="198"/>
  <c r="P160" i="198" s="1"/>
  <c r="O159" i="198"/>
  <c r="J159" i="198"/>
  <c r="F159" i="198"/>
  <c r="E159" i="198" s="1"/>
  <c r="O158" i="198"/>
  <c r="N158" i="198"/>
  <c r="M158" i="198"/>
  <c r="L158" i="198"/>
  <c r="K158" i="198"/>
  <c r="J158" i="198"/>
  <c r="I158" i="198"/>
  <c r="H158" i="198"/>
  <c r="G158" i="198"/>
  <c r="F158" i="198"/>
  <c r="O157" i="198"/>
  <c r="J157" i="198" s="1"/>
  <c r="F157" i="198"/>
  <c r="E157" i="198"/>
  <c r="P156" i="198"/>
  <c r="O156" i="198"/>
  <c r="J156" i="198" s="1"/>
  <c r="E156" i="198"/>
  <c r="N155" i="198"/>
  <c r="M155" i="198"/>
  <c r="L155" i="198"/>
  <c r="K155" i="198"/>
  <c r="O155" i="198" s="1"/>
  <c r="I155" i="198"/>
  <c r="H155" i="198"/>
  <c r="G155" i="198"/>
  <c r="F155" i="198"/>
  <c r="E155" i="198"/>
  <c r="O154" i="198"/>
  <c r="J154" i="198" s="1"/>
  <c r="P154" i="198" s="1"/>
  <c r="F154" i="198"/>
  <c r="E154" i="198"/>
  <c r="K153" i="198"/>
  <c r="O153" i="198" s="1"/>
  <c r="J153" i="198" s="1"/>
  <c r="H153" i="198"/>
  <c r="F153" i="198"/>
  <c r="E153" i="198"/>
  <c r="N152" i="198"/>
  <c r="M152" i="198"/>
  <c r="L152" i="198"/>
  <c r="K152" i="198"/>
  <c r="I152" i="198"/>
  <c r="H152" i="198"/>
  <c r="G152" i="198"/>
  <c r="F152" i="198"/>
  <c r="E152" i="198"/>
  <c r="P151" i="198"/>
  <c r="O151" i="198"/>
  <c r="J151" i="198" s="1"/>
  <c r="K151" i="198"/>
  <c r="H151" i="198"/>
  <c r="G151" i="198"/>
  <c r="G149" i="198" s="1"/>
  <c r="G139" i="198" s="1"/>
  <c r="G134" i="198" s="1"/>
  <c r="G133" i="198" s="1"/>
  <c r="F151" i="198"/>
  <c r="E151" i="198"/>
  <c r="O150" i="198"/>
  <c r="J150" i="198" s="1"/>
  <c r="J149" i="198" s="1"/>
  <c r="K150" i="198"/>
  <c r="H150" i="198"/>
  <c r="F150" i="198"/>
  <c r="E150" i="198" s="1"/>
  <c r="E149" i="198" s="1"/>
  <c r="O149" i="198"/>
  <c r="N149" i="198"/>
  <c r="M149" i="198"/>
  <c r="L149" i="198"/>
  <c r="K149" i="198"/>
  <c r="K139" i="198" s="1"/>
  <c r="I149" i="198"/>
  <c r="F149" i="198"/>
  <c r="O148" i="198"/>
  <c r="J148" i="198" s="1"/>
  <c r="P148" i="198" s="1"/>
  <c r="E148" i="198"/>
  <c r="O147" i="198"/>
  <c r="J147" i="198" s="1"/>
  <c r="F147" i="198"/>
  <c r="E147" i="198"/>
  <c r="P146" i="198"/>
  <c r="O146" i="198"/>
  <c r="J146" i="198" s="1"/>
  <c r="E146" i="198"/>
  <c r="O145" i="198"/>
  <c r="J145" i="198" s="1"/>
  <c r="P145" i="198" s="1"/>
  <c r="E145" i="198"/>
  <c r="O144" i="198"/>
  <c r="J144" i="198" s="1"/>
  <c r="P144" i="198" s="1"/>
  <c r="E144" i="198"/>
  <c r="P143" i="198"/>
  <c r="O143" i="198"/>
  <c r="J143" i="198" s="1"/>
  <c r="E143" i="198"/>
  <c r="P142" i="198"/>
  <c r="O142" i="198"/>
  <c r="J142" i="198" s="1"/>
  <c r="E142" i="198"/>
  <c r="O141" i="198"/>
  <c r="F141" i="198"/>
  <c r="E141" i="198"/>
  <c r="N140" i="198"/>
  <c r="M140" i="198"/>
  <c r="M139" i="198" s="1"/>
  <c r="M134" i="198" s="1"/>
  <c r="M133" i="198" s="1"/>
  <c r="L140" i="198"/>
  <c r="K140" i="198"/>
  <c r="I140" i="198"/>
  <c r="H140" i="198"/>
  <c r="G140" i="198"/>
  <c r="F140" i="198"/>
  <c r="E140" i="198"/>
  <c r="I139" i="198"/>
  <c r="P138" i="198"/>
  <c r="J138" i="198"/>
  <c r="E138" i="198"/>
  <c r="O137" i="198"/>
  <c r="J137" i="198" s="1"/>
  <c r="P137" i="198" s="1"/>
  <c r="E137" i="198"/>
  <c r="O136" i="198"/>
  <c r="J136" i="198" s="1"/>
  <c r="K136" i="198"/>
  <c r="H136" i="198"/>
  <c r="H135" i="198" s="1"/>
  <c r="F136" i="198"/>
  <c r="E136" i="198" s="1"/>
  <c r="E135" i="198" s="1"/>
  <c r="N135" i="198"/>
  <c r="M135" i="198"/>
  <c r="L135" i="198"/>
  <c r="K135" i="198"/>
  <c r="J135" i="198"/>
  <c r="I135" i="198"/>
  <c r="G135" i="198"/>
  <c r="O132" i="198"/>
  <c r="J132" i="198" s="1"/>
  <c r="P132" i="198" s="1"/>
  <c r="E132" i="198"/>
  <c r="O131" i="198"/>
  <c r="J131" i="198" s="1"/>
  <c r="P131" i="198" s="1"/>
  <c r="E131" i="198"/>
  <c r="O130" i="198"/>
  <c r="K130" i="198"/>
  <c r="E130" i="198"/>
  <c r="N129" i="198"/>
  <c r="M129" i="198"/>
  <c r="L129" i="198"/>
  <c r="K129" i="198"/>
  <c r="I129" i="198"/>
  <c r="H129" i="198"/>
  <c r="G129" i="198"/>
  <c r="F129" i="198"/>
  <c r="P128" i="198"/>
  <c r="P127" i="198" s="1"/>
  <c r="O128" i="198"/>
  <c r="J128" i="198"/>
  <c r="E128" i="198"/>
  <c r="O127" i="198"/>
  <c r="N127" i="198"/>
  <c r="M127" i="198"/>
  <c r="L127" i="198"/>
  <c r="L124" i="198" s="1"/>
  <c r="K127" i="198"/>
  <c r="J127" i="198"/>
  <c r="I127" i="198"/>
  <c r="H127" i="198"/>
  <c r="H124" i="198" s="1"/>
  <c r="H123" i="198" s="1"/>
  <c r="G127" i="198"/>
  <c r="F127" i="198"/>
  <c r="E127" i="198"/>
  <c r="K126" i="198"/>
  <c r="O126" i="198" s="1"/>
  <c r="O125" i="198" s="1"/>
  <c r="O124" i="198" s="1"/>
  <c r="E126" i="198"/>
  <c r="N125" i="198"/>
  <c r="N124" i="198" s="1"/>
  <c r="N123" i="198" s="1"/>
  <c r="M125" i="198"/>
  <c r="M124" i="198" s="1"/>
  <c r="M123" i="198" s="1"/>
  <c r="M104" i="198" s="1"/>
  <c r="M103" i="198" s="1"/>
  <c r="L125" i="198"/>
  <c r="K125" i="198"/>
  <c r="I125" i="198"/>
  <c r="I124" i="198" s="1"/>
  <c r="I123" i="198" s="1"/>
  <c r="H125" i="198"/>
  <c r="G125" i="198"/>
  <c r="F125" i="198"/>
  <c r="E125" i="198"/>
  <c r="K124" i="198"/>
  <c r="G124" i="198"/>
  <c r="F124" i="198"/>
  <c r="E124" i="198"/>
  <c r="K123" i="198"/>
  <c r="G123" i="198"/>
  <c r="F123" i="198"/>
  <c r="O122" i="198"/>
  <c r="J122" i="198"/>
  <c r="E122" i="198"/>
  <c r="P122" i="198" s="1"/>
  <c r="P121" i="198" s="1"/>
  <c r="O121" i="198"/>
  <c r="N121" i="198"/>
  <c r="M121" i="198"/>
  <c r="L121" i="198"/>
  <c r="K121" i="198"/>
  <c r="J121" i="198"/>
  <c r="I121" i="198"/>
  <c r="H121" i="198"/>
  <c r="G121" i="198"/>
  <c r="F121" i="198"/>
  <c r="O120" i="198"/>
  <c r="J120" i="198"/>
  <c r="F120" i="198"/>
  <c r="E120" i="198" s="1"/>
  <c r="O119" i="198"/>
  <c r="J119" i="198"/>
  <c r="P119" i="198" s="1"/>
  <c r="E119" i="198"/>
  <c r="O118" i="198"/>
  <c r="N118" i="198"/>
  <c r="M118" i="198"/>
  <c r="L118" i="198"/>
  <c r="K118" i="198"/>
  <c r="I118" i="198"/>
  <c r="H118" i="198"/>
  <c r="G118" i="198"/>
  <c r="O117" i="198"/>
  <c r="O116" i="198" s="1"/>
  <c r="J117" i="198"/>
  <c r="P117" i="198" s="1"/>
  <c r="P116" i="198" s="1"/>
  <c r="E117" i="198"/>
  <c r="N116" i="198"/>
  <c r="M116" i="198"/>
  <c r="L116" i="198"/>
  <c r="K116" i="198"/>
  <c r="I116" i="198"/>
  <c r="H116" i="198"/>
  <c r="G116" i="198"/>
  <c r="F116" i="198"/>
  <c r="E116" i="198"/>
  <c r="O115" i="198"/>
  <c r="K115" i="198"/>
  <c r="K114" i="198" s="1"/>
  <c r="F115" i="198"/>
  <c r="E115" i="198"/>
  <c r="N114" i="198"/>
  <c r="M114" i="198"/>
  <c r="L114" i="198"/>
  <c r="L108" i="198" s="1"/>
  <c r="I114" i="198"/>
  <c r="I108" i="198" s="1"/>
  <c r="H114" i="198"/>
  <c r="H108" i="198" s="1"/>
  <c r="G114" i="198"/>
  <c r="F114" i="198"/>
  <c r="K113" i="198"/>
  <c r="O113" i="198" s="1"/>
  <c r="J113" i="198"/>
  <c r="F113" i="198"/>
  <c r="E113" i="198" s="1"/>
  <c r="P113" i="198" s="1"/>
  <c r="K112" i="198"/>
  <c r="O112" i="198" s="1"/>
  <c r="J112" i="198" s="1"/>
  <c r="F112" i="198"/>
  <c r="E112" i="198"/>
  <c r="K111" i="198"/>
  <c r="O111" i="198" s="1"/>
  <c r="J111" i="198"/>
  <c r="F111" i="198"/>
  <c r="E111" i="198" s="1"/>
  <c r="P111" i="198" s="1"/>
  <c r="O110" i="198"/>
  <c r="J110" i="198"/>
  <c r="F110" i="198"/>
  <c r="E110" i="198"/>
  <c r="O109" i="198"/>
  <c r="J109" i="198" s="1"/>
  <c r="K109" i="198"/>
  <c r="F109" i="198"/>
  <c r="E109" i="198" s="1"/>
  <c r="P109" i="198" s="1"/>
  <c r="N108" i="198"/>
  <c r="M108" i="198"/>
  <c r="O107" i="198"/>
  <c r="J107" i="198"/>
  <c r="E107" i="198"/>
  <c r="K106" i="198"/>
  <c r="O106" i="198" s="1"/>
  <c r="J106" i="198" s="1"/>
  <c r="J105" i="198" s="1"/>
  <c r="H106" i="198"/>
  <c r="E106" i="198"/>
  <c r="N105" i="198"/>
  <c r="M105" i="198"/>
  <c r="L105" i="198"/>
  <c r="I105" i="198"/>
  <c r="H105" i="198"/>
  <c r="G105" i="198"/>
  <c r="F105" i="198"/>
  <c r="H104" i="198"/>
  <c r="H103" i="198" s="1"/>
  <c r="P102" i="198"/>
  <c r="O102" i="198"/>
  <c r="J102" i="198"/>
  <c r="E102" i="198"/>
  <c r="P101" i="198"/>
  <c r="O101" i="198"/>
  <c r="N101" i="198"/>
  <c r="M101" i="198"/>
  <c r="L101" i="198"/>
  <c r="K101" i="198"/>
  <c r="J101" i="198"/>
  <c r="I101" i="198"/>
  <c r="H101" i="198"/>
  <c r="G101" i="198"/>
  <c r="F101" i="198"/>
  <c r="E101" i="198"/>
  <c r="P100" i="198"/>
  <c r="O100" i="198"/>
  <c r="N100" i="198"/>
  <c r="M100" i="198"/>
  <c r="L100" i="198"/>
  <c r="K100" i="198"/>
  <c r="J100" i="198"/>
  <c r="I100" i="198"/>
  <c r="H100" i="198"/>
  <c r="G100" i="198"/>
  <c r="F100" i="198"/>
  <c r="E100" i="198"/>
  <c r="P99" i="198"/>
  <c r="P98" i="198" s="1"/>
  <c r="P97" i="198" s="1"/>
  <c r="O99" i="198"/>
  <c r="J99" i="198"/>
  <c r="E99" i="198"/>
  <c r="O98" i="198"/>
  <c r="N98" i="198"/>
  <c r="M98" i="198"/>
  <c r="L98" i="198"/>
  <c r="K98" i="198"/>
  <c r="J98" i="198"/>
  <c r="I98" i="198"/>
  <c r="H98" i="198"/>
  <c r="G98" i="198"/>
  <c r="F98" i="198"/>
  <c r="E98" i="198"/>
  <c r="O97" i="198"/>
  <c r="N97" i="198"/>
  <c r="M97" i="198"/>
  <c r="L97" i="198"/>
  <c r="K97" i="198"/>
  <c r="J97" i="198"/>
  <c r="I97" i="198"/>
  <c r="H97" i="198"/>
  <c r="G97" i="198"/>
  <c r="F97" i="198"/>
  <c r="E97" i="198"/>
  <c r="K96" i="198"/>
  <c r="O96" i="198" s="1"/>
  <c r="O95" i="198" s="1"/>
  <c r="E96" i="198"/>
  <c r="N95" i="198"/>
  <c r="M95" i="198"/>
  <c r="M91" i="198" s="1"/>
  <c r="L95" i="198"/>
  <c r="K95" i="198"/>
  <c r="I95" i="198"/>
  <c r="I91" i="198" s="1"/>
  <c r="H95" i="198"/>
  <c r="G95" i="198"/>
  <c r="F95" i="198"/>
  <c r="E95" i="198"/>
  <c r="E91" i="198" s="1"/>
  <c r="K94" i="198"/>
  <c r="O94" i="198" s="1"/>
  <c r="J94" i="198" s="1"/>
  <c r="J93" i="198" s="1"/>
  <c r="J92" i="198" s="1"/>
  <c r="E94" i="198"/>
  <c r="O93" i="198"/>
  <c r="O92" i="198" s="1"/>
  <c r="O91" i="198" s="1"/>
  <c r="N93" i="198"/>
  <c r="M93" i="198"/>
  <c r="L93" i="198"/>
  <c r="K93" i="198"/>
  <c r="K92" i="198" s="1"/>
  <c r="K91" i="198" s="1"/>
  <c r="I93" i="198"/>
  <c r="H93" i="198"/>
  <c r="G93" i="198"/>
  <c r="G92" i="198" s="1"/>
  <c r="G91" i="198" s="1"/>
  <c r="F93" i="198"/>
  <c r="E93" i="198"/>
  <c r="N92" i="198"/>
  <c r="N91" i="198" s="1"/>
  <c r="M92" i="198"/>
  <c r="L92" i="198"/>
  <c r="I92" i="198"/>
  <c r="H92" i="198"/>
  <c r="F92" i="198"/>
  <c r="F91" i="198" s="1"/>
  <c r="E92" i="198"/>
  <c r="L91" i="198"/>
  <c r="H91" i="198"/>
  <c r="O90" i="198"/>
  <c r="O88" i="198" s="1"/>
  <c r="J90" i="198"/>
  <c r="J88" i="198" s="1"/>
  <c r="H90" i="198"/>
  <c r="F90" i="198"/>
  <c r="E90" i="198"/>
  <c r="P89" i="198"/>
  <c r="O89" i="198"/>
  <c r="J89" i="198"/>
  <c r="E89" i="198"/>
  <c r="N88" i="198"/>
  <c r="M88" i="198"/>
  <c r="L88" i="198"/>
  <c r="K88" i="198"/>
  <c r="I88" i="198"/>
  <c r="H88" i="198"/>
  <c r="G88" i="198"/>
  <c r="F88" i="198"/>
  <c r="E88" i="198"/>
  <c r="O87" i="198"/>
  <c r="J87" i="198"/>
  <c r="E87" i="198"/>
  <c r="P87" i="198" s="1"/>
  <c r="K86" i="198"/>
  <c r="O86" i="198" s="1"/>
  <c r="O85" i="198" s="1"/>
  <c r="J86" i="198"/>
  <c r="J85" i="198" s="1"/>
  <c r="E86" i="198"/>
  <c r="P86" i="198" s="1"/>
  <c r="N85" i="198"/>
  <c r="M85" i="198"/>
  <c r="L85" i="198"/>
  <c r="K85" i="198"/>
  <c r="I85" i="198"/>
  <c r="H85" i="198"/>
  <c r="G85" i="198"/>
  <c r="F85" i="198"/>
  <c r="O84" i="198"/>
  <c r="J84" i="198"/>
  <c r="E84" i="198"/>
  <c r="O83" i="198"/>
  <c r="J83" i="198"/>
  <c r="J82" i="198" s="1"/>
  <c r="E83" i="198"/>
  <c r="P83" i="198" s="1"/>
  <c r="O82" i="198"/>
  <c r="N82" i="198"/>
  <c r="M82" i="198"/>
  <c r="L82" i="198"/>
  <c r="K82" i="198"/>
  <c r="I82" i="198"/>
  <c r="H82" i="198"/>
  <c r="G82" i="198"/>
  <c r="F82" i="198"/>
  <c r="O81" i="198"/>
  <c r="J81" i="198"/>
  <c r="F81" i="198"/>
  <c r="K80" i="198"/>
  <c r="O80" i="198" s="1"/>
  <c r="E80" i="198"/>
  <c r="N79" i="198"/>
  <c r="M79" i="198"/>
  <c r="L79" i="198"/>
  <c r="I79" i="198"/>
  <c r="H79" i="198"/>
  <c r="G79" i="198"/>
  <c r="O78" i="198"/>
  <c r="J78" i="198" s="1"/>
  <c r="P78" i="198" s="1"/>
  <c r="E78" i="198"/>
  <c r="O77" i="198"/>
  <c r="J77" i="198" s="1"/>
  <c r="E77" i="198"/>
  <c r="P77" i="198" s="1"/>
  <c r="O75" i="198"/>
  <c r="K75" i="198"/>
  <c r="J75" i="198"/>
  <c r="E75" i="198"/>
  <c r="P75" i="198" s="1"/>
  <c r="K74" i="198"/>
  <c r="O74" i="198" s="1"/>
  <c r="O73" i="198" s="1"/>
  <c r="J73" i="198" s="1"/>
  <c r="J74" i="198"/>
  <c r="E74" i="198"/>
  <c r="P74" i="198" s="1"/>
  <c r="N73" i="198"/>
  <c r="M73" i="198"/>
  <c r="L73" i="198"/>
  <c r="I73" i="198"/>
  <c r="H73" i="198"/>
  <c r="G73" i="198"/>
  <c r="F73" i="198"/>
  <c r="E73" i="198"/>
  <c r="O72" i="198"/>
  <c r="J72" i="198" s="1"/>
  <c r="E72" i="198"/>
  <c r="O71" i="198"/>
  <c r="J71" i="198" s="1"/>
  <c r="E71" i="198"/>
  <c r="N70" i="198"/>
  <c r="M70" i="198"/>
  <c r="L70" i="198"/>
  <c r="K70" i="198"/>
  <c r="I70" i="198"/>
  <c r="H70" i="198"/>
  <c r="G70" i="198"/>
  <c r="F70" i="198"/>
  <c r="E70" i="198" s="1"/>
  <c r="K69" i="198"/>
  <c r="O69" i="198" s="1"/>
  <c r="J69" i="198" s="1"/>
  <c r="H69" i="198"/>
  <c r="G69" i="198"/>
  <c r="F69" i="198"/>
  <c r="E69" i="198"/>
  <c r="O68" i="198"/>
  <c r="J68" i="198" s="1"/>
  <c r="E68" i="198"/>
  <c r="O67" i="198"/>
  <c r="J67" i="198" s="1"/>
  <c r="J66" i="198" s="1"/>
  <c r="K67" i="198"/>
  <c r="H67" i="198"/>
  <c r="G67" i="198"/>
  <c r="G66" i="198" s="1"/>
  <c r="F67" i="198"/>
  <c r="E67" i="198" s="1"/>
  <c r="N66" i="198"/>
  <c r="M66" i="198"/>
  <c r="L66" i="198"/>
  <c r="K66" i="198"/>
  <c r="I66" i="198"/>
  <c r="H66" i="198"/>
  <c r="F66" i="198"/>
  <c r="O65" i="198"/>
  <c r="J65" i="198"/>
  <c r="F65" i="198"/>
  <c r="E65" i="198" s="1"/>
  <c r="P65" i="198" s="1"/>
  <c r="K64" i="198"/>
  <c r="O64" i="198" s="1"/>
  <c r="H64" i="198"/>
  <c r="H63" i="198" s="1"/>
  <c r="G64" i="198"/>
  <c r="F64" i="198"/>
  <c r="E64" i="198" s="1"/>
  <c r="N63" i="198"/>
  <c r="M63" i="198"/>
  <c r="L63" i="198"/>
  <c r="K63" i="198"/>
  <c r="I63" i="198"/>
  <c r="G63" i="198"/>
  <c r="J62" i="198"/>
  <c r="G62" i="198"/>
  <c r="G60" i="198" s="1"/>
  <c r="F62" i="198"/>
  <c r="E62" i="198"/>
  <c r="P62" i="198" s="1"/>
  <c r="O61" i="198"/>
  <c r="O60" i="198" s="1"/>
  <c r="L61" i="198"/>
  <c r="K61" i="198"/>
  <c r="K60" i="198" s="1"/>
  <c r="H61" i="198"/>
  <c r="H60" i="198" s="1"/>
  <c r="G61" i="198"/>
  <c r="F61" i="198"/>
  <c r="E61" i="198"/>
  <c r="N60" i="198"/>
  <c r="M60" i="198"/>
  <c r="L60" i="198"/>
  <c r="I60" i="198"/>
  <c r="F60" i="198"/>
  <c r="E60" i="198"/>
  <c r="K59" i="198"/>
  <c r="O59" i="198" s="1"/>
  <c r="J59" i="198"/>
  <c r="H59" i="198"/>
  <c r="H47" i="198" s="1"/>
  <c r="H46" i="198" s="1"/>
  <c r="H45" i="198" s="1"/>
  <c r="G59" i="198"/>
  <c r="F59" i="198"/>
  <c r="E59" i="198"/>
  <c r="P59" i="198" s="1"/>
  <c r="P58" i="198"/>
  <c r="O58" i="198"/>
  <c r="J58" i="198"/>
  <c r="E58" i="198"/>
  <c r="P56" i="198"/>
  <c r="O56" i="198"/>
  <c r="N56" i="198"/>
  <c r="M56" i="198"/>
  <c r="L56" i="198"/>
  <c r="K56" i="198"/>
  <c r="J56" i="198"/>
  <c r="I56" i="198"/>
  <c r="H56" i="198"/>
  <c r="G56" i="198"/>
  <c r="F56" i="198"/>
  <c r="E56" i="198"/>
  <c r="J55" i="198"/>
  <c r="G55" i="198"/>
  <c r="F55" i="198"/>
  <c r="E55" i="198"/>
  <c r="P55" i="198" s="1"/>
  <c r="O54" i="198"/>
  <c r="J54" i="198"/>
  <c r="J53" i="198" s="1"/>
  <c r="G54" i="198"/>
  <c r="G53" i="198" s="1"/>
  <c r="G47" i="198" s="1"/>
  <c r="F54" i="198"/>
  <c r="E54" i="198"/>
  <c r="O53" i="198"/>
  <c r="N53" i="198"/>
  <c r="M53" i="198"/>
  <c r="L53" i="198"/>
  <c r="K53" i="198"/>
  <c r="I53" i="198"/>
  <c r="H53" i="198"/>
  <c r="F53" i="198"/>
  <c r="E53" i="198"/>
  <c r="K52" i="198"/>
  <c r="O52" i="198" s="1"/>
  <c r="J52" i="198" s="1"/>
  <c r="H52" i="198"/>
  <c r="G52" i="198"/>
  <c r="F52" i="198"/>
  <c r="E52" i="198"/>
  <c r="P52" i="198" s="1"/>
  <c r="K51" i="198"/>
  <c r="O51" i="198" s="1"/>
  <c r="J51" i="198" s="1"/>
  <c r="H51" i="198"/>
  <c r="G51" i="198"/>
  <c r="F51" i="198"/>
  <c r="E51" i="198"/>
  <c r="P51" i="198" s="1"/>
  <c r="K50" i="198"/>
  <c r="O50" i="198" s="1"/>
  <c r="H50" i="198"/>
  <c r="G50" i="198"/>
  <c r="F50" i="198"/>
  <c r="F49" i="198" s="1"/>
  <c r="E50" i="198"/>
  <c r="N49" i="198"/>
  <c r="M49" i="198"/>
  <c r="M47" i="198" s="1"/>
  <c r="M46" i="198" s="1"/>
  <c r="M45" i="198" s="1"/>
  <c r="L49" i="198"/>
  <c r="I49" i="198"/>
  <c r="I47" i="198" s="1"/>
  <c r="I46" i="198" s="1"/>
  <c r="I45" i="198" s="1"/>
  <c r="H49" i="198"/>
  <c r="G49" i="198"/>
  <c r="E49" i="198"/>
  <c r="L48" i="198"/>
  <c r="K48" i="198"/>
  <c r="H48" i="198"/>
  <c r="G48" i="198"/>
  <c r="F48" i="198"/>
  <c r="E48" i="198" s="1"/>
  <c r="N47" i="198"/>
  <c r="N46" i="198" s="1"/>
  <c r="N45" i="198" s="1"/>
  <c r="O44" i="198"/>
  <c r="J44" i="198" s="1"/>
  <c r="F44" i="198"/>
  <c r="E44" i="198"/>
  <c r="P44" i="198" s="1"/>
  <c r="K43" i="198"/>
  <c r="O43" i="198" s="1"/>
  <c r="J43" i="198" s="1"/>
  <c r="F43" i="198"/>
  <c r="E43" i="198" s="1"/>
  <c r="K42" i="198"/>
  <c r="O42" i="198" s="1"/>
  <c r="E42" i="198"/>
  <c r="O41" i="198"/>
  <c r="J41" i="198" s="1"/>
  <c r="E41" i="198"/>
  <c r="N40" i="198"/>
  <c r="M40" i="198"/>
  <c r="L40" i="198"/>
  <c r="K40" i="198"/>
  <c r="I40" i="198"/>
  <c r="H40" i="198"/>
  <c r="G40" i="198"/>
  <c r="F40" i="198"/>
  <c r="E40" i="198"/>
  <c r="N39" i="198"/>
  <c r="M39" i="198"/>
  <c r="L39" i="198"/>
  <c r="K39" i="198"/>
  <c r="I39" i="198"/>
  <c r="H39" i="198"/>
  <c r="G39" i="198"/>
  <c r="O38" i="198"/>
  <c r="J38" i="198" s="1"/>
  <c r="J37" i="198" s="1"/>
  <c r="K38" i="198"/>
  <c r="F38" i="198"/>
  <c r="E38" i="198"/>
  <c r="P38" i="198" s="1"/>
  <c r="P37" i="198" s="1"/>
  <c r="N37" i="198"/>
  <c r="N33" i="198" s="1"/>
  <c r="M37" i="198"/>
  <c r="M33" i="198" s="1"/>
  <c r="L37" i="198"/>
  <c r="K37" i="198"/>
  <c r="I37" i="198"/>
  <c r="I33" i="198" s="1"/>
  <c r="H37" i="198"/>
  <c r="G37" i="198"/>
  <c r="F37" i="198"/>
  <c r="F33" i="198" s="1"/>
  <c r="E37" i="198"/>
  <c r="E33" i="198" s="1"/>
  <c r="K36" i="198"/>
  <c r="O36" i="198" s="1"/>
  <c r="J36" i="198" s="1"/>
  <c r="E36" i="198"/>
  <c r="P36" i="198" s="1"/>
  <c r="K35" i="198"/>
  <c r="K34" i="198" s="1"/>
  <c r="K33" i="198" s="1"/>
  <c r="F35" i="198"/>
  <c r="E35" i="198"/>
  <c r="N34" i="198"/>
  <c r="M34" i="198"/>
  <c r="L34" i="198"/>
  <c r="I34" i="198"/>
  <c r="H34" i="198"/>
  <c r="G34" i="198"/>
  <c r="F34" i="198"/>
  <c r="E34" i="198"/>
  <c r="L33" i="198"/>
  <c r="H33" i="198"/>
  <c r="G33" i="198"/>
  <c r="P32" i="198"/>
  <c r="J32" i="198"/>
  <c r="F32" i="198"/>
  <c r="E32" i="198"/>
  <c r="O30" i="198"/>
  <c r="O29" i="198" s="1"/>
  <c r="L30" i="198"/>
  <c r="J30" i="198"/>
  <c r="E30" i="198"/>
  <c r="P30" i="198" s="1"/>
  <c r="N29" i="198"/>
  <c r="N26" i="198" s="1"/>
  <c r="N22" i="198" s="1"/>
  <c r="M29" i="198"/>
  <c r="M26" i="198" s="1"/>
  <c r="M22" i="198" s="1"/>
  <c r="M16" i="198" s="1"/>
  <c r="L29" i="198"/>
  <c r="K29" i="198"/>
  <c r="J29" i="198"/>
  <c r="I29" i="198"/>
  <c r="I26" i="198" s="1"/>
  <c r="I22" i="198" s="1"/>
  <c r="I16" i="198" s="1"/>
  <c r="H29" i="198"/>
  <c r="G29" i="198"/>
  <c r="F29" i="198"/>
  <c r="F26" i="198" s="1"/>
  <c r="F22" i="198" s="1"/>
  <c r="E29" i="198"/>
  <c r="P29" i="198" s="1"/>
  <c r="O28" i="198"/>
  <c r="J28" i="198"/>
  <c r="F28" i="198"/>
  <c r="E28" i="198" s="1"/>
  <c r="K27" i="198"/>
  <c r="O27" i="198" s="1"/>
  <c r="J27" i="198" s="1"/>
  <c r="P27" i="198" s="1"/>
  <c r="E27" i="198"/>
  <c r="L26" i="198"/>
  <c r="K26" i="198"/>
  <c r="H26" i="198"/>
  <c r="G26" i="198"/>
  <c r="G22" i="198" s="1"/>
  <c r="G16" i="198" s="1"/>
  <c r="J25" i="198"/>
  <c r="P25" i="198" s="1"/>
  <c r="E25" i="198"/>
  <c r="K24" i="198"/>
  <c r="K23" i="198" s="1"/>
  <c r="K22" i="198" s="1"/>
  <c r="F24" i="198"/>
  <c r="E24" i="198"/>
  <c r="N23" i="198"/>
  <c r="M23" i="198"/>
  <c r="L23" i="198"/>
  <c r="I23" i="198"/>
  <c r="H23" i="198"/>
  <c r="G23" i="198"/>
  <c r="F23" i="198"/>
  <c r="E23" i="198"/>
  <c r="L22" i="198"/>
  <c r="L16" i="198" s="1"/>
  <c r="H22" i="198"/>
  <c r="H16" i="198" s="1"/>
  <c r="O21" i="198"/>
  <c r="J21" i="198" s="1"/>
  <c r="F21" i="198"/>
  <c r="E21" i="198"/>
  <c r="P21" i="198" s="1"/>
  <c r="O20" i="198"/>
  <c r="J20" i="198"/>
  <c r="P20" i="198" s="1"/>
  <c r="F20" i="198"/>
  <c r="E20" i="198" s="1"/>
  <c r="O19" i="198"/>
  <c r="J19" i="198"/>
  <c r="P19" i="198" s="1"/>
  <c r="E19" i="198"/>
  <c r="K18" i="198"/>
  <c r="O18" i="198" s="1"/>
  <c r="H18" i="198"/>
  <c r="G18" i="198"/>
  <c r="F18" i="198"/>
  <c r="E18" i="198" s="1"/>
  <c r="E17" i="198" s="1"/>
  <c r="N17" i="198"/>
  <c r="M17" i="198"/>
  <c r="L17" i="198"/>
  <c r="I17" i="198"/>
  <c r="H17" i="198"/>
  <c r="G17" i="198"/>
  <c r="F17" i="198"/>
  <c r="J227" i="167"/>
  <c r="I227" i="167"/>
  <c r="H227" i="167"/>
  <c r="G228" i="167"/>
  <c r="H321" i="167"/>
  <c r="H320" i="167"/>
  <c r="P395" i="199" l="1"/>
  <c r="Q347" i="199"/>
  <c r="P346" i="199"/>
  <c r="J251" i="199"/>
  <c r="Q385" i="199"/>
  <c r="P384" i="199"/>
  <c r="J337" i="199"/>
  <c r="P338" i="199"/>
  <c r="J312" i="199"/>
  <c r="P313" i="199"/>
  <c r="Q395" i="199"/>
  <c r="P394" i="199"/>
  <c r="P194" i="199"/>
  <c r="E365" i="199"/>
  <c r="P366" i="199"/>
  <c r="L15" i="198"/>
  <c r="J26" i="198"/>
  <c r="O26" i="198"/>
  <c r="P50" i="198"/>
  <c r="O49" i="198"/>
  <c r="J50" i="198"/>
  <c r="J49" i="198" s="1"/>
  <c r="P67" i="198"/>
  <c r="E66" i="198"/>
  <c r="P66" i="198" s="1"/>
  <c r="L184" i="198"/>
  <c r="I216" i="198"/>
  <c r="I215" i="198" s="1"/>
  <c r="N16" i="198"/>
  <c r="J18" i="198"/>
  <c r="O17" i="198"/>
  <c r="P28" i="198"/>
  <c r="P26" i="198" s="1"/>
  <c r="J42" i="198"/>
  <c r="O40" i="198"/>
  <c r="O39" i="198" s="1"/>
  <c r="P49" i="198"/>
  <c r="J64" i="198"/>
  <c r="O63" i="198"/>
  <c r="P85" i="198"/>
  <c r="E184" i="198"/>
  <c r="L193" i="198"/>
  <c r="L216" i="198"/>
  <c r="F16" i="198"/>
  <c r="H15" i="198"/>
  <c r="I15" i="198"/>
  <c r="M15" i="198"/>
  <c r="J40" i="198"/>
  <c r="J39" i="198" s="1"/>
  <c r="P41" i="198"/>
  <c r="P40" i="198" s="1"/>
  <c r="P42" i="198"/>
  <c r="G15" i="198"/>
  <c r="E39" i="198"/>
  <c r="E16" i="198" s="1"/>
  <c r="P43" i="198"/>
  <c r="G46" i="198"/>
  <c r="G45" i="198" s="1"/>
  <c r="J80" i="198"/>
  <c r="O79" i="198"/>
  <c r="J79" i="198" s="1"/>
  <c r="I104" i="198"/>
  <c r="I103" i="198" s="1"/>
  <c r="P130" i="198"/>
  <c r="P129" i="198" s="1"/>
  <c r="J152" i="198"/>
  <c r="P153" i="198"/>
  <c r="P152" i="198" s="1"/>
  <c r="P188" i="198"/>
  <c r="I134" i="198"/>
  <c r="I133" i="198" s="1"/>
  <c r="J141" i="198"/>
  <c r="O140" i="198"/>
  <c r="F139" i="198"/>
  <c r="N194" i="198"/>
  <c r="N193" i="198" s="1"/>
  <c r="J272" i="198"/>
  <c r="O271" i="198"/>
  <c r="O268" i="198" s="1"/>
  <c r="O265" i="198" s="1"/>
  <c r="P296" i="198"/>
  <c r="P295" i="198" s="1"/>
  <c r="P294" i="198" s="1"/>
  <c r="J295" i="198"/>
  <c r="J294" i="198" s="1"/>
  <c r="E396" i="198"/>
  <c r="E395" i="198" s="1"/>
  <c r="J414" i="198"/>
  <c r="J413" i="198" s="1"/>
  <c r="O413" i="198"/>
  <c r="O411" i="198" s="1"/>
  <c r="O404" i="198" s="1"/>
  <c r="O403" i="198" s="1"/>
  <c r="O35" i="198"/>
  <c r="J61" i="198"/>
  <c r="J60" i="198" s="1"/>
  <c r="P60" i="198" s="1"/>
  <c r="O66" i="198"/>
  <c r="O70" i="198"/>
  <c r="J70" i="198" s="1"/>
  <c r="P70" i="198" s="1"/>
  <c r="K79" i="198"/>
  <c r="P106" i="198"/>
  <c r="P107" i="198"/>
  <c r="E105" i="198"/>
  <c r="J116" i="198"/>
  <c r="P147" i="198"/>
  <c r="P150" i="198"/>
  <c r="P149" i="198" s="1"/>
  <c r="K197" i="198"/>
  <c r="K194" i="198" s="1"/>
  <c r="K193" i="198" s="1"/>
  <c r="P199" i="198"/>
  <c r="E230" i="198"/>
  <c r="F229" i="198"/>
  <c r="J236" i="198"/>
  <c r="O234" i="198"/>
  <c r="E278" i="198"/>
  <c r="P280" i="198"/>
  <c r="P282" i="198"/>
  <c r="E286" i="198"/>
  <c r="E284" i="198" s="1"/>
  <c r="E283" i="198" s="1"/>
  <c r="F284" i="198"/>
  <c r="F283" i="198" s="1"/>
  <c r="E292" i="198"/>
  <c r="E291" i="198" s="1"/>
  <c r="P311" i="198"/>
  <c r="P310" i="198" s="1"/>
  <c r="P309" i="198" s="1"/>
  <c r="E26" i="198"/>
  <c r="E22" i="198" s="1"/>
  <c r="O37" i="198"/>
  <c r="L47" i="198"/>
  <c r="L46" i="198" s="1"/>
  <c r="O48" i="198"/>
  <c r="O47" i="198" s="1"/>
  <c r="O46" i="198" s="1"/>
  <c r="O45" i="198" s="1"/>
  <c r="K49" i="198"/>
  <c r="E63" i="198"/>
  <c r="P71" i="198"/>
  <c r="K73" i="198"/>
  <c r="K47" i="198" s="1"/>
  <c r="K46" i="198" s="1"/>
  <c r="K45" i="198" s="1"/>
  <c r="E81" i="198"/>
  <c r="P81" i="198" s="1"/>
  <c r="F79" i="198"/>
  <c r="E79" i="198" s="1"/>
  <c r="E85" i="198"/>
  <c r="P90" i="198"/>
  <c r="P88" i="198" s="1"/>
  <c r="K108" i="198"/>
  <c r="G108" i="198"/>
  <c r="G104" i="198" s="1"/>
  <c r="G103" i="198" s="1"/>
  <c r="F118" i="198"/>
  <c r="F108" i="198" s="1"/>
  <c r="F104" i="198" s="1"/>
  <c r="F103" i="198" s="1"/>
  <c r="J118" i="198"/>
  <c r="E121" i="198"/>
  <c r="E129" i="198"/>
  <c r="E123" i="198" s="1"/>
  <c r="O129" i="198"/>
  <c r="O123" i="198" s="1"/>
  <c r="J130" i="198"/>
  <c r="J129" i="198" s="1"/>
  <c r="F135" i="198"/>
  <c r="O135" i="198"/>
  <c r="H149" i="198"/>
  <c r="H139" i="198" s="1"/>
  <c r="H134" i="198" s="1"/>
  <c r="O152" i="198"/>
  <c r="P159" i="198"/>
  <c r="P158" i="198" s="1"/>
  <c r="E158" i="198"/>
  <c r="E139" i="198" s="1"/>
  <c r="E134" i="198" s="1"/>
  <c r="P162" i="198"/>
  <c r="J166" i="198"/>
  <c r="P187" i="198"/>
  <c r="P186" i="198" s="1"/>
  <c r="P185" i="198" s="1"/>
  <c r="P196" i="198"/>
  <c r="P195" i="198" s="1"/>
  <c r="P201" i="198"/>
  <c r="E204" i="198"/>
  <c r="F203" i="198"/>
  <c r="F197" i="198" s="1"/>
  <c r="J209" i="198"/>
  <c r="M216" i="198"/>
  <c r="M215" i="198" s="1"/>
  <c r="E226" i="198"/>
  <c r="F224" i="198"/>
  <c r="N223" i="198"/>
  <c r="N216" i="198" s="1"/>
  <c r="N215" i="198" s="1"/>
  <c r="P235" i="198"/>
  <c r="P244" i="198"/>
  <c r="P243" i="198" s="1"/>
  <c r="P242" i="198" s="1"/>
  <c r="E243" i="198"/>
  <c r="E242" i="198" s="1"/>
  <c r="E241" i="198" s="1"/>
  <c r="O249" i="198"/>
  <c r="O248" i="198" s="1"/>
  <c r="N252" i="198"/>
  <c r="N251" i="198" s="1"/>
  <c r="K253" i="198"/>
  <c r="O254" i="198"/>
  <c r="P260" i="198"/>
  <c r="J261" i="198"/>
  <c r="P261" i="198" s="1"/>
  <c r="O258" i="198"/>
  <c r="O257" i="198" s="1"/>
  <c r="G278" i="198"/>
  <c r="G277" i="198" s="1"/>
  <c r="H278" i="198"/>
  <c r="H277" i="198" s="1"/>
  <c r="P287" i="198"/>
  <c r="L291" i="198"/>
  <c r="L278" i="198" s="1"/>
  <c r="O310" i="198"/>
  <c r="O309" i="198" s="1"/>
  <c r="I313" i="198"/>
  <c r="I312" i="198" s="1"/>
  <c r="O327" i="198"/>
  <c r="K326" i="198"/>
  <c r="K324" i="198" s="1"/>
  <c r="K323" i="198" s="1"/>
  <c r="K313" i="198" s="1"/>
  <c r="K312" i="198" s="1"/>
  <c r="P368" i="198"/>
  <c r="P367" i="198" s="1"/>
  <c r="P69" i="198"/>
  <c r="P73" i="198"/>
  <c r="P82" i="198"/>
  <c r="J155" i="198"/>
  <c r="P155" i="198" s="1"/>
  <c r="P157" i="198"/>
  <c r="P176" i="198"/>
  <c r="O230" i="198"/>
  <c r="K229" i="198"/>
  <c r="K223" i="198" s="1"/>
  <c r="L252" i="198"/>
  <c r="P303" i="198"/>
  <c r="E300" i="198"/>
  <c r="E297" i="198" s="1"/>
  <c r="O345" i="198"/>
  <c r="K344" i="198"/>
  <c r="K343" i="198" s="1"/>
  <c r="K17" i="198"/>
  <c r="K16" i="198" s="1"/>
  <c r="O24" i="198"/>
  <c r="P68" i="198"/>
  <c r="P72" i="198"/>
  <c r="E82" i="198"/>
  <c r="E47" i="198" s="1"/>
  <c r="E46" i="198" s="1"/>
  <c r="P94" i="198"/>
  <c r="P93" i="198" s="1"/>
  <c r="P92" i="198" s="1"/>
  <c r="N104" i="198"/>
  <c r="N103" i="198" s="1"/>
  <c r="P118" i="198"/>
  <c r="L123" i="198"/>
  <c r="L104" i="198" s="1"/>
  <c r="L103" i="198" s="1"/>
  <c r="L139" i="198"/>
  <c r="O178" i="198"/>
  <c r="F194" i="198"/>
  <c r="F193" i="198" s="1"/>
  <c r="E220" i="198"/>
  <c r="E217" i="198" s="1"/>
  <c r="J225" i="198"/>
  <c r="J224" i="198" s="1"/>
  <c r="O224" i="198"/>
  <c r="E258" i="198"/>
  <c r="F278" i="198"/>
  <c r="F277" i="198" s="1"/>
  <c r="F39" i="198"/>
  <c r="P54" i="198"/>
  <c r="P53" i="198" s="1"/>
  <c r="F63" i="198"/>
  <c r="F47" i="198" s="1"/>
  <c r="F46" i="198" s="1"/>
  <c r="F45" i="198" s="1"/>
  <c r="P80" i="198"/>
  <c r="P84" i="198"/>
  <c r="J96" i="198"/>
  <c r="K105" i="198"/>
  <c r="K104" i="198" s="1"/>
  <c r="K103" i="198" s="1"/>
  <c r="O105" i="198"/>
  <c r="P110" i="198"/>
  <c r="P112" i="198"/>
  <c r="E114" i="198"/>
  <c r="J115" i="198"/>
  <c r="J114" i="198" s="1"/>
  <c r="J108" i="198" s="1"/>
  <c r="O114" i="198"/>
  <c r="O108" i="198" s="1"/>
  <c r="P120" i="198"/>
  <c r="E118" i="198"/>
  <c r="J126" i="198"/>
  <c r="P136" i="198"/>
  <c r="P135" i="198" s="1"/>
  <c r="N139" i="198"/>
  <c r="N134" i="198" s="1"/>
  <c r="N133" i="198" s="1"/>
  <c r="J188" i="198"/>
  <c r="J184" i="198" s="1"/>
  <c r="O207" i="198"/>
  <c r="O206" i="198" s="1"/>
  <c r="K220" i="198"/>
  <c r="K217" i="198" s="1"/>
  <c r="O221" i="198"/>
  <c r="P225" i="198"/>
  <c r="H252" i="198"/>
  <c r="H251" i="198" s="1"/>
  <c r="E262" i="198"/>
  <c r="P262" i="198" s="1"/>
  <c r="F257" i="198"/>
  <c r="F252" i="198" s="1"/>
  <c r="F251" i="198" s="1"/>
  <c r="P267" i="198"/>
  <c r="P266" i="198" s="1"/>
  <c r="P289" i="198"/>
  <c r="M278" i="198"/>
  <c r="M277" i="198" s="1"/>
  <c r="P306" i="198"/>
  <c r="P305" i="198" s="1"/>
  <c r="P304" i="198" s="1"/>
  <c r="E305" i="198"/>
  <c r="E304" i="198" s="1"/>
  <c r="L312" i="198"/>
  <c r="N313" i="198"/>
  <c r="N312" i="198" s="1"/>
  <c r="P328" i="198"/>
  <c r="E377" i="198"/>
  <c r="F376" i="198"/>
  <c r="F372" i="198" s="1"/>
  <c r="F369" i="198" s="1"/>
  <c r="F366" i="198" s="1"/>
  <c r="F365" i="198" s="1"/>
  <c r="P400" i="198"/>
  <c r="P399" i="198" s="1"/>
  <c r="O401" i="198"/>
  <c r="J402" i="198"/>
  <c r="J405" i="198"/>
  <c r="P407" i="198"/>
  <c r="P198" i="198"/>
  <c r="J204" i="198"/>
  <c r="J203" i="198" s="1"/>
  <c r="J197" i="198" s="1"/>
  <c r="O203" i="198"/>
  <c r="O197" i="198" s="1"/>
  <c r="O194" i="198" s="1"/>
  <c r="P210" i="198"/>
  <c r="G216" i="198"/>
  <c r="G215" i="198" s="1"/>
  <c r="P233" i="198"/>
  <c r="P232" i="198" s="1"/>
  <c r="P237" i="198"/>
  <c r="P240" i="198"/>
  <c r="P239" i="198" s="1"/>
  <c r="P238" i="198" s="1"/>
  <c r="E239" i="198"/>
  <c r="E238" i="198" s="1"/>
  <c r="P250" i="198"/>
  <c r="P249" i="198" s="1"/>
  <c r="P248" i="198" s="1"/>
  <c r="P259" i="198"/>
  <c r="J258" i="198"/>
  <c r="J257" i="198" s="1"/>
  <c r="J284" i="198"/>
  <c r="J283" i="198" s="1"/>
  <c r="P285" i="198"/>
  <c r="O292" i="198"/>
  <c r="O291" i="198" s="1"/>
  <c r="O278" i="198" s="1"/>
  <c r="O277" i="198" s="1"/>
  <c r="J293" i="198"/>
  <c r="J292" i="198" s="1"/>
  <c r="P301" i="198"/>
  <c r="J300" i="198"/>
  <c r="J297" i="198" s="1"/>
  <c r="J306" i="198"/>
  <c r="J305" i="198" s="1"/>
  <c r="J304" i="198" s="1"/>
  <c r="O305" i="198"/>
  <c r="O304" i="198" s="1"/>
  <c r="F313" i="198"/>
  <c r="F312" i="198" s="1"/>
  <c r="K338" i="198"/>
  <c r="K337" i="198" s="1"/>
  <c r="J339" i="198"/>
  <c r="M347" i="198"/>
  <c r="M346" i="198" s="1"/>
  <c r="O351" i="198"/>
  <c r="O358" i="198"/>
  <c r="J359" i="198"/>
  <c r="K366" i="198"/>
  <c r="K365" i="198" s="1"/>
  <c r="P383" i="198"/>
  <c r="P382" i="198" s="1"/>
  <c r="P381" i="198" s="1"/>
  <c r="J382" i="198"/>
  <c r="J381" i="198" s="1"/>
  <c r="L394" i="198"/>
  <c r="K186" i="198"/>
  <c r="K185" i="198" s="1"/>
  <c r="K184" i="198" s="1"/>
  <c r="K134" i="198" s="1"/>
  <c r="K133" i="198" s="1"/>
  <c r="P228" i="198"/>
  <c r="P227" i="198" s="1"/>
  <c r="O247" i="198"/>
  <c r="K266" i="198"/>
  <c r="K265" i="198" s="1"/>
  <c r="O275" i="198"/>
  <c r="O274" i="198" s="1"/>
  <c r="P276" i="198"/>
  <c r="P275" i="198" s="1"/>
  <c r="P274" i="198" s="1"/>
  <c r="N278" i="198"/>
  <c r="N277" i="198" s="1"/>
  <c r="P298" i="198"/>
  <c r="P315" i="198"/>
  <c r="E314" i="198"/>
  <c r="E313" i="198" s="1"/>
  <c r="P317" i="198"/>
  <c r="F338" i="198"/>
  <c r="F337" i="198" s="1"/>
  <c r="E337" i="198"/>
  <c r="P340" i="198"/>
  <c r="P342" i="198"/>
  <c r="H347" i="198"/>
  <c r="H346" i="198" s="1"/>
  <c r="P354" i="198"/>
  <c r="P353" i="198" s="1"/>
  <c r="E353" i="198"/>
  <c r="E352" i="198" s="1"/>
  <c r="E351" i="198" s="1"/>
  <c r="E347" i="198" s="1"/>
  <c r="F411" i="198"/>
  <c r="J364" i="198"/>
  <c r="L365" i="198"/>
  <c r="J366" i="198"/>
  <c r="J365" i="198" s="1"/>
  <c r="I404" i="198"/>
  <c r="I403" i="198" s="1"/>
  <c r="M404" i="198"/>
  <c r="M403" i="198" s="1"/>
  <c r="P410" i="198"/>
  <c r="P409" i="198" s="1"/>
  <c r="P408" i="198" s="1"/>
  <c r="Q423" i="198"/>
  <c r="O321" i="198"/>
  <c r="O320" i="198" s="1"/>
  <c r="J322" i="198"/>
  <c r="N338" i="198"/>
  <c r="N337" i="198" s="1"/>
  <c r="L347" i="198"/>
  <c r="L346" i="198" s="1"/>
  <c r="K348" i="198"/>
  <c r="K347" i="198" s="1"/>
  <c r="K346" i="198" s="1"/>
  <c r="O349" i="198"/>
  <c r="P356" i="198"/>
  <c r="P355" i="198" s="1"/>
  <c r="P352" i="198" s="1"/>
  <c r="E385" i="198"/>
  <c r="E384" i="198" s="1"/>
  <c r="P387" i="198"/>
  <c r="P386" i="198" s="1"/>
  <c r="J390" i="198"/>
  <c r="J389" i="198" s="1"/>
  <c r="J385" i="198" s="1"/>
  <c r="J384" i="198" s="1"/>
  <c r="P391" i="198"/>
  <c r="P390" i="198" s="1"/>
  <c r="P389" i="198" s="1"/>
  <c r="K396" i="198"/>
  <c r="K395" i="198" s="1"/>
  <c r="K394" i="198" s="1"/>
  <c r="O397" i="198"/>
  <c r="N404" i="198"/>
  <c r="N403" i="198" s="1"/>
  <c r="J433" i="198"/>
  <c r="P374" i="198"/>
  <c r="P375" i="198"/>
  <c r="J377" i="198"/>
  <c r="J376" i="198" s="1"/>
  <c r="J372" i="198" s="1"/>
  <c r="J369" i="198" s="1"/>
  <c r="O376" i="198"/>
  <c r="O372" i="198" s="1"/>
  <c r="O369" i="198" s="1"/>
  <c r="O366" i="198" s="1"/>
  <c r="O365" i="198" s="1"/>
  <c r="P380" i="198"/>
  <c r="P379" i="198" s="1"/>
  <c r="P378" i="198" s="1"/>
  <c r="I385" i="198"/>
  <c r="I384" i="198" s="1"/>
  <c r="M385" i="198"/>
  <c r="M384" i="198" s="1"/>
  <c r="H385" i="198"/>
  <c r="H384" i="198" s="1"/>
  <c r="O398" i="198"/>
  <c r="F404" i="198"/>
  <c r="F403" i="198" s="1"/>
  <c r="P406" i="198"/>
  <c r="P405" i="198" s="1"/>
  <c r="G411" i="198"/>
  <c r="G404" i="198" s="1"/>
  <c r="G403" i="198" s="1"/>
  <c r="J412" i="198"/>
  <c r="P420" i="198"/>
  <c r="P419" i="198" s="1"/>
  <c r="P418" i="198" s="1"/>
  <c r="E414" i="198"/>
  <c r="K230" i="165"/>
  <c r="P193" i="199" l="1"/>
  <c r="Q194" i="199"/>
  <c r="Q366" i="199"/>
  <c r="P365" i="199"/>
  <c r="Q313" i="199"/>
  <c r="P312" i="199"/>
  <c r="P337" i="199"/>
  <c r="Q338" i="199"/>
  <c r="O193" i="198"/>
  <c r="J194" i="198"/>
  <c r="J193" i="198" s="1"/>
  <c r="E133" i="198"/>
  <c r="E346" i="198"/>
  <c r="P46" i="198"/>
  <c r="E45" i="198"/>
  <c r="H133" i="198"/>
  <c r="H421" i="198"/>
  <c r="H432" i="198" s="1"/>
  <c r="E15" i="198"/>
  <c r="J411" i="198"/>
  <c r="P412" i="198"/>
  <c r="P411" i="198" s="1"/>
  <c r="P404" i="198" s="1"/>
  <c r="P364" i="198"/>
  <c r="P363" i="198" s="1"/>
  <c r="J363" i="198"/>
  <c r="K15" i="198"/>
  <c r="J278" i="198"/>
  <c r="J277" i="198" s="1"/>
  <c r="L277" i="198"/>
  <c r="E277" i="198"/>
  <c r="P278" i="198"/>
  <c r="P339" i="198"/>
  <c r="J401" i="198"/>
  <c r="J398" i="198" s="1"/>
  <c r="P402" i="198"/>
  <c r="P401" i="198" s="1"/>
  <c r="E108" i="198"/>
  <c r="E257" i="198"/>
  <c r="E252" i="198" s="1"/>
  <c r="O229" i="198"/>
  <c r="J230" i="198"/>
  <c r="J229" i="198" s="1"/>
  <c r="J327" i="198"/>
  <c r="O326" i="198"/>
  <c r="O324" i="198" s="1"/>
  <c r="O323" i="198" s="1"/>
  <c r="O313" i="198" s="1"/>
  <c r="K252" i="198"/>
  <c r="K251" i="198" s="1"/>
  <c r="F223" i="198"/>
  <c r="F216" i="198" s="1"/>
  <c r="F215" i="198" s="1"/>
  <c r="P79" i="198"/>
  <c r="J46" i="198"/>
  <c r="J45" i="198" s="1"/>
  <c r="L45" i="198"/>
  <c r="P230" i="198"/>
  <c r="P229" i="198" s="1"/>
  <c r="E229" i="198"/>
  <c r="J271" i="198"/>
  <c r="J268" i="198" s="1"/>
  <c r="J265" i="198" s="1"/>
  <c r="P272" i="198"/>
  <c r="P271" i="198" s="1"/>
  <c r="P268" i="198" s="1"/>
  <c r="P265" i="198" s="1"/>
  <c r="O139" i="198"/>
  <c r="O134" i="198" s="1"/>
  <c r="O133" i="198" s="1"/>
  <c r="G421" i="198"/>
  <c r="G432" i="198" s="1"/>
  <c r="P39" i="198"/>
  <c r="I421" i="198"/>
  <c r="I432" i="198" s="1"/>
  <c r="P64" i="198"/>
  <c r="J63" i="198"/>
  <c r="J404" i="198"/>
  <c r="J403" i="198" s="1"/>
  <c r="P126" i="198"/>
  <c r="P125" i="198" s="1"/>
  <c r="P124" i="198" s="1"/>
  <c r="P123" i="198" s="1"/>
  <c r="J125" i="198"/>
  <c r="J124" i="198" s="1"/>
  <c r="J123" i="198" s="1"/>
  <c r="J104" i="198" s="1"/>
  <c r="J103" i="198" s="1"/>
  <c r="O104" i="198"/>
  <c r="O103" i="198" s="1"/>
  <c r="J254" i="198"/>
  <c r="O253" i="198"/>
  <c r="O252" i="198" s="1"/>
  <c r="O251" i="198" s="1"/>
  <c r="P209" i="198"/>
  <c r="P208" i="198" s="1"/>
  <c r="P207" i="198" s="1"/>
  <c r="P206" i="198" s="1"/>
  <c r="J208" i="198"/>
  <c r="J207" i="198" s="1"/>
  <c r="J206" i="198" s="1"/>
  <c r="E104" i="198"/>
  <c r="E103" i="198" s="1"/>
  <c r="M421" i="198"/>
  <c r="M432" i="198" s="1"/>
  <c r="J247" i="198"/>
  <c r="O245" i="198"/>
  <c r="O241" i="198" s="1"/>
  <c r="J358" i="198"/>
  <c r="J351" i="198" s="1"/>
  <c r="P359" i="198"/>
  <c r="P358" i="198" s="1"/>
  <c r="P351" i="198" s="1"/>
  <c r="P300" i="198"/>
  <c r="P297" i="198" s="1"/>
  <c r="P377" i="198"/>
  <c r="P376" i="198" s="1"/>
  <c r="P372" i="198" s="1"/>
  <c r="P369" i="198" s="1"/>
  <c r="E376" i="198"/>
  <c r="E372" i="198" s="1"/>
  <c r="E369" i="198" s="1"/>
  <c r="E366" i="198" s="1"/>
  <c r="O220" i="198"/>
  <c r="O217" i="198" s="1"/>
  <c r="J221" i="198"/>
  <c r="O348" i="198"/>
  <c r="O347" i="198" s="1"/>
  <c r="O346" i="198" s="1"/>
  <c r="J349" i="198"/>
  <c r="E312" i="198"/>
  <c r="J291" i="198"/>
  <c r="K216" i="198"/>
  <c r="K215" i="198" s="1"/>
  <c r="P96" i="198"/>
  <c r="P95" i="198" s="1"/>
  <c r="J95" i="198"/>
  <c r="J91" i="198" s="1"/>
  <c r="O223" i="198"/>
  <c r="O177" i="198"/>
  <c r="J178" i="198"/>
  <c r="J345" i="198"/>
  <c r="O344" i="198"/>
  <c r="O343" i="198" s="1"/>
  <c r="O338" i="198" s="1"/>
  <c r="L251" i="198"/>
  <c r="J252" i="198"/>
  <c r="J251" i="198" s="1"/>
  <c r="P286" i="198"/>
  <c r="P284" i="198" s="1"/>
  <c r="P283" i="198" s="1"/>
  <c r="P226" i="198"/>
  <c r="P224" i="198" s="1"/>
  <c r="E224" i="198"/>
  <c r="E223" i="198" s="1"/>
  <c r="E216" i="198" s="1"/>
  <c r="P204" i="198"/>
  <c r="P203" i="198" s="1"/>
  <c r="P197" i="198" s="1"/>
  <c r="E203" i="198"/>
  <c r="E197" i="198" s="1"/>
  <c r="E194" i="198" s="1"/>
  <c r="F134" i="198"/>
  <c r="F133" i="198" s="1"/>
  <c r="P63" i="198"/>
  <c r="O33" i="198"/>
  <c r="P105" i="198"/>
  <c r="P104" i="198" s="1"/>
  <c r="E394" i="198"/>
  <c r="J140" i="198"/>
  <c r="P141" i="198"/>
  <c r="P140" i="198" s="1"/>
  <c r="F421" i="198"/>
  <c r="F432" i="198" s="1"/>
  <c r="F15" i="198"/>
  <c r="P61" i="198"/>
  <c r="J17" i="198"/>
  <c r="P18" i="198"/>
  <c r="P17" i="198" s="1"/>
  <c r="P414" i="198"/>
  <c r="P413" i="198" s="1"/>
  <c r="E413" i="198"/>
  <c r="E411" i="198" s="1"/>
  <c r="E404" i="198" s="1"/>
  <c r="E403" i="198" s="1"/>
  <c r="O396" i="198"/>
  <c r="O395" i="198" s="1"/>
  <c r="J397" i="198"/>
  <c r="P385" i="198"/>
  <c r="J321" i="198"/>
  <c r="J320" i="198" s="1"/>
  <c r="P322" i="198"/>
  <c r="P321" i="198" s="1"/>
  <c r="P320" i="198" s="1"/>
  <c r="P314" i="198"/>
  <c r="P258" i="198"/>
  <c r="P257" i="198" s="1"/>
  <c r="P398" i="198"/>
  <c r="L134" i="198"/>
  <c r="P91" i="198"/>
  <c r="J24" i="198"/>
  <c r="O23" i="198"/>
  <c r="O22" i="198" s="1"/>
  <c r="O16" i="198" s="1"/>
  <c r="P115" i="198"/>
  <c r="P114" i="198" s="1"/>
  <c r="P108" i="198" s="1"/>
  <c r="J161" i="198"/>
  <c r="P166" i="198"/>
  <c r="P161" i="198" s="1"/>
  <c r="P293" i="198"/>
  <c r="P292" i="198" s="1"/>
  <c r="P291" i="198" s="1"/>
  <c r="P279" i="198"/>
  <c r="P236" i="198"/>
  <c r="P234" i="198" s="1"/>
  <c r="J234" i="198"/>
  <c r="J223" i="198" s="1"/>
  <c r="J35" i="198"/>
  <c r="O34" i="198"/>
  <c r="P184" i="198"/>
  <c r="J48" i="198"/>
  <c r="L215" i="198"/>
  <c r="N421" i="198"/>
  <c r="N432" i="198" s="1"/>
  <c r="N15" i="198"/>
  <c r="L421" i="198"/>
  <c r="L432" i="198" s="1"/>
  <c r="K246" i="165"/>
  <c r="O312" i="198" l="1"/>
  <c r="J313" i="198"/>
  <c r="Q404" i="198"/>
  <c r="P403" i="198"/>
  <c r="O15" i="198"/>
  <c r="J16" i="198"/>
  <c r="E215" i="198"/>
  <c r="E421" i="198"/>
  <c r="P223" i="198"/>
  <c r="P139" i="198"/>
  <c r="J326" i="198"/>
  <c r="J324" i="198" s="1"/>
  <c r="J323" i="198" s="1"/>
  <c r="P327" i="198"/>
  <c r="P326" i="198" s="1"/>
  <c r="P324" i="198" s="1"/>
  <c r="P323" i="198" s="1"/>
  <c r="Q278" i="198"/>
  <c r="P277" i="198"/>
  <c r="P45" i="198"/>
  <c r="P345" i="198"/>
  <c r="P344" i="198" s="1"/>
  <c r="P343" i="198" s="1"/>
  <c r="J344" i="198"/>
  <c r="J343" i="198" s="1"/>
  <c r="J220" i="198"/>
  <c r="J217" i="198" s="1"/>
  <c r="P221" i="198"/>
  <c r="P220" i="198" s="1"/>
  <c r="P217" i="198" s="1"/>
  <c r="J245" i="198"/>
  <c r="J241" i="198" s="1"/>
  <c r="P247" i="198"/>
  <c r="P245" i="198" s="1"/>
  <c r="P241" i="198" s="1"/>
  <c r="P103" i="198"/>
  <c r="Q104" i="198"/>
  <c r="O337" i="198"/>
  <c r="J338" i="198"/>
  <c r="Q385" i="198"/>
  <c r="P384" i="198"/>
  <c r="J177" i="198"/>
  <c r="J139" i="198" s="1"/>
  <c r="P178" i="198"/>
  <c r="P177" i="198" s="1"/>
  <c r="O216" i="198"/>
  <c r="K421" i="198"/>
  <c r="J47" i="198"/>
  <c r="P48" i="198"/>
  <c r="P47" i="198" s="1"/>
  <c r="O394" i="198"/>
  <c r="J395" i="198"/>
  <c r="E193" i="198"/>
  <c r="P194" i="198"/>
  <c r="P254" i="198"/>
  <c r="P253" i="198" s="1"/>
  <c r="J253" i="198"/>
  <c r="P24" i="198"/>
  <c r="P23" i="198" s="1"/>
  <c r="P22" i="198" s="1"/>
  <c r="J23" i="198"/>
  <c r="J22" i="198" s="1"/>
  <c r="J34" i="198"/>
  <c r="J33" i="198" s="1"/>
  <c r="P35" i="198"/>
  <c r="P34" i="198" s="1"/>
  <c r="P33" i="198" s="1"/>
  <c r="J134" i="198"/>
  <c r="L133" i="198"/>
  <c r="J396" i="198"/>
  <c r="P397" i="198"/>
  <c r="P396" i="198" s="1"/>
  <c r="J348" i="198"/>
  <c r="J347" i="198" s="1"/>
  <c r="P349" i="198"/>
  <c r="P348" i="198" s="1"/>
  <c r="E365" i="198"/>
  <c r="P366" i="198"/>
  <c r="E251" i="198"/>
  <c r="P252" i="198"/>
  <c r="J31" i="167"/>
  <c r="I31" i="167"/>
  <c r="K27" i="165"/>
  <c r="F38" i="165"/>
  <c r="J133" i="198" l="1"/>
  <c r="P134" i="198"/>
  <c r="Q366" i="198"/>
  <c r="P365" i="198"/>
  <c r="J394" i="198"/>
  <c r="P395" i="198"/>
  <c r="J15" i="198"/>
  <c r="P16" i="198"/>
  <c r="O215" i="198"/>
  <c r="J216" i="198"/>
  <c r="F435" i="198"/>
  <c r="E433" i="198"/>
  <c r="E435" i="198"/>
  <c r="E432" i="198"/>
  <c r="F433" i="198"/>
  <c r="J312" i="198"/>
  <c r="P313" i="198"/>
  <c r="J346" i="198"/>
  <c r="P347" i="198"/>
  <c r="J337" i="198"/>
  <c r="P338" i="198"/>
  <c r="K432" i="198"/>
  <c r="K435" i="198"/>
  <c r="Q252" i="198"/>
  <c r="P251" i="198"/>
  <c r="Q194" i="198"/>
  <c r="P193" i="198"/>
  <c r="Q46" i="198"/>
  <c r="O421" i="198"/>
  <c r="K299" i="165"/>
  <c r="J92" i="184"/>
  <c r="F340" i="165"/>
  <c r="F342" i="165"/>
  <c r="G276" i="167"/>
  <c r="E104" i="170"/>
  <c r="D104" i="170"/>
  <c r="O432" i="198" l="1"/>
  <c r="O435" i="198"/>
  <c r="Q338" i="198"/>
  <c r="P337" i="198"/>
  <c r="Q313" i="198"/>
  <c r="P312" i="198"/>
  <c r="J215" i="198"/>
  <c r="P216" i="198"/>
  <c r="J421" i="198"/>
  <c r="P394" i="198"/>
  <c r="Q395" i="198"/>
  <c r="Q134" i="198"/>
  <c r="P133" i="198"/>
  <c r="P346" i="198"/>
  <c r="Q347" i="198"/>
  <c r="P421" i="198"/>
  <c r="Q16" i="198"/>
  <c r="P15" i="198"/>
  <c r="E98" i="170"/>
  <c r="N278" i="165"/>
  <c r="M278" i="165"/>
  <c r="L278" i="165"/>
  <c r="I278" i="165"/>
  <c r="H278" i="165"/>
  <c r="O311" i="165"/>
  <c r="J311" i="165" s="1"/>
  <c r="J310" i="165" s="1"/>
  <c r="J309" i="165" s="1"/>
  <c r="E311" i="165"/>
  <c r="O310" i="165"/>
  <c r="N310" i="165"/>
  <c r="M310" i="165"/>
  <c r="L310" i="165"/>
  <c r="K310" i="165"/>
  <c r="I310" i="165"/>
  <c r="H310" i="165"/>
  <c r="G310" i="165"/>
  <c r="F310" i="165"/>
  <c r="F309" i="165" s="1"/>
  <c r="O309" i="165"/>
  <c r="N309" i="165"/>
  <c r="M309" i="165"/>
  <c r="L309" i="165"/>
  <c r="K309" i="165"/>
  <c r="I309" i="165"/>
  <c r="H309" i="165"/>
  <c r="G309" i="165"/>
  <c r="J217" i="167"/>
  <c r="J216" i="167"/>
  <c r="I216" i="167"/>
  <c r="I217" i="167"/>
  <c r="F103" i="188"/>
  <c r="D103" i="188"/>
  <c r="D99" i="188"/>
  <c r="D98" i="188" s="1"/>
  <c r="P432" i="198" l="1"/>
  <c r="Q421" i="198"/>
  <c r="P215" i="198"/>
  <c r="Q216" i="198"/>
  <c r="J435" i="198"/>
  <c r="J432" i="198"/>
  <c r="P433" i="198"/>
  <c r="P311" i="165"/>
  <c r="P310" i="165" s="1"/>
  <c r="P309" i="165" s="1"/>
  <c r="E310" i="165"/>
  <c r="E309" i="165" s="1"/>
  <c r="K286" i="165" l="1"/>
  <c r="K50" i="165"/>
  <c r="F51" i="165"/>
  <c r="D53" i="172" l="1"/>
  <c r="C53" i="172" s="1"/>
  <c r="C52" i="172" s="1"/>
  <c r="C51" i="172"/>
  <c r="C50" i="172" s="1"/>
  <c r="F52" i="172"/>
  <c r="E52" i="172"/>
  <c r="F50" i="172"/>
  <c r="E50" i="172"/>
  <c r="D50" i="172"/>
  <c r="D22" i="172"/>
  <c r="D24" i="172"/>
  <c r="D23" i="172" s="1"/>
  <c r="F21" i="172"/>
  <c r="F20" i="172" s="1"/>
  <c r="E21" i="172"/>
  <c r="F23" i="172"/>
  <c r="E23" i="172"/>
  <c r="D60" i="170"/>
  <c r="D47" i="170"/>
  <c r="D35" i="170"/>
  <c r="D141" i="188"/>
  <c r="D124" i="188"/>
  <c r="E49" i="172" l="1"/>
  <c r="D21" i="172"/>
  <c r="D20" i="172" s="1"/>
  <c r="C22" i="172"/>
  <c r="C21" i="172" s="1"/>
  <c r="F49" i="172"/>
  <c r="D52" i="172"/>
  <c r="D49" i="172"/>
  <c r="C49" i="172"/>
  <c r="E20" i="172"/>
  <c r="C24" i="172"/>
  <c r="C23" i="172" s="1"/>
  <c r="C20" i="172"/>
  <c r="J43" i="167"/>
  <c r="I43" i="167"/>
  <c r="J50" i="167"/>
  <c r="I50" i="167"/>
  <c r="H46" i="167"/>
  <c r="J46" i="167"/>
  <c r="I46" i="167"/>
  <c r="H44" i="167"/>
  <c r="D92" i="170"/>
  <c r="K43" i="165"/>
  <c r="F32" i="165"/>
  <c r="D30" i="108"/>
  <c r="D35" i="108"/>
  <c r="H25" i="167"/>
  <c r="H28" i="167"/>
  <c r="F21" i="165"/>
  <c r="H18" i="165"/>
  <c r="F254" i="165"/>
  <c r="J338" i="167"/>
  <c r="I338" i="167"/>
  <c r="K397" i="165"/>
  <c r="F397" i="165"/>
  <c r="F349" i="165"/>
  <c r="J161" i="167"/>
  <c r="I161" i="167"/>
  <c r="H157" i="167"/>
  <c r="K210" i="165"/>
  <c r="G201" i="165"/>
  <c r="F198" i="165"/>
  <c r="H196" i="165"/>
  <c r="F196" i="165"/>
  <c r="G233" i="165"/>
  <c r="F233" i="165"/>
  <c r="F231" i="165"/>
  <c r="K221" i="165"/>
  <c r="F235" i="165"/>
  <c r="F226" i="165"/>
  <c r="J122" i="184"/>
  <c r="J118" i="184"/>
  <c r="J120" i="184"/>
  <c r="J124" i="184"/>
  <c r="J107" i="184"/>
  <c r="J116" i="184"/>
  <c r="H109" i="184"/>
  <c r="J109" i="184"/>
  <c r="I109" i="184" s="1"/>
  <c r="J293" i="167"/>
  <c r="I293" i="167"/>
  <c r="J291" i="167"/>
  <c r="I291" i="167"/>
  <c r="H290" i="167"/>
  <c r="G292" i="167"/>
  <c r="J287" i="167"/>
  <c r="I287" i="167"/>
  <c r="K319" i="165"/>
  <c r="K330" i="165"/>
  <c r="K322" i="165"/>
  <c r="K328" i="165"/>
  <c r="K327" i="165"/>
  <c r="J93" i="167"/>
  <c r="K86" i="165"/>
  <c r="O87" i="165"/>
  <c r="F85" i="165"/>
  <c r="G85" i="165"/>
  <c r="H85" i="165"/>
  <c r="I85" i="165"/>
  <c r="L85" i="165"/>
  <c r="M85" i="165"/>
  <c r="N85" i="165"/>
  <c r="E87" i="165"/>
  <c r="O86" i="165"/>
  <c r="O85" i="165" s="1"/>
  <c r="E86" i="165"/>
  <c r="K51" i="165"/>
  <c r="K48" i="165"/>
  <c r="H90" i="165"/>
  <c r="K69" i="165"/>
  <c r="F69" i="165"/>
  <c r="K61" i="165"/>
  <c r="H61" i="165"/>
  <c r="L48" i="165"/>
  <c r="J96" i="167"/>
  <c r="I96" i="167"/>
  <c r="K64" i="165"/>
  <c r="K59" i="165"/>
  <c r="H67" i="165"/>
  <c r="H64" i="165"/>
  <c r="H59" i="165"/>
  <c r="H52" i="165"/>
  <c r="H51" i="165"/>
  <c r="H50" i="165"/>
  <c r="H48" i="165"/>
  <c r="G62" i="165"/>
  <c r="F62" i="165"/>
  <c r="G69" i="165"/>
  <c r="I29" i="184"/>
  <c r="I28" i="184"/>
  <c r="I33" i="184"/>
  <c r="K33" i="184" s="1"/>
  <c r="J36" i="184"/>
  <c r="I36" i="184" s="1"/>
  <c r="K36" i="184" s="1"/>
  <c r="J30" i="184"/>
  <c r="K29" i="184" l="1"/>
  <c r="K28" i="184"/>
  <c r="J290" i="167"/>
  <c r="H93" i="167"/>
  <c r="K85" i="165"/>
  <c r="E85" i="165"/>
  <c r="O48" i="165"/>
  <c r="H92" i="167"/>
  <c r="J86" i="165"/>
  <c r="P86" i="165" s="1"/>
  <c r="J87" i="165"/>
  <c r="P87" i="165" s="1"/>
  <c r="J92" i="167"/>
  <c r="I30" i="184"/>
  <c r="K30" i="184" s="1"/>
  <c r="J34" i="184"/>
  <c r="J37" i="184"/>
  <c r="G51" i="165"/>
  <c r="K166" i="165"/>
  <c r="F147" i="165"/>
  <c r="J48" i="184"/>
  <c r="I48" i="184" s="1"/>
  <c r="I47" i="184" s="1"/>
  <c r="K187" i="165"/>
  <c r="H47" i="184"/>
  <c r="K270" i="165"/>
  <c r="K179" i="165"/>
  <c r="G178" i="165"/>
  <c r="K178" i="165"/>
  <c r="K151" i="165"/>
  <c r="G151" i="165"/>
  <c r="F151" i="165"/>
  <c r="J47" i="184" l="1"/>
  <c r="J85" i="165"/>
  <c r="I93" i="167"/>
  <c r="G93" i="167" s="1"/>
  <c r="G92" i="167"/>
  <c r="I92" i="167"/>
  <c r="P85" i="165"/>
  <c r="K48" i="184"/>
  <c r="F373" i="165"/>
  <c r="F115" i="165"/>
  <c r="F111" i="165"/>
  <c r="F110" i="165"/>
  <c r="J107" i="167"/>
  <c r="I107" i="167"/>
  <c r="H107" i="167"/>
  <c r="F109" i="165"/>
  <c r="H217" i="167"/>
  <c r="H216" i="167"/>
  <c r="F262" i="165"/>
  <c r="K267" i="165"/>
  <c r="K263" i="165"/>
  <c r="K259" i="165"/>
  <c r="H226" i="167"/>
  <c r="F264" i="165"/>
  <c r="G218" i="167"/>
  <c r="F259" i="165"/>
  <c r="K306" i="165"/>
  <c r="J259" i="167"/>
  <c r="I259" i="167"/>
  <c r="J262" i="167"/>
  <c r="I262" i="167"/>
  <c r="J261" i="167"/>
  <c r="I261" i="167"/>
  <c r="J103" i="184"/>
  <c r="J101" i="184"/>
  <c r="J100" i="184"/>
  <c r="J99" i="184"/>
  <c r="H82" i="184"/>
  <c r="J82" i="184"/>
  <c r="J89" i="184"/>
  <c r="J80" i="184"/>
  <c r="J76" i="184"/>
  <c r="J267" i="167"/>
  <c r="I267" i="167"/>
  <c r="K293" i="165"/>
  <c r="J249" i="167"/>
  <c r="I249" i="167"/>
  <c r="K289" i="165"/>
  <c r="F296" i="165"/>
  <c r="H245" i="167"/>
  <c r="F287" i="165"/>
  <c r="H243" i="167"/>
  <c r="F286" i="165"/>
  <c r="J256" i="167" l="1"/>
  <c r="I256" i="167"/>
  <c r="G258" i="167"/>
  <c r="G257" i="167"/>
  <c r="E209" i="165" l="1"/>
  <c r="H153" i="165" l="1"/>
  <c r="D28" i="170"/>
  <c r="D111" i="188"/>
  <c r="K170" i="165"/>
  <c r="D33" i="170"/>
  <c r="D123" i="188"/>
  <c r="J306" i="167" l="1"/>
  <c r="I306" i="167"/>
  <c r="F263" i="165" l="1"/>
  <c r="K189" i="165" l="1"/>
  <c r="F17" i="107"/>
  <c r="G246" i="167"/>
  <c r="K52" i="165"/>
  <c r="K111" i="165" l="1"/>
  <c r="F120" i="165"/>
  <c r="E104" i="188"/>
  <c r="F100" i="188"/>
  <c r="E100" i="188"/>
  <c r="F97" i="188"/>
  <c r="E97" i="188"/>
  <c r="D78" i="188"/>
  <c r="D71" i="188"/>
  <c r="D56" i="188"/>
  <c r="D55" i="188"/>
  <c r="D35" i="188"/>
  <c r="D33" i="188"/>
  <c r="D31" i="188"/>
  <c r="D21" i="188"/>
  <c r="F240" i="165"/>
  <c r="K247" i="165"/>
  <c r="K201" i="165"/>
  <c r="F200" i="165"/>
  <c r="K200" i="165"/>
  <c r="F199" i="165"/>
  <c r="K199" i="165"/>
  <c r="K196" i="165"/>
  <c r="J307" i="167"/>
  <c r="K349" i="165"/>
  <c r="G279" i="167"/>
  <c r="G54" i="167"/>
  <c r="J45" i="167"/>
  <c r="I45" i="167"/>
  <c r="H45" i="167"/>
  <c r="J47" i="167"/>
  <c r="I47" i="167"/>
  <c r="J53" i="167"/>
  <c r="I53" i="167"/>
  <c r="H48" i="167"/>
  <c r="D17" i="108"/>
  <c r="D20" i="108"/>
  <c r="D19" i="108"/>
  <c r="L30" i="165"/>
  <c r="K400" i="165" l="1"/>
  <c r="O400" i="165" l="1"/>
  <c r="K18" i="165"/>
  <c r="H53" i="167" l="1"/>
  <c r="J103" i="167" l="1"/>
  <c r="I103" i="167"/>
  <c r="J21" i="167" l="1"/>
  <c r="I21" i="167"/>
  <c r="I17" i="167"/>
  <c r="K211" i="165"/>
  <c r="M36" i="167" l="1"/>
  <c r="G36" i="167"/>
  <c r="K150" i="165"/>
  <c r="H322" i="167"/>
  <c r="F374" i="165"/>
  <c r="J265" i="167" l="1"/>
  <c r="I265" i="167"/>
  <c r="J220" i="167" l="1"/>
  <c r="I220" i="167"/>
  <c r="H220" i="167"/>
  <c r="K261" i="165"/>
  <c r="F261" i="165"/>
  <c r="F27" i="197" l="1"/>
  <c r="F13" i="197"/>
  <c r="L391" i="165" l="1"/>
  <c r="O391" i="165"/>
  <c r="I39" i="167" l="1"/>
  <c r="J22" i="167" l="1"/>
  <c r="I22" i="167"/>
  <c r="K38" i="165"/>
  <c r="J312" i="167"/>
  <c r="I312" i="167"/>
  <c r="K359" i="165"/>
  <c r="M423" i="165" l="1"/>
  <c r="M230" i="165"/>
  <c r="M178" i="165"/>
  <c r="H178" i="165"/>
  <c r="H40" i="184" l="1"/>
  <c r="H54" i="184"/>
  <c r="J225" i="167"/>
  <c r="G226" i="167"/>
  <c r="N423" i="165"/>
  <c r="J326" i="167"/>
  <c r="I326" i="167"/>
  <c r="H326" i="167"/>
  <c r="K377" i="165"/>
  <c r="F377" i="165"/>
  <c r="F202" i="165"/>
  <c r="E26" i="172"/>
  <c r="E55" i="172" s="1"/>
  <c r="K115" i="165"/>
  <c r="K130" i="165"/>
  <c r="J43" i="184"/>
  <c r="I43" i="184" s="1"/>
  <c r="J44" i="184"/>
  <c r="K126" i="165"/>
  <c r="J40" i="184" l="1"/>
  <c r="F159" i="165"/>
  <c r="H159" i="167"/>
  <c r="F176" i="165"/>
  <c r="N178" i="165"/>
  <c r="K153" i="165"/>
  <c r="F141" i="165"/>
  <c r="K136" i="165"/>
  <c r="J143" i="167"/>
  <c r="G144" i="167"/>
  <c r="K345" i="165"/>
  <c r="J313" i="167"/>
  <c r="I313" i="167"/>
  <c r="H346" i="167"/>
  <c r="I27" i="107"/>
  <c r="H27" i="107"/>
  <c r="J346" i="167" s="1"/>
  <c r="J343" i="167" s="1"/>
  <c r="G27" i="107"/>
  <c r="I346" i="167" s="1"/>
  <c r="I343" i="167" s="1"/>
  <c r="K103" i="184"/>
  <c r="K102" i="184"/>
  <c r="K101" i="184"/>
  <c r="K100" i="184"/>
  <c r="K99" i="184"/>
  <c r="J98" i="184"/>
  <c r="J90" i="184"/>
  <c r="J88" i="184"/>
  <c r="J85" i="184"/>
  <c r="J84" i="184"/>
  <c r="J83" i="184"/>
  <c r="J81" i="184"/>
  <c r="I64" i="184"/>
  <c r="K64" i="184" s="1"/>
  <c r="D31" i="108"/>
  <c r="L301" i="165"/>
  <c r="G266" i="167"/>
  <c r="J264" i="167"/>
  <c r="I264" i="167"/>
  <c r="O287" i="165"/>
  <c r="E287" i="165"/>
  <c r="N284" i="165"/>
  <c r="M284" i="165"/>
  <c r="L284" i="165"/>
  <c r="K284" i="165"/>
  <c r="I284" i="165"/>
  <c r="H284" i="165"/>
  <c r="G284" i="165"/>
  <c r="F284" i="165"/>
  <c r="F284" i="199" s="1"/>
  <c r="J300" i="167"/>
  <c r="I300" i="167"/>
  <c r="K340" i="165"/>
  <c r="K254" i="165"/>
  <c r="J231" i="167"/>
  <c r="G232" i="167"/>
  <c r="K260" i="165"/>
  <c r="J222" i="167"/>
  <c r="G223" i="167"/>
  <c r="J221" i="167"/>
  <c r="G220" i="167"/>
  <c r="D15" i="108"/>
  <c r="I76" i="184"/>
  <c r="K76" i="184" s="1"/>
  <c r="H52" i="167"/>
  <c r="G50" i="167"/>
  <c r="D87" i="170"/>
  <c r="F44" i="165"/>
  <c r="O30" i="165"/>
  <c r="K24" i="165"/>
  <c r="F24" i="165"/>
  <c r="J39" i="167"/>
  <c r="K36" i="165"/>
  <c r="H24" i="167"/>
  <c r="G27" i="167"/>
  <c r="M31" i="167"/>
  <c r="G31" i="167"/>
  <c r="O27" i="165"/>
  <c r="E27" i="165"/>
  <c r="J287" i="165" l="1"/>
  <c r="H244" i="167"/>
  <c r="G244" i="167" s="1"/>
  <c r="K31" i="167"/>
  <c r="J27" i="165"/>
  <c r="G346" i="167"/>
  <c r="P287" i="165"/>
  <c r="D18" i="188"/>
  <c r="J17" i="167"/>
  <c r="H21" i="167"/>
  <c r="F90" i="165"/>
  <c r="F24" i="197"/>
  <c r="F19" i="197"/>
  <c r="F17" i="197"/>
  <c r="P27" i="165" l="1"/>
  <c r="L31" i="167"/>
  <c r="G21" i="167"/>
  <c r="J35" i="184" l="1"/>
  <c r="J91" i="167"/>
  <c r="J90" i="167"/>
  <c r="J27" i="184"/>
  <c r="K80" i="165"/>
  <c r="J21" i="184"/>
  <c r="J20" i="184" l="1"/>
  <c r="I21" i="184"/>
  <c r="C142" i="188"/>
  <c r="D109" i="188"/>
  <c r="C102" i="188"/>
  <c r="F99" i="188"/>
  <c r="E99" i="188"/>
  <c r="C109" i="188" l="1"/>
  <c r="I35" i="184"/>
  <c r="K35" i="184" s="1"/>
  <c r="G291" i="167" l="1"/>
  <c r="G286" i="167"/>
  <c r="J285" i="167"/>
  <c r="J123" i="184"/>
  <c r="H111" i="184"/>
  <c r="H110" i="184"/>
  <c r="J119" i="184"/>
  <c r="J108" i="184"/>
  <c r="J111" i="184"/>
  <c r="I111" i="184" s="1"/>
  <c r="J110" i="184"/>
  <c r="I110" i="184" s="1"/>
  <c r="G287" i="167" l="1"/>
  <c r="K325" i="165" l="1"/>
  <c r="N82" i="165" l="1"/>
  <c r="M82" i="165"/>
  <c r="L82" i="165"/>
  <c r="K82" i="165"/>
  <c r="I82" i="165"/>
  <c r="H82" i="165"/>
  <c r="G82" i="165"/>
  <c r="F82" i="165"/>
  <c r="O84" i="165"/>
  <c r="E84" i="165"/>
  <c r="O83" i="165"/>
  <c r="E83" i="165"/>
  <c r="H91" i="167" l="1"/>
  <c r="H90" i="167"/>
  <c r="E82" i="165"/>
  <c r="J84" i="165"/>
  <c r="J83" i="165"/>
  <c r="P83" i="165" s="1"/>
  <c r="O82" i="165"/>
  <c r="P84" i="165"/>
  <c r="J82" i="165" l="1"/>
  <c r="I90" i="167"/>
  <c r="G90" i="167" s="1"/>
  <c r="P82" i="165"/>
  <c r="I91" i="167"/>
  <c r="G91" i="167" s="1"/>
  <c r="D80" i="170"/>
  <c r="D94" i="170"/>
  <c r="K393" i="165"/>
  <c r="F393" i="165"/>
  <c r="J314" i="167"/>
  <c r="F362" i="165"/>
  <c r="F306" i="165"/>
  <c r="J176" i="167"/>
  <c r="G194" i="167"/>
  <c r="G177" i="167"/>
  <c r="G171" i="167"/>
  <c r="J170" i="167"/>
  <c r="G142" i="167"/>
  <c r="G157" i="167"/>
  <c r="J110" i="167"/>
  <c r="G111" i="167"/>
  <c r="G107" i="167"/>
  <c r="D81" i="170" l="1"/>
  <c r="J141" i="167"/>
  <c r="J193" i="167"/>
  <c r="D88" i="170" l="1"/>
  <c r="O44" i="165"/>
  <c r="E44" i="165"/>
  <c r="F20" i="165"/>
  <c r="J61" i="167"/>
  <c r="I61" i="167"/>
  <c r="H61" i="167"/>
  <c r="G62" i="167"/>
  <c r="J106" i="167" l="1"/>
  <c r="J44" i="165"/>
  <c r="J202" i="167"/>
  <c r="O233" i="165"/>
  <c r="E233" i="165"/>
  <c r="N232" i="165"/>
  <c r="M232" i="165"/>
  <c r="L232" i="165"/>
  <c r="K232" i="165"/>
  <c r="I232" i="165"/>
  <c r="H232" i="165"/>
  <c r="G232" i="165"/>
  <c r="F232" i="165"/>
  <c r="O232" i="165" l="1"/>
  <c r="J233" i="165"/>
  <c r="P44" i="165"/>
  <c r="H202" i="167"/>
  <c r="E232" i="165"/>
  <c r="J163" i="184"/>
  <c r="J141" i="197"/>
  <c r="I163" i="184"/>
  <c r="I141" i="197"/>
  <c r="H163" i="184"/>
  <c r="H141" i="197"/>
  <c r="G163" i="184"/>
  <c r="G142" i="108"/>
  <c r="G141" i="197"/>
  <c r="C141" i="188"/>
  <c r="D142" i="184"/>
  <c r="D121" i="108"/>
  <c r="D120" i="197"/>
  <c r="J94" i="184"/>
  <c r="I94" i="184" s="1"/>
  <c r="P233" i="165" l="1"/>
  <c r="J232" i="165"/>
  <c r="I202" i="167"/>
  <c r="G202" i="167" s="1"/>
  <c r="P232" i="165"/>
  <c r="O27" i="107" l="1"/>
  <c r="N27" i="107"/>
  <c r="M27" i="107"/>
  <c r="Q27" i="107" s="1"/>
  <c r="N26" i="107"/>
  <c r="M26" i="107"/>
  <c r="L25" i="107"/>
  <c r="L24" i="107" s="1"/>
  <c r="L23" i="107" s="1"/>
  <c r="L22" i="107" s="1"/>
  <c r="K25" i="107"/>
  <c r="K24" i="107"/>
  <c r="K23" i="107" s="1"/>
  <c r="K22" i="107" s="1"/>
  <c r="J25" i="107"/>
  <c r="J21" i="107" s="1"/>
  <c r="J20" i="107" s="1"/>
  <c r="I25" i="107"/>
  <c r="I24" i="107" s="1"/>
  <c r="I23" i="107" s="1"/>
  <c r="H25" i="107"/>
  <c r="H24" i="107" s="1"/>
  <c r="H23" i="107" s="1"/>
  <c r="H22" i="107" s="1"/>
  <c r="G25" i="107"/>
  <c r="G24" i="107" s="1"/>
  <c r="G23" i="107" s="1"/>
  <c r="G22" i="107" s="1"/>
  <c r="Q23" i="107"/>
  <c r="Q22" i="107" s="1"/>
  <c r="P27" i="107"/>
  <c r="P25" i="107" s="1"/>
  <c r="P26" i="107"/>
  <c r="G26" i="107"/>
  <c r="O26" i="107" s="1"/>
  <c r="F24" i="107"/>
  <c r="F23" i="107" s="1"/>
  <c r="F22" i="107" s="1"/>
  <c r="L21" i="107"/>
  <c r="L20" i="107" s="1"/>
  <c r="K21" i="107"/>
  <c r="K20" i="107" s="1"/>
  <c r="H21" i="107"/>
  <c r="H20" i="107" s="1"/>
  <c r="F21" i="107"/>
  <c r="F20" i="107" s="1"/>
  <c r="J24" i="107" l="1"/>
  <c r="J23" i="107" s="1"/>
  <c r="J22" i="107" s="1"/>
  <c r="M25" i="107"/>
  <c r="Q25" i="107" s="1"/>
  <c r="N25" i="107"/>
  <c r="N21" i="107" s="1"/>
  <c r="N20" i="107" s="1"/>
  <c r="P21" i="107"/>
  <c r="P20" i="107" s="1"/>
  <c r="P24" i="107"/>
  <c r="P23" i="107" s="1"/>
  <c r="P22" i="107" s="1"/>
  <c r="O25" i="107"/>
  <c r="O21" i="107" s="1"/>
  <c r="O20" i="107" s="1"/>
  <c r="O24" i="107"/>
  <c r="O23" i="107" s="1"/>
  <c r="O22" i="107" s="1"/>
  <c r="M24" i="107"/>
  <c r="M23" i="107" s="1"/>
  <c r="M22" i="107" s="1"/>
  <c r="N24" i="107"/>
  <c r="N23" i="107" s="1"/>
  <c r="N22" i="107" s="1"/>
  <c r="M21" i="107"/>
  <c r="M20" i="107" s="1"/>
  <c r="G21" i="107"/>
  <c r="G20" i="107" s="1"/>
  <c r="I26" i="107"/>
  <c r="J268" i="167"/>
  <c r="I268" i="167"/>
  <c r="J263" i="167"/>
  <c r="I263" i="167"/>
  <c r="M259" i="167" l="1"/>
  <c r="I21" i="107"/>
  <c r="I20" i="107" s="1"/>
  <c r="Q26" i="107"/>
  <c r="Q21" i="107" s="1"/>
  <c r="Q20" i="107" s="1"/>
  <c r="G256" i="167"/>
  <c r="J44" i="167" l="1"/>
  <c r="M43" i="167" s="1"/>
  <c r="I44" i="167"/>
  <c r="F368" i="165" l="1"/>
  <c r="F380" i="165"/>
  <c r="F375" i="165"/>
  <c r="J148" i="167" l="1"/>
  <c r="M148" i="167" s="1"/>
  <c r="H161" i="167"/>
  <c r="H150" i="167"/>
  <c r="G150" i="167" s="1"/>
  <c r="G161" i="167" l="1"/>
  <c r="I123" i="184" l="1"/>
  <c r="I121" i="184"/>
  <c r="I119" i="184"/>
  <c r="L123" i="184"/>
  <c r="L121" i="184"/>
  <c r="L119" i="184"/>
  <c r="L111" i="184"/>
  <c r="L110" i="184"/>
  <c r="I107" i="184"/>
  <c r="K111" i="184" l="1"/>
  <c r="K110" i="184"/>
  <c r="L109" i="184" l="1"/>
  <c r="L118" i="184"/>
  <c r="I118" i="184"/>
  <c r="D16" i="170" l="1"/>
  <c r="D14" i="170"/>
  <c r="D107" i="188"/>
  <c r="C108" i="188"/>
  <c r="C107" i="188" l="1"/>
  <c r="I98" i="184"/>
  <c r="K98" i="184" s="1"/>
  <c r="I97" i="184"/>
  <c r="G160" i="167"/>
  <c r="J208" i="167" l="1"/>
  <c r="O246" i="165"/>
  <c r="E246" i="165"/>
  <c r="N245" i="165"/>
  <c r="M245" i="165"/>
  <c r="L245" i="165"/>
  <c r="K245" i="165"/>
  <c r="I245" i="165"/>
  <c r="H245" i="165"/>
  <c r="G245" i="165"/>
  <c r="F245" i="165"/>
  <c r="K244" i="165"/>
  <c r="G315" i="167"/>
  <c r="O364" i="165"/>
  <c r="E364" i="165"/>
  <c r="N363" i="165"/>
  <c r="M363" i="165"/>
  <c r="L363" i="165"/>
  <c r="K363" i="165"/>
  <c r="I363" i="165"/>
  <c r="H363" i="165"/>
  <c r="G363" i="165"/>
  <c r="F363" i="165"/>
  <c r="H208" i="167" l="1"/>
  <c r="J246" i="165"/>
  <c r="E79" i="170"/>
  <c r="E363" i="165"/>
  <c r="O363" i="165"/>
  <c r="J364" i="165"/>
  <c r="G52" i="167"/>
  <c r="P246" i="165" l="1"/>
  <c r="J363" i="165"/>
  <c r="I208" i="167"/>
  <c r="G208" i="167" s="1"/>
  <c r="P364" i="165"/>
  <c r="P363" i="165" l="1"/>
  <c r="J54" i="184"/>
  <c r="G259" i="167" l="1"/>
  <c r="G268" i="167"/>
  <c r="G267" i="167"/>
  <c r="G265" i="167"/>
  <c r="G264" i="167"/>
  <c r="G263" i="167"/>
  <c r="G243" i="167"/>
  <c r="G262" i="167"/>
  <c r="G261" i="167"/>
  <c r="G260" i="167"/>
  <c r="I74" i="184"/>
  <c r="K74" i="184" s="1"/>
  <c r="I78" i="184"/>
  <c r="K94" i="184"/>
  <c r="I71" i="184"/>
  <c r="K71" i="184" s="1"/>
  <c r="I93" i="184"/>
  <c r="K93" i="184" s="1"/>
  <c r="I92" i="184"/>
  <c r="K92" i="184" s="1"/>
  <c r="I91" i="184"/>
  <c r="K91" i="184" s="1"/>
  <c r="J87" i="184"/>
  <c r="J86" i="184"/>
  <c r="F282" i="165"/>
  <c r="M216" i="167"/>
  <c r="H230" i="167"/>
  <c r="D27" i="108"/>
  <c r="G51" i="167"/>
  <c r="F28" i="165"/>
  <c r="F65" i="165"/>
  <c r="O61" i="165"/>
  <c r="L61" i="165"/>
  <c r="I80" i="184" l="1"/>
  <c r="K78" i="184"/>
  <c r="I26" i="184" l="1"/>
  <c r="K26" i="184" s="1"/>
  <c r="I24" i="184"/>
  <c r="K24" i="184" s="1"/>
  <c r="I23" i="184"/>
  <c r="K23" i="184" s="1"/>
  <c r="I22" i="184"/>
  <c r="K22" i="184" s="1"/>
  <c r="I37" i="184"/>
  <c r="O178" i="165"/>
  <c r="L178" i="165"/>
  <c r="J165" i="167"/>
  <c r="E189" i="165"/>
  <c r="H165" i="167" l="1"/>
  <c r="J156" i="167"/>
  <c r="M156" i="167" s="1"/>
  <c r="O189" i="165"/>
  <c r="J189" i="165" l="1"/>
  <c r="M312" i="167"/>
  <c r="I165" i="167" l="1"/>
  <c r="G165" i="167" s="1"/>
  <c r="P189" i="165"/>
  <c r="F236" i="165"/>
  <c r="H184" i="167"/>
  <c r="H182" i="167"/>
  <c r="J180" i="167"/>
  <c r="H340" i="165"/>
  <c r="F280" i="165"/>
  <c r="J335" i="167" l="1"/>
  <c r="F28" i="197"/>
  <c r="K169" i="197" l="1"/>
  <c r="K402" i="165" l="1"/>
  <c r="I333" i="167"/>
  <c r="D95" i="170"/>
  <c r="O393" i="165"/>
  <c r="J318" i="167"/>
  <c r="O368" i="165"/>
  <c r="E368" i="165"/>
  <c r="N367" i="165"/>
  <c r="M367" i="165"/>
  <c r="L367" i="165"/>
  <c r="K367" i="165"/>
  <c r="I367" i="165"/>
  <c r="H367" i="165"/>
  <c r="G367" i="165"/>
  <c r="F367" i="165"/>
  <c r="E367" i="165"/>
  <c r="J327" i="167"/>
  <c r="O380" i="165"/>
  <c r="E380" i="165"/>
  <c r="N379" i="165"/>
  <c r="M379" i="165"/>
  <c r="L379" i="165"/>
  <c r="K379" i="165"/>
  <c r="I379" i="165"/>
  <c r="H379" i="165"/>
  <c r="G379" i="165"/>
  <c r="F379" i="165"/>
  <c r="N378" i="165"/>
  <c r="M378" i="165"/>
  <c r="L378" i="165"/>
  <c r="J323" i="167"/>
  <c r="O375" i="165"/>
  <c r="E375" i="165"/>
  <c r="E89" i="188"/>
  <c r="F378" i="165" l="1"/>
  <c r="G378" i="165"/>
  <c r="H378" i="165"/>
  <c r="I378" i="165"/>
  <c r="J368" i="165"/>
  <c r="H318" i="167"/>
  <c r="K378" i="165"/>
  <c r="J380" i="165"/>
  <c r="E379" i="165"/>
  <c r="J375" i="165"/>
  <c r="H323" i="167"/>
  <c r="O367" i="165"/>
  <c r="H327" i="167"/>
  <c r="O379" i="165"/>
  <c r="P368" i="165"/>
  <c r="I327" i="167" l="1"/>
  <c r="P375" i="165"/>
  <c r="J367" i="165"/>
  <c r="I318" i="167"/>
  <c r="G318" i="167" s="1"/>
  <c r="P367" i="165"/>
  <c r="O378" i="165"/>
  <c r="J379" i="165"/>
  <c r="P380" i="165"/>
  <c r="E378" i="165"/>
  <c r="I323" i="167"/>
  <c r="G323" i="167" s="1"/>
  <c r="G327" i="167"/>
  <c r="P379" i="165" l="1"/>
  <c r="J378" i="165"/>
  <c r="P378" i="165" l="1"/>
  <c r="K123" i="184"/>
  <c r="L122" i="184"/>
  <c r="K121" i="184"/>
  <c r="K119" i="184"/>
  <c r="K118" i="184"/>
  <c r="J117" i="184"/>
  <c r="J106" i="184" s="1"/>
  <c r="K107" i="184"/>
  <c r="L120" i="184" l="1"/>
  <c r="I120" i="184"/>
  <c r="K120" i="184" s="1"/>
  <c r="L116" i="184"/>
  <c r="I116" i="184"/>
  <c r="K116" i="184" s="1"/>
  <c r="I117" i="184"/>
  <c r="K117" i="184" s="1"/>
  <c r="L117" i="184"/>
  <c r="I124" i="184"/>
  <c r="K124" i="184" s="1"/>
  <c r="L124" i="184"/>
  <c r="L108" i="184"/>
  <c r="I108" i="184"/>
  <c r="I122" i="184"/>
  <c r="K122" i="184" s="1"/>
  <c r="K109" i="184"/>
  <c r="I34" i="184"/>
  <c r="K108" i="184" l="1"/>
  <c r="I106" i="184"/>
  <c r="I90" i="184"/>
  <c r="I89" i="184"/>
  <c r="K89" i="184" s="1"/>
  <c r="I88" i="184"/>
  <c r="I87" i="184"/>
  <c r="K87" i="184" s="1"/>
  <c r="I86" i="184"/>
  <c r="K86" i="184" s="1"/>
  <c r="I85" i="184"/>
  <c r="I84" i="184"/>
  <c r="I83" i="184"/>
  <c r="I82" i="184"/>
  <c r="I81" i="184"/>
  <c r="I56" i="184"/>
  <c r="L56" i="184" s="1"/>
  <c r="I55" i="184"/>
  <c r="K55" i="184" s="1"/>
  <c r="I44" i="184"/>
  <c r="I40" i="184" s="1"/>
  <c r="I27" i="184"/>
  <c r="I20" i="184" s="1"/>
  <c r="K21" i="184"/>
  <c r="I54" i="184" l="1"/>
  <c r="D82" i="170" l="1"/>
  <c r="D86" i="170"/>
  <c r="D20" i="170" l="1"/>
  <c r="C127" i="188"/>
  <c r="D116" i="188" l="1"/>
  <c r="D126" i="188" l="1"/>
  <c r="D134" i="188" l="1"/>
  <c r="G103" i="167" l="1"/>
  <c r="G28" i="167" l="1"/>
  <c r="F412" i="165" l="1"/>
  <c r="H406" i="165"/>
  <c r="H397" i="165"/>
  <c r="H387" i="165"/>
  <c r="H349" i="165"/>
  <c r="H315" i="165"/>
  <c r="H280" i="165"/>
  <c r="H254" i="165"/>
  <c r="H158" i="167" l="1"/>
  <c r="J187" i="167"/>
  <c r="O210" i="165"/>
  <c r="E210" i="165"/>
  <c r="M249" i="167"/>
  <c r="H307" i="165"/>
  <c r="E259" i="165"/>
  <c r="O264" i="165"/>
  <c r="E264" i="165"/>
  <c r="J302" i="167"/>
  <c r="N339" i="165"/>
  <c r="M339" i="165"/>
  <c r="L339" i="165"/>
  <c r="K339" i="165"/>
  <c r="I339" i="165"/>
  <c r="G339" i="165"/>
  <c r="F339" i="165"/>
  <c r="O342" i="165"/>
  <c r="E342" i="165"/>
  <c r="H204" i="165"/>
  <c r="H201" i="165"/>
  <c r="H200" i="165"/>
  <c r="G200" i="165"/>
  <c r="H199" i="165"/>
  <c r="H136" i="165"/>
  <c r="K216" i="167" l="1"/>
  <c r="H225" i="167"/>
  <c r="J210" i="165"/>
  <c r="J342" i="165"/>
  <c r="J264" i="165"/>
  <c r="P264" i="165" s="1"/>
  <c r="H187" i="167"/>
  <c r="P342" i="165"/>
  <c r="H302" i="167"/>
  <c r="I225" i="167" l="1"/>
  <c r="G225" i="167" s="1"/>
  <c r="P210" i="165"/>
  <c r="I302" i="167"/>
  <c r="G302" i="167" s="1"/>
  <c r="I187" i="167"/>
  <c r="G187" i="167" s="1"/>
  <c r="J105" i="167"/>
  <c r="O107" i="165"/>
  <c r="E107" i="165"/>
  <c r="N105" i="165"/>
  <c r="M105" i="165"/>
  <c r="L105" i="165"/>
  <c r="K105" i="165"/>
  <c r="I105" i="165"/>
  <c r="G105" i="165"/>
  <c r="F105" i="165"/>
  <c r="H106" i="165"/>
  <c r="J121" i="167"/>
  <c r="N129" i="165"/>
  <c r="M129" i="165"/>
  <c r="L129" i="165"/>
  <c r="I129" i="165"/>
  <c r="H129" i="165"/>
  <c r="G129" i="165"/>
  <c r="F129" i="165"/>
  <c r="O130" i="165"/>
  <c r="E130" i="165"/>
  <c r="H105" i="165" l="1"/>
  <c r="H105" i="167"/>
  <c r="J107" i="165"/>
  <c r="J130" i="165"/>
  <c r="K129" i="165"/>
  <c r="O129" i="165"/>
  <c r="E129" i="165"/>
  <c r="H121" i="167"/>
  <c r="I105" i="167" l="1"/>
  <c r="G105" i="167" s="1"/>
  <c r="I121" i="167"/>
  <c r="G121" i="167" s="1"/>
  <c r="J129" i="165"/>
  <c r="P107" i="165"/>
  <c r="P130" i="165"/>
  <c r="H222" i="165"/>
  <c r="H221" i="165"/>
  <c r="J60" i="167"/>
  <c r="G73" i="167"/>
  <c r="J70" i="167"/>
  <c r="M70" i="167" s="1"/>
  <c r="G71" i="167"/>
  <c r="G63" i="167"/>
  <c r="G59" i="167"/>
  <c r="J72" i="167"/>
  <c r="M72" i="167" s="1"/>
  <c r="K67" i="165"/>
  <c r="P129" i="165" l="1"/>
  <c r="M96" i="167"/>
  <c r="G96" i="167"/>
  <c r="H69" i="165"/>
  <c r="G22" i="167"/>
  <c r="H26" i="167"/>
  <c r="O204" i="165"/>
  <c r="F49" i="165" l="1"/>
  <c r="O150" i="165" l="1"/>
  <c r="O196" i="165"/>
  <c r="O201" i="165"/>
  <c r="O230" i="165"/>
  <c r="O59" i="165" l="1"/>
  <c r="O50" i="165"/>
  <c r="G334" i="167" l="1"/>
  <c r="O392" i="165" l="1"/>
  <c r="N392" i="165"/>
  <c r="M392" i="165"/>
  <c r="L392" i="165"/>
  <c r="K392" i="165"/>
  <c r="I392" i="165"/>
  <c r="H392" i="165"/>
  <c r="G392" i="165"/>
  <c r="F392" i="165"/>
  <c r="E393" i="165"/>
  <c r="E80" i="170" l="1"/>
  <c r="E392" i="165"/>
  <c r="H335" i="167"/>
  <c r="J393" i="165"/>
  <c r="I335" i="167" l="1"/>
  <c r="I330" i="167" s="1"/>
  <c r="E94" i="170"/>
  <c r="J392" i="165"/>
  <c r="P393" i="165"/>
  <c r="D21" i="108"/>
  <c r="G335" i="167" l="1"/>
  <c r="P392" i="165"/>
  <c r="E93" i="170"/>
  <c r="H339" i="165"/>
  <c r="J282" i="167"/>
  <c r="O319" i="165"/>
  <c r="E319" i="165"/>
  <c r="N318" i="165"/>
  <c r="M318" i="165"/>
  <c r="L318" i="165"/>
  <c r="K318" i="165"/>
  <c r="I318" i="165"/>
  <c r="H318" i="165"/>
  <c r="G318" i="165"/>
  <c r="G313" i="167"/>
  <c r="H282" i="167" l="1"/>
  <c r="J319" i="165"/>
  <c r="O318" i="165"/>
  <c r="E318" i="165"/>
  <c r="F318" i="165"/>
  <c r="P319" i="165" l="1"/>
  <c r="J318" i="165"/>
  <c r="I282" i="167"/>
  <c r="G282" i="167" s="1"/>
  <c r="K113" i="165"/>
  <c r="F113" i="165"/>
  <c r="P318" i="165" l="1"/>
  <c r="J95" i="167"/>
  <c r="N88" i="165"/>
  <c r="M88" i="165"/>
  <c r="L88" i="165"/>
  <c r="K88" i="165"/>
  <c r="I88" i="165"/>
  <c r="H88" i="165"/>
  <c r="G88" i="165"/>
  <c r="F88" i="165"/>
  <c r="O90" i="165"/>
  <c r="E90" i="165"/>
  <c r="H95" i="167" l="1"/>
  <c r="J90" i="165"/>
  <c r="P90" i="165" l="1"/>
  <c r="I95" i="167"/>
  <c r="G95" i="167" s="1"/>
  <c r="J235" i="167"/>
  <c r="O276" i="165"/>
  <c r="J276" i="165" s="1"/>
  <c r="J275" i="165" s="1"/>
  <c r="J274" i="165" s="1"/>
  <c r="E276" i="165"/>
  <c r="H235" i="167" s="1"/>
  <c r="N275" i="165"/>
  <c r="N274" i="165" s="1"/>
  <c r="M275" i="165"/>
  <c r="M274" i="165" s="1"/>
  <c r="L275" i="165"/>
  <c r="L274" i="165" s="1"/>
  <c r="K275" i="165"/>
  <c r="K274" i="165" s="1"/>
  <c r="I275" i="165"/>
  <c r="I274" i="165" s="1"/>
  <c r="H275" i="165"/>
  <c r="H274" i="165" s="1"/>
  <c r="G275" i="165"/>
  <c r="G274" i="165" s="1"/>
  <c r="F275" i="165"/>
  <c r="F274" i="165" s="1"/>
  <c r="D33" i="108"/>
  <c r="I235" i="167" l="1"/>
  <c r="G235" i="167" s="1"/>
  <c r="P276" i="165"/>
  <c r="P275" i="165" s="1"/>
  <c r="P274" i="165" s="1"/>
  <c r="E275" i="165"/>
  <c r="E274" i="165" s="1"/>
  <c r="O275" i="165"/>
  <c r="O274" i="165" s="1"/>
  <c r="I60" i="184"/>
  <c r="H60" i="184"/>
  <c r="O272" i="165" l="1"/>
  <c r="G25" i="167" l="1"/>
  <c r="M38" i="167" l="1"/>
  <c r="G39" i="167" l="1"/>
  <c r="J38" i="184"/>
  <c r="J51" i="184" l="1"/>
  <c r="J99" i="167" l="1"/>
  <c r="N98" i="165"/>
  <c r="M98" i="165"/>
  <c r="L98" i="165"/>
  <c r="K98" i="165"/>
  <c r="I98" i="165"/>
  <c r="H98" i="165"/>
  <c r="G98" i="165"/>
  <c r="F98" i="165"/>
  <c r="O99" i="165"/>
  <c r="E99" i="165"/>
  <c r="N97" i="165" l="1"/>
  <c r="G97" i="165"/>
  <c r="K97" i="165"/>
  <c r="L97" i="165"/>
  <c r="F97" i="165"/>
  <c r="E98" i="165"/>
  <c r="H97" i="165"/>
  <c r="O98" i="165"/>
  <c r="I97" i="165"/>
  <c r="M97" i="165"/>
  <c r="H99" i="167"/>
  <c r="J99" i="165"/>
  <c r="E97" i="165" l="1"/>
  <c r="O97" i="165"/>
  <c r="J98" i="165"/>
  <c r="I99" i="167"/>
  <c r="G99" i="167" s="1"/>
  <c r="P99" i="165"/>
  <c r="P98" i="165" l="1"/>
  <c r="J97" i="165"/>
  <c r="N361" i="165"/>
  <c r="M361" i="165"/>
  <c r="L361" i="165"/>
  <c r="K361" i="165"/>
  <c r="I361" i="165"/>
  <c r="H361" i="165"/>
  <c r="G361" i="165"/>
  <c r="F361" i="165"/>
  <c r="O362" i="165"/>
  <c r="E362" i="165"/>
  <c r="H314" i="167" l="1"/>
  <c r="J362" i="165"/>
  <c r="L360" i="165"/>
  <c r="I360" i="165"/>
  <c r="N360" i="165"/>
  <c r="F360" i="165"/>
  <c r="K360" i="165"/>
  <c r="G360" i="165"/>
  <c r="E361" i="165"/>
  <c r="H360" i="165"/>
  <c r="M360" i="165"/>
  <c r="P97" i="165"/>
  <c r="O361" i="165"/>
  <c r="P362" i="165"/>
  <c r="D29" i="170"/>
  <c r="D26" i="170"/>
  <c r="C111" i="188"/>
  <c r="I314" i="167" l="1"/>
  <c r="G314" i="167" s="1"/>
  <c r="P361" i="165"/>
  <c r="O360" i="165"/>
  <c r="E360" i="165"/>
  <c r="J361" i="165"/>
  <c r="J95" i="184"/>
  <c r="J104" i="184"/>
  <c r="J96" i="184"/>
  <c r="J65" i="184"/>
  <c r="J60" i="184"/>
  <c r="J360" i="165" l="1"/>
  <c r="P360" i="165"/>
  <c r="H219" i="165"/>
  <c r="G219" i="165"/>
  <c r="F219" i="165"/>
  <c r="E153" i="165"/>
  <c r="O153" i="165"/>
  <c r="G48" i="167"/>
  <c r="G306" i="167"/>
  <c r="F34" i="165"/>
  <c r="N34" i="165"/>
  <c r="M34" i="165"/>
  <c r="L34" i="165"/>
  <c r="K34" i="165"/>
  <c r="K34" i="199" s="1"/>
  <c r="I34" i="165"/>
  <c r="H34" i="165"/>
  <c r="G34" i="165"/>
  <c r="O35" i="165"/>
  <c r="O35" i="199" s="1"/>
  <c r="E35" i="165"/>
  <c r="K36" i="167" l="1"/>
  <c r="H143" i="167"/>
  <c r="J153" i="165"/>
  <c r="J35" i="165"/>
  <c r="J35" i="199" s="1"/>
  <c r="G37" i="167"/>
  <c r="I143" i="167" l="1"/>
  <c r="G143" i="167" s="1"/>
  <c r="L36" i="167"/>
  <c r="P35" i="165"/>
  <c r="P35" i="199" s="1"/>
  <c r="P153" i="165"/>
  <c r="D34" i="188" l="1"/>
  <c r="C36" i="188"/>
  <c r="D55" i="172" l="1"/>
  <c r="G340" i="167" l="1"/>
  <c r="F417" i="165" l="1"/>
  <c r="N409" i="165"/>
  <c r="M409" i="165"/>
  <c r="L409" i="165"/>
  <c r="K409" i="165"/>
  <c r="I409" i="165"/>
  <c r="H409" i="165"/>
  <c r="G409" i="165"/>
  <c r="F409" i="165"/>
  <c r="O410" i="165"/>
  <c r="E410" i="165"/>
  <c r="G408" i="165" l="1"/>
  <c r="H408" i="165"/>
  <c r="M408" i="165"/>
  <c r="E409" i="165"/>
  <c r="I408" i="165"/>
  <c r="N408" i="165"/>
  <c r="J410" i="165"/>
  <c r="F408" i="165"/>
  <c r="K408" i="165"/>
  <c r="L408" i="165"/>
  <c r="O409" i="165"/>
  <c r="O408" i="165" l="1"/>
  <c r="J409" i="165"/>
  <c r="E408" i="165"/>
  <c r="P410" i="165"/>
  <c r="P409" i="165" l="1"/>
  <c r="J408" i="165"/>
  <c r="J153" i="167"/>
  <c r="O176" i="165"/>
  <c r="O176" i="199" s="1"/>
  <c r="E176" i="165"/>
  <c r="J118" i="167"/>
  <c r="F121" i="165"/>
  <c r="G121" i="165"/>
  <c r="H121" i="165"/>
  <c r="I121" i="165"/>
  <c r="K121" i="165"/>
  <c r="L121" i="165"/>
  <c r="M121" i="165"/>
  <c r="N121" i="165"/>
  <c r="O122" i="165"/>
  <c r="E122" i="165"/>
  <c r="H153" i="167" l="1"/>
  <c r="E121" i="165"/>
  <c r="J176" i="165"/>
  <c r="J176" i="199" s="1"/>
  <c r="J122" i="165"/>
  <c r="P408" i="165"/>
  <c r="H118" i="167"/>
  <c r="O121" i="165"/>
  <c r="P122" i="165" l="1"/>
  <c r="P176" i="165"/>
  <c r="P176" i="199" s="1"/>
  <c r="J121" i="165"/>
  <c r="I118" i="167"/>
  <c r="G118" i="167" s="1"/>
  <c r="I153" i="167"/>
  <c r="G153" i="167" s="1"/>
  <c r="P121" i="165"/>
  <c r="O202" i="165" l="1"/>
  <c r="E202" i="165"/>
  <c r="H180" i="167" l="1"/>
  <c r="J202" i="165"/>
  <c r="P202" i="165" l="1"/>
  <c r="I180" i="167"/>
  <c r="G180" i="167" s="1"/>
  <c r="G297" i="167"/>
  <c r="G296" i="167"/>
  <c r="G293" i="167"/>
  <c r="N333" i="165" l="1"/>
  <c r="M333" i="165"/>
  <c r="L333" i="165"/>
  <c r="K333" i="165"/>
  <c r="I333" i="165"/>
  <c r="H333" i="165"/>
  <c r="G333" i="165"/>
  <c r="F333" i="165"/>
  <c r="O336" i="165"/>
  <c r="E336" i="165"/>
  <c r="O357" i="165"/>
  <c r="E357" i="165"/>
  <c r="J357" i="165" l="1"/>
  <c r="J336" i="165"/>
  <c r="P336" i="165" s="1"/>
  <c r="G272" i="167"/>
  <c r="P357" i="165" l="1"/>
  <c r="O36" i="165" l="1"/>
  <c r="E36" i="165"/>
  <c r="N300" i="165"/>
  <c r="M300" i="165"/>
  <c r="L300" i="165"/>
  <c r="K300" i="165"/>
  <c r="I300" i="165"/>
  <c r="H300" i="165"/>
  <c r="G300" i="165"/>
  <c r="F300" i="165"/>
  <c r="O303" i="165"/>
  <c r="E303" i="165"/>
  <c r="J119" i="167"/>
  <c r="K45" i="184"/>
  <c r="O34" i="165" l="1"/>
  <c r="O34" i="199" s="1"/>
  <c r="E34" i="165"/>
  <c r="K38" i="167"/>
  <c r="J303" i="165"/>
  <c r="I297" i="165"/>
  <c r="N297" i="165"/>
  <c r="F297" i="165"/>
  <c r="K297" i="165"/>
  <c r="O300" i="165"/>
  <c r="M297" i="165"/>
  <c r="E300" i="165"/>
  <c r="G297" i="165"/>
  <c r="L297" i="165"/>
  <c r="H297" i="165"/>
  <c r="J36" i="165"/>
  <c r="L38" i="167" l="1"/>
  <c r="P303" i="165"/>
  <c r="P36" i="165"/>
  <c r="J34" i="165"/>
  <c r="J34" i="199" s="1"/>
  <c r="G38" i="167"/>
  <c r="N125" i="165"/>
  <c r="M125" i="165"/>
  <c r="L125" i="165"/>
  <c r="K125" i="165"/>
  <c r="I125" i="165"/>
  <c r="H125" i="165"/>
  <c r="G125" i="165"/>
  <c r="F125" i="165"/>
  <c r="O126" i="165"/>
  <c r="E126" i="165"/>
  <c r="O125" i="165" l="1"/>
  <c r="E125" i="165"/>
  <c r="P34" i="165"/>
  <c r="P34" i="199" s="1"/>
  <c r="J126" i="165"/>
  <c r="H119" i="167"/>
  <c r="F55" i="172"/>
  <c r="P126" i="165" l="1"/>
  <c r="J125" i="165"/>
  <c r="I119" i="167"/>
  <c r="P125" i="165" l="1"/>
  <c r="G119" i="167"/>
  <c r="K42" i="165"/>
  <c r="M229" i="167" l="1"/>
  <c r="G230" i="167"/>
  <c r="G217" i="167"/>
  <c r="N358" i="165" l="1"/>
  <c r="M358" i="165"/>
  <c r="L358" i="165"/>
  <c r="K358" i="165"/>
  <c r="I358" i="165"/>
  <c r="H358" i="165"/>
  <c r="G358" i="165"/>
  <c r="F358" i="165"/>
  <c r="I69" i="184" l="1"/>
  <c r="K69" i="184" l="1"/>
  <c r="C50" i="188" l="1"/>
  <c r="D49" i="188"/>
  <c r="C49" i="188" l="1"/>
  <c r="D38" i="188"/>
  <c r="E103" i="188"/>
  <c r="D95" i="188"/>
  <c r="E58" i="188" l="1"/>
  <c r="H50" i="184" l="1"/>
  <c r="G324" i="167"/>
  <c r="M326" i="167"/>
  <c r="O402" i="165"/>
  <c r="C46" i="172"/>
  <c r="C47" i="172"/>
  <c r="O417" i="165" l="1"/>
  <c r="E417" i="165"/>
  <c r="N416" i="165"/>
  <c r="M416" i="165"/>
  <c r="L416" i="165"/>
  <c r="K416" i="165"/>
  <c r="I416" i="165"/>
  <c r="H416" i="165"/>
  <c r="G416" i="165"/>
  <c r="F416" i="165"/>
  <c r="N415" i="165"/>
  <c r="F13" i="107"/>
  <c r="H13" i="107"/>
  <c r="J13" i="107"/>
  <c r="K13" i="107"/>
  <c r="L13" i="107"/>
  <c r="H415" i="165" l="1"/>
  <c r="O221" i="165"/>
  <c r="I415" i="165"/>
  <c r="F415" i="165"/>
  <c r="K415" i="165"/>
  <c r="E416" i="165"/>
  <c r="M415" i="165"/>
  <c r="G415" i="165"/>
  <c r="L415" i="165"/>
  <c r="J417" i="165"/>
  <c r="O416" i="165"/>
  <c r="E415" i="165" l="1"/>
  <c r="O415" i="165"/>
  <c r="J416" i="165"/>
  <c r="P417" i="165"/>
  <c r="P416" i="165" l="1"/>
  <c r="J415" i="165"/>
  <c r="J59" i="184"/>
  <c r="I59" i="184"/>
  <c r="H59" i="184"/>
  <c r="K61" i="184"/>
  <c r="P415" i="165" l="1"/>
  <c r="G20" i="167"/>
  <c r="O296" i="165"/>
  <c r="O296" i="199" s="1"/>
  <c r="J251" i="167" l="1"/>
  <c r="F283" i="165"/>
  <c r="O290" i="165"/>
  <c r="E290" i="165"/>
  <c r="O267" i="165"/>
  <c r="E267" i="165"/>
  <c r="N266" i="165"/>
  <c r="M266" i="165"/>
  <c r="L266" i="165"/>
  <c r="K266" i="165"/>
  <c r="I266" i="165"/>
  <c r="H266" i="165"/>
  <c r="G266" i="165"/>
  <c r="F266" i="165"/>
  <c r="F283" i="199" l="1"/>
  <c r="F278" i="199" s="1"/>
  <c r="F277" i="199" s="1"/>
  <c r="F278" i="165"/>
  <c r="E266" i="165"/>
  <c r="J290" i="165"/>
  <c r="J267" i="165"/>
  <c r="H251" i="167"/>
  <c r="O266" i="165"/>
  <c r="O334" i="165"/>
  <c r="J256" i="165"/>
  <c r="E256" i="165"/>
  <c r="N253" i="165"/>
  <c r="M253" i="165"/>
  <c r="L253" i="165"/>
  <c r="K253" i="165"/>
  <c r="I253" i="165"/>
  <c r="G253" i="165"/>
  <c r="F253" i="165"/>
  <c r="K66" i="184"/>
  <c r="K67" i="184"/>
  <c r="K68" i="184"/>
  <c r="K95" i="184"/>
  <c r="K96" i="184"/>
  <c r="K104" i="184"/>
  <c r="I73" i="184"/>
  <c r="J334" i="165" l="1"/>
  <c r="O333" i="165"/>
  <c r="J266" i="165"/>
  <c r="P290" i="165"/>
  <c r="P267" i="165"/>
  <c r="I251" i="167"/>
  <c r="G251" i="167" s="1"/>
  <c r="G227" i="167"/>
  <c r="K65" i="184"/>
  <c r="P256" i="165"/>
  <c r="K73" i="184"/>
  <c r="H49" i="184"/>
  <c r="I51" i="184"/>
  <c r="K51" i="184" s="1"/>
  <c r="I62" i="184"/>
  <c r="H62" i="184"/>
  <c r="H53" i="184"/>
  <c r="H39" i="184"/>
  <c r="H19" i="184"/>
  <c r="J333" i="165" l="1"/>
  <c r="P266" i="165"/>
  <c r="I50" i="184"/>
  <c r="J68" i="167" l="1"/>
  <c r="J19" i="184" l="1"/>
  <c r="I38" i="184"/>
  <c r="K38" i="184" s="1"/>
  <c r="O64" i="165" l="1"/>
  <c r="I19" i="184"/>
  <c r="E55" i="165" l="1"/>
  <c r="J55" i="165"/>
  <c r="K53" i="165"/>
  <c r="L53" i="165"/>
  <c r="M53" i="165"/>
  <c r="N53" i="165"/>
  <c r="I53" i="165"/>
  <c r="H53" i="165"/>
  <c r="G53" i="165"/>
  <c r="F53" i="165"/>
  <c r="N390" i="165"/>
  <c r="M390" i="165"/>
  <c r="L390" i="165"/>
  <c r="K390" i="165"/>
  <c r="I390" i="165"/>
  <c r="H390" i="165"/>
  <c r="G390" i="165"/>
  <c r="F390" i="165"/>
  <c r="E390" i="165"/>
  <c r="I68" i="167" l="1"/>
  <c r="H68" i="167"/>
  <c r="P55" i="165"/>
  <c r="I105" i="184" l="1"/>
  <c r="G68" i="167"/>
  <c r="O390" i="165"/>
  <c r="H105" i="184"/>
  <c r="I42" i="184" l="1"/>
  <c r="O110" i="165" l="1"/>
  <c r="K42" i="184"/>
  <c r="I39" i="184"/>
  <c r="H253" i="165" l="1"/>
  <c r="J211" i="167"/>
  <c r="O250" i="165"/>
  <c r="J250" i="165" s="1"/>
  <c r="E97" i="170" s="1"/>
  <c r="E250" i="165"/>
  <c r="N249" i="165"/>
  <c r="N248" i="165" s="1"/>
  <c r="M249" i="165"/>
  <c r="M248" i="165" s="1"/>
  <c r="L249" i="165"/>
  <c r="L248" i="165" s="1"/>
  <c r="K249" i="165"/>
  <c r="K248" i="165" s="1"/>
  <c r="I249" i="165"/>
  <c r="I248" i="165" s="1"/>
  <c r="H249" i="165"/>
  <c r="H248" i="165" s="1"/>
  <c r="G249" i="165"/>
  <c r="G248" i="165" s="1"/>
  <c r="F249" i="165"/>
  <c r="F248" i="165" s="1"/>
  <c r="E249" i="165" l="1"/>
  <c r="E248" i="165" s="1"/>
  <c r="E84" i="170"/>
  <c r="H211" i="167"/>
  <c r="I211" i="167"/>
  <c r="O249" i="165"/>
  <c r="O248" i="165" s="1"/>
  <c r="J249" i="165"/>
  <c r="J248" i="165" s="1"/>
  <c r="P250" i="165"/>
  <c r="P249" i="165" s="1"/>
  <c r="P248" i="165" s="1"/>
  <c r="G211" i="167" l="1"/>
  <c r="J39" i="184"/>
  <c r="D113" i="188"/>
  <c r="D17" i="170" l="1"/>
  <c r="D25" i="170" s="1"/>
  <c r="F81" i="165" l="1"/>
  <c r="D62" i="170" l="1"/>
  <c r="J207" i="167" l="1"/>
  <c r="O244" i="165"/>
  <c r="E244" i="165"/>
  <c r="N243" i="165"/>
  <c r="M243" i="165"/>
  <c r="L243" i="165"/>
  <c r="K243" i="165"/>
  <c r="I243" i="165"/>
  <c r="H243" i="165"/>
  <c r="G243" i="165"/>
  <c r="F243" i="165"/>
  <c r="J50" i="184"/>
  <c r="H207" i="167" l="1"/>
  <c r="E243" i="165"/>
  <c r="I242" i="165"/>
  <c r="K242" i="165"/>
  <c r="M242" i="165"/>
  <c r="F242" i="165"/>
  <c r="G242" i="165"/>
  <c r="J244" i="165"/>
  <c r="L242" i="165"/>
  <c r="H242" i="165"/>
  <c r="N242" i="165"/>
  <c r="O243" i="165"/>
  <c r="O359" i="165"/>
  <c r="E359" i="165"/>
  <c r="H312" i="167" l="1"/>
  <c r="K312" i="167" s="1"/>
  <c r="E242" i="165"/>
  <c r="O358" i="165"/>
  <c r="E358" i="165"/>
  <c r="P244" i="165"/>
  <c r="O242" i="165"/>
  <c r="J243" i="165"/>
  <c r="I207" i="167"/>
  <c r="G207" i="167" s="1"/>
  <c r="J359" i="165"/>
  <c r="L312" i="167" l="1"/>
  <c r="P243" i="165"/>
  <c r="J358" i="165"/>
  <c r="P359" i="165"/>
  <c r="G310" i="167"/>
  <c r="J242" i="165"/>
  <c r="P242" i="165" l="1"/>
  <c r="G312" i="167"/>
  <c r="P358" i="165"/>
  <c r="G18" i="167"/>
  <c r="D100" i="170"/>
  <c r="D102" i="170" s="1"/>
  <c r="J98" i="167"/>
  <c r="N95" i="165"/>
  <c r="M95" i="165"/>
  <c r="L95" i="165"/>
  <c r="K95" i="165"/>
  <c r="I95" i="165"/>
  <c r="H95" i="165"/>
  <c r="G95" i="165"/>
  <c r="O96" i="165"/>
  <c r="F93" i="165"/>
  <c r="G93" i="165"/>
  <c r="H93" i="165"/>
  <c r="I93" i="165"/>
  <c r="K93" i="165"/>
  <c r="L93" i="165"/>
  <c r="M93" i="165"/>
  <c r="N93" i="165"/>
  <c r="O94" i="165"/>
  <c r="E94" i="165"/>
  <c r="K96" i="167" l="1"/>
  <c r="N92" i="165"/>
  <c r="K92" i="165"/>
  <c r="I92" i="165"/>
  <c r="H92" i="165"/>
  <c r="M92" i="165"/>
  <c r="G92" i="165"/>
  <c r="J96" i="165"/>
  <c r="L92" i="165"/>
  <c r="J94" i="165"/>
  <c r="F92" i="165"/>
  <c r="E96" i="165"/>
  <c r="E93" i="165"/>
  <c r="F95" i="165"/>
  <c r="O95" i="165"/>
  <c r="O93" i="165"/>
  <c r="L96" i="167" l="1"/>
  <c r="J93" i="165"/>
  <c r="P96" i="165"/>
  <c r="H98" i="167"/>
  <c r="J95" i="165"/>
  <c r="P94" i="165"/>
  <c r="G97" i="167"/>
  <c r="M91" i="165"/>
  <c r="G91" i="165"/>
  <c r="E92" i="165"/>
  <c r="E95" i="165"/>
  <c r="I98" i="167"/>
  <c r="I91" i="165"/>
  <c r="K91" i="165"/>
  <c r="F91" i="165"/>
  <c r="O92" i="165"/>
  <c r="L91" i="165"/>
  <c r="H91" i="165"/>
  <c r="N91" i="165"/>
  <c r="F134" i="188"/>
  <c r="C140" i="188"/>
  <c r="C139" i="188"/>
  <c r="D77" i="188"/>
  <c r="E91" i="165" l="1"/>
  <c r="G98" i="167"/>
  <c r="J92" i="165"/>
  <c r="P95" i="165"/>
  <c r="D54" i="188"/>
  <c r="D73" i="188"/>
  <c r="E134" i="188"/>
  <c r="O91" i="165"/>
  <c r="P93" i="165"/>
  <c r="D68" i="188"/>
  <c r="E121" i="188" l="1"/>
  <c r="J91" i="165"/>
  <c r="P92" i="165"/>
  <c r="P91" i="165" l="1"/>
  <c r="D53" i="170" l="1"/>
  <c r="D55" i="170" s="1"/>
  <c r="D65" i="170" s="1"/>
  <c r="J163" i="167" l="1"/>
  <c r="O183" i="165"/>
  <c r="E183" i="165"/>
  <c r="N181" i="165"/>
  <c r="M181" i="165"/>
  <c r="L181" i="165"/>
  <c r="K181" i="165"/>
  <c r="I181" i="165"/>
  <c r="H181" i="165"/>
  <c r="G181" i="165"/>
  <c r="F181" i="165"/>
  <c r="J183" i="165" l="1"/>
  <c r="H163" i="167"/>
  <c r="N161" i="165"/>
  <c r="M161" i="165"/>
  <c r="L161" i="165"/>
  <c r="K161" i="165"/>
  <c r="I161" i="165"/>
  <c r="H161" i="165"/>
  <c r="G161" i="165"/>
  <c r="F161" i="165"/>
  <c r="I163" i="167" l="1"/>
  <c r="G163" i="167" s="1"/>
  <c r="P183" i="165"/>
  <c r="O173" i="165"/>
  <c r="E173" i="165"/>
  <c r="O170" i="165"/>
  <c r="E170" i="165"/>
  <c r="O166" i="165"/>
  <c r="E166" i="165"/>
  <c r="O162" i="165"/>
  <c r="E162" i="165"/>
  <c r="J166" i="165" l="1"/>
  <c r="J173" i="165"/>
  <c r="J170" i="165"/>
  <c r="E161" i="165"/>
  <c r="O161" i="165"/>
  <c r="J162" i="165"/>
  <c r="J120" i="167"/>
  <c r="P166" i="165" l="1"/>
  <c r="P173" i="165"/>
  <c r="P170" i="165"/>
  <c r="P162" i="165"/>
  <c r="J161" i="165"/>
  <c r="O128" i="165"/>
  <c r="E128" i="165"/>
  <c r="N127" i="165"/>
  <c r="M127" i="165"/>
  <c r="L127" i="165"/>
  <c r="K127" i="165"/>
  <c r="I127" i="165"/>
  <c r="H127" i="165"/>
  <c r="G127" i="165"/>
  <c r="F127" i="165"/>
  <c r="F124" i="165" l="1"/>
  <c r="K124" i="165"/>
  <c r="G124" i="165"/>
  <c r="I124" i="165"/>
  <c r="N124" i="165"/>
  <c r="L124" i="165"/>
  <c r="J128" i="165"/>
  <c r="H124" i="165"/>
  <c r="M124" i="165"/>
  <c r="P161" i="165"/>
  <c r="E127" i="165"/>
  <c r="H120" i="167"/>
  <c r="O127" i="165"/>
  <c r="P128" i="165" l="1"/>
  <c r="J127" i="165"/>
  <c r="I120" i="167"/>
  <c r="G120" i="167" s="1"/>
  <c r="O124" i="165"/>
  <c r="E124" i="165"/>
  <c r="P127" i="165"/>
  <c r="J124" i="165" l="1"/>
  <c r="P124" i="165"/>
  <c r="E123" i="165"/>
  <c r="J89" i="167"/>
  <c r="O81" i="165"/>
  <c r="E81" i="165"/>
  <c r="N79" i="165"/>
  <c r="M79" i="165"/>
  <c r="L79" i="165"/>
  <c r="I79" i="165"/>
  <c r="H79" i="165"/>
  <c r="G79" i="165"/>
  <c r="F79" i="165"/>
  <c r="C133" i="188"/>
  <c r="C125" i="188"/>
  <c r="C124" i="188"/>
  <c r="C123" i="188"/>
  <c r="C122" i="188"/>
  <c r="C126" i="188"/>
  <c r="F113" i="188"/>
  <c r="E113" i="188"/>
  <c r="C117" i="188"/>
  <c r="C115" i="188"/>
  <c r="E112" i="188" l="1"/>
  <c r="H89" i="167"/>
  <c r="J81" i="165"/>
  <c r="C135" i="188"/>
  <c r="C85" i="188"/>
  <c r="C20" i="188"/>
  <c r="C19" i="188"/>
  <c r="C18" i="188"/>
  <c r="P81" i="165" l="1"/>
  <c r="I89" i="167"/>
  <c r="G89" i="167" s="1"/>
  <c r="C110" i="188"/>
  <c r="C128" i="188"/>
  <c r="F121" i="188"/>
  <c r="C134" i="188"/>
  <c r="F94" i="188"/>
  <c r="E94" i="188"/>
  <c r="C104" i="188"/>
  <c r="C114" i="188"/>
  <c r="C116" i="188"/>
  <c r="C118" i="188"/>
  <c r="C119" i="188"/>
  <c r="C120" i="188"/>
  <c r="C129" i="188"/>
  <c r="C131" i="188"/>
  <c r="C132" i="188"/>
  <c r="C136" i="188"/>
  <c r="C137" i="188"/>
  <c r="C138" i="188"/>
  <c r="C101" i="188"/>
  <c r="C89" i="188"/>
  <c r="C90" i="188"/>
  <c r="C91" i="188"/>
  <c r="C92" i="188"/>
  <c r="E88" i="188"/>
  <c r="D82" i="188"/>
  <c r="F82" i="188"/>
  <c r="E82" i="188"/>
  <c r="C73" i="188"/>
  <c r="D65" i="188"/>
  <c r="F15" i="188"/>
  <c r="C62" i="188"/>
  <c r="C61" i="188"/>
  <c r="C60" i="188"/>
  <c r="E59" i="188"/>
  <c r="C54" i="188"/>
  <c r="D51" i="188"/>
  <c r="C38" i="188"/>
  <c r="C53" i="188"/>
  <c r="C52" i="188"/>
  <c r="D27" i="188"/>
  <c r="D25" i="188"/>
  <c r="D17" i="188"/>
  <c r="D22" i="188"/>
  <c r="C23" i="188"/>
  <c r="C22" i="188" l="1"/>
  <c r="D16" i="188"/>
  <c r="D37" i="188"/>
  <c r="F63" i="188"/>
  <c r="F112" i="188"/>
  <c r="C95" i="188"/>
  <c r="C27" i="188"/>
  <c r="E87" i="188"/>
  <c r="C99" i="188"/>
  <c r="D64" i="188"/>
  <c r="D24" i="188"/>
  <c r="D94" i="188"/>
  <c r="C25" i="188"/>
  <c r="C103" i="188"/>
  <c r="C17" i="188"/>
  <c r="C88" i="188"/>
  <c r="C51" i="188"/>
  <c r="F106" i="188" l="1"/>
  <c r="C64" i="188"/>
  <c r="E63" i="188"/>
  <c r="C16" i="188"/>
  <c r="D93" i="188"/>
  <c r="C94" i="188"/>
  <c r="C24" i="188"/>
  <c r="J186" i="167"/>
  <c r="N208" i="165"/>
  <c r="M208" i="165"/>
  <c r="L208" i="165"/>
  <c r="K208" i="165"/>
  <c r="I208" i="165"/>
  <c r="H208" i="165"/>
  <c r="G208" i="165"/>
  <c r="F208" i="165"/>
  <c r="O209" i="165"/>
  <c r="J100" i="167"/>
  <c r="K74" i="165"/>
  <c r="O102" i="165"/>
  <c r="E102" i="165"/>
  <c r="N101" i="165"/>
  <c r="M101" i="165"/>
  <c r="L101" i="165"/>
  <c r="K101" i="165"/>
  <c r="I101" i="165"/>
  <c r="H101" i="165"/>
  <c r="G101" i="165"/>
  <c r="F101" i="165"/>
  <c r="K75" i="165"/>
  <c r="D46" i="170"/>
  <c r="D49" i="170" s="1"/>
  <c r="D130" i="188"/>
  <c r="D121" i="188" l="1"/>
  <c r="I207" i="165"/>
  <c r="N207" i="165"/>
  <c r="F207" i="165"/>
  <c r="K207" i="165"/>
  <c r="G207" i="165"/>
  <c r="L207" i="165"/>
  <c r="H207" i="165"/>
  <c r="M207" i="165"/>
  <c r="M100" i="165"/>
  <c r="N100" i="165"/>
  <c r="F100" i="165"/>
  <c r="H186" i="167"/>
  <c r="H100" i="167"/>
  <c r="I100" i="165"/>
  <c r="L100" i="165"/>
  <c r="E101" i="165"/>
  <c r="E208" i="165"/>
  <c r="C130" i="188"/>
  <c r="H100" i="165"/>
  <c r="G100" i="165"/>
  <c r="K100" i="165"/>
  <c r="J102" i="165"/>
  <c r="J209" i="165"/>
  <c r="O208" i="165"/>
  <c r="O101" i="165"/>
  <c r="D112" i="188" l="1"/>
  <c r="E100" i="165"/>
  <c r="P102" i="165"/>
  <c r="C121" i="188"/>
  <c r="J101" i="165"/>
  <c r="E96" i="170"/>
  <c r="I100" i="167"/>
  <c r="G100" i="167" s="1"/>
  <c r="O100" i="165"/>
  <c r="J208" i="165"/>
  <c r="I186" i="167"/>
  <c r="G186" i="167" s="1"/>
  <c r="P209" i="165"/>
  <c r="D106" i="188" l="1"/>
  <c r="P101" i="165"/>
  <c r="P100" i="165" s="1"/>
  <c r="P208" i="165"/>
  <c r="J100" i="165"/>
  <c r="C100" i="188" l="1"/>
  <c r="E98" i="188"/>
  <c r="E93" i="188" s="1"/>
  <c r="C97" i="188"/>
  <c r="C96" i="188"/>
  <c r="D87" i="188"/>
  <c r="C86" i="188"/>
  <c r="C84" i="188"/>
  <c r="C83" i="188"/>
  <c r="C82" i="188"/>
  <c r="C81" i="188"/>
  <c r="C80" i="188"/>
  <c r="D79" i="188"/>
  <c r="C78" i="188"/>
  <c r="C77" i="188"/>
  <c r="C76" i="188"/>
  <c r="C75" i="188"/>
  <c r="C74" i="188"/>
  <c r="C71" i="188"/>
  <c r="C70" i="188"/>
  <c r="C69" i="188"/>
  <c r="C68" i="188"/>
  <c r="C67" i="188"/>
  <c r="C66" i="188"/>
  <c r="C65" i="188"/>
  <c r="D59" i="188"/>
  <c r="C58" i="188"/>
  <c r="C57" i="188"/>
  <c r="C56" i="188"/>
  <c r="C55" i="188"/>
  <c r="C48" i="188"/>
  <c r="C47" i="188"/>
  <c r="C46" i="188"/>
  <c r="C45" i="188"/>
  <c r="C44" i="188"/>
  <c r="C43" i="188"/>
  <c r="C42" i="188"/>
  <c r="C41" i="188"/>
  <c r="C40" i="188"/>
  <c r="C39" i="188"/>
  <c r="C35" i="188"/>
  <c r="C33" i="188"/>
  <c r="D32" i="188"/>
  <c r="C31" i="188"/>
  <c r="D30" i="188"/>
  <c r="C28" i="188"/>
  <c r="C26" i="188"/>
  <c r="C21" i="188"/>
  <c r="C34" i="188" l="1"/>
  <c r="D29" i="188"/>
  <c r="C87" i="188"/>
  <c r="D72" i="188"/>
  <c r="C32" i="188"/>
  <c r="E15" i="188"/>
  <c r="C59" i="188"/>
  <c r="F98" i="188"/>
  <c r="F93" i="188" s="1"/>
  <c r="C30" i="188"/>
  <c r="C79" i="188"/>
  <c r="C113" i="188"/>
  <c r="C98" i="188"/>
  <c r="C93" i="188"/>
  <c r="E106" i="188" l="1"/>
  <c r="C106" i="188" s="1"/>
  <c r="D15" i="188"/>
  <c r="C15" i="188" s="1"/>
  <c r="D63" i="188"/>
  <c r="C29" i="188"/>
  <c r="E105" i="188"/>
  <c r="E143" i="188" s="1"/>
  <c r="I143" i="188" s="1"/>
  <c r="C72" i="188"/>
  <c r="C112" i="188"/>
  <c r="C37" i="188"/>
  <c r="F105" i="188" l="1"/>
  <c r="F143" i="188" s="1"/>
  <c r="J143" i="188" s="1"/>
  <c r="D105" i="188"/>
  <c r="D143" i="188" s="1"/>
  <c r="C63" i="188"/>
  <c r="H143" i="188" l="1"/>
  <c r="C143" i="188"/>
  <c r="G144" i="188" s="1"/>
  <c r="C105" i="188"/>
  <c r="C44" i="172"/>
  <c r="C43" i="172" s="1"/>
  <c r="F43" i="172"/>
  <c r="E43" i="172"/>
  <c r="D43" i="172"/>
  <c r="D42" i="172" s="1"/>
  <c r="C19" i="172"/>
  <c r="C18" i="172"/>
  <c r="F17" i="172"/>
  <c r="E17" i="172"/>
  <c r="E16" i="172" s="1"/>
  <c r="D17" i="172"/>
  <c r="G49" i="167"/>
  <c r="N152" i="165"/>
  <c r="M152" i="165"/>
  <c r="L152" i="165"/>
  <c r="I152" i="165"/>
  <c r="H152" i="165"/>
  <c r="G152" i="165"/>
  <c r="F152" i="165"/>
  <c r="J85" i="167"/>
  <c r="I85" i="167"/>
  <c r="J84" i="167"/>
  <c r="N73" i="165"/>
  <c r="M73" i="165"/>
  <c r="L73" i="165"/>
  <c r="K73" i="165"/>
  <c r="I73" i="165"/>
  <c r="H73" i="165"/>
  <c r="G73" i="165"/>
  <c r="F73" i="165"/>
  <c r="O75" i="165"/>
  <c r="E75" i="165"/>
  <c r="G143" i="188" l="1"/>
  <c r="K152" i="165"/>
  <c r="H84" i="167"/>
  <c r="J75" i="165"/>
  <c r="F413" i="165"/>
  <c r="F413" i="199" s="1"/>
  <c r="J308" i="167"/>
  <c r="J309" i="167"/>
  <c r="N353" i="165"/>
  <c r="M353" i="165"/>
  <c r="L353" i="165"/>
  <c r="K353" i="165"/>
  <c r="I353" i="165"/>
  <c r="H353" i="165"/>
  <c r="G353" i="165"/>
  <c r="F353" i="165"/>
  <c r="O354" i="165"/>
  <c r="E354" i="165"/>
  <c r="M319" i="167"/>
  <c r="G319" i="167"/>
  <c r="J305" i="167" l="1"/>
  <c r="F411" i="165"/>
  <c r="F411" i="199" s="1"/>
  <c r="F404" i="199" s="1"/>
  <c r="F403" i="199" s="1"/>
  <c r="O353" i="165"/>
  <c r="H308" i="167"/>
  <c r="J354" i="165"/>
  <c r="E353" i="165"/>
  <c r="E152" i="165"/>
  <c r="I84" i="167"/>
  <c r="G84" i="167" s="1"/>
  <c r="P75" i="165"/>
  <c r="O152" i="165"/>
  <c r="F370" i="165"/>
  <c r="N370" i="165"/>
  <c r="M370" i="165"/>
  <c r="L370" i="165"/>
  <c r="K370" i="165"/>
  <c r="I370" i="165"/>
  <c r="H370" i="165"/>
  <c r="G370" i="165"/>
  <c r="O371" i="165"/>
  <c r="E371" i="165"/>
  <c r="P152" i="165" l="1"/>
  <c r="J152" i="165"/>
  <c r="P354" i="165"/>
  <c r="G145" i="167"/>
  <c r="J371" i="165"/>
  <c r="O370" i="165"/>
  <c r="K319" i="167"/>
  <c r="E370" i="165"/>
  <c r="J353" i="165"/>
  <c r="I308" i="167"/>
  <c r="G308" i="167" l="1"/>
  <c r="P353" i="165"/>
  <c r="P371" i="165"/>
  <c r="L319" i="167"/>
  <c r="J370" i="165"/>
  <c r="P370" i="165" l="1"/>
  <c r="J58" i="167"/>
  <c r="I58" i="167"/>
  <c r="E80" i="165"/>
  <c r="E79" i="165"/>
  <c r="J83" i="167"/>
  <c r="O74" i="165"/>
  <c r="E74" i="165"/>
  <c r="J66" i="167"/>
  <c r="K49" i="165"/>
  <c r="I49" i="165"/>
  <c r="O52" i="165"/>
  <c r="E52" i="165"/>
  <c r="J57" i="167" l="1"/>
  <c r="M57" i="167" s="1"/>
  <c r="K79" i="165"/>
  <c r="J88" i="167"/>
  <c r="G49" i="165"/>
  <c r="H66" i="167"/>
  <c r="H49" i="165"/>
  <c r="O80" i="165"/>
  <c r="H88" i="167"/>
  <c r="J74" i="165"/>
  <c r="O73" i="165"/>
  <c r="E73" i="165"/>
  <c r="H83" i="167"/>
  <c r="J52" i="165"/>
  <c r="O79" i="165" l="1"/>
  <c r="P52" i="165"/>
  <c r="P74" i="165"/>
  <c r="J80" i="165"/>
  <c r="I83" i="167"/>
  <c r="G83" i="167" s="1"/>
  <c r="J73" i="165"/>
  <c r="I66" i="167"/>
  <c r="G66" i="167" s="1"/>
  <c r="P80" i="165" l="1"/>
  <c r="J79" i="165"/>
  <c r="I88" i="167"/>
  <c r="G88" i="167" s="1"/>
  <c r="P73" i="165"/>
  <c r="J295" i="167"/>
  <c r="E334" i="165"/>
  <c r="E333" i="165" l="1"/>
  <c r="P79" i="165"/>
  <c r="H332" i="165"/>
  <c r="N332" i="165"/>
  <c r="I332" i="165"/>
  <c r="G332" i="165"/>
  <c r="M332" i="165"/>
  <c r="L332" i="165"/>
  <c r="H295" i="167"/>
  <c r="F332" i="165"/>
  <c r="K332" i="165"/>
  <c r="O332" i="165" l="1"/>
  <c r="E332" i="165"/>
  <c r="I295" i="167"/>
  <c r="G295" i="167" s="1"/>
  <c r="P334" i="165"/>
  <c r="P333" i="165" l="1"/>
  <c r="J332" i="165"/>
  <c r="P332" i="165" l="1"/>
  <c r="H344" i="167"/>
  <c r="G344" i="167" s="1"/>
  <c r="J82" i="167" l="1"/>
  <c r="O72" i="165"/>
  <c r="E72" i="165"/>
  <c r="N70" i="165"/>
  <c r="M70" i="165"/>
  <c r="L70" i="165"/>
  <c r="K70" i="165"/>
  <c r="I70" i="165"/>
  <c r="H70" i="165"/>
  <c r="G70" i="165"/>
  <c r="J30" i="167"/>
  <c r="M30" i="167" s="1"/>
  <c r="J25" i="165"/>
  <c r="E25" i="165"/>
  <c r="N23" i="165"/>
  <c r="M23" i="165"/>
  <c r="L23" i="165"/>
  <c r="K23" i="165"/>
  <c r="I23" i="165"/>
  <c r="H23" i="165"/>
  <c r="G23" i="165"/>
  <c r="F23" i="165"/>
  <c r="I30" i="167" l="1"/>
  <c r="L30" i="167" s="1"/>
  <c r="H82" i="167"/>
  <c r="J72" i="165"/>
  <c r="P25" i="165"/>
  <c r="H30" i="167"/>
  <c r="P72" i="165" l="1"/>
  <c r="I82" i="167"/>
  <c r="G82" i="167" s="1"/>
  <c r="K30" i="167"/>
  <c r="G30" i="167"/>
  <c r="D56" i="172" l="1"/>
  <c r="E57" i="172"/>
  <c r="E56" i="172" s="1"/>
  <c r="F56" i="172" s="1"/>
  <c r="E28" i="172"/>
  <c r="E27" i="172" s="1"/>
  <c r="D27" i="172"/>
  <c r="C55" i="172"/>
  <c r="C26" i="172"/>
  <c r="F38" i="172"/>
  <c r="E38" i="172"/>
  <c r="D38" i="172"/>
  <c r="D37" i="172" s="1"/>
  <c r="D31" i="172"/>
  <c r="D30" i="172" s="1"/>
  <c r="F16" i="172"/>
  <c r="D36" i="172" l="1"/>
  <c r="F57" i="172"/>
  <c r="C28" i="172"/>
  <c r="F28" i="172"/>
  <c r="F27" i="172" s="1"/>
  <c r="C56" i="172"/>
  <c r="C57" i="172"/>
  <c r="C27" i="172"/>
  <c r="C17" i="172"/>
  <c r="D16" i="172"/>
  <c r="C16" i="172" l="1"/>
  <c r="C39" i="172" l="1"/>
  <c r="C38" i="172" s="1"/>
  <c r="C41" i="172"/>
  <c r="F31" i="172"/>
  <c r="F30" i="172" s="1"/>
  <c r="E31" i="172"/>
  <c r="E30" i="172" s="1"/>
  <c r="I53" i="184" l="1"/>
  <c r="I49" i="184"/>
  <c r="H46" i="184" l="1"/>
  <c r="H125" i="184" s="1"/>
  <c r="I46" i="184"/>
  <c r="I125" i="184" s="1"/>
  <c r="J12" i="184"/>
  <c r="J11" i="184" s="1"/>
  <c r="J49" i="184"/>
  <c r="J46" i="184"/>
  <c r="J53" i="184" l="1"/>
  <c r="J105" i="184"/>
  <c r="J62" i="184"/>
  <c r="F40" i="172"/>
  <c r="F37" i="172" s="1"/>
  <c r="E40" i="172"/>
  <c r="E37" i="172" s="1"/>
  <c r="C45" i="172"/>
  <c r="C42" i="172" s="1"/>
  <c r="C33" i="172"/>
  <c r="C32" i="172"/>
  <c r="J125" i="184" l="1"/>
  <c r="C31" i="172"/>
  <c r="C30" i="172" s="1"/>
  <c r="C40" i="172"/>
  <c r="C37" i="172" s="1"/>
  <c r="N295" i="165"/>
  <c r="M295" i="165"/>
  <c r="L295" i="165"/>
  <c r="I295" i="165"/>
  <c r="H295" i="165"/>
  <c r="G295" i="165"/>
  <c r="G164" i="184" l="1"/>
  <c r="G142" i="197"/>
  <c r="G143" i="108"/>
  <c r="C36" i="172"/>
  <c r="H294" i="165"/>
  <c r="L294" i="165"/>
  <c r="I294" i="165"/>
  <c r="M294" i="165"/>
  <c r="G294" i="165"/>
  <c r="N294" i="165"/>
  <c r="J87" i="167" l="1"/>
  <c r="O78" i="165"/>
  <c r="E78" i="165" l="1"/>
  <c r="J78" i="165"/>
  <c r="E132" i="165"/>
  <c r="O132" i="165"/>
  <c r="J132" i="165" s="1"/>
  <c r="H87" i="167" l="1"/>
  <c r="I87" i="167"/>
  <c r="K295" i="165"/>
  <c r="K295" i="199" s="1"/>
  <c r="P78" i="165"/>
  <c r="P132" i="165"/>
  <c r="G87" i="167" l="1"/>
  <c r="K294" i="165"/>
  <c r="K294" i="199" s="1"/>
  <c r="G326" i="167" l="1"/>
  <c r="G53" i="167" l="1"/>
  <c r="G47" i="167" l="1"/>
  <c r="G46" i="167"/>
  <c r="G45" i="167"/>
  <c r="G44" i="167"/>
  <c r="E43" i="165"/>
  <c r="E43" i="199" s="1"/>
  <c r="G325" i="167"/>
  <c r="K43" i="167" l="1"/>
  <c r="O43" i="165"/>
  <c r="J43" i="165" l="1"/>
  <c r="L43" i="167" l="1"/>
  <c r="E92" i="170"/>
  <c r="P43" i="165"/>
  <c r="P43" i="199" s="1"/>
  <c r="N56" i="165"/>
  <c r="M56" i="165"/>
  <c r="L56" i="165"/>
  <c r="I56" i="165"/>
  <c r="H56" i="165"/>
  <c r="G56" i="165"/>
  <c r="F56" i="165"/>
  <c r="E58" i="165"/>
  <c r="O262" i="165"/>
  <c r="E262" i="165"/>
  <c r="H222" i="167" l="1"/>
  <c r="K56" i="165"/>
  <c r="E56" i="165"/>
  <c r="O58" i="165"/>
  <c r="H69" i="167"/>
  <c r="J262" i="165"/>
  <c r="J69" i="167"/>
  <c r="I222" i="167" l="1"/>
  <c r="G222" i="167" s="1"/>
  <c r="J58" i="165"/>
  <c r="O56" i="165"/>
  <c r="P262" i="165"/>
  <c r="J56" i="165" l="1"/>
  <c r="P58" i="165"/>
  <c r="I69" i="167"/>
  <c r="G69" i="167" s="1"/>
  <c r="P56" i="165" l="1"/>
  <c r="J284" i="167"/>
  <c r="J281" i="167"/>
  <c r="N314" i="165" l="1"/>
  <c r="M314" i="165"/>
  <c r="L314" i="165"/>
  <c r="K314" i="165"/>
  <c r="I314" i="165"/>
  <c r="G314" i="165"/>
  <c r="O317" i="165"/>
  <c r="E317" i="165"/>
  <c r="O325" i="165"/>
  <c r="E325" i="165"/>
  <c r="J325" i="165" l="1"/>
  <c r="H281" i="167"/>
  <c r="J317" i="165"/>
  <c r="H284" i="167"/>
  <c r="N186" i="165"/>
  <c r="M186" i="165"/>
  <c r="L186" i="165"/>
  <c r="I186" i="165"/>
  <c r="H186" i="165"/>
  <c r="G186" i="165"/>
  <c r="F186" i="165"/>
  <c r="G129" i="167"/>
  <c r="P325" i="165" l="1"/>
  <c r="K186" i="165"/>
  <c r="H185" i="165"/>
  <c r="M185" i="165"/>
  <c r="I185" i="165"/>
  <c r="N185" i="165"/>
  <c r="P317" i="165"/>
  <c r="I281" i="167"/>
  <c r="F185" i="165"/>
  <c r="O187" i="165"/>
  <c r="J164" i="167"/>
  <c r="G185" i="165"/>
  <c r="L185" i="165"/>
  <c r="I284" i="167"/>
  <c r="G284" i="167" s="1"/>
  <c r="K185" i="165" l="1"/>
  <c r="J187" i="165"/>
  <c r="G281" i="167"/>
  <c r="O186" i="165"/>
  <c r="J186" i="165" l="1"/>
  <c r="I164" i="167"/>
  <c r="O185" i="165"/>
  <c r="J138" i="167"/>
  <c r="O147" i="165"/>
  <c r="E147" i="165"/>
  <c r="J130" i="167"/>
  <c r="J131" i="167"/>
  <c r="N135" i="165"/>
  <c r="M135" i="165"/>
  <c r="L135" i="165"/>
  <c r="I135" i="165"/>
  <c r="G135" i="165"/>
  <c r="J138" i="165"/>
  <c r="E138" i="165"/>
  <c r="J185" i="165" l="1"/>
  <c r="I131" i="167"/>
  <c r="H138" i="167"/>
  <c r="J147" i="165"/>
  <c r="K135" i="165"/>
  <c r="P138" i="165"/>
  <c r="H131" i="167"/>
  <c r="I138" i="167" l="1"/>
  <c r="G138" i="167" s="1"/>
  <c r="G131" i="167"/>
  <c r="P147" i="165"/>
  <c r="F308" i="165"/>
  <c r="G308" i="165"/>
  <c r="H308" i="165"/>
  <c r="O270" i="165"/>
  <c r="E270" i="165"/>
  <c r="H231" i="167" l="1"/>
  <c r="F295" i="165"/>
  <c r="O295" i="165"/>
  <c r="O295" i="199" s="1"/>
  <c r="J270" i="165"/>
  <c r="I231" i="167" l="1"/>
  <c r="G231" i="167" s="1"/>
  <c r="P270" i="165"/>
  <c r="F294" i="165"/>
  <c r="O294" i="165"/>
  <c r="O294" i="199" s="1"/>
  <c r="F135" i="165" l="1"/>
  <c r="J188" i="167" l="1"/>
  <c r="O211" i="165" l="1"/>
  <c r="E211" i="165"/>
  <c r="L206" i="165"/>
  <c r="G175" i="167"/>
  <c r="E207" i="165" l="1"/>
  <c r="O207" i="165"/>
  <c r="M206" i="165"/>
  <c r="K206" i="165"/>
  <c r="I206" i="165"/>
  <c r="N206" i="165"/>
  <c r="F206" i="165"/>
  <c r="H188" i="167"/>
  <c r="G206" i="165"/>
  <c r="H206" i="165"/>
  <c r="J211" i="165"/>
  <c r="E206" i="165" l="1"/>
  <c r="J207" i="165"/>
  <c r="O206" i="165"/>
  <c r="I188" i="167"/>
  <c r="G188" i="167" s="1"/>
  <c r="P211" i="165"/>
  <c r="P207" i="165" l="1"/>
  <c r="J206" i="165"/>
  <c r="P206" i="165" l="1"/>
  <c r="G338" i="167"/>
  <c r="D36" i="108"/>
  <c r="H142" i="108" s="1"/>
  <c r="F314" i="165" l="1"/>
  <c r="J35" i="167"/>
  <c r="J32" i="165" l="1"/>
  <c r="J30" i="165"/>
  <c r="O29" i="165"/>
  <c r="L29" i="165"/>
  <c r="F29" i="165"/>
  <c r="N29" i="165"/>
  <c r="M29" i="165"/>
  <c r="K29" i="165"/>
  <c r="I29" i="165"/>
  <c r="H29" i="165"/>
  <c r="G29" i="165"/>
  <c r="E32" i="165"/>
  <c r="G26" i="165" l="1"/>
  <c r="M26" i="165"/>
  <c r="H26" i="165"/>
  <c r="N26" i="165"/>
  <c r="I26" i="165"/>
  <c r="F26" i="165"/>
  <c r="K26" i="165"/>
  <c r="L26" i="165"/>
  <c r="I35" i="167"/>
  <c r="H35" i="167"/>
  <c r="J29" i="165"/>
  <c r="P32" i="165"/>
  <c r="J303" i="167"/>
  <c r="J299" i="167" s="1"/>
  <c r="G35" i="167" l="1"/>
  <c r="O345" i="165"/>
  <c r="E345" i="165"/>
  <c r="N344" i="165"/>
  <c r="M344" i="165"/>
  <c r="L344" i="165"/>
  <c r="K344" i="165"/>
  <c r="I344" i="165"/>
  <c r="H344" i="165"/>
  <c r="G344" i="165"/>
  <c r="F344" i="165"/>
  <c r="L343" i="165" l="1"/>
  <c r="N343" i="165"/>
  <c r="H343" i="165"/>
  <c r="M343" i="165"/>
  <c r="F343" i="165"/>
  <c r="K343" i="165"/>
  <c r="J345" i="165"/>
  <c r="G343" i="165"/>
  <c r="I343" i="165"/>
  <c r="E344" i="165"/>
  <c r="H303" i="167"/>
  <c r="O344" i="165"/>
  <c r="J344" i="165" l="1"/>
  <c r="P345" i="165"/>
  <c r="E343" i="165"/>
  <c r="O343" i="165"/>
  <c r="I303" i="167"/>
  <c r="G303" i="167" l="1"/>
  <c r="I299" i="167"/>
  <c r="J343" i="165"/>
  <c r="P344" i="165"/>
  <c r="P343" i="165" l="1"/>
  <c r="J328" i="167" l="1"/>
  <c r="J317" i="167" s="1"/>
  <c r="O383" i="165" l="1"/>
  <c r="E383" i="165"/>
  <c r="N382" i="165"/>
  <c r="M382" i="165"/>
  <c r="L382" i="165"/>
  <c r="K382" i="165"/>
  <c r="I382" i="165"/>
  <c r="H382" i="165"/>
  <c r="G382" i="165"/>
  <c r="F382" i="165"/>
  <c r="E85" i="170" l="1"/>
  <c r="M381" i="165"/>
  <c r="N381" i="165"/>
  <c r="H381" i="165"/>
  <c r="I381" i="165"/>
  <c r="F381" i="165"/>
  <c r="K381" i="165"/>
  <c r="H328" i="167"/>
  <c r="H317" i="167" s="1"/>
  <c r="G381" i="165"/>
  <c r="L381" i="165"/>
  <c r="J383" i="165"/>
  <c r="O382" i="165"/>
  <c r="E382" i="165"/>
  <c r="E99" i="170" l="1"/>
  <c r="E381" i="165"/>
  <c r="J382" i="165"/>
  <c r="I328" i="167"/>
  <c r="I317" i="167" s="1"/>
  <c r="P383" i="165"/>
  <c r="O381" i="165"/>
  <c r="G328" i="167" l="1"/>
  <c r="P382" i="165"/>
  <c r="J381" i="165"/>
  <c r="P381" i="165" l="1"/>
  <c r="J147" i="167" l="1"/>
  <c r="N155" i="165"/>
  <c r="M155" i="165"/>
  <c r="L155" i="165"/>
  <c r="K155" i="165"/>
  <c r="I155" i="165"/>
  <c r="H155" i="165"/>
  <c r="G155" i="165"/>
  <c r="F155" i="165"/>
  <c r="J139" i="167"/>
  <c r="J137" i="167"/>
  <c r="E155" i="165" l="1"/>
  <c r="O155" i="165"/>
  <c r="J155" i="165" l="1"/>
  <c r="F17" i="165" l="1"/>
  <c r="P155" i="165"/>
  <c r="G250" i="167"/>
  <c r="P16" i="107" l="1"/>
  <c r="P15" i="107" s="1"/>
  <c r="P14" i="107" s="1"/>
  <c r="L16" i="107"/>
  <c r="L15" i="107" s="1"/>
  <c r="L14" i="107" s="1"/>
  <c r="K16" i="107"/>
  <c r="K15" i="107" s="1"/>
  <c r="K14" i="107" s="1"/>
  <c r="J16" i="107"/>
  <c r="J15" i="107" s="1"/>
  <c r="J14" i="107" s="1"/>
  <c r="H16" i="107"/>
  <c r="H15" i="107" s="1"/>
  <c r="H14" i="107" s="1"/>
  <c r="F16" i="107"/>
  <c r="F15" i="107" s="1"/>
  <c r="F14" i="107" s="1"/>
  <c r="N419" i="165"/>
  <c r="M419" i="165"/>
  <c r="L419" i="165"/>
  <c r="K419" i="165"/>
  <c r="I419" i="165"/>
  <c r="H419" i="165"/>
  <c r="G419" i="165"/>
  <c r="F419" i="165"/>
  <c r="N413" i="165"/>
  <c r="M413" i="165"/>
  <c r="L413" i="165"/>
  <c r="K413" i="165"/>
  <c r="I413" i="165"/>
  <c r="H413" i="165"/>
  <c r="G413" i="165"/>
  <c r="O412" i="165"/>
  <c r="N405" i="165"/>
  <c r="M405" i="165"/>
  <c r="L405" i="165"/>
  <c r="K405" i="165"/>
  <c r="I405" i="165"/>
  <c r="G405" i="165"/>
  <c r="O399" i="165"/>
  <c r="N399" i="165"/>
  <c r="M399" i="165"/>
  <c r="L399" i="165"/>
  <c r="K399" i="165"/>
  <c r="I399" i="165"/>
  <c r="H399" i="165"/>
  <c r="G399" i="165"/>
  <c r="F399" i="165"/>
  <c r="N401" i="165"/>
  <c r="M401" i="165"/>
  <c r="L401" i="165"/>
  <c r="K401" i="165"/>
  <c r="I401" i="165"/>
  <c r="H401" i="165"/>
  <c r="G401" i="165"/>
  <c r="F401" i="165"/>
  <c r="N396" i="165"/>
  <c r="M396" i="165"/>
  <c r="L396" i="165"/>
  <c r="K396" i="165"/>
  <c r="I396" i="165"/>
  <c r="G396" i="165"/>
  <c r="F396" i="165"/>
  <c r="N386" i="165"/>
  <c r="M386" i="165"/>
  <c r="L386" i="165"/>
  <c r="K386" i="165"/>
  <c r="I386" i="165"/>
  <c r="G386" i="165"/>
  <c r="N66" i="165"/>
  <c r="M66" i="165"/>
  <c r="L66" i="165"/>
  <c r="K66" i="165"/>
  <c r="I66" i="165"/>
  <c r="M63" i="165"/>
  <c r="K63" i="165"/>
  <c r="I63" i="165"/>
  <c r="M60" i="165"/>
  <c r="K60" i="165"/>
  <c r="I60" i="165"/>
  <c r="N376" i="165"/>
  <c r="M376" i="165"/>
  <c r="L376" i="165"/>
  <c r="I376" i="165"/>
  <c r="H376" i="165"/>
  <c r="G376" i="165"/>
  <c r="N355" i="165"/>
  <c r="M355" i="165"/>
  <c r="L355" i="165"/>
  <c r="K355" i="165"/>
  <c r="I355" i="165"/>
  <c r="H355" i="165"/>
  <c r="G355" i="165"/>
  <c r="F355" i="165"/>
  <c r="N348" i="165"/>
  <c r="M348" i="165"/>
  <c r="L348" i="165"/>
  <c r="K348" i="165"/>
  <c r="I348" i="165"/>
  <c r="G348" i="165"/>
  <c r="N326" i="165"/>
  <c r="M326" i="165"/>
  <c r="L326" i="165"/>
  <c r="K326" i="165"/>
  <c r="I326" i="165"/>
  <c r="H326" i="165"/>
  <c r="G326" i="165"/>
  <c r="F326" i="165"/>
  <c r="N321" i="165"/>
  <c r="M321" i="165"/>
  <c r="L321" i="165"/>
  <c r="I321" i="165"/>
  <c r="H321" i="165"/>
  <c r="G321" i="165"/>
  <c r="F321" i="165"/>
  <c r="I47" i="165" l="1"/>
  <c r="K47" i="165"/>
  <c r="L352" i="165"/>
  <c r="H352" i="165"/>
  <c r="M352" i="165"/>
  <c r="I352" i="165"/>
  <c r="N352" i="165"/>
  <c r="G352" i="165"/>
  <c r="F352" i="165"/>
  <c r="K352" i="165"/>
  <c r="I411" i="165"/>
  <c r="N411" i="165"/>
  <c r="K411" i="165"/>
  <c r="L411" i="165"/>
  <c r="G411" i="165"/>
  <c r="H411" i="165"/>
  <c r="M411" i="165"/>
  <c r="L418" i="165"/>
  <c r="G418" i="165"/>
  <c r="M338" i="165"/>
  <c r="G372" i="165"/>
  <c r="M372" i="165"/>
  <c r="H418" i="165"/>
  <c r="M418" i="165"/>
  <c r="G320" i="165"/>
  <c r="I320" i="165"/>
  <c r="F324" i="165"/>
  <c r="G338" i="165"/>
  <c r="F320" i="165"/>
  <c r="L320" i="165"/>
  <c r="G324" i="165"/>
  <c r="L324" i="165"/>
  <c r="I338" i="165"/>
  <c r="N338" i="165"/>
  <c r="H372" i="165"/>
  <c r="N372" i="165"/>
  <c r="I418" i="165"/>
  <c r="N418" i="165"/>
  <c r="M320" i="165"/>
  <c r="M324" i="165"/>
  <c r="K338" i="165"/>
  <c r="I372" i="165"/>
  <c r="J412" i="165"/>
  <c r="F418" i="165"/>
  <c r="K418" i="165"/>
  <c r="H324" i="165"/>
  <c r="H320" i="165"/>
  <c r="N320" i="165"/>
  <c r="I324" i="165"/>
  <c r="N324" i="165"/>
  <c r="L338" i="165"/>
  <c r="L372" i="165"/>
  <c r="K324" i="165"/>
  <c r="H398" i="165"/>
  <c r="K398" i="165"/>
  <c r="G398" i="165"/>
  <c r="L398" i="165"/>
  <c r="I398" i="165"/>
  <c r="M398" i="165"/>
  <c r="F398" i="165"/>
  <c r="N398" i="165"/>
  <c r="N305" i="165"/>
  <c r="M305" i="165"/>
  <c r="L305" i="165"/>
  <c r="K305" i="165"/>
  <c r="I305" i="165"/>
  <c r="F305" i="165"/>
  <c r="N292" i="165"/>
  <c r="M292" i="165"/>
  <c r="L292" i="165"/>
  <c r="K292" i="165"/>
  <c r="I292" i="165"/>
  <c r="H292" i="165"/>
  <c r="G292" i="165"/>
  <c r="F292" i="165"/>
  <c r="N279" i="165"/>
  <c r="M279" i="165"/>
  <c r="L279" i="165"/>
  <c r="K279" i="165"/>
  <c r="I279" i="165"/>
  <c r="G279" i="165"/>
  <c r="N271" i="165"/>
  <c r="M271" i="165"/>
  <c r="L271" i="165"/>
  <c r="K271" i="165"/>
  <c r="I271" i="165"/>
  <c r="H271" i="165"/>
  <c r="G271" i="165"/>
  <c r="F271" i="165"/>
  <c r="N258" i="165"/>
  <c r="M258" i="165"/>
  <c r="L258" i="165"/>
  <c r="I258" i="165"/>
  <c r="H258" i="165"/>
  <c r="G258" i="165"/>
  <c r="F258" i="165"/>
  <c r="N239" i="165"/>
  <c r="M239" i="165"/>
  <c r="L239" i="165"/>
  <c r="K239" i="165"/>
  <c r="I239" i="165"/>
  <c r="H239" i="165"/>
  <c r="G239" i="165"/>
  <c r="F239" i="165"/>
  <c r="N234" i="165"/>
  <c r="M234" i="165"/>
  <c r="L234" i="165"/>
  <c r="I234" i="165"/>
  <c r="H234" i="165"/>
  <c r="G234" i="165"/>
  <c r="M229" i="165"/>
  <c r="I229" i="165"/>
  <c r="G229" i="165"/>
  <c r="N227" i="165"/>
  <c r="M227" i="165"/>
  <c r="L227" i="165"/>
  <c r="K227" i="165"/>
  <c r="I227" i="165"/>
  <c r="H227" i="165"/>
  <c r="G227" i="165"/>
  <c r="N224" i="165"/>
  <c r="M224" i="165"/>
  <c r="L224" i="165"/>
  <c r="K224" i="165"/>
  <c r="I224" i="165"/>
  <c r="H224" i="165"/>
  <c r="G224" i="165"/>
  <c r="M220" i="165"/>
  <c r="I220" i="165"/>
  <c r="G220" i="165"/>
  <c r="N218" i="165"/>
  <c r="M218" i="165"/>
  <c r="L218" i="165"/>
  <c r="K218" i="165"/>
  <c r="I218" i="165"/>
  <c r="G218" i="165"/>
  <c r="N213" i="165"/>
  <c r="M213" i="165"/>
  <c r="L213" i="165"/>
  <c r="K213" i="165"/>
  <c r="I213" i="165"/>
  <c r="H213" i="165"/>
  <c r="G213" i="165"/>
  <c r="F213" i="165"/>
  <c r="N203" i="165"/>
  <c r="M203" i="165"/>
  <c r="K203" i="165"/>
  <c r="I203" i="165"/>
  <c r="G203" i="165"/>
  <c r="M195" i="165"/>
  <c r="K195" i="165"/>
  <c r="I195" i="165"/>
  <c r="N190" i="165"/>
  <c r="N188" i="165" s="1"/>
  <c r="M190" i="165"/>
  <c r="M188" i="165" s="1"/>
  <c r="L190" i="165"/>
  <c r="L188" i="165" s="1"/>
  <c r="K190" i="165"/>
  <c r="K188" i="165" s="1"/>
  <c r="I190" i="165"/>
  <c r="I188" i="165" s="1"/>
  <c r="H190" i="165"/>
  <c r="H188" i="165" s="1"/>
  <c r="G190" i="165"/>
  <c r="G188" i="165" s="1"/>
  <c r="F190" i="165"/>
  <c r="F188" i="165" s="1"/>
  <c r="M177" i="165"/>
  <c r="I177" i="165"/>
  <c r="N158" i="165"/>
  <c r="M158" i="165"/>
  <c r="L158" i="165"/>
  <c r="K158" i="165"/>
  <c r="I158" i="165"/>
  <c r="H158" i="165"/>
  <c r="G158" i="165"/>
  <c r="M149" i="165"/>
  <c r="K149" i="165"/>
  <c r="I149" i="165"/>
  <c r="F149" i="165"/>
  <c r="N140" i="165"/>
  <c r="M140" i="165"/>
  <c r="L140" i="165"/>
  <c r="K140" i="165"/>
  <c r="I140" i="165"/>
  <c r="H140" i="165"/>
  <c r="G140" i="165"/>
  <c r="M257" i="165" l="1"/>
  <c r="M223" i="165"/>
  <c r="H257" i="165"/>
  <c r="N257" i="165"/>
  <c r="G257" i="165"/>
  <c r="I223" i="165"/>
  <c r="I257" i="165"/>
  <c r="G223" i="165"/>
  <c r="L257" i="165"/>
  <c r="F257" i="165"/>
  <c r="L404" i="165"/>
  <c r="M404" i="165"/>
  <c r="K404" i="165"/>
  <c r="N404" i="165"/>
  <c r="G404" i="165"/>
  <c r="I404" i="165"/>
  <c r="H351" i="165"/>
  <c r="L351" i="165"/>
  <c r="F351" i="165"/>
  <c r="N351" i="165"/>
  <c r="M351" i="165"/>
  <c r="G351" i="165"/>
  <c r="K351" i="165"/>
  <c r="I351" i="165"/>
  <c r="K283" i="165"/>
  <c r="N238" i="165"/>
  <c r="I283" i="165"/>
  <c r="G283" i="165"/>
  <c r="L283" i="165"/>
  <c r="N283" i="165"/>
  <c r="H283" i="165"/>
  <c r="M283" i="165"/>
  <c r="I241" i="165"/>
  <c r="K241" i="165"/>
  <c r="L241" i="165"/>
  <c r="M241" i="165"/>
  <c r="N241" i="165"/>
  <c r="M139" i="165"/>
  <c r="F241" i="165"/>
  <c r="G241" i="165"/>
  <c r="H241" i="165"/>
  <c r="I139" i="165"/>
  <c r="N323" i="165"/>
  <c r="H323" i="165"/>
  <c r="I369" i="165"/>
  <c r="M369" i="165"/>
  <c r="K323" i="165"/>
  <c r="I323" i="165"/>
  <c r="G369" i="165"/>
  <c r="L369" i="165"/>
  <c r="M323" i="165"/>
  <c r="N369" i="165"/>
  <c r="L323" i="165"/>
  <c r="H369" i="165"/>
  <c r="G323" i="165"/>
  <c r="F323" i="165"/>
  <c r="F180" i="165"/>
  <c r="K180" i="165"/>
  <c r="I197" i="165"/>
  <c r="F212" i="165"/>
  <c r="K212" i="165"/>
  <c r="M217" i="165"/>
  <c r="I238" i="165"/>
  <c r="L304" i="165"/>
  <c r="F395" i="165"/>
  <c r="L395" i="165"/>
  <c r="M389" i="165"/>
  <c r="L389" i="165"/>
  <c r="G180" i="165"/>
  <c r="L180" i="165"/>
  <c r="G212" i="165"/>
  <c r="L212" i="165"/>
  <c r="F238" i="165"/>
  <c r="K238" i="165"/>
  <c r="F304" i="165"/>
  <c r="M304" i="165"/>
  <c r="M395" i="165"/>
  <c r="G395" i="165"/>
  <c r="N389" i="165"/>
  <c r="K389" i="165"/>
  <c r="H180" i="165"/>
  <c r="M180" i="165"/>
  <c r="M197" i="165"/>
  <c r="H212" i="165"/>
  <c r="M212" i="165"/>
  <c r="G238" i="165"/>
  <c r="L238" i="165"/>
  <c r="I304" i="165"/>
  <c r="N304" i="165"/>
  <c r="I395" i="165"/>
  <c r="H389" i="165"/>
  <c r="G389" i="165"/>
  <c r="I180" i="165"/>
  <c r="N180" i="165"/>
  <c r="G197" i="165"/>
  <c r="I212" i="165"/>
  <c r="N212" i="165"/>
  <c r="H238" i="165"/>
  <c r="M238" i="165"/>
  <c r="K304" i="165"/>
  <c r="N395" i="165"/>
  <c r="K395" i="165"/>
  <c r="I389" i="165"/>
  <c r="F389" i="165"/>
  <c r="I268" i="165"/>
  <c r="F268" i="165"/>
  <c r="F268" i="199" s="1"/>
  <c r="K268" i="165"/>
  <c r="G268" i="165"/>
  <c r="L268" i="165"/>
  <c r="N268" i="165"/>
  <c r="G217" i="165"/>
  <c r="H268" i="165"/>
  <c r="M268" i="165"/>
  <c r="I217" i="165"/>
  <c r="N118" i="165"/>
  <c r="M118" i="165"/>
  <c r="L118" i="165"/>
  <c r="K118" i="165"/>
  <c r="I118" i="165"/>
  <c r="N116" i="165"/>
  <c r="M116" i="165"/>
  <c r="L116" i="165"/>
  <c r="K116" i="165"/>
  <c r="I116" i="165"/>
  <c r="H116" i="165"/>
  <c r="G116" i="165"/>
  <c r="F116" i="165"/>
  <c r="N114" i="165"/>
  <c r="M114" i="165"/>
  <c r="L114" i="165"/>
  <c r="K114" i="165"/>
  <c r="I114" i="165"/>
  <c r="H114" i="165"/>
  <c r="G114" i="165"/>
  <c r="F114" i="165"/>
  <c r="O113" i="165"/>
  <c r="K46" i="165"/>
  <c r="I46" i="165"/>
  <c r="N40" i="165"/>
  <c r="M40" i="165"/>
  <c r="L40" i="165"/>
  <c r="K40" i="165"/>
  <c r="I40" i="165"/>
  <c r="H40" i="165"/>
  <c r="G40" i="165"/>
  <c r="F40" i="165"/>
  <c r="E38" i="165"/>
  <c r="N37" i="165"/>
  <c r="M37" i="165"/>
  <c r="L37" i="165"/>
  <c r="K37" i="165"/>
  <c r="I37" i="165"/>
  <c r="H37" i="165"/>
  <c r="G37" i="165"/>
  <c r="F37" i="165"/>
  <c r="N17" i="165"/>
  <c r="M17" i="165"/>
  <c r="L17" i="165"/>
  <c r="I17" i="165"/>
  <c r="J79" i="167"/>
  <c r="J78" i="167"/>
  <c r="J76" i="167"/>
  <c r="M76" i="167" s="1"/>
  <c r="J75" i="167"/>
  <c r="K39" i="165" l="1"/>
  <c r="L347" i="165"/>
  <c r="G39" i="165"/>
  <c r="L39" i="165"/>
  <c r="L313" i="165"/>
  <c r="G366" i="165"/>
  <c r="I366" i="165"/>
  <c r="M347" i="165"/>
  <c r="F39" i="165"/>
  <c r="F39" i="199" s="1"/>
  <c r="F16" i="199" s="1"/>
  <c r="F15" i="199" s="1"/>
  <c r="G347" i="165"/>
  <c r="H39" i="165"/>
  <c r="M39" i="165"/>
  <c r="G385" i="165"/>
  <c r="K385" i="165"/>
  <c r="L385" i="165"/>
  <c r="F313" i="165"/>
  <c r="N366" i="165"/>
  <c r="I313" i="165"/>
  <c r="I347" i="165"/>
  <c r="N347" i="165"/>
  <c r="H366" i="165"/>
  <c r="L366" i="165"/>
  <c r="M366" i="165"/>
  <c r="I39" i="165"/>
  <c r="N39" i="165"/>
  <c r="I385" i="165"/>
  <c r="N385" i="165"/>
  <c r="M385" i="165"/>
  <c r="G313" i="165"/>
  <c r="M313" i="165"/>
  <c r="N313" i="165"/>
  <c r="K347" i="165"/>
  <c r="G33" i="165"/>
  <c r="L33" i="165"/>
  <c r="H33" i="165"/>
  <c r="M33" i="165"/>
  <c r="I33" i="165"/>
  <c r="N33" i="165"/>
  <c r="F33" i="165"/>
  <c r="K33" i="165"/>
  <c r="K33" i="199" s="1"/>
  <c r="K16" i="199" s="1"/>
  <c r="K15" i="199" s="1"/>
  <c r="K265" i="165"/>
  <c r="N265" i="165"/>
  <c r="F265" i="165"/>
  <c r="F265" i="199" s="1"/>
  <c r="F252" i="199" s="1"/>
  <c r="M265" i="165"/>
  <c r="L265" i="165"/>
  <c r="I265" i="165"/>
  <c r="H265" i="165"/>
  <c r="G265" i="165"/>
  <c r="N291" i="165"/>
  <c r="M216" i="165"/>
  <c r="G216" i="165"/>
  <c r="I216" i="165"/>
  <c r="F123" i="165"/>
  <c r="G123" i="165"/>
  <c r="H123" i="165"/>
  <c r="I123" i="165"/>
  <c r="L123" i="165"/>
  <c r="M123" i="165"/>
  <c r="N123" i="165"/>
  <c r="H291" i="165"/>
  <c r="L291" i="165"/>
  <c r="K291" i="165"/>
  <c r="K291" i="199" s="1"/>
  <c r="K278" i="199" s="1"/>
  <c r="M291" i="165"/>
  <c r="I291" i="165"/>
  <c r="I194" i="165"/>
  <c r="M194" i="165"/>
  <c r="G291" i="165"/>
  <c r="F291" i="165"/>
  <c r="I22" i="165"/>
  <c r="N22" i="165"/>
  <c r="E37" i="165"/>
  <c r="F22" i="165"/>
  <c r="K22" i="165"/>
  <c r="I184" i="165"/>
  <c r="H184" i="165"/>
  <c r="L184" i="165"/>
  <c r="G22" i="165"/>
  <c r="K184" i="165"/>
  <c r="H22" i="165"/>
  <c r="J113" i="165"/>
  <c r="N184" i="165"/>
  <c r="M184" i="165"/>
  <c r="G184" i="165"/>
  <c r="F184" i="165"/>
  <c r="M22" i="165"/>
  <c r="I108" i="165"/>
  <c r="N108" i="165"/>
  <c r="L108" i="165"/>
  <c r="K108" i="165"/>
  <c r="M108" i="165"/>
  <c r="G77" i="167"/>
  <c r="J74" i="167"/>
  <c r="K277" i="199" l="1"/>
  <c r="F251" i="199"/>
  <c r="K278" i="165"/>
  <c r="L252" i="165"/>
  <c r="I252" i="165"/>
  <c r="G252" i="165"/>
  <c r="M252" i="165"/>
  <c r="N252" i="165"/>
  <c r="H252" i="165"/>
  <c r="F252" i="165"/>
  <c r="I104" i="165"/>
  <c r="L104" i="165"/>
  <c r="M104" i="165"/>
  <c r="N104" i="165"/>
  <c r="E33" i="165"/>
  <c r="M134" i="165"/>
  <c r="M16" i="165"/>
  <c r="N16" i="165"/>
  <c r="I16" i="165"/>
  <c r="I134" i="165"/>
  <c r="L22" i="165"/>
  <c r="J67" i="167"/>
  <c r="L16" i="165" l="1"/>
  <c r="O68" i="165"/>
  <c r="G60" i="165"/>
  <c r="F60" i="165"/>
  <c r="J62" i="165"/>
  <c r="E62" i="165"/>
  <c r="O54" i="165"/>
  <c r="E54" i="165"/>
  <c r="J81" i="167"/>
  <c r="E53" i="165" l="1"/>
  <c r="O53" i="165"/>
  <c r="E68" i="165"/>
  <c r="H74" i="167"/>
  <c r="J68" i="165"/>
  <c r="I74" i="167"/>
  <c r="F66" i="165"/>
  <c r="F66" i="199" s="1"/>
  <c r="G66" i="165"/>
  <c r="H67" i="167"/>
  <c r="P62" i="165"/>
  <c r="F70" i="165"/>
  <c r="O71" i="165"/>
  <c r="J64" i="167"/>
  <c r="J80" i="167"/>
  <c r="M64" i="167" l="1"/>
  <c r="M49" i="165"/>
  <c r="O70" i="165"/>
  <c r="G74" i="167"/>
  <c r="I79" i="167"/>
  <c r="H79" i="167"/>
  <c r="E71" i="165"/>
  <c r="P68" i="165"/>
  <c r="M60" i="167"/>
  <c r="J71" i="165"/>
  <c r="J54" i="165"/>
  <c r="O69" i="165"/>
  <c r="E69" i="165"/>
  <c r="H63" i="165"/>
  <c r="F63" i="165"/>
  <c r="F63" i="199" s="1"/>
  <c r="J86" i="167"/>
  <c r="O77" i="165"/>
  <c r="M47" i="165" l="1"/>
  <c r="F47" i="165"/>
  <c r="F47" i="199" s="1"/>
  <c r="F46" i="199" s="1"/>
  <c r="F45" i="199" s="1"/>
  <c r="J53" i="165"/>
  <c r="P71" i="165"/>
  <c r="G79" i="167"/>
  <c r="H80" i="167"/>
  <c r="E70" i="165"/>
  <c r="J69" i="165"/>
  <c r="I81" i="167"/>
  <c r="G63" i="165"/>
  <c r="G63" i="199" s="1"/>
  <c r="E77" i="165"/>
  <c r="J77" i="165"/>
  <c r="H81" i="167"/>
  <c r="I67" i="167"/>
  <c r="G67" i="167" s="1"/>
  <c r="J70" i="165"/>
  <c r="P54" i="165"/>
  <c r="O407" i="165"/>
  <c r="E407" i="165"/>
  <c r="I342" i="167"/>
  <c r="H386" i="165"/>
  <c r="O388" i="165"/>
  <c r="E388" i="165"/>
  <c r="F348" i="165"/>
  <c r="O350" i="165"/>
  <c r="E350" i="165"/>
  <c r="O341" i="165"/>
  <c r="E341" i="165"/>
  <c r="O316" i="165"/>
  <c r="E316" i="165"/>
  <c r="F279" i="165"/>
  <c r="O281" i="165"/>
  <c r="E281" i="165"/>
  <c r="O137" i="165"/>
  <c r="E137" i="165"/>
  <c r="G47" i="165" l="1"/>
  <c r="G47" i="199" s="1"/>
  <c r="G46" i="199" s="1"/>
  <c r="H385" i="165"/>
  <c r="F347" i="165"/>
  <c r="M46" i="165"/>
  <c r="F46" i="165"/>
  <c r="P53" i="165"/>
  <c r="P70" i="165"/>
  <c r="P69" i="165"/>
  <c r="P77" i="165"/>
  <c r="H307" i="167"/>
  <c r="H280" i="167"/>
  <c r="J341" i="165"/>
  <c r="H239" i="167"/>
  <c r="J316" i="165"/>
  <c r="F338" i="165"/>
  <c r="H332" i="167"/>
  <c r="F405" i="165"/>
  <c r="I86" i="167"/>
  <c r="G81" i="167"/>
  <c r="J281" i="165"/>
  <c r="J388" i="165"/>
  <c r="H301" i="167"/>
  <c r="H299" i="167" s="1"/>
  <c r="J350" i="165"/>
  <c r="F386" i="165"/>
  <c r="H345" i="167"/>
  <c r="H343" i="167" s="1"/>
  <c r="J137" i="165"/>
  <c r="J407" i="165"/>
  <c r="H86" i="167"/>
  <c r="I80" i="167"/>
  <c r="G80" i="167" s="1"/>
  <c r="H130" i="167"/>
  <c r="J342" i="167"/>
  <c r="G45" i="199" l="1"/>
  <c r="G421" i="199"/>
  <c r="G432" i="199" s="1"/>
  <c r="G239" i="167"/>
  <c r="I307" i="167"/>
  <c r="G307" i="167" s="1"/>
  <c r="F385" i="165"/>
  <c r="G332" i="167"/>
  <c r="G46" i="165"/>
  <c r="F404" i="165"/>
  <c r="P350" i="165"/>
  <c r="G301" i="167"/>
  <c r="P388" i="165"/>
  <c r="P407" i="165"/>
  <c r="P316" i="165"/>
  <c r="P137" i="165"/>
  <c r="G86" i="167"/>
  <c r="G280" i="167"/>
  <c r="G345" i="167"/>
  <c r="G343" i="167" s="1"/>
  <c r="H342" i="167"/>
  <c r="P341" i="165"/>
  <c r="P281" i="165"/>
  <c r="I130" i="167"/>
  <c r="G130" i="167" s="1"/>
  <c r="O255" i="165"/>
  <c r="E255" i="165"/>
  <c r="G342" i="167" l="1"/>
  <c r="H215" i="167"/>
  <c r="G215" i="167" s="1"/>
  <c r="J255" i="165"/>
  <c r="P255" i="165" l="1"/>
  <c r="O20" i="165"/>
  <c r="E20" i="165"/>
  <c r="J20" i="165" l="1"/>
  <c r="H23" i="167"/>
  <c r="G23" i="167" l="1"/>
  <c r="P20" i="165"/>
  <c r="K123" i="165" l="1"/>
  <c r="K104" i="165" l="1"/>
  <c r="F45" i="172"/>
  <c r="F42" i="172" s="1"/>
  <c r="E45" i="172"/>
  <c r="E42" i="172" l="1"/>
  <c r="F36" i="172"/>
  <c r="E36" i="172" l="1"/>
  <c r="K258" i="165"/>
  <c r="K257" i="165" l="1"/>
  <c r="J209" i="167"/>
  <c r="K252" i="165" l="1"/>
  <c r="K17" i="165"/>
  <c r="K16" i="165" l="1"/>
  <c r="O247" i="165"/>
  <c r="E247" i="165"/>
  <c r="F229" i="165"/>
  <c r="F229" i="199" s="1"/>
  <c r="O245" i="165" l="1"/>
  <c r="E245" i="165"/>
  <c r="H229" i="165"/>
  <c r="H229" i="199" s="1"/>
  <c r="H209" i="167"/>
  <c r="J247" i="165"/>
  <c r="J245" i="165" l="1"/>
  <c r="E241" i="165"/>
  <c r="H223" i="165"/>
  <c r="H223" i="199" s="1"/>
  <c r="H216" i="199" s="1"/>
  <c r="O241" i="165"/>
  <c r="P247" i="165"/>
  <c r="I209" i="167"/>
  <c r="G209" i="167" s="1"/>
  <c r="H215" i="199" l="1"/>
  <c r="H421" i="199"/>
  <c r="H432" i="199" s="1"/>
  <c r="P245" i="165"/>
  <c r="J241" i="165"/>
  <c r="I17" i="107"/>
  <c r="I13" i="107" s="1"/>
  <c r="P241" i="165" l="1"/>
  <c r="I12" i="107"/>
  <c r="I28" i="107" s="1"/>
  <c r="I16" i="107"/>
  <c r="I15" i="107" s="1"/>
  <c r="I14" i="107" s="1"/>
  <c r="D89" i="170"/>
  <c r="D76" i="170"/>
  <c r="D73" i="170"/>
  <c r="F376" i="165" l="1"/>
  <c r="H405" i="165" l="1"/>
  <c r="K376" i="165"/>
  <c r="F372" i="165"/>
  <c r="J341" i="167"/>
  <c r="J339" i="167"/>
  <c r="J337" i="167" l="1"/>
  <c r="H404" i="165"/>
  <c r="F369" i="165"/>
  <c r="H396" i="165"/>
  <c r="K372" i="165"/>
  <c r="J333" i="167"/>
  <c r="H333" i="167"/>
  <c r="G331" i="167"/>
  <c r="F366" i="165" l="1"/>
  <c r="K333" i="167"/>
  <c r="H330" i="167"/>
  <c r="J330" i="167"/>
  <c r="M333" i="167"/>
  <c r="K369" i="165"/>
  <c r="H348" i="165"/>
  <c r="H395" i="165"/>
  <c r="J275" i="167"/>
  <c r="J273" i="167"/>
  <c r="J274" i="167"/>
  <c r="J270" i="167"/>
  <c r="H270" i="167"/>
  <c r="J255" i="167"/>
  <c r="J253" i="167"/>
  <c r="J252" i="167"/>
  <c r="J245" i="167"/>
  <c r="M245" i="167" s="1"/>
  <c r="J242" i="167"/>
  <c r="M242" i="167" s="1"/>
  <c r="J241" i="167"/>
  <c r="J240" i="167"/>
  <c r="J237" i="167" s="1"/>
  <c r="O308" i="165"/>
  <c r="J308" i="165" s="1"/>
  <c r="O306" i="165"/>
  <c r="O307" i="165"/>
  <c r="J233" i="167"/>
  <c r="J224" i="167"/>
  <c r="J219" i="167"/>
  <c r="H347" i="165" l="1"/>
  <c r="K366" i="165"/>
  <c r="J236" i="167"/>
  <c r="M236" i="167" s="1"/>
  <c r="J213" i="167"/>
  <c r="H314" i="165"/>
  <c r="H279" i="165"/>
  <c r="J306" i="165"/>
  <c r="O305" i="165"/>
  <c r="I275" i="167"/>
  <c r="J195" i="167"/>
  <c r="L220" i="165"/>
  <c r="H313" i="165" l="1"/>
  <c r="I273" i="167"/>
  <c r="L217" i="165"/>
  <c r="O304" i="165"/>
  <c r="H338" i="165"/>
  <c r="N220" i="165"/>
  <c r="N229" i="165"/>
  <c r="L229" i="165"/>
  <c r="K229" i="165"/>
  <c r="K234" i="165"/>
  <c r="K223" i="165" l="1"/>
  <c r="L223" i="165"/>
  <c r="N223" i="165"/>
  <c r="N217" i="165"/>
  <c r="K220" i="165"/>
  <c r="P13" i="107"/>
  <c r="P12" i="107" s="1"/>
  <c r="P28" i="107" s="1"/>
  <c r="F218" i="165"/>
  <c r="E420" i="165"/>
  <c r="I193" i="165"/>
  <c r="J189" i="167"/>
  <c r="L216" i="165" l="1"/>
  <c r="N216" i="165"/>
  <c r="N195" i="165"/>
  <c r="H218" i="165"/>
  <c r="O195" i="165"/>
  <c r="F224" i="165"/>
  <c r="F224" i="199" s="1"/>
  <c r="K217" i="165"/>
  <c r="L195" i="165"/>
  <c r="F227" i="165"/>
  <c r="L203" i="165"/>
  <c r="E89" i="170"/>
  <c r="F234" i="165"/>
  <c r="E419" i="165"/>
  <c r="H220" i="165"/>
  <c r="N197" i="165"/>
  <c r="F220" i="165"/>
  <c r="O214" i="165"/>
  <c r="E214" i="165"/>
  <c r="E82" i="170" s="1"/>
  <c r="F223" i="165" l="1"/>
  <c r="F223" i="199" s="1"/>
  <c r="F216" i="199" s="1"/>
  <c r="F215" i="199" s="1"/>
  <c r="K216" i="165"/>
  <c r="L197" i="165"/>
  <c r="H203" i="165"/>
  <c r="F217" i="165"/>
  <c r="H217" i="165"/>
  <c r="E418" i="165"/>
  <c r="N194" i="165"/>
  <c r="F203" i="165"/>
  <c r="E213" i="165"/>
  <c r="J214" i="165"/>
  <c r="O213" i="165"/>
  <c r="H189" i="167"/>
  <c r="J173" i="167"/>
  <c r="H216" i="165" l="1"/>
  <c r="F216" i="165"/>
  <c r="L194" i="165"/>
  <c r="E212" i="165"/>
  <c r="P214" i="165"/>
  <c r="O212" i="165"/>
  <c r="I189" i="167"/>
  <c r="G189" i="167" s="1"/>
  <c r="J213" i="165"/>
  <c r="K197" i="165"/>
  <c r="F197" i="165"/>
  <c r="G271" i="167"/>
  <c r="G269" i="167"/>
  <c r="G254" i="167"/>
  <c r="G249" i="167"/>
  <c r="G238" i="167"/>
  <c r="G214" i="167"/>
  <c r="J212" i="167"/>
  <c r="K194" i="165" l="1"/>
  <c r="J212" i="165"/>
  <c r="H195" i="165"/>
  <c r="F195" i="165"/>
  <c r="H197" i="165"/>
  <c r="G195" i="165"/>
  <c r="P213" i="165"/>
  <c r="O19" i="165"/>
  <c r="E19" i="165"/>
  <c r="J19" i="165" l="1"/>
  <c r="G194" i="165"/>
  <c r="F194" i="165"/>
  <c r="P212" i="165"/>
  <c r="H194" i="165"/>
  <c r="J152" i="167"/>
  <c r="P19" i="165" l="1"/>
  <c r="L177" i="165"/>
  <c r="L149" i="165"/>
  <c r="N177" i="165"/>
  <c r="N149" i="165"/>
  <c r="J166" i="167"/>
  <c r="J162" i="167"/>
  <c r="J151" i="167"/>
  <c r="J146" i="167"/>
  <c r="J140" i="167"/>
  <c r="J136" i="167"/>
  <c r="J135" i="167"/>
  <c r="J134" i="167"/>
  <c r="J133" i="167"/>
  <c r="J132" i="167"/>
  <c r="L139" i="165" l="1"/>
  <c r="N139" i="165"/>
  <c r="J109" i="167"/>
  <c r="N134" i="165" l="1"/>
  <c r="L134" i="165"/>
  <c r="H149" i="165"/>
  <c r="G177" i="165"/>
  <c r="H135" i="165"/>
  <c r="H177" i="165"/>
  <c r="G149" i="165"/>
  <c r="J154" i="167"/>
  <c r="J127" i="167" s="1"/>
  <c r="K177" i="165"/>
  <c r="K139" i="165" l="1"/>
  <c r="K139" i="199" s="1"/>
  <c r="K134" i="199" s="1"/>
  <c r="G139" i="165"/>
  <c r="H139" i="165"/>
  <c r="H118" i="165"/>
  <c r="G118" i="165"/>
  <c r="F118" i="165"/>
  <c r="K133" i="199" l="1"/>
  <c r="K421" i="199"/>
  <c r="K134" i="165"/>
  <c r="G134" i="165"/>
  <c r="F108" i="165"/>
  <c r="G108" i="165"/>
  <c r="H108" i="165"/>
  <c r="H134" i="165"/>
  <c r="K321" i="165"/>
  <c r="K435" i="199" l="1"/>
  <c r="K432" i="199"/>
  <c r="F104" i="165"/>
  <c r="H104" i="165"/>
  <c r="G104" i="165"/>
  <c r="K320" i="165"/>
  <c r="F16" i="165"/>
  <c r="L60" i="165"/>
  <c r="K313" i="165" l="1"/>
  <c r="N60" i="165"/>
  <c r="L63" i="165"/>
  <c r="O60" i="165"/>
  <c r="N63" i="165"/>
  <c r="N49" i="165" l="1"/>
  <c r="L49" i="165"/>
  <c r="L47" i="165" l="1"/>
  <c r="N47" i="165"/>
  <c r="G58" i="167"/>
  <c r="N46" i="165" l="1"/>
  <c r="L46" i="165"/>
  <c r="H60" i="165" l="1"/>
  <c r="H66" i="165" l="1"/>
  <c r="J42" i="167"/>
  <c r="M42" i="167" s="1"/>
  <c r="O42" i="165"/>
  <c r="E42" i="165"/>
  <c r="J32" i="167"/>
  <c r="M32" i="167" s="1"/>
  <c r="H47" i="165" l="1"/>
  <c r="J42" i="165"/>
  <c r="E76" i="170"/>
  <c r="H42" i="167"/>
  <c r="H46" i="165" l="1"/>
  <c r="P42" i="165"/>
  <c r="I42" i="167"/>
  <c r="L42" i="167" s="1"/>
  <c r="K42" i="167"/>
  <c r="G42" i="167" l="1"/>
  <c r="G19" i="167"/>
  <c r="G17" i="165"/>
  <c r="H17" i="165" l="1"/>
  <c r="G16" i="165"/>
  <c r="H305" i="165"/>
  <c r="G305" i="165"/>
  <c r="H304" i="165" l="1"/>
  <c r="G304" i="165"/>
  <c r="G278" i="165" s="1"/>
  <c r="H16" i="165"/>
  <c r="O191" i="165"/>
  <c r="E191" i="165"/>
  <c r="O182" i="165"/>
  <c r="E182" i="165"/>
  <c r="O179" i="165"/>
  <c r="E179" i="165"/>
  <c r="E179" i="199" s="1"/>
  <c r="O160" i="165"/>
  <c r="E160" i="165"/>
  <c r="O159" i="165"/>
  <c r="O157" i="165"/>
  <c r="E157" i="165"/>
  <c r="O156" i="165"/>
  <c r="E156" i="165"/>
  <c r="O154" i="165"/>
  <c r="E154" i="165"/>
  <c r="E154" i="199" s="1"/>
  <c r="O151" i="165"/>
  <c r="E151" i="165"/>
  <c r="E150" i="165"/>
  <c r="O148" i="165"/>
  <c r="E148" i="165"/>
  <c r="O146" i="165"/>
  <c r="E146" i="165"/>
  <c r="O145" i="165"/>
  <c r="E145" i="165"/>
  <c r="O144" i="165"/>
  <c r="E144" i="165"/>
  <c r="O143" i="165"/>
  <c r="E143" i="165"/>
  <c r="O142" i="165"/>
  <c r="E142" i="165"/>
  <c r="O141" i="165"/>
  <c r="O136" i="165"/>
  <c r="E136" i="165"/>
  <c r="K148" i="167" l="1"/>
  <c r="E157" i="199"/>
  <c r="H156" i="167"/>
  <c r="K156" i="167" s="1"/>
  <c r="H141" i="167"/>
  <c r="O181" i="165"/>
  <c r="E181" i="165"/>
  <c r="E149" i="165"/>
  <c r="J154" i="165"/>
  <c r="J157" i="165"/>
  <c r="J142" i="165"/>
  <c r="H134" i="167"/>
  <c r="H136" i="167"/>
  <c r="H139" i="167"/>
  <c r="H147" i="167"/>
  <c r="J145" i="165"/>
  <c r="J151" i="165"/>
  <c r="J156" i="165"/>
  <c r="O135" i="165"/>
  <c r="J144" i="165"/>
  <c r="J146" i="165"/>
  <c r="J143" i="165"/>
  <c r="J148" i="165"/>
  <c r="E135" i="165"/>
  <c r="H135" i="167"/>
  <c r="H137" i="167"/>
  <c r="H146" i="167"/>
  <c r="J179" i="165"/>
  <c r="E141" i="165"/>
  <c r="F140" i="165"/>
  <c r="E159" i="165"/>
  <c r="F158" i="165"/>
  <c r="E178" i="165"/>
  <c r="F177" i="165"/>
  <c r="F177" i="199" s="1"/>
  <c r="J136" i="165"/>
  <c r="H166" i="167"/>
  <c r="E190" i="165"/>
  <c r="E188" i="165" s="1"/>
  <c r="J191" i="165"/>
  <c r="O190" i="165"/>
  <c r="O188" i="165" s="1"/>
  <c r="H162" i="167"/>
  <c r="J182" i="165"/>
  <c r="J178" i="165"/>
  <c r="O177" i="165"/>
  <c r="H152" i="167"/>
  <c r="J160" i="165"/>
  <c r="J159" i="165"/>
  <c r="O158" i="165"/>
  <c r="H140" i="167"/>
  <c r="J150" i="165"/>
  <c r="O149" i="165"/>
  <c r="J141" i="165"/>
  <c r="O140" i="165"/>
  <c r="H133" i="167"/>
  <c r="I156" i="167" l="1"/>
  <c r="G156" i="167" s="1"/>
  <c r="I141" i="167"/>
  <c r="I148" i="167"/>
  <c r="L148" i="167" s="1"/>
  <c r="P145" i="165"/>
  <c r="P157" i="165"/>
  <c r="P157" i="199" s="1"/>
  <c r="J181" i="165"/>
  <c r="P160" i="165"/>
  <c r="F139" i="165"/>
  <c r="F139" i="199" s="1"/>
  <c r="F134" i="199" s="1"/>
  <c r="O139" i="165"/>
  <c r="O139" i="199" s="1"/>
  <c r="O134" i="199" s="1"/>
  <c r="P154" i="165"/>
  <c r="P154" i="199" s="1"/>
  <c r="P144" i="165"/>
  <c r="P142" i="165"/>
  <c r="P151" i="165"/>
  <c r="P143" i="165"/>
  <c r="P156" i="165"/>
  <c r="P146" i="165"/>
  <c r="H154" i="167"/>
  <c r="P148" i="165"/>
  <c r="P179" i="165"/>
  <c r="P179" i="199" s="1"/>
  <c r="P150" i="165"/>
  <c r="O180" i="165"/>
  <c r="J135" i="165"/>
  <c r="E158" i="165"/>
  <c r="I134" i="167"/>
  <c r="I135" i="167"/>
  <c r="I133" i="167"/>
  <c r="P182" i="165"/>
  <c r="P191" i="165"/>
  <c r="P141" i="165"/>
  <c r="E180" i="165"/>
  <c r="E177" i="165"/>
  <c r="E177" i="199" s="1"/>
  <c r="H132" i="167"/>
  <c r="I139" i="167"/>
  <c r="I137" i="167"/>
  <c r="I147" i="167"/>
  <c r="I136" i="167"/>
  <c r="I146" i="167"/>
  <c r="P159" i="165"/>
  <c r="H151" i="167"/>
  <c r="P136" i="165"/>
  <c r="P178" i="165"/>
  <c r="E140" i="165"/>
  <c r="I166" i="167"/>
  <c r="G166" i="167" s="1"/>
  <c r="J190" i="165"/>
  <c r="J188" i="165" s="1"/>
  <c r="I162" i="167"/>
  <c r="I154" i="167"/>
  <c r="J177" i="165"/>
  <c r="I152" i="167"/>
  <c r="I151" i="167"/>
  <c r="J158" i="165"/>
  <c r="I140" i="167"/>
  <c r="J149" i="165"/>
  <c r="I132" i="167"/>
  <c r="J140" i="165"/>
  <c r="E402" i="165"/>
  <c r="J400" i="165"/>
  <c r="E400" i="165"/>
  <c r="O397" i="165"/>
  <c r="E397" i="165"/>
  <c r="O387" i="165"/>
  <c r="E387" i="165"/>
  <c r="O356" i="165"/>
  <c r="E356" i="165"/>
  <c r="O349" i="165"/>
  <c r="E349" i="165"/>
  <c r="O340" i="165"/>
  <c r="E340" i="165"/>
  <c r="E308" i="165"/>
  <c r="J307" i="165"/>
  <c r="E307" i="165"/>
  <c r="E306" i="165"/>
  <c r="O299" i="165"/>
  <c r="E299" i="165"/>
  <c r="O298" i="165"/>
  <c r="E298" i="165"/>
  <c r="E296" i="165"/>
  <c r="O293" i="165"/>
  <c r="E293" i="165"/>
  <c r="O289" i="165"/>
  <c r="E289" i="165"/>
  <c r="E289" i="199" s="1"/>
  <c r="O288" i="165"/>
  <c r="E288" i="165"/>
  <c r="E288" i="199" s="1"/>
  <c r="O286" i="165"/>
  <c r="E286" i="165"/>
  <c r="O285" i="165"/>
  <c r="E285" i="165"/>
  <c r="E285" i="199" s="1"/>
  <c r="O282" i="165"/>
  <c r="E282" i="165"/>
  <c r="O280" i="165"/>
  <c r="E280" i="165"/>
  <c r="M277" i="165"/>
  <c r="L277" i="165"/>
  <c r="K277" i="165"/>
  <c r="I277" i="165"/>
  <c r="H277" i="165"/>
  <c r="G277" i="165"/>
  <c r="F277" i="165"/>
  <c r="N277" i="165"/>
  <c r="E272" i="165"/>
  <c r="O269" i="165"/>
  <c r="E269" i="165"/>
  <c r="E269" i="199" s="1"/>
  <c r="O263" i="165"/>
  <c r="E263" i="165"/>
  <c r="O261" i="165"/>
  <c r="E261" i="165"/>
  <c r="O260" i="165"/>
  <c r="E260" i="165"/>
  <c r="O259" i="165"/>
  <c r="O254" i="165"/>
  <c r="E254" i="165"/>
  <c r="M251" i="165"/>
  <c r="L251" i="165"/>
  <c r="K251" i="165"/>
  <c r="M212" i="167" s="1"/>
  <c r="H251" i="165"/>
  <c r="F251" i="165"/>
  <c r="N251" i="165"/>
  <c r="I251" i="165"/>
  <c r="G251" i="165"/>
  <c r="O133" i="199" l="1"/>
  <c r="J134" i="199"/>
  <c r="J133" i="199" s="1"/>
  <c r="F133" i="199"/>
  <c r="F421" i="199"/>
  <c r="F432" i="199" s="1"/>
  <c r="L156" i="167"/>
  <c r="H253" i="167"/>
  <c r="K245" i="167"/>
  <c r="K259" i="167"/>
  <c r="O284" i="165"/>
  <c r="E284" i="165"/>
  <c r="E284" i="199" s="1"/>
  <c r="E139" i="165"/>
  <c r="E139" i="199" s="1"/>
  <c r="E134" i="199" s="1"/>
  <c r="H221" i="167"/>
  <c r="K249" i="167"/>
  <c r="K242" i="167"/>
  <c r="E339" i="165"/>
  <c r="O339" i="165"/>
  <c r="I127" i="167"/>
  <c r="E297" i="165"/>
  <c r="O297" i="165"/>
  <c r="O253" i="165"/>
  <c r="E253" i="165"/>
  <c r="E305" i="165"/>
  <c r="P181" i="165"/>
  <c r="J180" i="165"/>
  <c r="J139" i="165"/>
  <c r="J139" i="199" s="1"/>
  <c r="P140" i="165"/>
  <c r="H309" i="167"/>
  <c r="H305" i="167" s="1"/>
  <c r="P190" i="165"/>
  <c r="P188" i="165" s="1"/>
  <c r="E295" i="165"/>
  <c r="P149" i="165"/>
  <c r="J261" i="165"/>
  <c r="H219" i="167"/>
  <c r="H224" i="167"/>
  <c r="H240" i="167"/>
  <c r="J299" i="165"/>
  <c r="P135" i="165"/>
  <c r="J260" i="165"/>
  <c r="J263" i="165"/>
  <c r="J282" i="165"/>
  <c r="J286" i="165"/>
  <c r="J289" i="165"/>
  <c r="E386" i="165"/>
  <c r="J391" i="165"/>
  <c r="O184" i="165"/>
  <c r="O386" i="165"/>
  <c r="E396" i="165"/>
  <c r="P158" i="165"/>
  <c r="J288" i="165"/>
  <c r="P177" i="165"/>
  <c r="P177" i="199" s="1"/>
  <c r="F134" i="165"/>
  <c r="E348" i="165"/>
  <c r="E279" i="165"/>
  <c r="J301" i="165"/>
  <c r="J349" i="165"/>
  <c r="O348" i="165"/>
  <c r="J356" i="165"/>
  <c r="O355" i="165"/>
  <c r="E399" i="165"/>
  <c r="J293" i="165"/>
  <c r="O292" i="165"/>
  <c r="I339" i="167"/>
  <c r="J399" i="165"/>
  <c r="H341" i="167"/>
  <c r="H337" i="167" s="1"/>
  <c r="E401" i="165"/>
  <c r="J272" i="165"/>
  <c r="O271" i="165"/>
  <c r="J296" i="165"/>
  <c r="J296" i="199" s="1"/>
  <c r="I274" i="167"/>
  <c r="J305" i="165"/>
  <c r="E355" i="165"/>
  <c r="J397" i="165"/>
  <c r="O396" i="165"/>
  <c r="J402" i="165"/>
  <c r="O401" i="165"/>
  <c r="H274" i="167"/>
  <c r="H255" i="167"/>
  <c r="J298" i="165"/>
  <c r="H252" i="167"/>
  <c r="E292" i="165"/>
  <c r="O279" i="165"/>
  <c r="J285" i="165"/>
  <c r="H241" i="167"/>
  <c r="J269" i="165"/>
  <c r="H233" i="167"/>
  <c r="E271" i="165"/>
  <c r="K229" i="167"/>
  <c r="J259" i="165"/>
  <c r="O258" i="165"/>
  <c r="E258" i="165"/>
  <c r="J340" i="165"/>
  <c r="J387" i="165"/>
  <c r="J254" i="165"/>
  <c r="H275" i="167"/>
  <c r="G275" i="167" s="1"/>
  <c r="P308" i="165"/>
  <c r="J280" i="165"/>
  <c r="H273" i="167"/>
  <c r="G273" i="167" s="1"/>
  <c r="P306" i="165"/>
  <c r="P307" i="165"/>
  <c r="P400" i="165"/>
  <c r="E133" i="199" l="1"/>
  <c r="P134" i="199"/>
  <c r="H237" i="167"/>
  <c r="L216" i="167"/>
  <c r="L259" i="167"/>
  <c r="J284" i="165"/>
  <c r="I221" i="167"/>
  <c r="G221" i="167" s="1"/>
  <c r="J339" i="165"/>
  <c r="O257" i="165"/>
  <c r="E352" i="165"/>
  <c r="Q391" i="165"/>
  <c r="F36" i="108"/>
  <c r="O352" i="165"/>
  <c r="E268" i="165"/>
  <c r="E268" i="199" s="1"/>
  <c r="E257" i="165"/>
  <c r="F421" i="165"/>
  <c r="L249" i="167"/>
  <c r="H213" i="167"/>
  <c r="H212" i="167" s="1"/>
  <c r="L333" i="167"/>
  <c r="J300" i="165"/>
  <c r="L229" i="167"/>
  <c r="G216" i="167"/>
  <c r="E283" i="165"/>
  <c r="J253" i="165"/>
  <c r="O283" i="165"/>
  <c r="J390" i="165"/>
  <c r="P139" i="165"/>
  <c r="P139" i="199" s="1"/>
  <c r="P288" i="165"/>
  <c r="P288" i="199" s="1"/>
  <c r="P286" i="165"/>
  <c r="I309" i="167"/>
  <c r="I305" i="167" s="1"/>
  <c r="P282" i="165"/>
  <c r="P261" i="165"/>
  <c r="G274" i="167"/>
  <c r="J295" i="165"/>
  <c r="J295" i="199" s="1"/>
  <c r="E294" i="165"/>
  <c r="P391" i="165"/>
  <c r="P187" i="165"/>
  <c r="E186" i="165"/>
  <c r="H164" i="167"/>
  <c r="G164" i="167" s="1"/>
  <c r="P299" i="165"/>
  <c r="P263" i="165"/>
  <c r="P289" i="165"/>
  <c r="P289" i="199" s="1"/>
  <c r="P260" i="165"/>
  <c r="G333" i="167"/>
  <c r="G330" i="167" s="1"/>
  <c r="P293" i="165"/>
  <c r="J348" i="165"/>
  <c r="O338" i="165"/>
  <c r="P399" i="165"/>
  <c r="P259" i="165"/>
  <c r="P285" i="165"/>
  <c r="P285" i="199" s="1"/>
  <c r="E304" i="165"/>
  <c r="J304" i="165"/>
  <c r="O268" i="165"/>
  <c r="I240" i="167"/>
  <c r="I219" i="167"/>
  <c r="G219" i="167" s="1"/>
  <c r="P180" i="165"/>
  <c r="P298" i="165"/>
  <c r="J396" i="165"/>
  <c r="J271" i="165"/>
  <c r="I245" i="167"/>
  <c r="O134" i="165"/>
  <c r="O398" i="165"/>
  <c r="O389" i="165"/>
  <c r="E338" i="165"/>
  <c r="I242" i="167"/>
  <c r="I224" i="167"/>
  <c r="G224" i="167" s="1"/>
  <c r="J184" i="165"/>
  <c r="I253" i="167"/>
  <c r="G253" i="167" s="1"/>
  <c r="P269" i="165"/>
  <c r="P269" i="199" s="1"/>
  <c r="I270" i="167"/>
  <c r="G270" i="167" s="1"/>
  <c r="P397" i="165"/>
  <c r="I233" i="167"/>
  <c r="G233" i="167" s="1"/>
  <c r="G339" i="167"/>
  <c r="P272" i="165"/>
  <c r="P349" i="165"/>
  <c r="P296" i="165"/>
  <c r="P296" i="199" s="1"/>
  <c r="P340" i="165"/>
  <c r="I341" i="167"/>
  <c r="G341" i="167" s="1"/>
  <c r="J401" i="165"/>
  <c r="J355" i="165"/>
  <c r="P356" i="165"/>
  <c r="I252" i="167"/>
  <c r="G252" i="167" s="1"/>
  <c r="J292" i="165"/>
  <c r="P402" i="165"/>
  <c r="P301" i="165"/>
  <c r="E398" i="165"/>
  <c r="P387" i="165"/>
  <c r="J386" i="165"/>
  <c r="P305" i="165"/>
  <c r="I255" i="167"/>
  <c r="I241" i="167"/>
  <c r="G241" i="167" s="1"/>
  <c r="P280" i="165"/>
  <c r="J279" i="165"/>
  <c r="G229" i="167"/>
  <c r="J258" i="165"/>
  <c r="P254" i="165"/>
  <c r="H236" i="167"/>
  <c r="Q134" i="199" l="1"/>
  <c r="P133" i="199"/>
  <c r="E283" i="199"/>
  <c r="E278" i="199" s="1"/>
  <c r="E278" i="165"/>
  <c r="G240" i="167"/>
  <c r="I237" i="167"/>
  <c r="I236" i="167" s="1"/>
  <c r="G236" i="167" s="1"/>
  <c r="E351" i="165"/>
  <c r="P284" i="165"/>
  <c r="P284" i="199" s="1"/>
  <c r="G245" i="167"/>
  <c r="L245" i="167"/>
  <c r="J352" i="165"/>
  <c r="E265" i="165"/>
  <c r="E265" i="199" s="1"/>
  <c r="E252" i="199" s="1"/>
  <c r="P339" i="165"/>
  <c r="G28" i="197"/>
  <c r="J257" i="165"/>
  <c r="O385" i="165"/>
  <c r="J268" i="165"/>
  <c r="E347" i="165"/>
  <c r="K305" i="167" s="1"/>
  <c r="G242" i="167"/>
  <c r="L242" i="167"/>
  <c r="G255" i="167"/>
  <c r="G337" i="167"/>
  <c r="I337" i="167"/>
  <c r="G213" i="167"/>
  <c r="I213" i="167"/>
  <c r="I212" i="167" s="1"/>
  <c r="J297" i="165"/>
  <c r="P300" i="165"/>
  <c r="O351" i="165"/>
  <c r="P253" i="165"/>
  <c r="G248" i="167"/>
  <c r="O265" i="165"/>
  <c r="J283" i="165"/>
  <c r="P390" i="165"/>
  <c r="E185" i="165"/>
  <c r="G309" i="167"/>
  <c r="G305" i="167" s="1"/>
  <c r="P186" i="165"/>
  <c r="E291" i="165"/>
  <c r="H127" i="167"/>
  <c r="P295" i="165"/>
  <c r="P295" i="199" s="1"/>
  <c r="J294" i="165"/>
  <c r="J294" i="199" s="1"/>
  <c r="O291" i="165"/>
  <c r="O291" i="199" s="1"/>
  <c r="O278" i="199" s="1"/>
  <c r="P258" i="165"/>
  <c r="O395" i="165"/>
  <c r="J389" i="165"/>
  <c r="P304" i="165"/>
  <c r="P401" i="165"/>
  <c r="J398" i="165"/>
  <c r="E389" i="165"/>
  <c r="P279" i="165"/>
  <c r="E395" i="165"/>
  <c r="P355" i="165"/>
  <c r="P396" i="165"/>
  <c r="P386" i="165"/>
  <c r="P271" i="165"/>
  <c r="P292" i="165"/>
  <c r="P348" i="165"/>
  <c r="O331" i="165"/>
  <c r="E331" i="165"/>
  <c r="O330" i="165"/>
  <c r="E330" i="165"/>
  <c r="O329" i="165"/>
  <c r="E329" i="165"/>
  <c r="O328" i="165"/>
  <c r="E328" i="165"/>
  <c r="E327" i="165"/>
  <c r="O322" i="165"/>
  <c r="E322" i="165"/>
  <c r="O315" i="165"/>
  <c r="E315" i="165"/>
  <c r="N312" i="165"/>
  <c r="M312" i="165"/>
  <c r="I312" i="165"/>
  <c r="H312" i="165"/>
  <c r="G312" i="165"/>
  <c r="F312" i="165"/>
  <c r="O277" i="199" l="1"/>
  <c r="J278" i="199"/>
  <c r="P278" i="199" s="1"/>
  <c r="E277" i="199"/>
  <c r="E251" i="199"/>
  <c r="P252" i="199"/>
  <c r="G237" i="167"/>
  <c r="O278" i="165"/>
  <c r="H285" i="167"/>
  <c r="E385" i="165"/>
  <c r="J385" i="165"/>
  <c r="P352" i="165"/>
  <c r="O347" i="165"/>
  <c r="E252" i="165"/>
  <c r="E251" i="165" s="1"/>
  <c r="K212" i="167" s="1"/>
  <c r="O252" i="165"/>
  <c r="P297" i="165"/>
  <c r="E184" i="165"/>
  <c r="P257" i="165"/>
  <c r="P283" i="165"/>
  <c r="P283" i="199" s="1"/>
  <c r="J351" i="165"/>
  <c r="J322" i="165"/>
  <c r="J265" i="165"/>
  <c r="G212" i="167"/>
  <c r="J291" i="165"/>
  <c r="J291" i="199" s="1"/>
  <c r="P185" i="165"/>
  <c r="P294" i="165"/>
  <c r="P294" i="199" s="1"/>
  <c r="P268" i="165"/>
  <c r="P268" i="199" s="1"/>
  <c r="E314" i="165"/>
  <c r="J329" i="165"/>
  <c r="J331" i="165"/>
  <c r="P398" i="165"/>
  <c r="O314" i="165"/>
  <c r="E321" i="165"/>
  <c r="J328" i="165"/>
  <c r="J330" i="165"/>
  <c r="P389" i="165"/>
  <c r="O321" i="165"/>
  <c r="J315" i="165"/>
  <c r="E326" i="165"/>
  <c r="L312" i="165"/>
  <c r="O327" i="165"/>
  <c r="K312" i="165"/>
  <c r="J277" i="199" l="1"/>
  <c r="Q278" i="199"/>
  <c r="P277" i="199"/>
  <c r="P251" i="199"/>
  <c r="Q252" i="199"/>
  <c r="I290" i="167"/>
  <c r="G290" i="167" s="1"/>
  <c r="P385" i="165"/>
  <c r="Q385" i="165" s="1"/>
  <c r="J347" i="165"/>
  <c r="J278" i="165"/>
  <c r="P278" i="165" s="1"/>
  <c r="Q278" i="165" s="1"/>
  <c r="E134" i="165"/>
  <c r="P184" i="165"/>
  <c r="P265" i="165"/>
  <c r="P265" i="199" s="1"/>
  <c r="P351" i="165"/>
  <c r="P329" i="165"/>
  <c r="P330" i="165"/>
  <c r="O277" i="165"/>
  <c r="E277" i="165"/>
  <c r="K236" i="167"/>
  <c r="P328" i="165"/>
  <c r="O251" i="165"/>
  <c r="J252" i="165"/>
  <c r="P331" i="165"/>
  <c r="J314" i="165"/>
  <c r="O320" i="165"/>
  <c r="E320" i="165"/>
  <c r="J321" i="165"/>
  <c r="E324" i="165"/>
  <c r="P291" i="165"/>
  <c r="P291" i="199" s="1"/>
  <c r="P322" i="165"/>
  <c r="P315" i="165"/>
  <c r="O326" i="165"/>
  <c r="J327" i="165"/>
  <c r="I285" i="167" l="1"/>
  <c r="P347" i="165"/>
  <c r="Q347" i="165" s="1"/>
  <c r="L305" i="167"/>
  <c r="L236" i="167"/>
  <c r="J277" i="165"/>
  <c r="P277" i="165"/>
  <c r="E323" i="165"/>
  <c r="J251" i="165"/>
  <c r="L212" i="167" s="1"/>
  <c r="P252" i="165"/>
  <c r="Q252" i="165" s="1"/>
  <c r="P314" i="165"/>
  <c r="P321" i="165"/>
  <c r="J320" i="165"/>
  <c r="O324" i="165"/>
  <c r="P327" i="165"/>
  <c r="J326" i="165"/>
  <c r="E313" i="165" l="1"/>
  <c r="E312" i="165" s="1"/>
  <c r="O323" i="165"/>
  <c r="P251" i="165"/>
  <c r="P326" i="165"/>
  <c r="P320" i="165"/>
  <c r="J324" i="165"/>
  <c r="O313" i="165" l="1"/>
  <c r="J323" i="165"/>
  <c r="P324" i="165"/>
  <c r="J210" i="167"/>
  <c r="H210" i="167"/>
  <c r="P323" i="165" l="1"/>
  <c r="O312" i="165"/>
  <c r="J313" i="165"/>
  <c r="P313" i="165" l="1"/>
  <c r="J312" i="165"/>
  <c r="M322" i="167"/>
  <c r="G321" i="167"/>
  <c r="M320" i="167"/>
  <c r="G320" i="167"/>
  <c r="J298" i="167"/>
  <c r="M298" i="167" s="1"/>
  <c r="J206" i="167"/>
  <c r="J205" i="167"/>
  <c r="J204" i="167"/>
  <c r="J203" i="167"/>
  <c r="J201" i="167"/>
  <c r="J198" i="167"/>
  <c r="J197" i="167"/>
  <c r="J196" i="167"/>
  <c r="J192" i="167"/>
  <c r="G185" i="167"/>
  <c r="G184" i="167"/>
  <c r="J183" i="167"/>
  <c r="G182" i="167"/>
  <c r="J181" i="167"/>
  <c r="J178" i="167"/>
  <c r="G179" i="167"/>
  <c r="J172" i="167"/>
  <c r="G159" i="167"/>
  <c r="G158" i="167"/>
  <c r="G155" i="167"/>
  <c r="G149" i="167"/>
  <c r="J125" i="167"/>
  <c r="H125" i="167"/>
  <c r="G124" i="167"/>
  <c r="J117" i="167"/>
  <c r="J116" i="167"/>
  <c r="J115" i="167"/>
  <c r="J114" i="167"/>
  <c r="J108" i="167"/>
  <c r="J94" i="167"/>
  <c r="J56" i="167" s="1"/>
  <c r="G65" i="167"/>
  <c r="G61" i="167"/>
  <c r="G43" i="167"/>
  <c r="J41" i="167"/>
  <c r="M41" i="167" s="1"/>
  <c r="J40" i="167"/>
  <c r="J33" i="167"/>
  <c r="M33" i="167" s="1"/>
  <c r="G24" i="167"/>
  <c r="O420" i="165"/>
  <c r="O414" i="165"/>
  <c r="O406" i="165"/>
  <c r="G403" i="165"/>
  <c r="E406" i="165"/>
  <c r="N403" i="165"/>
  <c r="M403" i="165"/>
  <c r="L403" i="165"/>
  <c r="K403" i="165"/>
  <c r="I403" i="165"/>
  <c r="H403" i="165"/>
  <c r="G394" i="165"/>
  <c r="N394" i="165"/>
  <c r="M394" i="165"/>
  <c r="L394" i="165"/>
  <c r="K394" i="165"/>
  <c r="I394" i="165"/>
  <c r="F394" i="165"/>
  <c r="N384" i="165"/>
  <c r="M384" i="165"/>
  <c r="I384" i="165"/>
  <c r="H384" i="165"/>
  <c r="G384" i="165"/>
  <c r="O377" i="165"/>
  <c r="O374" i="165"/>
  <c r="O373" i="165"/>
  <c r="E373" i="165"/>
  <c r="N365" i="165"/>
  <c r="M365" i="165"/>
  <c r="I365" i="165"/>
  <c r="H365" i="165"/>
  <c r="G365" i="165"/>
  <c r="L365" i="165"/>
  <c r="G346" i="165"/>
  <c r="N346" i="165"/>
  <c r="M346" i="165"/>
  <c r="I346" i="165"/>
  <c r="H346" i="165"/>
  <c r="N337" i="165"/>
  <c r="M337" i="165"/>
  <c r="L337" i="165"/>
  <c r="K337" i="165"/>
  <c r="I337" i="165"/>
  <c r="F337" i="165"/>
  <c r="O240" i="165"/>
  <c r="O237" i="165"/>
  <c r="E237" i="165"/>
  <c r="O236" i="165"/>
  <c r="E236" i="165"/>
  <c r="O235" i="165"/>
  <c r="O231" i="165"/>
  <c r="J230" i="165"/>
  <c r="E230" i="165"/>
  <c r="E230" i="199" s="1"/>
  <c r="O228" i="165"/>
  <c r="E228" i="165"/>
  <c r="O226" i="165"/>
  <c r="O225" i="165"/>
  <c r="E225" i="165"/>
  <c r="E225" i="199" s="1"/>
  <c r="E222" i="165"/>
  <c r="E221" i="165"/>
  <c r="O219" i="165"/>
  <c r="N215" i="165"/>
  <c r="M215" i="165"/>
  <c r="L215" i="165"/>
  <c r="I215" i="165"/>
  <c r="O205" i="165"/>
  <c r="E205" i="165"/>
  <c r="E204" i="165"/>
  <c r="E201" i="165"/>
  <c r="O200" i="165"/>
  <c r="E200" i="165"/>
  <c r="O199" i="165"/>
  <c r="E199" i="165"/>
  <c r="O198" i="165"/>
  <c r="H193" i="165"/>
  <c r="E196" i="165"/>
  <c r="N193" i="165"/>
  <c r="M193" i="165"/>
  <c r="L193" i="165"/>
  <c r="G193" i="165"/>
  <c r="M133" i="165"/>
  <c r="L133" i="165"/>
  <c r="I133" i="165"/>
  <c r="I125" i="167"/>
  <c r="E131" i="165"/>
  <c r="O120" i="165"/>
  <c r="O119" i="165"/>
  <c r="E119" i="165"/>
  <c r="O117" i="165"/>
  <c r="O115" i="165"/>
  <c r="E113" i="165"/>
  <c r="O112" i="165"/>
  <c r="E112" i="165"/>
  <c r="O111" i="165"/>
  <c r="J110" i="165"/>
  <c r="E110" i="165"/>
  <c r="E109" i="165"/>
  <c r="O106" i="165"/>
  <c r="N103" i="165"/>
  <c r="M103" i="165"/>
  <c r="L103" i="165"/>
  <c r="I103" i="165"/>
  <c r="O89" i="165"/>
  <c r="E89" i="165"/>
  <c r="O67" i="165"/>
  <c r="O65" i="165"/>
  <c r="E64" i="165"/>
  <c r="E64" i="199" s="1"/>
  <c r="E61" i="165"/>
  <c r="E59" i="165"/>
  <c r="O51" i="165"/>
  <c r="E51" i="165"/>
  <c r="E50" i="165"/>
  <c r="E48" i="165"/>
  <c r="E48" i="199" s="1"/>
  <c r="M45" i="165"/>
  <c r="I45" i="165"/>
  <c r="O41" i="165"/>
  <c r="O38" i="165"/>
  <c r="E30" i="165"/>
  <c r="O28" i="165"/>
  <c r="E28" i="165"/>
  <c r="O21" i="165"/>
  <c r="E18" i="165"/>
  <c r="G15" i="165"/>
  <c r="H57" i="167" l="1"/>
  <c r="K57" i="167" s="1"/>
  <c r="E88" i="165"/>
  <c r="O26" i="165"/>
  <c r="H176" i="167"/>
  <c r="H72" i="167"/>
  <c r="K72" i="167" s="1"/>
  <c r="H170" i="167"/>
  <c r="H181" i="167"/>
  <c r="H193" i="167"/>
  <c r="O105" i="165"/>
  <c r="O88" i="165"/>
  <c r="H183" i="167"/>
  <c r="H70" i="167"/>
  <c r="K70" i="167" s="1"/>
  <c r="H106" i="167"/>
  <c r="H110" i="167"/>
  <c r="Q313" i="165"/>
  <c r="H60" i="167"/>
  <c r="J169" i="167"/>
  <c r="M40" i="167"/>
  <c r="O49" i="165"/>
  <c r="E49" i="165"/>
  <c r="O37" i="165"/>
  <c r="O40" i="165"/>
  <c r="O66" i="165"/>
  <c r="O116" i="165"/>
  <c r="H173" i="167"/>
  <c r="O218" i="165"/>
  <c r="O239" i="165"/>
  <c r="E405" i="165"/>
  <c r="O419" i="165"/>
  <c r="H75" i="167"/>
  <c r="O376" i="165"/>
  <c r="P312" i="165"/>
  <c r="E29" i="165"/>
  <c r="P113" i="165"/>
  <c r="H195" i="167"/>
  <c r="E227" i="165"/>
  <c r="O229" i="165"/>
  <c r="O405" i="165"/>
  <c r="O114" i="165"/>
  <c r="O203" i="165"/>
  <c r="O227" i="165"/>
  <c r="O413" i="165"/>
  <c r="P30" i="165"/>
  <c r="O63" i="165"/>
  <c r="E203" i="165"/>
  <c r="E195" i="165"/>
  <c r="O234" i="165"/>
  <c r="O224" i="165"/>
  <c r="E220" i="165"/>
  <c r="O118" i="165"/>
  <c r="E60" i="165"/>
  <c r="H64" i="167"/>
  <c r="K64" i="167" s="1"/>
  <c r="H33" i="167"/>
  <c r="K33" i="167" s="1"/>
  <c r="H32" i="167"/>
  <c r="K32" i="167" s="1"/>
  <c r="N15" i="165"/>
  <c r="I15" i="165"/>
  <c r="I421" i="165"/>
  <c r="I432" i="165" s="1"/>
  <c r="M15" i="165"/>
  <c r="M421" i="165"/>
  <c r="K384" i="165"/>
  <c r="K346" i="165"/>
  <c r="F365" i="165"/>
  <c r="G322" i="167"/>
  <c r="G317" i="167" s="1"/>
  <c r="H316" i="167"/>
  <c r="J117" i="165"/>
  <c r="E120" i="165"/>
  <c r="I316" i="167"/>
  <c r="K193" i="165"/>
  <c r="E219" i="165"/>
  <c r="J219" i="165"/>
  <c r="J38" i="165"/>
  <c r="J64" i="165"/>
  <c r="J236" i="165"/>
  <c r="L45" i="165"/>
  <c r="E111" i="165"/>
  <c r="J414" i="165"/>
  <c r="J329" i="167"/>
  <c r="M329" i="167" s="1"/>
  <c r="J228" i="165"/>
  <c r="J374" i="165"/>
  <c r="O384" i="165"/>
  <c r="J201" i="165"/>
  <c r="J200" i="165"/>
  <c r="J221" i="165"/>
  <c r="H394" i="165"/>
  <c r="E21" i="165"/>
  <c r="E24" i="165"/>
  <c r="J28" i="165"/>
  <c r="J41" i="165"/>
  <c r="J51" i="165"/>
  <c r="J61" i="165"/>
  <c r="J65" i="165"/>
  <c r="G103" i="165"/>
  <c r="I108" i="167"/>
  <c r="E115" i="165"/>
  <c r="N133" i="165"/>
  <c r="J198" i="165"/>
  <c r="H178" i="167"/>
  <c r="J226" i="165"/>
  <c r="H204" i="167"/>
  <c r="J237" i="165"/>
  <c r="H288" i="167"/>
  <c r="H289" i="167"/>
  <c r="E337" i="165"/>
  <c r="H298" i="167"/>
  <c r="E374" i="165"/>
  <c r="J377" i="165"/>
  <c r="J406" i="165"/>
  <c r="J420" i="165"/>
  <c r="E41" i="165"/>
  <c r="J199" i="165"/>
  <c r="J205" i="165"/>
  <c r="H283" i="167"/>
  <c r="J373" i="165"/>
  <c r="N45" i="165"/>
  <c r="J112" i="165"/>
  <c r="J115" i="165"/>
  <c r="H116" i="167"/>
  <c r="J120" i="165"/>
  <c r="J204" i="165"/>
  <c r="E235" i="165"/>
  <c r="E240" i="165"/>
  <c r="G337" i="165"/>
  <c r="L384" i="165"/>
  <c r="O18" i="165"/>
  <c r="E65" i="165"/>
  <c r="J89" i="165"/>
  <c r="J111" i="165"/>
  <c r="E198" i="165"/>
  <c r="E226" i="165"/>
  <c r="J231" i="165"/>
  <c r="H205" i="167"/>
  <c r="H294" i="167"/>
  <c r="J29" i="167"/>
  <c r="J67" i="165"/>
  <c r="F103" i="165"/>
  <c r="H103" i="165"/>
  <c r="J21" i="165"/>
  <c r="E67" i="165"/>
  <c r="E67" i="199" s="1"/>
  <c r="H94" i="167"/>
  <c r="E106" i="165"/>
  <c r="J106" i="165"/>
  <c r="E117" i="165"/>
  <c r="J119" i="165"/>
  <c r="G133" i="165"/>
  <c r="G215" i="165"/>
  <c r="H215" i="165"/>
  <c r="J225" i="165"/>
  <c r="H198" i="167"/>
  <c r="I199" i="167"/>
  <c r="J235" i="165"/>
  <c r="J240" i="165"/>
  <c r="H337" i="165"/>
  <c r="E394" i="165"/>
  <c r="G125" i="167"/>
  <c r="K320" i="167"/>
  <c r="G174" i="167"/>
  <c r="G200" i="167"/>
  <c r="J336" i="167"/>
  <c r="M336" i="167" s="1"/>
  <c r="H108" i="167"/>
  <c r="P110" i="165"/>
  <c r="F346" i="165"/>
  <c r="J48" i="165"/>
  <c r="L346" i="165"/>
  <c r="L421" i="165"/>
  <c r="O109" i="165"/>
  <c r="H133" i="165"/>
  <c r="F133" i="165"/>
  <c r="H196" i="167"/>
  <c r="G17" i="167"/>
  <c r="H15" i="165"/>
  <c r="E231" i="165"/>
  <c r="F215" i="165"/>
  <c r="K365" i="165"/>
  <c r="E377" i="165"/>
  <c r="O222" i="165"/>
  <c r="H199" i="167"/>
  <c r="P230" i="165"/>
  <c r="P230" i="199" s="1"/>
  <c r="J294" i="167"/>
  <c r="F384" i="165"/>
  <c r="J199" i="167"/>
  <c r="J191" i="167" s="1"/>
  <c r="J122" i="167"/>
  <c r="J102" i="167" s="1"/>
  <c r="O24" i="165"/>
  <c r="O131" i="165"/>
  <c r="J283" i="167"/>
  <c r="O346" i="165"/>
  <c r="E414" i="165"/>
  <c r="E414" i="199" s="1"/>
  <c r="G26" i="167"/>
  <c r="G128" i="167"/>
  <c r="J316" i="167"/>
  <c r="O47" i="165" l="1"/>
  <c r="K60" i="167"/>
  <c r="H278" i="167"/>
  <c r="K278" i="167" s="1"/>
  <c r="J16" i="167"/>
  <c r="M15" i="167" s="1"/>
  <c r="I57" i="167"/>
  <c r="L57" i="167" s="1"/>
  <c r="J26" i="165"/>
  <c r="K24" i="167"/>
  <c r="E26" i="165"/>
  <c r="K326" i="167"/>
  <c r="J88" i="165"/>
  <c r="I176" i="167"/>
  <c r="G176" i="167" s="1"/>
  <c r="I110" i="167"/>
  <c r="G110" i="167" s="1"/>
  <c r="I193" i="167"/>
  <c r="G193" i="167" s="1"/>
  <c r="J105" i="165"/>
  <c r="O39" i="165"/>
  <c r="E105" i="165"/>
  <c r="O223" i="165"/>
  <c r="I72" i="167"/>
  <c r="L72" i="167" s="1"/>
  <c r="E197" i="165"/>
  <c r="O33" i="165"/>
  <c r="O33" i="199" s="1"/>
  <c r="O16" i="199" s="1"/>
  <c r="L326" i="167"/>
  <c r="O411" i="165"/>
  <c r="E23" i="165"/>
  <c r="O23" i="165"/>
  <c r="O372" i="165"/>
  <c r="P29" i="165"/>
  <c r="J203" i="165"/>
  <c r="J405" i="165"/>
  <c r="J218" i="165"/>
  <c r="E118" i="165"/>
  <c r="E413" i="165"/>
  <c r="E413" i="199" s="1"/>
  <c r="J229" i="165"/>
  <c r="I173" i="167"/>
  <c r="G173" i="167" s="1"/>
  <c r="J376" i="165"/>
  <c r="I76" i="167"/>
  <c r="L76" i="167" s="1"/>
  <c r="J413" i="165"/>
  <c r="I75" i="167"/>
  <c r="G75" i="167" s="1"/>
  <c r="E218" i="165"/>
  <c r="J116" i="165"/>
  <c r="O197" i="165"/>
  <c r="E224" i="165"/>
  <c r="E224" i="199" s="1"/>
  <c r="E239" i="165"/>
  <c r="E114" i="165"/>
  <c r="J227" i="165"/>
  <c r="J37" i="165"/>
  <c r="O418" i="165"/>
  <c r="O238" i="165"/>
  <c r="E229" i="165"/>
  <c r="E229" i="199" s="1"/>
  <c r="J239" i="165"/>
  <c r="O17" i="165"/>
  <c r="E234" i="165"/>
  <c r="J114" i="165"/>
  <c r="J419" i="165"/>
  <c r="I64" i="167"/>
  <c r="L64" i="167" s="1"/>
  <c r="E116" i="165"/>
  <c r="I109" i="167"/>
  <c r="E376" i="165"/>
  <c r="M29" i="167"/>
  <c r="E40" i="165"/>
  <c r="J40" i="165"/>
  <c r="E63" i="165"/>
  <c r="E63" i="199" s="1"/>
  <c r="H76" i="167"/>
  <c r="J60" i="165"/>
  <c r="O108" i="165"/>
  <c r="E66" i="165"/>
  <c r="E66" i="199" s="1"/>
  <c r="H78" i="167"/>
  <c r="J66" i="165"/>
  <c r="I78" i="167"/>
  <c r="J234" i="165"/>
  <c r="P373" i="165"/>
  <c r="J224" i="165"/>
  <c r="O220" i="165"/>
  <c r="J118" i="165"/>
  <c r="H109" i="167"/>
  <c r="I33" i="167"/>
  <c r="L33" i="167" s="1"/>
  <c r="I32" i="167"/>
  <c r="L32" i="167" s="1"/>
  <c r="E17" i="165"/>
  <c r="J63" i="165"/>
  <c r="E73" i="170"/>
  <c r="K15" i="165"/>
  <c r="K421" i="165"/>
  <c r="F45" i="165"/>
  <c r="H45" i="165"/>
  <c r="H421" i="165"/>
  <c r="G45" i="165"/>
  <c r="G421" i="165"/>
  <c r="N421" i="165"/>
  <c r="N432" i="165" s="1"/>
  <c r="M316" i="167"/>
  <c r="J304" i="167"/>
  <c r="M305" i="167"/>
  <c r="P38" i="165"/>
  <c r="I192" i="167"/>
  <c r="I178" i="167"/>
  <c r="G178" i="167" s="1"/>
  <c r="I115" i="167"/>
  <c r="P236" i="165"/>
  <c r="G137" i="167"/>
  <c r="P225" i="165"/>
  <c r="P225" i="199" s="1"/>
  <c r="P112" i="165"/>
  <c r="P51" i="165"/>
  <c r="H117" i="167"/>
  <c r="I40" i="167"/>
  <c r="F193" i="165"/>
  <c r="P205" i="165"/>
  <c r="I198" i="167"/>
  <c r="G198" i="167" s="1"/>
  <c r="P119" i="165"/>
  <c r="P201" i="165"/>
  <c r="P226" i="165"/>
  <c r="P237" i="165"/>
  <c r="P61" i="165"/>
  <c r="P200" i="165"/>
  <c r="J59" i="165"/>
  <c r="L322" i="167"/>
  <c r="G135" i="167"/>
  <c r="P406" i="165"/>
  <c r="H40" i="167"/>
  <c r="G316" i="167"/>
  <c r="P115" i="165"/>
  <c r="P228" i="165"/>
  <c r="P420" i="165"/>
  <c r="P221" i="165"/>
  <c r="P204" i="165"/>
  <c r="P21" i="165"/>
  <c r="J196" i="165"/>
  <c r="H192" i="167"/>
  <c r="G108" i="167"/>
  <c r="H336" i="167"/>
  <c r="K336" i="167" s="1"/>
  <c r="P219" i="165"/>
  <c r="P65" i="165"/>
  <c r="G199" i="167"/>
  <c r="P64" i="165"/>
  <c r="P64" i="199" s="1"/>
  <c r="P117" i="165"/>
  <c r="H115" i="167"/>
  <c r="P41" i="165"/>
  <c r="K322" i="167"/>
  <c r="H41" i="167"/>
  <c r="K41" i="167" s="1"/>
  <c r="P28" i="165"/>
  <c r="P240" i="165"/>
  <c r="H203" i="167"/>
  <c r="P89" i="165"/>
  <c r="I204" i="167"/>
  <c r="G204" i="167" s="1"/>
  <c r="P198" i="165"/>
  <c r="H197" i="167"/>
  <c r="H172" i="167"/>
  <c r="H169" i="167" s="1"/>
  <c r="P374" i="165"/>
  <c r="I181" i="167"/>
  <c r="G181" i="167" s="1"/>
  <c r="P111" i="165"/>
  <c r="I94" i="167"/>
  <c r="G94" i="167" s="1"/>
  <c r="P67" i="165"/>
  <c r="P67" i="199" s="1"/>
  <c r="J168" i="167"/>
  <c r="M168" i="167" s="1"/>
  <c r="I116" i="167"/>
  <c r="G116" i="167" s="1"/>
  <c r="P106" i="165"/>
  <c r="M432" i="165"/>
  <c r="G151" i="167"/>
  <c r="I201" i="167"/>
  <c r="J384" i="165"/>
  <c r="J50" i="165"/>
  <c r="G152" i="167"/>
  <c r="G141" i="167"/>
  <c r="H29" i="167"/>
  <c r="H16" i="167" s="1"/>
  <c r="J24" i="165"/>
  <c r="G136" i="167"/>
  <c r="I203" i="167"/>
  <c r="G285" i="167"/>
  <c r="G134" i="167"/>
  <c r="I117" i="167"/>
  <c r="I114" i="167"/>
  <c r="G139" i="167"/>
  <c r="H114" i="167"/>
  <c r="H206" i="167"/>
  <c r="J222" i="165"/>
  <c r="P120" i="165"/>
  <c r="P235" i="165"/>
  <c r="J55" i="167"/>
  <c r="P199" i="165"/>
  <c r="I196" i="167"/>
  <c r="G196" i="167" s="1"/>
  <c r="J18" i="165"/>
  <c r="L320" i="167"/>
  <c r="I183" i="167"/>
  <c r="G183" i="167" s="1"/>
  <c r="I197" i="167"/>
  <c r="I172" i="167"/>
  <c r="J131" i="165"/>
  <c r="I122" i="167" s="1"/>
  <c r="I206" i="167"/>
  <c r="I205" i="167"/>
  <c r="G205" i="167" s="1"/>
  <c r="G148" i="167"/>
  <c r="G140" i="167"/>
  <c r="I41" i="167"/>
  <c r="L41" i="167" s="1"/>
  <c r="G133" i="167"/>
  <c r="H329" i="167"/>
  <c r="K329" i="167" s="1"/>
  <c r="J126" i="167"/>
  <c r="M126" i="167" s="1"/>
  <c r="K133" i="165"/>
  <c r="K215" i="165"/>
  <c r="P414" i="165"/>
  <c r="P414" i="199" s="1"/>
  <c r="O337" i="165"/>
  <c r="J338" i="165"/>
  <c r="K45" i="165"/>
  <c r="J190" i="167"/>
  <c r="P377" i="165"/>
  <c r="J109" i="165"/>
  <c r="L15" i="165"/>
  <c r="O394" i="165"/>
  <c r="J395" i="165"/>
  <c r="H201" i="167"/>
  <c r="P231" i="165"/>
  <c r="F15" i="165"/>
  <c r="K103" i="165"/>
  <c r="P48" i="165"/>
  <c r="P48" i="199" s="1"/>
  <c r="O15" i="199" l="1"/>
  <c r="J16" i="199"/>
  <c r="O421" i="199"/>
  <c r="H56" i="167"/>
  <c r="E47" i="165"/>
  <c r="E47" i="199" s="1"/>
  <c r="E46" i="199" s="1"/>
  <c r="P26" i="165"/>
  <c r="I106" i="167"/>
  <c r="I102" i="167" s="1"/>
  <c r="E372" i="165"/>
  <c r="P105" i="165"/>
  <c r="P88" i="165"/>
  <c r="I170" i="167"/>
  <c r="I169" i="167" s="1"/>
  <c r="I70" i="167"/>
  <c r="L70" i="167" s="1"/>
  <c r="J39" i="165"/>
  <c r="E223" i="165"/>
  <c r="E223" i="199" s="1"/>
  <c r="E216" i="199" s="1"/>
  <c r="J372" i="165"/>
  <c r="J223" i="165"/>
  <c r="E39" i="165"/>
  <c r="G72" i="167"/>
  <c r="G57" i="167"/>
  <c r="I60" i="167"/>
  <c r="L60" i="167" s="1"/>
  <c r="H102" i="167"/>
  <c r="G122" i="167"/>
  <c r="H191" i="167"/>
  <c r="H190" i="167" s="1"/>
  <c r="O46" i="165"/>
  <c r="E194" i="165"/>
  <c r="L40" i="167"/>
  <c r="O404" i="165"/>
  <c r="J346" i="165"/>
  <c r="J33" i="165"/>
  <c r="J33" i="199" s="1"/>
  <c r="J411" i="165"/>
  <c r="O123" i="165"/>
  <c r="H432" i="165"/>
  <c r="O22" i="165"/>
  <c r="J23" i="165"/>
  <c r="J49" i="165"/>
  <c r="E217" i="165"/>
  <c r="O369" i="165"/>
  <c r="P338" i="165"/>
  <c r="Q338" i="165" s="1"/>
  <c r="G64" i="167"/>
  <c r="E22" i="165"/>
  <c r="J197" i="165"/>
  <c r="P60" i="165"/>
  <c r="E108" i="165"/>
  <c r="P229" i="165"/>
  <c r="P229" i="199" s="1"/>
  <c r="I195" i="167"/>
  <c r="G195" i="167" s="1"/>
  <c r="P239" i="165"/>
  <c r="P203" i="165"/>
  <c r="P227" i="165"/>
  <c r="P405" i="165"/>
  <c r="P37" i="165"/>
  <c r="P114" i="165"/>
  <c r="J238" i="165"/>
  <c r="O194" i="165"/>
  <c r="J17" i="165"/>
  <c r="P116" i="165"/>
  <c r="P218" i="165"/>
  <c r="P419" i="165"/>
  <c r="P413" i="165"/>
  <c r="P413" i="199" s="1"/>
  <c r="J418" i="165"/>
  <c r="E238" i="165"/>
  <c r="P376" i="165"/>
  <c r="K40" i="167"/>
  <c r="G40" i="167"/>
  <c r="P63" i="165"/>
  <c r="P63" i="199" s="1"/>
  <c r="P66" i="165"/>
  <c r="P66" i="199" s="1"/>
  <c r="G78" i="167"/>
  <c r="K76" i="167"/>
  <c r="G76" i="167"/>
  <c r="K29" i="167"/>
  <c r="P234" i="165"/>
  <c r="P224" i="165"/>
  <c r="P224" i="199" s="1"/>
  <c r="O217" i="165"/>
  <c r="J220" i="165"/>
  <c r="J108" i="165"/>
  <c r="J195" i="165"/>
  <c r="P118" i="165"/>
  <c r="P40" i="165"/>
  <c r="G32" i="167"/>
  <c r="J101" i="167"/>
  <c r="M101" i="167" s="1"/>
  <c r="H277" i="167"/>
  <c r="H168" i="167"/>
  <c r="G192" i="167"/>
  <c r="J15" i="167"/>
  <c r="G115" i="167"/>
  <c r="I288" i="167"/>
  <c r="G288" i="167" s="1"/>
  <c r="P59" i="165"/>
  <c r="G117" i="167"/>
  <c r="I283" i="167"/>
  <c r="P50" i="165"/>
  <c r="G109" i="167"/>
  <c r="G304" i="167"/>
  <c r="G33" i="167"/>
  <c r="P196" i="165"/>
  <c r="G146" i="167"/>
  <c r="G41" i="167"/>
  <c r="F102" i="170" s="1"/>
  <c r="G114" i="167"/>
  <c r="G147" i="167"/>
  <c r="G172" i="167"/>
  <c r="G203" i="167"/>
  <c r="G197" i="167"/>
  <c r="M55" i="167"/>
  <c r="P18" i="165"/>
  <c r="G154" i="167"/>
  <c r="G201" i="167"/>
  <c r="G206" i="167"/>
  <c r="I336" i="167"/>
  <c r="L336" i="167" s="1"/>
  <c r="I298" i="167"/>
  <c r="L298" i="167" s="1"/>
  <c r="G300" i="167"/>
  <c r="G299" i="167" s="1"/>
  <c r="P24" i="165"/>
  <c r="L432" i="165"/>
  <c r="I329" i="167"/>
  <c r="L329" i="167" s="1"/>
  <c r="G336" i="167"/>
  <c r="P222" i="165"/>
  <c r="I289" i="167"/>
  <c r="G289" i="167" s="1"/>
  <c r="G162" i="167"/>
  <c r="I29" i="167"/>
  <c r="I16" i="167" s="1"/>
  <c r="P131" i="165"/>
  <c r="I294" i="167"/>
  <c r="G294" i="167" s="1"/>
  <c r="G432" i="165"/>
  <c r="G329" i="167"/>
  <c r="P109" i="165"/>
  <c r="J337" i="165"/>
  <c r="E133" i="165"/>
  <c r="O133" i="165"/>
  <c r="J134" i="165"/>
  <c r="H304" i="167"/>
  <c r="E346" i="165"/>
  <c r="E384" i="165"/>
  <c r="J394" i="165"/>
  <c r="P395" i="165"/>
  <c r="Q395" i="165" s="1"/>
  <c r="H126" i="167"/>
  <c r="K126" i="167" s="1"/>
  <c r="E45" i="199" l="1"/>
  <c r="P46" i="199"/>
  <c r="E215" i="199"/>
  <c r="P216" i="199"/>
  <c r="E39" i="199"/>
  <c r="E16" i="199" s="1"/>
  <c r="E15" i="199" s="1"/>
  <c r="D103" i="170"/>
  <c r="O432" i="199"/>
  <c r="O435" i="199"/>
  <c r="P16" i="199"/>
  <c r="J15" i="199"/>
  <c r="J421" i="199"/>
  <c r="E103" i="170"/>
  <c r="J47" i="165"/>
  <c r="I278" i="167"/>
  <c r="L278" i="167" s="1"/>
  <c r="G70" i="167"/>
  <c r="P39" i="165"/>
  <c r="P39" i="199" s="1"/>
  <c r="P223" i="165"/>
  <c r="P223" i="199" s="1"/>
  <c r="O366" i="165"/>
  <c r="O365" i="165" s="1"/>
  <c r="E46" i="165"/>
  <c r="O193" i="165"/>
  <c r="E193" i="165"/>
  <c r="E104" i="165"/>
  <c r="J46" i="165"/>
  <c r="J45" i="165" s="1"/>
  <c r="H347" i="167"/>
  <c r="L341" i="167" s="1"/>
  <c r="O104" i="165"/>
  <c r="J404" i="165"/>
  <c r="J403" i="165" s="1"/>
  <c r="P33" i="165"/>
  <c r="P33" i="199" s="1"/>
  <c r="J369" i="165"/>
  <c r="G106" i="167"/>
  <c r="G102" i="167" s="1"/>
  <c r="O216" i="165"/>
  <c r="O215" i="165" s="1"/>
  <c r="E216" i="165"/>
  <c r="E215" i="165" s="1"/>
  <c r="J123" i="165"/>
  <c r="J133" i="165"/>
  <c r="P134" i="165"/>
  <c r="Q134" i="165" s="1"/>
  <c r="O16" i="165"/>
  <c r="I56" i="167"/>
  <c r="I55" i="167" s="1"/>
  <c r="O45" i="165"/>
  <c r="P49" i="165"/>
  <c r="P23" i="165"/>
  <c r="E369" i="165"/>
  <c r="P197" i="165"/>
  <c r="G36" i="108"/>
  <c r="G60" i="167"/>
  <c r="K168" i="167"/>
  <c r="E16" i="165"/>
  <c r="K15" i="167" s="1"/>
  <c r="J194" i="165"/>
  <c r="P372" i="165"/>
  <c r="P17" i="165"/>
  <c r="J22" i="165"/>
  <c r="J217" i="165"/>
  <c r="P195" i="165"/>
  <c r="P418" i="165"/>
  <c r="P220" i="165"/>
  <c r="O403" i="165"/>
  <c r="P238" i="165"/>
  <c r="H55" i="167"/>
  <c r="G170" i="167"/>
  <c r="G169" i="167" s="1"/>
  <c r="P108" i="165"/>
  <c r="H101" i="167"/>
  <c r="K101" i="167" s="1"/>
  <c r="G298" i="167"/>
  <c r="G283" i="167"/>
  <c r="G278" i="167" s="1"/>
  <c r="H15" i="167"/>
  <c r="I304" i="167"/>
  <c r="L29" i="167"/>
  <c r="J288" i="167"/>
  <c r="I168" i="167"/>
  <c r="G29" i="167"/>
  <c r="G16" i="167" s="1"/>
  <c r="I126" i="167"/>
  <c r="L126" i="167" s="1"/>
  <c r="G132" i="167"/>
  <c r="G127" i="167" s="1"/>
  <c r="J289" i="167"/>
  <c r="P384" i="165"/>
  <c r="P394" i="165"/>
  <c r="P337" i="165"/>
  <c r="P346" i="165"/>
  <c r="Q46" i="199" l="1"/>
  <c r="P45" i="199"/>
  <c r="P215" i="199"/>
  <c r="Q216" i="199"/>
  <c r="Q16" i="199"/>
  <c r="P15" i="199"/>
  <c r="J435" i="199"/>
  <c r="J432" i="199"/>
  <c r="P47" i="165"/>
  <c r="P47" i="199" s="1"/>
  <c r="E102" i="170"/>
  <c r="J278" i="167"/>
  <c r="M278" i="167" s="1"/>
  <c r="G56" i="167"/>
  <c r="G55" i="167" s="1"/>
  <c r="L55" i="167"/>
  <c r="J16" i="165"/>
  <c r="L15" i="167" s="1"/>
  <c r="J366" i="165"/>
  <c r="J365" i="165" s="1"/>
  <c r="L316" i="167" s="1"/>
  <c r="E366" i="165"/>
  <c r="E365" i="165" s="1"/>
  <c r="K316" i="167" s="1"/>
  <c r="E103" i="165"/>
  <c r="P46" i="165"/>
  <c r="Q46" i="165" s="1"/>
  <c r="P194" i="165"/>
  <c r="Q194" i="165" s="1"/>
  <c r="J104" i="165"/>
  <c r="P123" i="165"/>
  <c r="O15" i="165"/>
  <c r="P369" i="165"/>
  <c r="K55" i="167"/>
  <c r="J193" i="165"/>
  <c r="L168" i="167"/>
  <c r="O421" i="165"/>
  <c r="E45" i="165"/>
  <c r="J216" i="165"/>
  <c r="P216" i="165" s="1"/>
  <c r="Q216" i="165" s="1"/>
  <c r="E15" i="165"/>
  <c r="P217" i="165"/>
  <c r="P22" i="165"/>
  <c r="O103" i="165"/>
  <c r="G168" i="167"/>
  <c r="I101" i="167"/>
  <c r="G101" i="167"/>
  <c r="G15" i="167"/>
  <c r="I277" i="167"/>
  <c r="G126" i="167"/>
  <c r="I15" i="167"/>
  <c r="P133" i="165"/>
  <c r="L101" i="167" l="1"/>
  <c r="J347" i="167"/>
  <c r="N341" i="167" s="1"/>
  <c r="J15" i="165"/>
  <c r="P193" i="165"/>
  <c r="P16" i="165"/>
  <c r="Q16" i="165" s="1"/>
  <c r="P366" i="165"/>
  <c r="Q366" i="165" s="1"/>
  <c r="P45" i="165"/>
  <c r="P104" i="165"/>
  <c r="J215" i="165"/>
  <c r="P215" i="165"/>
  <c r="J103" i="165"/>
  <c r="J421" i="165"/>
  <c r="G277" i="167"/>
  <c r="J277" i="167"/>
  <c r="P15" i="165" l="1"/>
  <c r="Q104" i="165"/>
  <c r="P365" i="165"/>
  <c r="P103" i="165"/>
  <c r="I210" i="167" l="1"/>
  <c r="I191" i="167" s="1"/>
  <c r="I347" i="167" s="1"/>
  <c r="M341" i="167" s="1"/>
  <c r="G210" i="167" l="1"/>
  <c r="G191" i="167" l="1"/>
  <c r="G347" i="167" s="1"/>
  <c r="K341" i="167" s="1"/>
  <c r="I190" i="167"/>
  <c r="K347" i="167" l="1"/>
  <c r="G190" i="167"/>
  <c r="M19" i="107"/>
  <c r="O19" i="107"/>
  <c r="Q19" i="107" l="1"/>
  <c r="G149" i="107" l="1"/>
  <c r="F140" i="108"/>
  <c r="G148" i="107"/>
  <c r="F139" i="108"/>
  <c r="G146" i="107"/>
  <c r="F137" i="108"/>
  <c r="F138" i="108"/>
  <c r="G147" i="107"/>
  <c r="G144" i="107"/>
  <c r="F135" i="108"/>
  <c r="G145" i="107"/>
  <c r="F136" i="108"/>
  <c r="G142" i="107"/>
  <c r="F133" i="108"/>
  <c r="G141" i="107"/>
  <c r="F132" i="108"/>
  <c r="G140" i="107"/>
  <c r="F131" i="108"/>
  <c r="G139" i="107"/>
  <c r="F130" i="108"/>
  <c r="G138" i="107"/>
  <c r="F129" i="108"/>
  <c r="G137" i="107"/>
  <c r="F128" i="108"/>
  <c r="G136" i="107"/>
  <c r="F127" i="108"/>
  <c r="G135" i="107"/>
  <c r="F126" i="108"/>
  <c r="G134" i="107"/>
  <c r="F125" i="108"/>
  <c r="G133" i="107"/>
  <c r="F124" i="108"/>
  <c r="G132" i="107"/>
  <c r="F123" i="108"/>
  <c r="G130" i="107"/>
  <c r="F121" i="108"/>
  <c r="G90" i="107"/>
  <c r="G88" i="107"/>
  <c r="G87" i="107"/>
  <c r="G86" i="107"/>
  <c r="G85" i="107"/>
  <c r="G83" i="107"/>
  <c r="G82" i="107"/>
  <c r="G81" i="107"/>
  <c r="G80" i="107"/>
  <c r="G79" i="107"/>
  <c r="G78" i="107"/>
  <c r="G77" i="107"/>
  <c r="G76" i="107"/>
  <c r="G75" i="107"/>
  <c r="G74" i="107"/>
  <c r="G73" i="107"/>
  <c r="G72" i="107"/>
  <c r="G71" i="107"/>
  <c r="G70" i="107"/>
  <c r="G69" i="107"/>
  <c r="G68" i="107"/>
  <c r="G67" i="107"/>
  <c r="G66" i="107"/>
  <c r="G65" i="107"/>
  <c r="G63" i="107"/>
  <c r="G18" i="107"/>
  <c r="G157" i="107"/>
  <c r="F149" i="108"/>
  <c r="K176" i="107"/>
  <c r="J168" i="108"/>
  <c r="J142" i="108" l="1"/>
  <c r="G16" i="107"/>
  <c r="G15" i="107" s="1"/>
  <c r="G14" i="107" s="1"/>
  <c r="G13" i="107"/>
  <c r="G12" i="107" s="1"/>
  <c r="G28" i="107" s="1"/>
  <c r="O18" i="107"/>
  <c r="K12" i="107"/>
  <c r="K28" i="107" s="1"/>
  <c r="L12" i="107"/>
  <c r="L28" i="107" s="1"/>
  <c r="J12" i="107"/>
  <c r="J28" i="107" s="1"/>
  <c r="H12" i="107"/>
  <c r="H28" i="107" s="1"/>
  <c r="O17" i="107"/>
  <c r="N17" i="107"/>
  <c r="M17" i="107"/>
  <c r="O435" i="165" l="1"/>
  <c r="K435" i="165"/>
  <c r="O16" i="107"/>
  <c r="O15" i="107" s="1"/>
  <c r="O14" i="107" s="1"/>
  <c r="L190" i="167"/>
  <c r="M190" i="167"/>
  <c r="O13" i="107"/>
  <c r="O12" i="107" s="1"/>
  <c r="O28" i="107" s="1"/>
  <c r="Q17" i="107"/>
  <c r="J433" i="165" l="1"/>
  <c r="J432" i="165"/>
  <c r="J435" i="165"/>
  <c r="K432" i="165"/>
  <c r="O432" i="165"/>
  <c r="N18" i="107"/>
  <c r="N16" i="107" l="1"/>
  <c r="N15" i="107" s="1"/>
  <c r="N14" i="107" s="1"/>
  <c r="N13" i="107"/>
  <c r="N12" i="107" s="1"/>
  <c r="N28" i="107" s="1"/>
  <c r="F12" i="107"/>
  <c r="K190" i="167" l="1"/>
  <c r="F28" i="107"/>
  <c r="D24" i="108"/>
  <c r="E36" i="108" l="1"/>
  <c r="E24" i="108"/>
  <c r="I142" i="108"/>
  <c r="E423" i="165"/>
  <c r="M18" i="107"/>
  <c r="Q18" i="107" s="1"/>
  <c r="M13" i="107" l="1"/>
  <c r="M12" i="107" s="1"/>
  <c r="M28" i="107" s="1"/>
  <c r="M16" i="107"/>
  <c r="M15" i="107" s="1"/>
  <c r="M14" i="107" s="1"/>
  <c r="Q16" i="107"/>
  <c r="Q15" i="107" s="1"/>
  <c r="Q14" i="107" s="1"/>
  <c r="Q13" i="107" l="1"/>
  <c r="Q12" i="107" s="1"/>
  <c r="Q28" i="107" s="1"/>
  <c r="Q423" i="165" l="1"/>
  <c r="R28" i="107"/>
  <c r="E412" i="165"/>
  <c r="E411" i="165" l="1"/>
  <c r="E411" i="199" s="1"/>
  <c r="E404" i="199" s="1"/>
  <c r="P412" i="165"/>
  <c r="F403" i="165"/>
  <c r="E403" i="199" l="1"/>
  <c r="E421" i="199"/>
  <c r="E404" i="165"/>
  <c r="P411" i="165"/>
  <c r="P411" i="199" s="1"/>
  <c r="P404" i="199" s="1"/>
  <c r="Q404" i="199" l="1"/>
  <c r="P403" i="199"/>
  <c r="P421" i="199"/>
  <c r="E435" i="199"/>
  <c r="E432" i="199"/>
  <c r="E433" i="199"/>
  <c r="F433" i="199"/>
  <c r="F435" i="199"/>
  <c r="E421" i="165"/>
  <c r="D29" i="172" s="1"/>
  <c r="D25" i="172" s="1"/>
  <c r="D15" i="172" s="1"/>
  <c r="D34" i="172" s="1"/>
  <c r="P404" i="165"/>
  <c r="E403" i="165"/>
  <c r="F432" i="165"/>
  <c r="Q421" i="199" l="1"/>
  <c r="P432" i="199"/>
  <c r="P433" i="199"/>
  <c r="E435" i="165"/>
  <c r="F435" i="165"/>
  <c r="F433" i="165"/>
  <c r="Q404" i="165"/>
  <c r="P403" i="165"/>
  <c r="P421" i="165"/>
  <c r="E432" i="165"/>
  <c r="E433" i="165"/>
  <c r="E29" i="172" l="1"/>
  <c r="G29" i="172" s="1"/>
  <c r="P432" i="165"/>
  <c r="P433" i="165"/>
  <c r="Q421" i="165"/>
  <c r="D58" i="172"/>
  <c r="D56" i="170"/>
  <c r="E56" i="170" s="1"/>
  <c r="E25" i="172" l="1"/>
  <c r="D54" i="172"/>
  <c r="C29" i="172"/>
  <c r="C25" i="172" s="1"/>
  <c r="F29" i="172"/>
  <c r="F25" i="172" s="1"/>
  <c r="E58" i="172"/>
  <c r="D48" i="172" l="1"/>
  <c r="D59" i="172" s="1"/>
  <c r="C15" i="172"/>
  <c r="C34" i="172" s="1"/>
  <c r="F15" i="172"/>
  <c r="F34" i="172" s="1"/>
  <c r="E15" i="172"/>
  <c r="E54" i="172"/>
  <c r="F58" i="172"/>
  <c r="F54" i="172" s="1"/>
  <c r="G25" i="172"/>
  <c r="C58" i="172"/>
  <c r="C54" i="172" s="1"/>
  <c r="E65" i="170"/>
  <c r="D51" i="170"/>
  <c r="D64" i="170" s="1"/>
  <c r="E34" i="172" l="1"/>
  <c r="G15" i="172"/>
  <c r="E48" i="172"/>
  <c r="E59" i="172" s="1"/>
  <c r="F48" i="172"/>
  <c r="F59" i="172" s="1"/>
  <c r="C48" i="172"/>
  <c r="C59" i="172" s="1"/>
  <c r="D30" i="170"/>
  <c r="E30" i="170" s="1"/>
  <c r="D63" i="170"/>
  <c r="F30" i="170" l="1"/>
  <c r="E63" i="170"/>
  <c r="E64" i="170"/>
  <c r="E78" i="170"/>
</calcChain>
</file>

<file path=xl/sharedStrings.xml><?xml version="1.0" encoding="utf-8"?>
<sst xmlns="http://schemas.openxmlformats.org/spreadsheetml/2006/main" count="7335" uniqueCount="1607">
  <si>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</si>
  <si>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</si>
  <si>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</si>
  <si>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</si>
  <si>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</si>
  <si>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</si>
  <si>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</si>
  <si>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</si>
  <si>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</si>
  <si>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Компенсаційні виплати на пільговий проїзд електротранспортом окремим категоріям громадян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</si>
  <si>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</si>
  <si>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</si>
  <si>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</si>
  <si>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</si>
  <si>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</si>
  <si>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</si>
  <si>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ФКВКБ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</si>
  <si>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</si>
  <si>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</si>
  <si>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</si>
  <si>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</si>
  <si>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</si>
  <si>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</si>
  <si>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</si>
  <si>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</si>
  <si>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</si>
  <si>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</si>
  <si>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</si>
  <si>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</si>
  <si>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</si>
  <si>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</si>
  <si>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</si>
  <si>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</si>
  <si>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</si>
  <si>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</si>
  <si>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</si>
  <si>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</si>
  <si>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</si>
  <si>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</si>
  <si>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</si>
  <si>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Фінансове управління Хмельницької міської ради (відповідальний виконавець)</t>
  </si>
  <si>
    <t>Заходи з енергозбереження</t>
  </si>
  <si>
    <t>0133</t>
  </si>
  <si>
    <t>0180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</si>
  <si>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</si>
  <si>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</si>
  <si>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</si>
  <si>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</si>
  <si>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</si>
  <si>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</si>
  <si>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</si>
  <si>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</si>
  <si>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</si>
  <si>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</si>
  <si>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</si>
  <si>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</si>
  <si>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Додаток 1</t>
  </si>
  <si>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</si>
  <si>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</si>
  <si>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</si>
  <si>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</si>
  <si>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</si>
  <si>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</si>
  <si>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</si>
  <si>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</si>
  <si>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</si>
  <si>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</si>
  <si>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</si>
  <si>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</si>
  <si>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</si>
  <si>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</si>
  <si>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</si>
  <si>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</si>
  <si>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</si>
  <si>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</si>
  <si>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</si>
  <si>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</si>
  <si>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</si>
  <si>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</si>
  <si>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</si>
  <si>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</si>
  <si>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</si>
  <si>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</si>
  <si>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>Єдиний податок  з фізичних осіб</t>
  </si>
  <si>
    <t xml:space="preserve">Екологічний податок </t>
  </si>
  <si>
    <t>Неподаткові надходження</t>
  </si>
  <si>
    <t xml:space="preserve">Плата за розміщення тимчасово вільних коштів 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</si>
  <si>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</si>
  <si>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</si>
  <si>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</si>
  <si>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</si>
  <si>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</si>
  <si>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</si>
  <si>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</si>
  <si>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</si>
  <si>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</si>
  <si>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</si>
  <si>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</si>
  <si>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</si>
  <si>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</si>
  <si>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</si>
  <si>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</si>
  <si>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</si>
  <si>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</si>
  <si>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</si>
  <si>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</si>
  <si>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</si>
  <si>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</si>
  <si>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</si>
  <si>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</si>
  <si>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</si>
  <si>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</si>
  <si>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</si>
  <si>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</si>
  <si>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>Додаток 2</t>
  </si>
  <si>
    <t>200000</t>
  </si>
  <si>
    <t>Внутрішнє фінансування</t>
  </si>
  <si>
    <t>208100</t>
  </si>
  <si>
    <t>На початок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</si>
  <si>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</si>
  <si>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</si>
  <si>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</si>
  <si>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</si>
  <si>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</si>
  <si>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Надання кредитів</t>
  </si>
  <si>
    <t>Повернення кредитів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</si>
  <si>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</si>
  <si>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</si>
  <si>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</si>
  <si>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</si>
  <si>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</si>
  <si>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</si>
  <si>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</si>
  <si>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</si>
  <si>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</si>
  <si>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</si>
  <si>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</si>
  <si>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</si>
  <si>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</si>
  <si>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</si>
  <si>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</si>
  <si>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</si>
  <si>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3.2.5.</t>
  </si>
  <si>
    <t>3.2.6.</t>
  </si>
  <si>
    <t>Виплата винагороди головам квартальних комітетів</t>
  </si>
  <si>
    <t>3.2.7.</t>
  </si>
  <si>
    <t>Здійснення заходів з приватизації, відчуження та передачі в оренду майна комунальної власності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</si>
  <si>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</si>
  <si>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</si>
  <si>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</si>
  <si>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</si>
  <si>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</si>
  <si>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</si>
  <si>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</si>
  <si>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</si>
  <si>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</si>
  <si>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</si>
  <si>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</si>
  <si>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</si>
  <si>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</si>
  <si>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</si>
  <si>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</si>
  <si>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</si>
  <si>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</si>
  <si>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</si>
  <si>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</si>
  <si>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</si>
  <si>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</si>
  <si>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</si>
  <si>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</si>
  <si>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</si>
  <si>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</si>
  <si>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</si>
  <si>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</si>
  <si>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</si>
  <si>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</si>
  <si>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</si>
  <si>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</si>
  <si>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</si>
  <si>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</si>
  <si>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</si>
  <si>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</si>
  <si>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</si>
  <si>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</si>
  <si>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</si>
  <si>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0960</t>
  </si>
  <si>
    <t>0829</t>
  </si>
  <si>
    <t>1113121</t>
  </si>
  <si>
    <t>3121</t>
  </si>
  <si>
    <t>1040</t>
  </si>
  <si>
    <t>5011</t>
  </si>
  <si>
    <t>5012</t>
  </si>
  <si>
    <t>5022</t>
  </si>
  <si>
    <t>1113132</t>
  </si>
  <si>
    <t>3132</t>
  </si>
  <si>
    <t>1090</t>
  </si>
  <si>
    <t>5031</t>
  </si>
  <si>
    <t>5032</t>
  </si>
  <si>
    <t>5061</t>
  </si>
  <si>
    <t>0810</t>
  </si>
  <si>
    <t>5063</t>
  </si>
  <si>
    <t>7670</t>
  </si>
  <si>
    <t>0611010</t>
  </si>
  <si>
    <t>1010</t>
  </si>
  <si>
    <t>1020</t>
  </si>
  <si>
    <t>0910</t>
  </si>
  <si>
    <t>Надання дошкільної освіти</t>
  </si>
  <si>
    <t>0611020</t>
  </si>
  <si>
    <t>0921</t>
  </si>
  <si>
    <t>1030</t>
  </si>
  <si>
    <t>1070</t>
  </si>
  <si>
    <t>0922</t>
  </si>
  <si>
    <t>0611090</t>
  </si>
  <si>
    <t>0930</t>
  </si>
  <si>
    <t>0990</t>
  </si>
  <si>
    <t>2010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</si>
  <si>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</si>
  <si>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</si>
  <si>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</si>
  <si>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</si>
  <si>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</si>
  <si>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</si>
  <si>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</si>
  <si>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</si>
  <si>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</si>
  <si>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</si>
  <si>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</si>
  <si>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</si>
  <si>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</si>
  <si>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</si>
  <si>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</si>
  <si>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</si>
  <si>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</si>
  <si>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</si>
  <si>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</si>
  <si>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</si>
  <si>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</si>
  <si>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</si>
  <si>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</si>
  <si>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</si>
  <si>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</si>
  <si>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</si>
  <si>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</si>
  <si>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</si>
  <si>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</si>
  <si>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</si>
  <si>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</si>
  <si>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</si>
  <si>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</si>
  <si>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</si>
  <si>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</si>
  <si>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0210180</t>
  </si>
  <si>
    <t>Інша діяльність у сфері державного управління</t>
  </si>
  <si>
    <t>Заходи з організації рятування на водах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</si>
  <si>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</si>
  <si>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</si>
  <si>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</si>
  <si>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</si>
  <si>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</si>
  <si>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</si>
  <si>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</si>
  <si>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</si>
  <si>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</si>
  <si>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</si>
  <si>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</si>
  <si>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</si>
  <si>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</si>
  <si>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</si>
  <si>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</si>
  <si>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</si>
  <si>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</si>
  <si>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</si>
  <si>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</si>
  <si>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</si>
  <si>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</si>
  <si>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</si>
  <si>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</si>
  <si>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</si>
  <si>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</si>
  <si>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</si>
  <si>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</si>
  <si>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</si>
  <si>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</si>
  <si>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</si>
  <si>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</si>
  <si>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</si>
  <si>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</si>
  <si>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</si>
  <si>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</si>
  <si>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</si>
  <si>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</si>
  <si>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</si>
  <si>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</si>
  <si>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</si>
  <si>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</si>
  <si>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7426</t>
  </si>
  <si>
    <t>Інші заходи у сфері електротранспорту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</si>
  <si>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</si>
  <si>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</si>
  <si>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</si>
  <si>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</si>
  <si>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</si>
  <si>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</si>
  <si>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</si>
  <si>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</si>
  <si>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</si>
  <si>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</si>
  <si>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</si>
  <si>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</si>
  <si>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7310</t>
  </si>
  <si>
    <t>3617130</t>
  </si>
  <si>
    <t>7130</t>
  </si>
  <si>
    <t>0421</t>
  </si>
  <si>
    <t>Будівництвоˈ  освітніх установ та закладів</t>
  </si>
  <si>
    <t>1517321</t>
  </si>
  <si>
    <t>7321</t>
  </si>
  <si>
    <t>1517325</t>
  </si>
  <si>
    <t>7325</t>
  </si>
  <si>
    <t>1517330</t>
  </si>
  <si>
    <t>7330</t>
  </si>
  <si>
    <t>№ п/п</t>
  </si>
  <si>
    <t>Код КПКВ</t>
  </si>
  <si>
    <t>Заходи, на які виділяються кошти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</si>
  <si>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</si>
  <si>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</si>
  <si>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</si>
  <si>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</si>
  <si>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</si>
  <si>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</si>
  <si>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0813192</t>
  </si>
  <si>
    <t>3192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</si>
  <si>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</si>
  <si>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</si>
  <si>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</si>
  <si>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</si>
  <si>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</si>
  <si>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</si>
  <si>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1014081</t>
  </si>
  <si>
    <t>4081</t>
  </si>
  <si>
    <t>1014082</t>
  </si>
  <si>
    <t>4082</t>
  </si>
  <si>
    <t>Інші програми та заходи у сфері освіти</t>
  </si>
  <si>
    <t>7691</t>
  </si>
  <si>
    <t>0217691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</si>
  <si>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</si>
  <si>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</si>
  <si>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</si>
  <si>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</si>
  <si>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Дотації з місцевих бюджетів іншим місцевим бюджетам </t>
  </si>
  <si>
    <t>Амбулаторно-поліклінічна допомога населенню, крім первинної медичної допомоги</t>
  </si>
  <si>
    <t>0726</t>
  </si>
  <si>
    <t>3180</t>
  </si>
  <si>
    <t>0813180</t>
  </si>
  <si>
    <t>Проведення навчально-тренувальних зборів і змагань та заходів зі спорту осіб з інвалідністю</t>
  </si>
  <si>
    <t>7370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</si>
  <si>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</si>
  <si>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</si>
  <si>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</si>
  <si>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</si>
  <si>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</si>
  <si>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</si>
  <si>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</si>
  <si>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</si>
  <si>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</si>
  <si>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</si>
  <si>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Погашення </t>
  </si>
  <si>
    <t>0170</t>
  </si>
  <si>
    <t>9770</t>
  </si>
  <si>
    <t>Інші субвенції з місцевого бюджету</t>
  </si>
  <si>
    <t>6082</t>
  </si>
  <si>
    <t>Придбання житла для окремих категорій населення відповідно до законодавства</t>
  </si>
  <si>
    <t>0816082</t>
  </si>
  <si>
    <t>3617650</t>
  </si>
  <si>
    <t>7650</t>
  </si>
  <si>
    <t>Проведення експертної грошової оцінки земельної ділянки чи права на неї</t>
  </si>
  <si>
    <t>Організація та проведення громадських робіт</t>
  </si>
  <si>
    <t>3210</t>
  </si>
  <si>
    <t>1050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</si>
  <si>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</si>
  <si>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</si>
  <si>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6012</t>
  </si>
  <si>
    <t>Забезпечення діяльності з виробництва, транспортування, постачання теплової енергії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</si>
  <si>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</si>
  <si>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</si>
  <si>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</si>
  <si>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</si>
  <si>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</si>
  <si>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</si>
  <si>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</si>
  <si>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</si>
  <si>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</si>
  <si>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</si>
  <si>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</si>
  <si>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</si>
  <si>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</si>
  <si>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</si>
  <si>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</si>
  <si>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</si>
  <si>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</si>
  <si>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</si>
  <si>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</si>
  <si>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</si>
  <si>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</si>
  <si>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</si>
  <si>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</si>
  <si>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</si>
  <si>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</si>
  <si>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</si>
  <si>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(грн)</t>
  </si>
  <si>
    <t>Сума, грн</t>
  </si>
  <si>
    <t>Рішення 19-ї сесії Хмельницької міської ради від 21.02.2001 року №6</t>
  </si>
  <si>
    <t>Рішення 11-ї сесії Хмельницької міської ради від 25.01.2017 року №20</t>
  </si>
  <si>
    <t>Рішення позачергової 10-ї сесії Хмельницької міської ради від 29.12.2016 року №1</t>
  </si>
  <si>
    <t>Оформлення передплати на газети організаціям інвалідів, ветеранів війни і праці, окремим категоріям громадян</t>
  </si>
  <si>
    <t>Рішення позачергової 10-ї сесії Хмельницької міської ради від 29.12.2016 року №4</t>
  </si>
  <si>
    <t>Рішення позачергової 10-ї сесії Хмельницької міської ради від 29.12.2016 року №2</t>
  </si>
  <si>
    <t>7413</t>
  </si>
  <si>
    <t>0451</t>
  </si>
  <si>
    <t>Інші заходи у сфері автотранспорту</t>
  </si>
  <si>
    <t>0810160</t>
  </si>
  <si>
    <t>0710160</t>
  </si>
  <si>
    <t>1510160</t>
  </si>
  <si>
    <t>3610160</t>
  </si>
  <si>
    <t>1610160</t>
  </si>
  <si>
    <t>3710160</t>
  </si>
  <si>
    <t>1210160</t>
  </si>
  <si>
    <t>2810160</t>
  </si>
  <si>
    <t>0817691</t>
  </si>
  <si>
    <t>1217691</t>
  </si>
  <si>
    <t>Рішення 21-ї сесії Хмельницької міської ради від 11.04.2018 року №11</t>
  </si>
  <si>
    <t>у тому числі  бюджет розвитку</t>
  </si>
  <si>
    <t>Офіційні трансферти</t>
  </si>
  <si>
    <t>0813210</t>
  </si>
  <si>
    <t>Забезпечення діяльності інклюзивно-ресурсних центрів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</si>
  <si>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</si>
  <si>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</si>
  <si>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3140</t>
  </si>
  <si>
    <t>1515043</t>
  </si>
  <si>
    <t>5043</t>
  </si>
  <si>
    <t>0717670</t>
  </si>
  <si>
    <t>Програма «Здоров’я хмельничан» на 2017-2021 роки (із змінами і доповненнями)</t>
  </si>
  <si>
    <t>1517370</t>
  </si>
  <si>
    <t xml:space="preserve">Субвенції з державного бюджету місцевим бюджетам </t>
  </si>
  <si>
    <t>Залишок коштів на 01.01.2020 року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</si>
  <si>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</si>
  <si>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</si>
  <si>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Членські внески до асоціацій органів місцевого самоврядування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</si>
  <si>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</si>
  <si>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1900000</t>
  </si>
  <si>
    <t>1910000</t>
  </si>
  <si>
    <t>Управління транспорту та зв'язку Хмельницької міської ради (головний розпорядник)</t>
  </si>
  <si>
    <t>Управління транспорту та зв'язку Хмельницької міської ради (відповідальний виконавець)</t>
  </si>
  <si>
    <t>1910160</t>
  </si>
  <si>
    <t>Програма
бюджетування за участі громадськості (Бюджет участі) міста Хмельницького на 2020 - 2022 роки</t>
  </si>
  <si>
    <t>Рішення 32-ї сесії Хмельницької міської ради від 26.06.2019 року №9</t>
  </si>
  <si>
    <t>Реверсна дотація</t>
  </si>
  <si>
    <t>Обслуговування місцевого боргу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</si>
  <si>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</si>
  <si>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</si>
  <si>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реабілітаційних послуг особам з інвалідністю та дітям з інвалідністю</t>
  </si>
  <si>
    <t>Надання пільгових довгострокових кредитів молодим сім'ям та одиноким молодим громадянам на будівництво/придбання житла</t>
  </si>
  <si>
    <t>1118821</t>
  </si>
  <si>
    <t>1118822</t>
  </si>
  <si>
    <t>8821</t>
  </si>
  <si>
    <t>8822</t>
  </si>
  <si>
    <t>Здійснення заходів із землеустрою</t>
  </si>
  <si>
    <t>Будівництвоˈ інших об'єктів комунальної власності</t>
  </si>
  <si>
    <t>Забезпечення діяльності музеїв i виставок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</si>
  <si>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</si>
  <si>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</si>
  <si>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Інша діяльність, пов’язана з експлуатацією об’єктів житлово-комунального господарства</t>
  </si>
  <si>
    <t>1917413</t>
  </si>
  <si>
    <t>1917426</t>
  </si>
  <si>
    <t>Будівництвоˈ об'єктів житлово-комунального господарства</t>
  </si>
  <si>
    <t>3.2.4.</t>
  </si>
  <si>
    <t>3.2.10.</t>
  </si>
  <si>
    <t>3.2.15.</t>
  </si>
  <si>
    <t xml:space="preserve">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</si>
  <si>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</si>
  <si>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0712144</t>
  </si>
  <si>
    <t>2144</t>
  </si>
  <si>
    <t>Централізовані заходи з лікування хворих на цукровий та нецукровий діабет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</si>
  <si>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</si>
  <si>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</si>
  <si>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</si>
  <si>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</si>
  <si>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</si>
  <si>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</si>
  <si>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</si>
  <si>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</si>
  <si>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</si>
  <si>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Цільові фонди </t>
  </si>
  <si>
    <t>Усього доходів (без врахування міжбюджетних трансфертів)</t>
  </si>
  <si>
    <t>Рішення 34-ї сесії Хмельницької міської ради від 09.10.2019 року №38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</si>
  <si>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</si>
  <si>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</si>
  <si>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</si>
  <si>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Додаток 3</t>
  </si>
  <si>
    <t>УСЬОГО:</t>
  </si>
  <si>
    <t>Найменування місцевої / регіональної програми</t>
  </si>
  <si>
    <t>Дата і номер документа, яким затверджено місцеву / регіональну програму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</si>
  <si>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</si>
  <si>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</si>
  <si>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</si>
  <si>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>Підготовка кадрів закладами професійної (професійно-технічної) освіти та іншими закладами освіти</t>
  </si>
  <si>
    <t>Забезпечення діяльності інших закладів у сфері освіти</t>
  </si>
  <si>
    <t>Повернення довгострокових кредитів, наданих громадянам на будівництво/реконструкцію/придбання житла</t>
  </si>
  <si>
    <t>1118842</t>
  </si>
  <si>
    <t>8842</t>
  </si>
  <si>
    <t>0712020</t>
  </si>
  <si>
    <t>Спеціалізована стаціонарна медична допомога населенню</t>
  </si>
  <si>
    <t>0732</t>
  </si>
  <si>
    <t>2020</t>
  </si>
  <si>
    <t>0719770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</si>
  <si>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</si>
  <si>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</si>
  <si>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</si>
  <si>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</si>
  <si>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</si>
  <si>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</si>
  <si>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1517324</t>
  </si>
  <si>
    <t>7324</t>
  </si>
  <si>
    <t>8110</t>
  </si>
  <si>
    <t>Заходи із запобігання та ліквідації надзвичайних ситуацій та наслідків стихійного лиха</t>
  </si>
  <si>
    <t>Придбання обладнання і предметів довгострокового користування</t>
  </si>
  <si>
    <t>2017 - 2022 роки</t>
  </si>
  <si>
    <t>2019 - 2021 роки</t>
  </si>
  <si>
    <t>Реставрація Хмельницького міського будинку культури по вул.Проскурівській, 43 в м. Хмельницькому</t>
  </si>
  <si>
    <t xml:space="preserve">Начальник фінансового управління </t>
  </si>
  <si>
    <t xml:space="preserve">С. ЯМЧУК </t>
  </si>
  <si>
    <t xml:space="preserve">                                   Начальник фінансового управління                                                                                            Ю. САБІЙ</t>
  </si>
  <si>
    <t xml:space="preserve">Рентна плата та плата за використання ішших природних ресурсів </t>
  </si>
  <si>
    <t xml:space="preserve">Рентна плата за спеціальне використання лісових ресурсів </t>
  </si>
  <si>
    <t>Рентна плата за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</si>
  <si>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 xml:space="preserve">Рентна плата за користування надрами </t>
  </si>
  <si>
    <t xml:space="preserve">Рентна плата за користуваання надрами для видобудування корисних копалин загальнодержавного значення </t>
  </si>
  <si>
    <t>Внутрішні податки на товари та послуги</t>
  </si>
  <si>
    <t>Інші податки та збори</t>
  </si>
  <si>
    <t>Надходження  від викидів забруднюючих речовин в атмосферне повітря стаціонарними джерелами забруднення (за винятком викидів в атмосферне повітря двоокису вуглецю)</t>
  </si>
  <si>
    <t>Доходи від власності та підприємницької діяльності</t>
  </si>
  <si>
    <t>Частина чистого прибутку (доходу)  державних або кумунальних унітраних підприємств та їх обєднань, що вилучається до відповідного бюджету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</si>
  <si>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</si>
  <si>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</si>
  <si>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 xml:space="preserve">Кошти від реалізації скарбів, майна, одержаного державною або територіальною громадою  в порядку спадкування чи дарування, а також валютні цінності і грошові кошти, власники яких невідомі </t>
  </si>
  <si>
    <t xml:space="preserve">Єдиний податок з сільськогосподарських товаровиробників, у яких частка сільськогосподарського виробництва за попередній податковий (звітний) рік дорівнює або перевищує 75 відсотків </t>
  </si>
  <si>
    <t>1400000</t>
  </si>
  <si>
    <t>1410000</t>
  </si>
  <si>
    <t>1410160</t>
  </si>
  <si>
    <t>1410180</t>
  </si>
  <si>
    <t>1416012</t>
  </si>
  <si>
    <t>1416013</t>
  </si>
  <si>
    <t>1416020</t>
  </si>
  <si>
    <t>1416030</t>
  </si>
  <si>
    <t>1417310</t>
  </si>
  <si>
    <t>1417461</t>
  </si>
  <si>
    <t>1417640</t>
  </si>
  <si>
    <t>1417670</t>
  </si>
  <si>
    <t>1417691</t>
  </si>
  <si>
    <t>1418110</t>
  </si>
  <si>
    <t>1418120</t>
  </si>
  <si>
    <t>1418130</t>
  </si>
  <si>
    <t>8130</t>
  </si>
  <si>
    <t>Забезпечення діяльності місцевої пожежної охорони</t>
  </si>
  <si>
    <t>2021 рік</t>
  </si>
  <si>
    <t>Управління комунальної інфраструктури Хмельницької міської ради (головний розпорядник)</t>
  </si>
  <si>
    <t>Управління комунальної інфраструктури Хмельницької міської ради (відповідальний виконавець)</t>
  </si>
  <si>
    <t>Управління житлової політики і майна Хмельницької міської ради (головний розпорядник)</t>
  </si>
  <si>
    <t>Управління житлової політики і майна Хмельницької міської ради (відповідальний виконавець)</t>
  </si>
  <si>
    <t>Індивідуальне навчання, одяг сиротам</t>
  </si>
  <si>
    <t>Виплата 1810 грн сиротам при досягненні 18 років</t>
  </si>
  <si>
    <t>РОЗПОДІЛ</t>
  </si>
  <si>
    <t>Найменування головного розпорядника коштів бюджету 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</si>
  <si>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доходів та видатків цільового фонду</t>
  </si>
  <si>
    <t>КОШТОРИС</t>
  </si>
  <si>
    <t>природоохоронних заходів,</t>
  </si>
  <si>
    <t>ПЕРЕЛІК</t>
  </si>
  <si>
    <t>КРЕДИТУВАННЯ</t>
  </si>
  <si>
    <t>ФІНАНСУВАННЯ</t>
  </si>
  <si>
    <t>Найменування головного розпорядника коштів бюджету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</si>
  <si>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Державний бюджет України</t>
  </si>
  <si>
    <t>0219770</t>
  </si>
  <si>
    <t>22317200000</t>
  </si>
  <si>
    <t>Районний бюджет Хмельницького району</t>
  </si>
  <si>
    <t>Бюджет Красилівської міської територіальної громади</t>
  </si>
  <si>
    <t>Бюджет Заслучненської сільської територіальної громади</t>
  </si>
  <si>
    <t>22522000000</t>
  </si>
  <si>
    <t>Бюджет Чорноострівської селищної територіальної громади</t>
  </si>
  <si>
    <t>Програма розвитку освіти Хмельницької міської територіальної громади на 2017-2021 роки (із змінами і доповненнями)</t>
  </si>
  <si>
    <t>Комплексна програма «Піклування» в Хмельницькій міській територіальній громаді на 2017 - 2021 роки (із змінами і доповненнями)</t>
  </si>
  <si>
    <t>0210160</t>
  </si>
  <si>
    <t>Рішення 42-ї сесії Хмельницької міської ради від 17.06.2020 року №39</t>
  </si>
  <si>
    <t>1019770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</si>
  <si>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2017 - 2021 роки (із змінами і доповненнями)</t>
  </si>
  <si>
    <t>Рішення 42-ї сесії Хмельницької міської ради від 17.06.2020 року №40</t>
  </si>
  <si>
    <t>Рішення позачергової 46-ї сесії Хмельницької міської ради від 07.10.2020 року №3</t>
  </si>
  <si>
    <t>Плата за гарантії, надані Верховною Радою Автономної Республіки    Крим та міськими радами</t>
  </si>
  <si>
    <t>Додаток №5</t>
  </si>
  <si>
    <t>Додаток №7</t>
  </si>
  <si>
    <t>Додаток 8</t>
  </si>
  <si>
    <t>Додаток  9</t>
  </si>
  <si>
    <t>Найменування трансферту /
Найменування бюджету – надавача міжбюджетного трансферту</t>
  </si>
  <si>
    <t>Код Класифікації доходу бюджету /
Код бюджету</t>
  </si>
  <si>
    <t>І. Трансферти до загального фонду бюджету</t>
  </si>
  <si>
    <t>ІІ. Трансферти до спеціального фонду бюджету</t>
  </si>
  <si>
    <t>УСЬОГО за розділами І, ІІ, у тому числі:</t>
  </si>
  <si>
    <t>Код Програмної класифікації видатків та кредитування місцевого бюджету /
Код бюджету</t>
  </si>
  <si>
    <t>Найменування трансферту 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</si>
  <si>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</si>
  <si>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</si>
  <si>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3719110</t>
  </si>
  <si>
    <t>9110</t>
  </si>
  <si>
    <t>41033900</t>
  </si>
  <si>
    <t>41030000</t>
  </si>
  <si>
    <t>1117670</t>
  </si>
  <si>
    <t>2019 - 2023 роки</t>
  </si>
  <si>
    <t>Обласний бюджет Хмельницької області</t>
  </si>
  <si>
    <t>41040000</t>
  </si>
  <si>
    <t>41040200</t>
  </si>
  <si>
    <t>41050000</t>
  </si>
  <si>
    <t xml:space="preserve">Субвеції з місцевих бюджетів іншим місцевим бюджетам </t>
  </si>
  <si>
    <t>41051000</t>
  </si>
  <si>
    <t xml:space="preserve">Субвенції з місцевого бюджету на здійснення переданих видатків у сфері освіти за рахунок коштів освітньої субвенції </t>
  </si>
  <si>
    <t>41051200</t>
  </si>
  <si>
    <t>41055000</t>
  </si>
  <si>
    <t xml:space="preserve">Освітня субвенція  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</si>
  <si>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</si>
  <si>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</si>
  <si>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 xml:space="preserve">Пальне </t>
  </si>
  <si>
    <t>Акцизний податок з вироблених в Україні підакцизних товарів (продукції)</t>
  </si>
  <si>
    <t>Акцизний податок з ввезених на митну територію  України підакцизних товарів (продукції)</t>
  </si>
  <si>
    <t>0210170</t>
  </si>
  <si>
    <t>0131</t>
  </si>
  <si>
    <t>Підвищення кваліфікації депутатів місцевих рад та посадових осіб місцевого самоврядування</t>
  </si>
  <si>
    <t>1210170</t>
  </si>
  <si>
    <t>0810170</t>
  </si>
  <si>
    <t>1410170</t>
  </si>
  <si>
    <t>1510170</t>
  </si>
  <si>
    <t>1610170</t>
  </si>
  <si>
    <t>1910170</t>
  </si>
  <si>
    <t>2810170</t>
  </si>
  <si>
    <t>3710170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</si>
  <si>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</si>
  <si>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1011080</t>
  </si>
  <si>
    <t>1080</t>
  </si>
  <si>
    <t>Утримання та забезпечення діяльності центрів соціальних служб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</si>
  <si>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</si>
  <si>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Резервний фонд місцевого бюджету</t>
  </si>
  <si>
    <t>0611021</t>
  </si>
  <si>
    <t>1021</t>
  </si>
  <si>
    <t>Надання загальної середньої освіти за рахунок коштів місцевого бюджету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</si>
  <si>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</si>
  <si>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</si>
  <si>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</si>
  <si>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0611160</t>
  </si>
  <si>
    <t>1160</t>
  </si>
  <si>
    <t>Забезпечення діяльності центрів професійного розвитку педагогічних працівників</t>
  </si>
  <si>
    <t>0611022</t>
  </si>
  <si>
    <t>1022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</si>
  <si>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</si>
  <si>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</si>
  <si>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</si>
  <si>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</si>
  <si>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</si>
  <si>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</si>
  <si>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загальної середньої освіти за рахунок освітньої субвенції</t>
  </si>
  <si>
    <t>0611031</t>
  </si>
  <si>
    <t>1031</t>
  </si>
  <si>
    <t>0611070</t>
  </si>
  <si>
    <t>0611091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</si>
  <si>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</si>
  <si>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</si>
  <si>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</si>
  <si>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0611092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</si>
  <si>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</si>
  <si>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1140</t>
  </si>
  <si>
    <t>0611140</t>
  </si>
  <si>
    <t>Інші програми, заклади та заходи у сфері освіти</t>
  </si>
  <si>
    <t>0611141</t>
  </si>
  <si>
    <t>1141</t>
  </si>
  <si>
    <t>0611142</t>
  </si>
  <si>
    <t>1142</t>
  </si>
  <si>
    <t>0611150</t>
  </si>
  <si>
    <t>1150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</si>
  <si>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</si>
  <si>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</si>
  <si>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</si>
  <si>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</si>
  <si>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</si>
  <si>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</si>
  <si>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0210100</t>
  </si>
  <si>
    <t>0100</t>
  </si>
  <si>
    <t>Державне управління</t>
  </si>
  <si>
    <t>0217500</t>
  </si>
  <si>
    <t>7500</t>
  </si>
  <si>
    <t>Зв'язок, телекомунікації та інформатика</t>
  </si>
  <si>
    <t>Інші програми та заходи, пов'язані з економічною діяльністю</t>
  </si>
  <si>
    <t>0217600</t>
  </si>
  <si>
    <t>7600</t>
  </si>
  <si>
    <t>Інша економічна діяльність</t>
  </si>
  <si>
    <t>0217690</t>
  </si>
  <si>
    <t>7690</t>
  </si>
  <si>
    <t>0218000</t>
  </si>
  <si>
    <t>8000</t>
  </si>
  <si>
    <t>Інша діяльність</t>
  </si>
  <si>
    <t>0218400</t>
  </si>
  <si>
    <t>8400</t>
  </si>
  <si>
    <t>Засоби масової інформації</t>
  </si>
  <si>
    <t>0219000</t>
  </si>
  <si>
    <t>9000</t>
  </si>
  <si>
    <t>Міжбюджетні трансферти</t>
  </si>
  <si>
    <t>0219700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</si>
  <si>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</si>
  <si>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</si>
  <si>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0611000</t>
  </si>
  <si>
    <t>1000</t>
  </si>
  <si>
    <t>Освіта</t>
  </si>
  <si>
    <t>0613000</t>
  </si>
  <si>
    <t>3000</t>
  </si>
  <si>
    <t>Соціальний захист та соціальне забезпечення</t>
  </si>
  <si>
    <t>0710100</t>
  </si>
  <si>
    <t>0712000</t>
  </si>
  <si>
    <t>2000</t>
  </si>
  <si>
    <t>Охорона здоров’я</t>
  </si>
  <si>
    <t>0712110</t>
  </si>
  <si>
    <t>2110</t>
  </si>
  <si>
    <t>Первинна медична допомога населенню</t>
  </si>
  <si>
    <t>0712140</t>
  </si>
  <si>
    <t>2140</t>
  </si>
  <si>
    <t>Програми і централізовані заходи у галузі охорони здоров’я</t>
  </si>
  <si>
    <t>0712150</t>
  </si>
  <si>
    <t>2150</t>
  </si>
  <si>
    <t>Інші програми, заклади та заходи у сфері охорони здоров’я</t>
  </si>
  <si>
    <t>0717600</t>
  </si>
  <si>
    <t>0810100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</si>
  <si>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</si>
  <si>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</si>
  <si>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</si>
  <si>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</si>
  <si>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</si>
  <si>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</si>
  <si>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</si>
  <si>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0813190</t>
  </si>
  <si>
    <t>3190</t>
  </si>
  <si>
    <t>Соціальний захист ветеранів війни та праці</t>
  </si>
  <si>
    <t>0813240</t>
  </si>
  <si>
    <t>3240</t>
  </si>
  <si>
    <t xml:space="preserve"> Інші заклади та заходи</t>
  </si>
  <si>
    <t>0816000</t>
  </si>
  <si>
    <t>6000</t>
  </si>
  <si>
    <t>Житлово-комунальне господарство</t>
  </si>
  <si>
    <t>0816080</t>
  </si>
  <si>
    <t>6080</t>
  </si>
  <si>
    <t>Реалізація державних та місцевих житлових програм</t>
  </si>
  <si>
    <t>0217000</t>
  </si>
  <si>
    <t>7000</t>
  </si>
  <si>
    <t xml:space="preserve"> Економічна діяльність</t>
  </si>
  <si>
    <t>0717000</t>
  </si>
  <si>
    <t>0817000</t>
  </si>
  <si>
    <t>0817690</t>
  </si>
  <si>
    <t>0817600</t>
  </si>
  <si>
    <t>1011000</t>
  </si>
  <si>
    <t>1014000</t>
  </si>
  <si>
    <t>4000</t>
  </si>
  <si>
    <t>Культура i мистецтво</t>
  </si>
  <si>
    <t>1014080</t>
  </si>
  <si>
    <t>4080</t>
  </si>
  <si>
    <t>Інші заклади та заходи в галузі культури і мистецтва</t>
  </si>
  <si>
    <t>1019000</t>
  </si>
  <si>
    <t>1019700</t>
  </si>
  <si>
    <t>1113000</t>
  </si>
  <si>
    <t>1113120</t>
  </si>
  <si>
    <t>3120</t>
  </si>
  <si>
    <t>Здійснення соціальної роботи з вразливими категоріями населення</t>
  </si>
  <si>
    <t>1113130</t>
  </si>
  <si>
    <t>3130</t>
  </si>
  <si>
    <t>Реалізація державної політики у молодіжній сфері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</si>
  <si>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</si>
  <si>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</si>
  <si>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</si>
  <si>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</si>
  <si>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</si>
  <si>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</si>
  <si>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</si>
  <si>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</si>
  <si>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</si>
  <si>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1115030</t>
  </si>
  <si>
    <t>5030</t>
  </si>
  <si>
    <t xml:space="preserve"> Розвиток дитячо-юнацького та резервного спорту</t>
  </si>
  <si>
    <t>1115060</t>
  </si>
  <si>
    <t>5060</t>
  </si>
  <si>
    <t>Інші заходи з розвитку фізичної культури та спорту</t>
  </si>
  <si>
    <t>1116000</t>
  </si>
  <si>
    <t>1116080</t>
  </si>
  <si>
    <t>1117000</t>
  </si>
  <si>
    <t>1117600</t>
  </si>
  <si>
    <t>1210100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</si>
  <si>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</si>
  <si>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</si>
  <si>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</si>
  <si>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</si>
  <si>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1217000</t>
  </si>
  <si>
    <t>Економічна діяльність</t>
  </si>
  <si>
    <t>1217600</t>
  </si>
  <si>
    <t>1217690</t>
  </si>
  <si>
    <t xml:space="preserve"> Інша економічна діяльність</t>
  </si>
  <si>
    <t>1410100</t>
  </si>
  <si>
    <t>1416000</t>
  </si>
  <si>
    <t>1416010</t>
  </si>
  <si>
    <t>1417000</t>
  </si>
  <si>
    <t>1417300</t>
  </si>
  <si>
    <t>7300</t>
  </si>
  <si>
    <t>Будівництво та регіональний розвиток</t>
  </si>
  <si>
    <t>1417400</t>
  </si>
  <si>
    <t>7400</t>
  </si>
  <si>
    <t>Транспорт та транспортна інфраструктура, дорожнє господарство</t>
  </si>
  <si>
    <t>1417600</t>
  </si>
  <si>
    <t>1417690</t>
  </si>
  <si>
    <t>1418000</t>
  </si>
  <si>
    <t>1418100</t>
  </si>
  <si>
    <t>8100</t>
  </si>
  <si>
    <t>1510100</t>
  </si>
  <si>
    <t>1515000</t>
  </si>
  <si>
    <t>1515040</t>
  </si>
  <si>
    <t>5040</t>
  </si>
  <si>
    <t>Підтримка і розвиток спортивної інфраструктури</t>
  </si>
  <si>
    <t>1517000</t>
  </si>
  <si>
    <t>1517300</t>
  </si>
  <si>
    <t>1517320</t>
  </si>
  <si>
    <t>7320</t>
  </si>
  <si>
    <t>1610100</t>
  </si>
  <si>
    <t>1910100</t>
  </si>
  <si>
    <t>1917000</t>
  </si>
  <si>
    <t>1917400</t>
  </si>
  <si>
    <t>1917420</t>
  </si>
  <si>
    <t>7420</t>
  </si>
  <si>
    <t>Забезпечення надання послуг з перевезення пасажирів електротранспортом</t>
  </si>
  <si>
    <t>2717000</t>
  </si>
  <si>
    <t>2717600</t>
  </si>
  <si>
    <t>2717690</t>
  </si>
  <si>
    <t>2810100</t>
  </si>
  <si>
    <t>2818000</t>
  </si>
  <si>
    <t>2818300</t>
  </si>
  <si>
    <t>8300</t>
  </si>
  <si>
    <t>Охорона навколишнього природного середовища</t>
  </si>
  <si>
    <t>3610100</t>
  </si>
  <si>
    <t>3617000</t>
  </si>
  <si>
    <t>3617100</t>
  </si>
  <si>
    <t>7100</t>
  </si>
  <si>
    <t>Сільське, лісове, рибне господарство та мисливство</t>
  </si>
  <si>
    <t>3617600</t>
  </si>
  <si>
    <t xml:space="preserve"> Інші програми та заходи, пов'язані з економічною діяльністю</t>
  </si>
  <si>
    <t>3710100</t>
  </si>
  <si>
    <t>3718000</t>
  </si>
  <si>
    <t>Резервний фонд</t>
  </si>
  <si>
    <t>3719000</t>
  </si>
  <si>
    <t>Дотації з місцевого бюджету іншим бюджетам</t>
  </si>
  <si>
    <t>9100</t>
  </si>
  <si>
    <t>1118000</t>
  </si>
  <si>
    <t xml:space="preserve"> Інша діяльність</t>
  </si>
  <si>
    <t>1118800</t>
  </si>
  <si>
    <t>8800</t>
  </si>
  <si>
    <t>Кредитування</t>
  </si>
  <si>
    <t>1118820</t>
  </si>
  <si>
    <t>8820</t>
  </si>
  <si>
    <t>Рішення 2-ї сесії Хмельницької міської ради від 23.12.2020 року №22</t>
  </si>
  <si>
    <t xml:space="preserve"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</t>
  </si>
  <si>
    <t>Рішення 2-ї сесії Хмельницької міської ради від 23.12.2020 року №9</t>
  </si>
  <si>
    <t>Програма економічного і соціального розвитку Хмельницької міської територіальної громади на 2021 рік</t>
  </si>
  <si>
    <t>Рішення 2-ї сесії Хмельницької міської ради від 23.12.2020 року №10</t>
  </si>
  <si>
    <t>Рішення 2-ї сесії Хмельницької міської ради від 23.12.2020 року №11</t>
  </si>
  <si>
    <t>Програма підтримки книговидання та читацької культури у Хмельницькій міській територіальній громаді на 2021-2025 роки «#ЩодняЧитай українською»</t>
  </si>
  <si>
    <t>Рішення 2-ї сесії Хмельницької міської ради від 23.12.2020 року №31</t>
  </si>
  <si>
    <t>Програма розвитку Хмельницької міської територіальної громади у сфері культури на 2021-2025 роки "Нова лінія культурних змін"</t>
  </si>
  <si>
    <t>Рішення 2-ї сесії Хмельницької міської ради від 23.12.2020 року №32</t>
  </si>
  <si>
    <t>Програма 
підтримки сім'ї на 2021-2025 рр.</t>
  </si>
  <si>
    <t>Рішення 2-ї сесії Хмельницької міської ради від 23.12.2020 року №33</t>
  </si>
  <si>
    <t>Рішення 2-ї сесії Хмельницької міської ради від 23.12.2020 року №36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</si>
  <si>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</t>
  </si>
  <si>
    <t>Рішення 2-ї сесії Хмельницької міської ради від 23.12.2020 року №50</t>
  </si>
  <si>
    <t>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</t>
  </si>
  <si>
    <t>Рішення 2-ї сесії Хмельницької міської ради від 23.12.2020 року №57</t>
  </si>
  <si>
    <t>Рішення 30-ї сесії Хмельницької  міської  ради від 17.04.2019 року №48</t>
  </si>
  <si>
    <t>Рішення 2-ї сесії Хмельницької міської ради від 23.12.2020 року №67</t>
  </si>
  <si>
    <t>Програма розвитку велоінфраструктури м.Хмельницького на 2017-2025 роки</t>
  </si>
  <si>
    <t>Програма поводження з побутовими відходами "Розумне Довкілля.  Хмельницький" на 2021 - 2022 роки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</si>
  <si>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</si>
  <si>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</si>
  <si>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</si>
  <si>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99000000000</t>
  </si>
  <si>
    <t>0813170</t>
  </si>
  <si>
    <t>3170</t>
  </si>
  <si>
    <t>Забезпечення реалізації окремих програм для осіб з інвалідністю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</si>
  <si>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2021 рік</t>
  </si>
  <si>
    <t>Рішення 4-ї сесії Хмельницької міської ради від 17.02.2021 року №7</t>
  </si>
  <si>
    <t xml:space="preserve">Управління з питань екології та контролю за благоустроєм  Хмельницької міської ради  (відповідальний виконавець) </t>
  </si>
  <si>
    <t xml:space="preserve">Управління з питань екології та контролю за благоустроєм 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</si>
  <si>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</si>
  <si>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(відповідальний виконавець) </t>
  </si>
  <si>
    <t>Рішення 4-ї сесії Хмельницької міської ради від 17.02.2021 року №24</t>
  </si>
  <si>
    <t>Рішення 13-ї сесії Хмельницької міської ради від 22.03.2017 року №33</t>
  </si>
  <si>
    <t>Управління капітального будівництва Хмельницької міської ради (головний розпорядник)</t>
  </si>
  <si>
    <t>Управління капітального будівництва Хмельницької міської ради (відповідальний виконавець)</t>
  </si>
  <si>
    <t>Управління архітектури та містобудування Хмельницької міської ради (головний розпорядник)</t>
  </si>
  <si>
    <t>Управління архітектури та містобудування  Хмельницької міської ради  (відповідальний виконавець)</t>
  </si>
  <si>
    <t>Управління земельних ресурсів Хмельницької міської ради (відповідальний розпорядник)</t>
  </si>
  <si>
    <t>Управління земельних ресурсів Хмельницької міської ради (головний розпорядник)</t>
  </si>
  <si>
    <t xml:space="preserve">які будуть фінансуватися з Фонду охорони навколишнього природного середовища </t>
  </si>
  <si>
    <t>Управління архітектури та містобудування Хмельницької міської ради  (відповідальний виконавець)</t>
  </si>
  <si>
    <t>Управління земельних ресурсів та земельної реформи Хмельницької міської ради (головний розпорядник)</t>
  </si>
  <si>
    <t>Управління земельних ресурсів та земельної реформи  Хмельницької міської ради (відповідальний розпорядник)</t>
  </si>
  <si>
    <t>Інші субвенції з місцевого бюджету, в тому числі:</t>
  </si>
  <si>
    <t xml:space="preserve"> - пільгове медичне обслуговування осіб, які постраждали внаслідок Чорнобильської катастрофи </t>
  </si>
  <si>
    <t xml:space="preserve"> - 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</si>
  <si>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  - поховання учасників бойових дій та осіб з інвалідністю внаслідок війни</t>
  </si>
  <si>
    <t>Внески до статутного капіталу МКП "Хмельницькводоканал" (Реконструкція водопроводу від  вул.Проскурівська по пров. Проскурівський, вул. Пилипчука до пров. Шевченка в м. Хмельницький)</t>
  </si>
  <si>
    <t>2719000</t>
  </si>
  <si>
    <t>2719700</t>
  </si>
  <si>
    <t>2719770</t>
  </si>
  <si>
    <t>1617000</t>
  </si>
  <si>
    <t>1617300</t>
  </si>
  <si>
    <t>1617350</t>
  </si>
  <si>
    <t>7350</t>
  </si>
  <si>
    <t>Розроблення схем планування та забудови територій (містобудівної документації)</t>
  </si>
  <si>
    <t>0217693</t>
  </si>
  <si>
    <t>1017000</t>
  </si>
  <si>
    <t>1017600</t>
  </si>
  <si>
    <t>1017670</t>
  </si>
  <si>
    <t>1217670</t>
  </si>
  <si>
    <t>0810180</t>
  </si>
  <si>
    <t>0813060</t>
  </si>
  <si>
    <t>3060</t>
  </si>
  <si>
    <t>Оздоровлення громадян, які постраждали внаслідок Чорнобильської катастрофи</t>
  </si>
  <si>
    <t>0817320</t>
  </si>
  <si>
    <t>0817323</t>
  </si>
  <si>
    <t>7323</t>
  </si>
  <si>
    <t>0817300</t>
  </si>
  <si>
    <t>1517310</t>
  </si>
  <si>
    <t>1510180</t>
  </si>
  <si>
    <t>1216020</t>
  </si>
  <si>
    <t>0611060</t>
  </si>
  <si>
    <t>0611061</t>
  </si>
  <si>
    <t>1061</t>
  </si>
  <si>
    <t xml:space="preserve"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</t>
  </si>
  <si>
    <t>забезпечення безпечного навчального процесу у закладах загальної середньої освіти)</t>
  </si>
  <si>
    <t xml:space="preserve"> Надання загальної середньої освіти закладами загальної середньої освіти</t>
  </si>
  <si>
    <t>Реконструкція будівлі №45/312 (контрольно-технічний пункт), військового містечка №45 військової частини А0661</t>
  </si>
  <si>
    <t>Рішення 4-ї сесії Хмельницької міської ради від 17.02.2021 року №2</t>
  </si>
  <si>
    <t>Рішення 3-ї сесії Хмельницької міської ради від 14.01.2021 року №1</t>
  </si>
  <si>
    <t>Реконструкція існуючої будівлі краєзнавчого музею під музейний комплекс історії та культури по вул.Свободи, 22 в м.Хмельницькому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</si>
  <si>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 Гальчевського, 34 в м.Хмельницькому </t>
  </si>
  <si>
    <t>2017 - 2025 роки</t>
  </si>
  <si>
    <t>2020 - 2025 роки</t>
  </si>
  <si>
    <t>2015 - 2025 роки</t>
  </si>
  <si>
    <t>0611210</t>
  </si>
  <si>
    <t>1210</t>
  </si>
  <si>
    <t>Внески до статутного капіталу міського комунального підприємства - Кінотеатр ім. Т.Г.Шевченка (Виготовлення науково-проектної документації «Реставрація будівлі кінотеатру ім. Т. Г. Шевченка (щойно виявлений об’єкт культурної спадщини) по вул. Проскурівській, 40 у м. Хмельницькому)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</si>
  <si>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</si>
  <si>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</si>
  <si>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41053600</t>
  </si>
  <si>
    <t>Субвенція з місцевого бюджету на здійснення природоохоронних заходів</t>
  </si>
  <si>
    <t xml:space="preserve"> - соціально-економічний розвиток</t>
  </si>
  <si>
    <t>Субвенція з місцевого бюджету на здійснення природоохоронних заходів  (Обласний фонд охорони навколишнього природного середовища)</t>
  </si>
  <si>
    <t>Інші субвенції з місцевого бюджету (соціально-економічний розвиток)</t>
  </si>
  <si>
    <t>Рішення 5-ї сесії Хмельницької міської ради від 21.04.2021 року №7</t>
  </si>
  <si>
    <t>Рішення 5-ї сесії Хмельницької міської ради від 21.04.2021 року №57</t>
  </si>
  <si>
    <t>Рішення 5-ї сесії Хмельницької міської ради від 21.04.2021 року №55</t>
  </si>
  <si>
    <t>Рішення 5-ї сесії Хмельницької міської ради від 21.04.2021 року №69</t>
  </si>
  <si>
    <t>Програма розвитку та фінансової підтримки комунального підприємства «Чайка» Хмельницької міської ради на 2021-2022 роки</t>
  </si>
  <si>
    <t>Рішення 5-ї сесії Хмельницької міської ради від 21.04.2021 року №74</t>
  </si>
  <si>
    <t>Програма для забезпечення виконання судових рішень на 2021-2025 роки</t>
  </si>
  <si>
    <t>1417460</t>
  </si>
  <si>
    <t>7460</t>
  </si>
  <si>
    <t>Утримання та розвиток автомобільних доріг та дорожньої інфраструктури</t>
  </si>
  <si>
    <t>до рішення №</t>
  </si>
  <si>
    <t xml:space="preserve">до рішення №  </t>
  </si>
  <si>
    <t xml:space="preserve">до рішення №      </t>
  </si>
  <si>
    <t>Зовнішні зобов'язання</t>
  </si>
  <si>
    <t xml:space="preserve">Довгострокові зобов'язання </t>
  </si>
  <si>
    <t xml:space="preserve">Середньострокові зобов'язання </t>
  </si>
  <si>
    <t xml:space="preserve">Фінансування за рахунок позик банківських установ </t>
  </si>
  <si>
    <t xml:space="preserve"> Одержано позик </t>
  </si>
  <si>
    <t xml:space="preserve">Фінансування за рахунок інших банків </t>
  </si>
  <si>
    <t xml:space="preserve">Внутрішні запозичення </t>
  </si>
  <si>
    <t xml:space="preserve">Фінансування за рахунок зміни залишків коштів бюджетів </t>
  </si>
  <si>
    <t>Зміни обсягів бюджетних коштів</t>
  </si>
  <si>
    <t xml:space="preserve">На початок періоду </t>
  </si>
  <si>
    <t xml:space="preserve">Інші розрахунки </t>
  </si>
  <si>
    <t xml:space="preserve">Передача коштів із загального до спеціального фонду бюджету </t>
  </si>
  <si>
    <t>Субвенція з державного бюджету місцевим бюджетам на розвиток спортивної інфраструктури</t>
  </si>
  <si>
    <t>41035700</t>
  </si>
  <si>
    <t>0217540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</si>
  <si>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</si>
  <si>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</si>
  <si>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</si>
  <si>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</si>
  <si>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</si>
  <si>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Субвенція з державного бюджету місцевим бюджетам на реалізацію інфраструктурних проектів та розвиток об’єктів соціально-культурної сфери</t>
  </si>
  <si>
    <t>41032300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</si>
  <si>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</si>
  <si>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41035500</t>
  </si>
  <si>
    <t>41051400</t>
  </si>
  <si>
    <t>Субвенція з місцевого бюджету на забезпечення якісної, сучасної та доступної загальної середньої освіти  "Нова українська школа" за рахунок відповідної субвенції з державного бюджету</t>
  </si>
  <si>
    <t>1517600</t>
  </si>
  <si>
    <t>1517690</t>
  </si>
  <si>
    <t>1517691</t>
  </si>
  <si>
    <t>3.2.8.</t>
  </si>
  <si>
    <t>Будівництво, реконструкція та ремонт інженерно-транспортної та соціальної інфраструктури Хмельницької міської територіальної громади, відповідного мікрорайону/кварталу, в т. ч. і тих, в яких розташовані будинки житлово-будівельних кооперативів (ТОВ "ЖЕО")</t>
  </si>
  <si>
    <t>2021 - 2022 роки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</si>
  <si>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</si>
  <si>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</si>
  <si>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0611023</t>
  </si>
  <si>
    <t>1023</t>
  </si>
  <si>
    <t>0611190</t>
  </si>
  <si>
    <t>0611191</t>
  </si>
  <si>
    <t>1190</t>
  </si>
  <si>
    <t>1191</t>
  </si>
  <si>
    <t xml:space="preserve"> 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</si>
  <si>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Співфінансування заходів, що реалізуються за рахунок субвенції з державного бюджету місцевим бюджетам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</si>
  <si>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0611220</t>
  </si>
  <si>
    <t>0611221</t>
  </si>
  <si>
    <t>1220</t>
  </si>
  <si>
    <t>1221</t>
  </si>
  <si>
    <t xml:space="preserve"> 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</si>
  <si>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створення мережі спеціалізованихслужб підтрмки осіб, які постраждали від домашнього насильства та  або насильства за ознакою статі</t>
  </si>
  <si>
    <t>2.1.4.</t>
  </si>
  <si>
    <t>Кошти участі замовників у створенні і розвитку інженерно-транспортної та соціальної інфраструктури Хмельницької міської територіальної громади</t>
  </si>
  <si>
    <t>2717300</t>
  </si>
  <si>
    <t>2717370</t>
  </si>
  <si>
    <t>Забезпечення надання послуг з перевезення пасажирів автомобільним транспортом</t>
  </si>
  <si>
    <t>1917410</t>
  </si>
  <si>
    <t>7410</t>
  </si>
  <si>
    <t>Програма розвитку  та вдосконалення міського пасажирського транспорту  міста Хмельницького на 2019 - 2023 роки  (із змінами і доповненнями)</t>
  </si>
  <si>
    <t>0611192</t>
  </si>
  <si>
    <t>1192</t>
  </si>
  <si>
    <t>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субвенції з державного бюджету місцевим бюджетам</t>
  </si>
  <si>
    <t>0813120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</si>
  <si>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</si>
  <si>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</si>
  <si>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</si>
  <si>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 xml:space="preserve"> Внутрішні зобов'язання </t>
  </si>
  <si>
    <t>41056600</t>
  </si>
  <si>
    <t>Субвенція з місцевого бюджету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відповідної субвенції з державного бюджету</t>
  </si>
  <si>
    <t xml:space="preserve">Субвенція з місцевого  бюджету на заходи, спрямовані на боротьбу з гострою респіраторною хворобою COVID-19, спричиненою коронавірусом  SARS- CoV-2 та її наслідками під час навчального процесу у закладах загальної середньої освіти за рахунок відповідної субвенції з державного бюджету </t>
  </si>
  <si>
    <t>Програма підтримки ОСББ Хмельницької міської територіальної громади на 2020 – 2023 роки (зі змінами)</t>
  </si>
  <si>
    <t>0619000</t>
  </si>
  <si>
    <t>0619700</t>
  </si>
  <si>
    <t>0619770</t>
  </si>
  <si>
    <t>Розвиток готельного господарства та туризму</t>
  </si>
  <si>
    <t>1017620</t>
  </si>
  <si>
    <t>7620</t>
  </si>
  <si>
    <t>Реалізація програм і заходів в галузі туризму та курортів</t>
  </si>
  <si>
    <t>1017622</t>
  </si>
  <si>
    <t>7622</t>
  </si>
  <si>
    <t>Рішення 5-ї сесії Хмельницької міської ради від 21.04.2021 року №33</t>
  </si>
  <si>
    <t>Програма розвитку інформаційної інфраструктури туристичних послуг на 2021-2023 роки</t>
  </si>
  <si>
    <t>Програма цифрового розвитку на 2021-2025 роки (із змінами)</t>
  </si>
  <si>
    <t>Рішення 7-ї сесії Хмельницької міської ради від 14.07.2021 року №9</t>
  </si>
  <si>
    <t>Разом  доходів (з врахуванням міжбюджетних трансфертів)</t>
  </si>
  <si>
    <t>Єдиний податок  з юридичних осіб</t>
  </si>
  <si>
    <t xml:space="preserve"> Інші надходження  </t>
  </si>
  <si>
    <t>Програма забезпечення охорони прав і свобод людини, профілактики злочинності та підтримання публічної безпеки і порядку на території Хмельницької міської територіальної громади на 2021 – 2025 роки (із змінами)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</si>
  <si>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</si>
  <si>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</si>
  <si>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</si>
  <si>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</si>
  <si>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</si>
  <si>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</si>
  <si>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</si>
  <si>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0611222</t>
  </si>
  <si>
    <t>1222</t>
  </si>
  <si>
    <t>Виконання інвестиційних проектів</t>
  </si>
  <si>
    <t>7360</t>
  </si>
  <si>
    <t>0717300</t>
  </si>
  <si>
    <t>0717360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</si>
  <si>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</si>
  <si>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</si>
  <si>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</si>
  <si>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</si>
  <si>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0813220</t>
  </si>
  <si>
    <t>3220</t>
  </si>
  <si>
    <t>0813221</t>
  </si>
  <si>
    <t>3221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</si>
  <si>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</si>
  <si>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0813222</t>
  </si>
  <si>
    <t>3222</t>
  </si>
  <si>
    <t>0813223</t>
  </si>
  <si>
    <t>3223</t>
  </si>
  <si>
    <t>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</si>
  <si>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</si>
  <si>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</si>
  <si>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</si>
  <si>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0813224</t>
  </si>
  <si>
    <t>3224</t>
  </si>
  <si>
    <t>0816083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</si>
  <si>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</si>
  <si>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</si>
  <si>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41034500</t>
  </si>
  <si>
    <t>41050500</t>
  </si>
  <si>
    <t>41033800</t>
  </si>
  <si>
    <t>41050400</t>
  </si>
  <si>
    <t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числа, за рахунок відповідної субвенції з державного бюджету</t>
  </si>
  <si>
    <t>41054200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</si>
  <si>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«Про статус ветеранів війни, гарантії їх соціального захисту», для осіб з інвалідністю І – ІІ групи, які стали особами з інвалідністю внаслідок поранень, каліцтва, контузії чи інших ушкоджень здоров’я, одержаних під час участі у Революції Гідності, визначених пунктом 10 частини другої статті 7 Закону України «Про</t>
  </si>
  <si>
    <t xml:space="preserve">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</si>
  <si>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 xml:space="preserve">  - для забезпечення функціонування відділення боксу Хмельницької ДЮСШ №2 "Авангард" ФСТ "Україна)</t>
  </si>
  <si>
    <t xml:space="preserve">  - на нове будівництво зовнішніх мереж водопостачання в с. Копистин</t>
  </si>
  <si>
    <t>0617300</t>
  </si>
  <si>
    <t xml:space="preserve">	Економічна діяльність</t>
  </si>
  <si>
    <t>0617000</t>
  </si>
  <si>
    <t>0617320</t>
  </si>
  <si>
    <t>0617600</t>
  </si>
  <si>
    <t>0617640</t>
  </si>
  <si>
    <t>Капітальний ремонт приміщень Хмельницької міської ради за адресою: Хмеьницька область, м. Хмельницький, вулиця Пушкіна, 1 (в тому числі виготовлення проєктно-кошторисної документації)</t>
  </si>
  <si>
    <t>Капітальний ремонт системи опалення (з встановленням електричних котлів) адміністративної будівлі управління охорони здоров'я Хмельницької міської ради за адресою: вул. Грушевського, 64 в м. Хмельницькому</t>
  </si>
  <si>
    <t>2021 рsк</t>
  </si>
  <si>
    <t>Інша діяльність у сфері транспорту</t>
  </si>
  <si>
    <t>1917450</t>
  </si>
  <si>
    <t>7450</t>
  </si>
  <si>
    <t>1117300</t>
  </si>
  <si>
    <t>1117320</t>
  </si>
  <si>
    <t>1117325</t>
  </si>
  <si>
    <t>0617321</t>
  </si>
  <si>
    <t>Інші субвенції з місцевого бюджету (на нове будівництво зовнішніх мереж водопостачання в с. Копистин)</t>
  </si>
  <si>
    <t>41053900</t>
  </si>
  <si>
    <t>Інші субвенції з місцевого бюджету (для забезпечення функціонування відділення боксу Хмельницької ДЮСШ №2 "Авангард" ФСТ "Україна" (на підготовку спортсменів, проведення спортивних змагань, навчально-тренувальних зборів, придбання спортивного інвентаря та обладнання))</t>
  </si>
  <si>
    <t>Реконструкція будівлі Шаровечківської ЗОШ І-ІІІ ст. за адресою: с. Шаровечка, вул. Шкільна, 10 Хмельницького району Хмельницької області (коригування)</t>
  </si>
  <si>
    <t>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(91 х 46) зі штучним покриттям по вулиці Шевченка, 46, для проведення спільних спортивних заходів та заходів військово-патріотичного виховання молоді міста Хмельницького, пропаганди здорового способу життя, формування відповідного рівня фізичної підготовки та витривалості</t>
  </si>
  <si>
    <t>1119000</t>
  </si>
  <si>
    <t>1119700</t>
  </si>
  <si>
    <t>1119770</t>
  </si>
  <si>
    <t>ДОХОДИ</t>
  </si>
  <si>
    <t xml:space="preserve">          1. Показники міжбюджетних трансфертів з інших бюджетів</t>
  </si>
  <si>
    <t xml:space="preserve">          2. Показники міжбюджетних трансфертів іншим бюджетам</t>
  </si>
  <si>
    <t>ОБСЯГИ</t>
  </si>
  <si>
    <t>капітальних вкладень бюджету у розрізі інвестиційних проектів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</si>
  <si>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</si>
  <si>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</si>
  <si>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</si>
  <si>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бюджету Хмельницької міської територіальної громади всього, гривень</t>
  </si>
  <si>
    <t>витрат бюджету Хмельницької міської територіальної громади на реалізацію місцевих/регіональних</t>
  </si>
  <si>
    <t>Надання спеціалізованої освіти мистецькими школами</t>
  </si>
  <si>
    <t>Реконструкція відділення невідкладної допомоги та реанімації комунального підприємства "Хмельницька міська дитяча лікарня" Хмельницької міської ради за адресою: м. Хмельницький, вул. Степана Разіна, 1</t>
  </si>
  <si>
    <t>Будівництво Палацу спорту по вул.Прибузькій, 5/1а у м.Хмельницькому (коригування)</t>
  </si>
  <si>
    <t>Будівництво артезіанської свердловини, водонапірної башти та водогону в с.Малашівці Хмельницького району Хмельницької області</t>
  </si>
  <si>
    <t>2018 - 2024 роки</t>
  </si>
  <si>
    <t>Будівництво внутрішньоквартального проїзду між земельними ділянками по вул. Старокостянтинівське шосе, 2/1 "З" в м. 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</si>
  <si>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Кам'янецькій, 38 в м. Хмельницькому</t>
  </si>
  <si>
    <t>2818340</t>
  </si>
  <si>
    <t>8340</t>
  </si>
  <si>
    <t>Природоохоронні заходи за рахунок цільових фондів</t>
  </si>
  <si>
    <t>Придбання систем, приладів для здійснення контролю за якістю поверхневих та підземних вод на території міста</t>
  </si>
  <si>
    <t>0611033</t>
  </si>
  <si>
    <t>1033</t>
  </si>
  <si>
    <t>2019 - 2022 роки</t>
  </si>
  <si>
    <t>Реконструкція стадіону Хмельницької середньої загальноосвітньої школи №18 І-ІІІ ступенів ім.В.Чорновола по вул. Купріна, 12 в  м.Хмельницькому</t>
  </si>
  <si>
    <t xml:space="preserve"> Реконструкція парку-пам'ятки садово-паркового мистецтва місцевого значення "Парк ім. М.Чекмана". Ділянка колеса огляду. </t>
  </si>
  <si>
    <t>Нове будівництво парку "Молодіжний" по вул. Бандери в м. Хмельницькому 1-а черга</t>
  </si>
  <si>
    <t>2022 рік</t>
  </si>
  <si>
    <t>Підвищення енергоефективності систем водопостачання та водоочищення: Реконструкція каналізаційних насосних станцій № 2, 7, 12 у місті Хмельницькому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</si>
  <si>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 (коригування))</t>
  </si>
  <si>
    <t>Внески до статутного капіталу МКП "Хмельницькводоканал" (Нове будівництво зовнішніх мереж водопроводу в  с. Шаровечка Хмельницького району, Хмельницької області (ІІ черга))</t>
  </si>
  <si>
    <t>Будівництво системи водопостачання в с.Бахматівці Хмельницького району Хмельницької області</t>
  </si>
  <si>
    <t>Будівництво другої черги водогону  від с.Чернелівка Красилівського району до м.Хмельницький</t>
  </si>
  <si>
    <t>Внески до статутного капіталу МКП "Хмельницькводоканал" (Реконструкція напірного каналізаційного колектора діаметром 225 мм від КНС-22, вул.Камянецька, 134/1Д в м.Хмельницький)</t>
  </si>
  <si>
    <t>1210180</t>
  </si>
  <si>
    <t>Проєкт Програми економічного і соціального розвитку Хмельницької міської територіальної громади на 2022 рік</t>
  </si>
  <si>
    <t>1217300</t>
  </si>
  <si>
    <t>1217310</t>
  </si>
  <si>
    <t>Інша діяльність у сфері житлово-комунального господарства</t>
  </si>
  <si>
    <t>1416090</t>
  </si>
  <si>
    <t>6090</t>
  </si>
  <si>
    <t>0640</t>
  </si>
  <si>
    <t>Рішення 2-ї сесії Хмельницької міської ради від 23.12.2020 року №23</t>
  </si>
  <si>
    <t>Програма розвитку геоінформаційної системи Хмельницької міської ради на 2021 - 2025 роки</t>
  </si>
  <si>
    <t>Реконструкція покрівлі житлового будинку по вулиці Інститутська, 13 в м.Хмельницькому</t>
  </si>
  <si>
    <t xml:space="preserve">Програма зайнятості населення Хмельницької міської територіальної громади на 2021 - 2023 роки </t>
  </si>
  <si>
    <t>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</si>
  <si>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</si>
  <si>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Програма «Громадські ініціативи»
Хмельницької міської територіальної громади на 2021-2025 роки (із змінами)</t>
  </si>
  <si>
    <t xml:space="preserve">Збір за місця для паркування транспортних засобів </t>
  </si>
  <si>
    <t xml:space="preserve">Збір за місця для паркування транспортних засобів, сплачений юридичними особами </t>
  </si>
  <si>
    <t>Проєкт Програми розвитку освіти Хмельницької міської територіальної громади на 2022 - 2026 роки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</si>
  <si>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</si>
  <si>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Будівництво центру поводження з тваринами  КП "Надія" по вул. Заводській, 165 в м. Хмельницькому </t>
  </si>
  <si>
    <t>Програма економічного і соціального розвитку Хмельницької міської територіальної громади на 2022 рік</t>
  </si>
  <si>
    <t>Рішення 10-ї сесії Хмельницької міської ради від 15.12.2021 року №8</t>
  </si>
  <si>
    <t>Рішення 10-ї сесії Хмельницької міської ради від 15.12.2021 року №9</t>
  </si>
  <si>
    <t>Програма реалізації молодіжної політики та розвитку фізичної культури і спорту в Хмельницькій міській територіальній громаді на 2022 - 2026 роки</t>
  </si>
  <si>
    <t>Рішення 10-ї сесії Хмельницької міської ради від 15.12.2021 року №25</t>
  </si>
  <si>
    <t>Рішення 10-ї сесії Хмельницької міської ради від 15.12.2021 року №45</t>
  </si>
  <si>
    <t>Програма розвитку освіти Хмельницької міської територіальної громади на 2022 - 2026 роки</t>
  </si>
  <si>
    <t>Рішення 10-ї сесії Хмельницької міської ради від 15.12.2021 року №50</t>
  </si>
  <si>
    <t>Програма підтримки і розвитку житлово-комунальної інфраструктури Хмельницької міської територіальної громади на 2022 - 2027 роки</t>
  </si>
  <si>
    <t>Рішення 10-ї сесії Хмельницької міської ради від 15.12.2021 року №52</t>
  </si>
  <si>
    <t>Рішення 10-ї сесії Хмельницької міської ради від 15.12.2021 року №65</t>
  </si>
  <si>
    <t>Програма фінансової підтримки комунальної установи Хмельницької міської ради "Агенція розвитку Хмельницького" на 2022-2024 роки</t>
  </si>
  <si>
    <t>Нове будівництво зовнішніх мереж водопостачання в с. Копистин Хмельницького району Хмельницької області</t>
  </si>
  <si>
    <t>1917600</t>
  </si>
  <si>
    <t>1917670</t>
  </si>
  <si>
    <t>Внески до статутного капіталу суб'єктів господарювання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</si>
  <si>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2022 рік</t>
  </si>
  <si>
    <t>Рішення 11-ї сесії Хмельницької міської ради від 30.12.2021 року №7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</si>
  <si>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</si>
  <si>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t>0717322</t>
  </si>
  <si>
    <t>0717320</t>
  </si>
  <si>
    <t>7322</t>
  </si>
  <si>
    <t>Реконструкція системи киснепостачання в КП "Хмельницька міська лікарня" Хмельницької міської ради по провулку  Проскурівський,1 м. Хмельницький (в тому числі виготовлення проєктно-кошторисної документації)</t>
  </si>
  <si>
    <t>1417693</t>
  </si>
  <si>
    <t>Громадський порядок та безпека</t>
  </si>
  <si>
    <t>0218200</t>
  </si>
  <si>
    <t>8200</t>
  </si>
  <si>
    <t>Заходи та роботи з територіальної оборони</t>
  </si>
  <si>
    <t>0380</t>
  </si>
  <si>
    <t>0218240</t>
  </si>
  <si>
    <t>8240</t>
  </si>
  <si>
    <t>Рішення 13-ї сесії Хмельницької міської ради від 23.02.2022 року №3</t>
  </si>
  <si>
    <t>Програма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2022-2023 роки (із змінами)</t>
  </si>
  <si>
    <t>Комплексна програма «Піклування» в Хмельницькій міській територіальній громаді на 2022 - 2026 роки (із змінами)</t>
  </si>
  <si>
    <t>1517693</t>
  </si>
  <si>
    <t>1014070</t>
  </si>
  <si>
    <t>4070</t>
  </si>
  <si>
    <t>Фінансова підтримка кінематографії</t>
  </si>
  <si>
    <t>0823</t>
  </si>
  <si>
    <t>0713000</t>
  </si>
  <si>
    <t>0713230</t>
  </si>
  <si>
    <t>3230</t>
  </si>
  <si>
    <t>Видатки, пов’язані з наданням підтримки внутрішньо переміщеним та/або евакуйованим особам у зв’язку із введенням воєнного стану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</si>
  <si>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 (зі змінами)</t>
  </si>
  <si>
    <t>0813230</t>
  </si>
  <si>
    <t>3717600</t>
  </si>
  <si>
    <t>3717690</t>
  </si>
  <si>
    <t>3717693</t>
  </si>
  <si>
    <t>Програма охорони довкілля Хмельницької міської територіальної громади на 2021-2025 роки (із змінами)</t>
  </si>
  <si>
    <t xml:space="preserve"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 статті 213 Податкового кодексу України) </t>
  </si>
  <si>
    <t>Акцизний податок з реалізації суб’єктами господарювання роздрібної торгівлі підакцизними товарами</t>
  </si>
  <si>
    <t>Спрямування коштів на житлове будівництво, реконструкцію та на ремонт житла всіх форм власності, в т. ч. будинків житлово-будівельних кооперативів (ТОВ «ЖЕО»), об'єднань співвласників багатоквартирних будинків, Будинкоуправління №2 КЕВ м.Хмельницький, ТОВ «Керуюча компанія «Домком Хмельницький» та будівель і споруд комунальної власності, ремонт споруд цивільного захисту (укриття, бомбосховища, тощо) комунальної власності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</si>
  <si>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</si>
  <si>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0218230</t>
  </si>
  <si>
    <t>8230</t>
  </si>
  <si>
    <t>Інші заходи громадського порядку та безпеки</t>
  </si>
  <si>
    <t>0813121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</si>
  <si>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</si>
  <si>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Інші дотації з місцевого бюджету</t>
  </si>
  <si>
    <t>41040400</t>
  </si>
  <si>
    <t>1918000</t>
  </si>
  <si>
    <t>1918200</t>
  </si>
  <si>
    <t>1918220</t>
  </si>
  <si>
    <t>8220</t>
  </si>
  <si>
    <t>Заходи та роботи з мобілізаційної підготовки місцевого значення</t>
  </si>
  <si>
    <t>0618000</t>
  </si>
  <si>
    <t>0618200</t>
  </si>
  <si>
    <t>0618240</t>
  </si>
  <si>
    <t>Рішення виконавчого комітету Хмельницької міської ради від 11.08.2022 року №602</t>
  </si>
  <si>
    <t>Програма соціальної підтримки осіб, які захищали незалежність, суверенітет та територіальну цілісність України, а також членів їх сімей на 2021 – 2025 роки (із змінами)</t>
  </si>
  <si>
    <t>Будівництво вулиці Мельникова (від вул.Зарічанської до вул.Трудової) в м.Хмельницькому (коригування)</t>
  </si>
  <si>
    <t xml:space="preserve"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 статті 213 Податкового кодексу України </t>
  </si>
  <si>
    <t>1218000</t>
  </si>
  <si>
    <t>1218200</t>
  </si>
  <si>
    <t>1218230</t>
  </si>
  <si>
    <t>0613230</t>
  </si>
  <si>
    <t>Програма підтримки і розвитку житлово-комунальної інфраструктури Хмельницької міської територіальної громади на 2022 - 2027 роки (із змінами)</t>
  </si>
  <si>
    <t>1513000</t>
  </si>
  <si>
    <t>1513230</t>
  </si>
  <si>
    <r>
      <t>Будівництво</t>
    </r>
    <r>
      <rPr>
        <b/>
        <vertAlign val="superscript"/>
        <sz val="36"/>
        <color rgb="FFFF0000"/>
        <rFont val="Times New Roman"/>
        <family val="1"/>
        <charset val="204"/>
      </rPr>
      <t>1</t>
    </r>
    <r>
      <rPr>
        <sz val="36"/>
        <color rgb="FFFF0000"/>
        <rFont val="Times New Roman"/>
        <family val="1"/>
        <charset val="204"/>
      </rPr>
      <t>  споруд, установ та закладів фізичної культури і спорту</t>
    </r>
  </si>
  <si>
    <r>
      <t>Будівництво</t>
    </r>
    <r>
      <rPr>
        <b/>
        <vertAlign val="superscript"/>
        <sz val="11"/>
        <color rgb="FFFF0000"/>
        <rFont val="Times New Roman"/>
        <family val="1"/>
        <charset val="204"/>
      </rPr>
      <t>1</t>
    </r>
    <r>
      <rPr>
        <sz val="11"/>
        <color rgb="FFFF0000"/>
        <rFont val="Times New Roman"/>
        <family val="1"/>
        <charset val="204"/>
      </rPr>
      <t>  освітніх установ та закладів</t>
    </r>
  </si>
  <si>
    <r>
      <t>Будівництво</t>
    </r>
    <r>
      <rPr>
        <b/>
        <vertAlign val="superscript"/>
        <sz val="11"/>
        <color rgb="FFFF0000"/>
        <rFont val="Times New Roman"/>
        <family val="1"/>
        <charset val="204"/>
      </rPr>
      <t>1</t>
    </r>
    <r>
      <rPr>
        <sz val="11"/>
        <color rgb="FFFF0000"/>
        <rFont val="Times New Roman"/>
        <family val="1"/>
        <charset val="204"/>
      </rPr>
      <t>  медичних установ та закладів</t>
    </r>
  </si>
  <si>
    <r>
      <t>Будівництво</t>
    </r>
    <r>
      <rPr>
        <b/>
        <vertAlign val="superscript"/>
        <sz val="11"/>
        <color rgb="FFFF0000"/>
        <rFont val="Times New Roman"/>
        <family val="1"/>
        <charset val="204"/>
      </rPr>
      <t>1</t>
    </r>
    <r>
      <rPr>
        <sz val="11"/>
        <color rgb="FFFF0000"/>
        <rFont val="Times New Roman"/>
        <family val="1"/>
        <charset val="204"/>
      </rPr>
      <t>  об'єктів житлово-комунального господарства</t>
    </r>
  </si>
  <si>
    <t>на 2023 рік</t>
  </si>
  <si>
    <t>Вільний залишок коштів на 01.01.2023  року: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</si>
  <si>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об'єктів містобудування</t>
  </si>
  <si>
    <t>2.1.6.</t>
  </si>
  <si>
    <t>Добровільні внески підприємств, організацій, установ та громадян на соціально-економічний та культурний розвиток громади</t>
  </si>
  <si>
    <t>2.1.7.</t>
  </si>
  <si>
    <t>Кошти за відшкодування вартості видалених та знесених зелених насаджень</t>
  </si>
  <si>
    <t>Надання грошової допомоги за поданням секретаря ради, або керуючого справами виконавчого комітету на підставі рішення виконавчого комітету Хмельницької міської ради для поховання: загиблих та померлих учасників ООС, загиблих та померлих учасників, які брали участь у відсічі під час захисту державного суверенітету та територіальної цілісності України в період військової агресії Російської Федерації проти України; Почесних громадян Хмельницької міської територіальної громади; інших осіб.
Виплата грошової винагороди у розмірі, передбаченому Положенням про звання "Почесний громадянин міста Хмельницького", Положенням "Про почесну відзнаку міської громади "Мужність і відвага"</t>
  </si>
  <si>
    <t>Хмельницької міської територіальної громади у 2023 році</t>
  </si>
  <si>
    <t>Наукові дослідження (лабораторні дослідження води поверхневих водойм)</t>
  </si>
  <si>
    <t>Проведення робіт, пов’язаних з поліпшенням технічного стану та благоустрою поверхневих водойм на території територіальної громади</t>
  </si>
  <si>
    <t>Модернізація існуючої системи моніторингу, встановлення нових пунктів спостереження за станом атмосферного повітря на території агломерації "Хмельницький"</t>
  </si>
  <si>
    <t>2819800</t>
  </si>
  <si>
    <t>2819000</t>
  </si>
  <si>
    <t>МІЖБЮДЖЕТНІ ТРАНСФЕРТИ НА 2023 РІК</t>
  </si>
  <si>
    <t>програм у 2023 році</t>
  </si>
  <si>
    <t>Рішення 16-ї сесії Хмельницької міської ради від 28.04.2022 року №11</t>
  </si>
  <si>
    <t>Проведення спеціальних заходів, спрямованих на запобігання знищенню чи пошкодженню природних комплексів територій та об’єктів природно-заповідного фонду</t>
  </si>
  <si>
    <t>Виготовлення проектів землеустрою щодо відведення земельних ділянок під парки, сквери, зелені зони, території природно- заповідного фонду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</si>
  <si>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</si>
  <si>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видатків бюджету Хмельницької міської територіальної громади на 2023 рік</t>
  </si>
  <si>
    <t>бюджету Хмельницької міської територіальної громади на 2023 рік</t>
  </si>
  <si>
    <t>бюджету Хмельницької міської територіальної громади  на 2023 рік</t>
  </si>
  <si>
    <r>
      <t xml:space="preserve">Найменування згідно
 з </t>
    </r>
    <r>
      <rPr>
        <b/>
        <u/>
        <sz val="10"/>
        <rFont val="Times New Roman"/>
        <family val="1"/>
        <charset val="204"/>
      </rPr>
      <t>Класифікацією доходів бюджету</t>
    </r>
  </si>
  <si>
    <t>Програма підготовки мешканців Хмельницької міської територіальної громади до національного спротиву на 2022-2023 роки 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</si>
  <si>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соціально-культурного призначення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</si>
  <si>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</si>
  <si>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</si>
  <si>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у 2023 році</t>
  </si>
  <si>
    <t>Обсяг капітальних вкладень бюджету Хмельницької міської територіальної громади у 2023 році, гривень</t>
  </si>
  <si>
    <t>Очікуваний рівень готовності проекту на кінець 2023 року, %</t>
  </si>
  <si>
    <t>бюджету Хмельницької міської територіальної громади у 2023 році</t>
  </si>
  <si>
    <t>Комплексна програма реалізації молодіжної політики та розвитку фізичної культури і спорту в Хмельницькій міській територіальній громаді на 2022-2026 роки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</si>
  <si>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споруд, установ та закладів фізичної культури і спорту</t>
    </r>
  </si>
  <si>
    <t>2021 - 2023 роки</t>
  </si>
  <si>
    <t>Реконструкція футбольного поля під штучним покриттям Хмельницької дитячо-юнацької спортивної школи № 1 по вул.Спортивній,17 в м. Хмельницькому (коригування)</t>
  </si>
  <si>
    <t>0717640</t>
  </si>
  <si>
    <t>Реконструкція системи мережі киснепостачання в приміщенні комунального підприємства «Хмельницька міська дитяча лікарня» Хмельницької міської ради по вул. Олега Ольжича, 1 у м.Хмельницькому</t>
  </si>
  <si>
    <t>0710170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</si>
  <si>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медичних установ та закладів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</si>
  <si>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медичних установ та закладів</t>
    </r>
  </si>
  <si>
    <r>
      <t>Будівництво</t>
    </r>
    <r>
      <rPr>
        <b/>
        <i/>
        <vertAlign val="superscript"/>
        <sz val="36"/>
        <rFont val="Times New Roman"/>
        <family val="1"/>
        <charset val="204"/>
      </rPr>
      <t>1</t>
    </r>
    <r>
      <rPr>
        <i/>
        <sz val="36"/>
        <rFont val="Times New Roman"/>
        <family val="1"/>
        <charset val="204"/>
      </rPr>
      <t>  об'єктів соціально-культурного призначення</t>
    </r>
  </si>
  <si>
    <t>Програма підтримки сім’ї на 2021-2025 роки</t>
  </si>
  <si>
    <t>Реконструкція спортивного майданчика біля житлового будинку по вул.Прибузькій, 36 в м.Хмельницькому</t>
  </si>
  <si>
    <t>Програма
підтримки обдарованих дітей м.Хмельницького (із змінами)</t>
  </si>
  <si>
    <t>1610180</t>
  </si>
  <si>
    <t>1216090</t>
  </si>
  <si>
    <t>Програма співфінансування робіт з ремонту багатоквартирних житлових будинків Хмельницької міської територіальної громади на 2020 - 2024 роки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</si>
  <si>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житлово-комунального господарства</t>
    </r>
  </si>
  <si>
    <t>Програма популяризації та ефективного впровадження програм у сфері житлово-комунального господарства на 2019-2023 роки</t>
  </si>
  <si>
    <t>2022 - 2023 роки</t>
  </si>
  <si>
    <t>2023 рік</t>
  </si>
  <si>
    <t>1017640</t>
  </si>
  <si>
    <t>Програма розвитку  електротранспорту Хмельницької міської територіальної громади  на 2021 - 2025 роки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</si>
  <si>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</si>
  <si>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</si>
  <si>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культури</t>
    </r>
  </si>
  <si>
    <t>Нове будівництво зовнішніх  мереж електропостачання індустріального парку  "Хмельницький" по вул. Вінницьке шосе, 18 в м. Хмельницькому</t>
  </si>
  <si>
    <t>Нове будівництво проїздів (штучних споруд) із інфраструктурою від вул. Прибузької до об'єкту "Будівництво Палацу спорту по вул. Прибузькій, 5/1А у м. Хмельницькому"</t>
  </si>
  <si>
    <t>2021 - 2024 роки</t>
  </si>
  <si>
    <t>2022 - 2024 роки</t>
  </si>
  <si>
    <t>За власні кошти підприємства - 445581,00 грн - ПКД, +38448,00 грн - експертиза</t>
  </si>
  <si>
    <r>
      <t xml:space="preserve">1 </t>
    </r>
    <r>
      <rPr>
        <sz val="1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</si>
  <si>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t>Програма міжнародного співробітництва та промоції Хмельницької міської територіальної громади на 2021-2025 роки (із змінами і доповненнями)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</si>
  <si>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</si>
  <si>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r>
      <t xml:space="preserve">1 </t>
    </r>
    <r>
      <rPr>
        <sz val="20"/>
        <color theme="1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</si>
  <si>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t>Надходження від скидів забруднюючих речовин безпосередньо у водні об'єкти</t>
  </si>
  <si>
    <t xml:space="preserve">Надходження від розміщення відходів у спеціально відведених місцях чи на об'єктах, крім розміщення окремих видів відходів як вторинної сировини </t>
  </si>
  <si>
    <t>Програма державного моніторингу у галузі охорони атмосферного повітря агломерації «Хмельницький» на 2022 - 2026 роки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</si>
  <si>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</si>
  <si>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</si>
  <si>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 xml:space="preserve"> Надання загальної середньої освіти спеціалізованими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</si>
  <si>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</si>
  <si>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спеціалізованими закладами загальної середньої освіти за рахунок освітньої субвенції</t>
  </si>
  <si>
    <t>Захист населення і територій від надзвичайних ситуацій</t>
  </si>
  <si>
    <t>Програма економічного і соціального розвитку Хмельницької міської територіальної громади на 2023 рік</t>
  </si>
  <si>
    <t>Рішення 22-ї сесії Хмельницької міської ради від 21.12.2022 року №8</t>
  </si>
  <si>
    <t>Рішення 22-ї сесії Хмельницької міської ради від 21.12.2022 року №14</t>
  </si>
  <si>
    <t>Програма висвітлення діяльності Хмельницької міської ради та її виконавчих органів на 2023 рік</t>
  </si>
  <si>
    <t>Рішення 22-ї сесії Хмельницької міської ради від 21.12.2022 року №10</t>
  </si>
  <si>
    <t>Програма часткової компенсації вартості закупівлі генераторів для забезпечення потреб мешканців багатоквартирних житлових будинків Хмельницької міської територіальної громади на 2022 - 2023 роки</t>
  </si>
  <si>
    <t>Рішення 22-ї сесії Хмельницької міської ради від 21.12.2022 року №41</t>
  </si>
  <si>
    <t>Програма забезпечення контролю за благоустроєм, санітарним станом та стихійною торгівлею на території Хмельницької міської територіальної громади на 2023 - 2024 роки</t>
  </si>
  <si>
    <t>Рішення 22-ї сесії Хмельницької міської ради від 21.12.2022 року №44</t>
  </si>
  <si>
    <t>Штрафні санкції, що застосовуються відповідно до Закону України "Про державне ругулювання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сигарета, та пального "</t>
  </si>
  <si>
    <t>Надходження коштів від відшкодування…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</si>
  <si>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</si>
  <si>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9900000000</t>
  </si>
  <si>
    <t>2231720000</t>
  </si>
  <si>
    <t>2254800000</t>
  </si>
  <si>
    <t>2253000000</t>
  </si>
  <si>
    <t>2210000000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</si>
  <si>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2023 рік</t>
  </si>
  <si>
    <t>Рішення 23-ї сесії Хмельницької міської ради від 29.12.2022 року №4</t>
  </si>
  <si>
    <t>Програма розвитку підприємництва Хмельницької міської територіальної громади на 2022 - 2025 роки (із змінами)</t>
  </si>
  <si>
    <t>Програма організаційно-практичних заходів щодо комплексної підтримки державної установи «Хмельницький слідчий ізолятор» на 2021 – 2025 роки (із змінами)</t>
  </si>
  <si>
    <t>до рішення №   від  2023 року</t>
  </si>
  <si>
    <t>від              2023</t>
  </si>
  <si>
    <t xml:space="preserve">до рішення  №       від                    2023 року </t>
  </si>
  <si>
    <t>Додаток 4
до рішення  №    від               2023 року</t>
  </si>
  <si>
    <t>до рішення №    від            2023 року</t>
  </si>
  <si>
    <t xml:space="preserve">Додаток 6
до рішення №         від               2023 року
</t>
  </si>
  <si>
    <t xml:space="preserve">до рішення  №      від            2023 року </t>
  </si>
  <si>
    <t xml:space="preserve"> від          .2023</t>
  </si>
  <si>
    <t>від                 2023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</si>
  <si>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освітніх установ та закладів</t>
    </r>
  </si>
  <si>
    <t>Реконструкція покрівлі над частиною будівлі Хмельницької середньої загальноосвітньої школи І-ІІІ ступенів №21 по Проспекту Миру, 76/5 в м.Хмельницькому</t>
  </si>
  <si>
    <t>2020-2023 роки</t>
  </si>
  <si>
    <t>2717640</t>
  </si>
  <si>
    <t>Рішення 46-ї сесії Хмельницької міської ради від 07.10.2020 року №3</t>
  </si>
  <si>
    <t>2718000</t>
  </si>
  <si>
    <t>2718200</t>
  </si>
  <si>
    <t>2718240</t>
  </si>
  <si>
    <t>2713000</t>
  </si>
  <si>
    <t>2713230</t>
  </si>
  <si>
    <t>Встановлення (поновлення) знаків-аншлагів, межових знаків на території обєктів природно-заповідного фонду</t>
  </si>
  <si>
    <t>Придбання та впровадження установок, обладнання та машин для збору, транспортування, перероблення, знешкодження та складування побутових відходів</t>
  </si>
  <si>
    <t>Забезпечення екологічно безпечного збирання, перевезення, зберігання, оброблення, утилізації, видалення, знешкодження і захоронення відходів та небезпечних хімічних речовин, в тому числі ліквідація стихійних сміттєзвалищ</t>
  </si>
  <si>
    <t xml:space="preserve">Наукові дослідження, проектні та проектно-конструкторські розроблення </t>
  </si>
  <si>
    <t>0817640</t>
  </si>
  <si>
    <t>Реконструкція існуючих газових мереж з заміною ВОГ теплогенераторної Олешинської гімназії Хмельницької міської ради по вул. Шкільна, 17а в с.Олешин Хмельницької області</t>
  </si>
  <si>
    <t>Реконструкція існуючих газових мереж з заміною ВОГ теплогенераторної бібліотеки Шаровечківської ЗОШ I-III ст. Хмельницької міської ради по вул.Шкільна, 10 в с. Шаровечка Хмельницької області (коригування)</t>
  </si>
  <si>
    <t>Реконструкція існуючих газових мереж з заміною ВОГ теплогенераторної Черепівської філії Іванковецького ліцею Хмельницької міської ради по вул.Трублаїні, 25 в с. Черепівка Хмельницької області</t>
  </si>
  <si>
    <t>Реконструкція існуючих газових мереж з заміною ВОГ теплогенераторної ЗОШ I-III ст. по вул. Шкільна, 10 в с.Шаровечка Хмельницької області (коригування)</t>
  </si>
  <si>
    <t>Реконструкція даху майстерні з усунення аварійної ситуації в приміщенні ДНЗ «Вище професійне училище № 11 м.Хмельницького» по вул. Тернопільській, 15/2 в м. Хмельницькому</t>
  </si>
  <si>
    <t>Програма взаємодії регіонального сервісного центру ГСЦ МВС в Хмельницькій області (філія ГСЦ МВС) із Хмельницькою міською радою в сфері надання адміністративних послуг населенню на 2023 рік</t>
  </si>
  <si>
    <t>Рішення 22-ї сесії Хмельницької міської ради від 21.12.2022 року №19</t>
  </si>
  <si>
    <t>Рішення 24-ї сесії Хмельницької міської ради від 10.02.2023 року №5</t>
  </si>
  <si>
    <t>Рішення 24-ї сесії Хмельницької міської ради від 10.02.2023 року №4</t>
  </si>
  <si>
    <t>Реконструкція водопроводу від вул. Проскурівська по пров. Проскурівський, вул. Пилипчука до пров. Шевченка в м.Хмельницький</t>
  </si>
  <si>
    <t>Будівництво ділянки водопроводу діам. 315 мм по вул. К. Степанкова в м.Хмельницький</t>
  </si>
  <si>
    <t>Реконструкція ділянки водопроводу від вул.Кам`янецька по вул. Проскурівського підпілля до р. Плоска в м.Хмельницький</t>
  </si>
  <si>
    <t>Реконструкція ділянки водопроводу по вул. Залізняка (перехід через вул.П.Мирного) в м.Хмельницький</t>
  </si>
  <si>
    <t>Реконструкція водопроводу по вул. Шестакова, від вул.Староміська до ж.б. № 46, 39 по вул.Шестакова в м. Хмельницький</t>
  </si>
  <si>
    <t>Реконструкція ділянки водопроводу діам. 110 мм по вул. Тернопільська між буд. № 30 - №34 в м.Хмельницький</t>
  </si>
  <si>
    <t>Реконструкція ділянки водопроводу діам. 160 мм по вул. Прибузька між буд. №10 - №12 в м.Хмельницький</t>
  </si>
  <si>
    <t>Реконструкція самопливного каналізаційного колектора діам.800 мм від ж.б.№203 до колодязя №551а по вул. Проскурівського підпілля в м.Хмельницький</t>
  </si>
  <si>
    <t>Реконструкція напірного каналізаційного колектора діаметром 225 мм від КНС-22, вул.Кам`янецька, 134/1Д в м.Хмельницький</t>
  </si>
  <si>
    <t>Реконструкція самопливного каналізаційного колектора від буд. №4А по  вул. Свободи до буд.№20/2 по вул. Зарічанській в м.Хмельницький</t>
  </si>
  <si>
    <t>Реконструкція ділянки водопроводу від ж.б. №4 до ж.б. №2 по вул. Шухевича в м. Хмельницький</t>
  </si>
  <si>
    <t>Реконструкція ділянки каналізаційної мережі від ж.б. №3 та №3/1 по вул.Січових стрільців з переходом даної вулиці в м.Хмельницькому</t>
  </si>
  <si>
    <t>Будівництво мереж водовідведення вул.Д.Нечая, вул.Блакитної, пров. Молодіжного в м.Хмельницькому</t>
  </si>
  <si>
    <t>Нове будівництво вуличних мереж водопостачання житлових будинків по вул. Глушенкова (мікрорайон Ружична) в м. Хмельницький</t>
  </si>
  <si>
    <t>70/30</t>
  </si>
  <si>
    <t>2020 - 2023 роки</t>
  </si>
  <si>
    <t>Реконструкція ділянки водопроводу діаметром 500мм по вул. Тернопільська в м. Хмельницькій</t>
  </si>
  <si>
    <t>Нове будівництво зовнішніх мереж водопостачання вулиць Старосадова, Яблунева, Пшенична, Ланок, Багалія, Колективна мікрорайону Книжківці в м. Хмельницький</t>
  </si>
  <si>
    <t>Нове будівництво станції очищення господарсько-побутових стічних вод продуктивністю БІО-S-150 30м3/добу, в с. Пирогівці Хмельницького району, Хмельницької області</t>
  </si>
  <si>
    <t>Внески до статутного капіталу 
МКП "Хмельницькводоканал", в тому числі:</t>
  </si>
  <si>
    <t>Внески до статутного капіталу 
КП "Акведук", в тому числі:</t>
  </si>
  <si>
    <t>Внески до статутного капіталу 
ХКП "Спецкомунтранс", в тому числі:</t>
  </si>
  <si>
    <t>Нове будівництво нежитлового приміщення за адресою: вул.Заводська, 165 в м.Хмельницькому</t>
  </si>
  <si>
    <t>Проєкт Програми підтримки і розвитку спеціалізованого комунального підприємства «Хмельницька міська ритуальна служба»  на 2023 – 2027 роки</t>
  </si>
  <si>
    <t>Проєкт Програми підтримки та розвитку Хмельницького комунального підприємства «Міськсвітло»  на 2023-2027 роки</t>
  </si>
  <si>
    <t>Програма забезпечення підтримання громадського порядку в суді, припинення проявів неповаги до суду, охорони приміщень суду, органів та установ системи правосуддя, виконання функцій щодо державного забезпечення особистої безпеки суддів та членів їх сімей, працівників суду, забезпечення у суді безпеки учасників судового процесу на території Хмельницької міської територіальної громади на 2023-2024 роки</t>
  </si>
  <si>
    <t>Рішення 24-ї сесії Хмельницької міської ради від 10.02.2023 року №60</t>
  </si>
  <si>
    <t>1919000</t>
  </si>
  <si>
    <t>1919800</t>
  </si>
  <si>
    <t>1117640</t>
  </si>
  <si>
    <t>Нове будівництво зовнішніх мереж водопроводу в с. Шаровечка Хмельницького району Хмельницької області</t>
  </si>
  <si>
    <t>Дотації з державного бюджету місцевим бюджетам</t>
  </si>
  <si>
    <t>41020000</t>
  </si>
  <si>
    <t>Реконструкція приміщень НВО №1 по вул. Старокостянтинівське шосе, 3Б в м.Хмельницькому (коригування)</t>
  </si>
  <si>
    <t>2012 - 2023 роки</t>
  </si>
  <si>
    <t xml:space="preserve"> Реконструкція з добудовою приміщень Хмельницького ліцею №17 під спортивну залу на вул. Героїв Майдану, 5 в м. Хмельницькому (коригування)</t>
  </si>
  <si>
    <t>2018 - 2023 роки</t>
  </si>
  <si>
    <t>Програма забезпечення антитерористичного та протидиверсійного захисту важливих державних об’єктів, місць масового перебування людей, об’єктів критичної та транспортної інфраструктури Хмельницької міської територіальної громади  на 2023-2024 роки (із змінами)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</si>
  <si>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</si>
  <si>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Сергій ЯМЧУК</t>
  </si>
  <si>
    <t>Управління капітального будівництва  Хмельницької міської ради (головний розпорядник)</t>
  </si>
  <si>
    <t>Рішення 25-ї сесії Хмельницької міської ради від 28.03.2023 року №23</t>
  </si>
  <si>
    <t>Рішення 25-ї сесії Хмельницької міської ради від 28.03.2023 року №5</t>
  </si>
  <si>
    <t>Рішення 25-ї сесії Хмельницької міської ради від 28.03.2023 року №59</t>
  </si>
  <si>
    <t>Програма співфінансування робіт з реконструкції покрівель багатоквартирних житлових будинків Хмельницької міської територіальної громади на 2023 – 2027 роки</t>
  </si>
  <si>
    <t>Рішення 25-ї сесії Хмельницької міської ради від 28.03.2023 року №40</t>
  </si>
  <si>
    <t>Програма підтримки і розвитку міського комунального підприємства «Хмельницьктеплокомуненерго» на 2023 – 2027 роки</t>
  </si>
  <si>
    <t>Рішення 25-ї сесії Хмельницької міської ради від 28.03.2023 року №66</t>
  </si>
  <si>
    <t>Рішення 25-ї сесії Хмельницької міської ради від 28.03.2023 року №73</t>
  </si>
  <si>
    <t>Рішення 25-ї сесії Хмельницької міської ради від 28.03.2023 року №61</t>
  </si>
  <si>
    <t>Рішення 25-ї сесії Хмельницької міської ради від 28.03.2023 року №62</t>
  </si>
  <si>
    <t>Рішення 25-ї сесії Хмельницької міської ради від 28.03.2023 року №70</t>
  </si>
  <si>
    <t>Програма підтримки і розвитку комунального підприємства «Парки і сквери міста Хмельницького» на 2023 – 2027 роки</t>
  </si>
  <si>
    <t>Рішення 25-ї сесії Хмельницької міської ради від 28.03.2023 року №64</t>
  </si>
  <si>
    <t>Рішення 25-ї сесії Хмельницької міської ради від 28.03.2023 року №68</t>
  </si>
  <si>
    <t>Програма міськсвітла - СФ і БР 6007800,00 грн</t>
  </si>
  <si>
    <t>Включено в загальну суму: Програма ритуалки - СФ і БР 1888 075,00 грн</t>
  </si>
  <si>
    <t>Програма підвищення рівня безпеки пасажирських перевезень на території Хмельницької міської територіальної громади на 2023 рік</t>
  </si>
  <si>
    <t>Рішення 25-ї сесії Хмельницької міської ради від 28.03.2023 року №39</t>
  </si>
  <si>
    <t>Програма розвитку та фінансової підтримки комунального підприємства «Чайка» Хмельницької міської ради на 2023 – 2024 роки</t>
  </si>
  <si>
    <t>Рішення 25-ї сесії Хмельницької міської ради від 28.03.2023 року №69</t>
  </si>
  <si>
    <t>Включено в загальну суму: Програма волонтерства - ЗФ 700 000,00 грн</t>
  </si>
  <si>
    <t>0455</t>
  </si>
  <si>
    <t>3718800</t>
  </si>
  <si>
    <t>3718880</t>
  </si>
  <si>
    <t>3718881</t>
  </si>
  <si>
    <t>8881</t>
  </si>
  <si>
    <t>3718882</t>
  </si>
  <si>
    <t>8882</t>
  </si>
  <si>
    <t>Повернення коштів, наданих для виконання гарантійних зобов'язань за позичальників, що отримали кредити під місцеві гарантії</t>
  </si>
  <si>
    <t>4112</t>
  </si>
  <si>
    <t>Надання кредитів підприємства, установам, організаціям</t>
  </si>
  <si>
    <t xml:space="preserve"> 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</si>
  <si>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1115040</t>
  </si>
  <si>
    <t>1115049</t>
  </si>
  <si>
    <t>5049</t>
  </si>
  <si>
    <t>Виконання окремих заходів з реалізації соціального проекту "Активні парки - локації здорової України"</t>
  </si>
  <si>
    <t>Реконструкція кабінетів приміщення майстерень державного навчального закладу "Хмельницький центр професійно-технічної освіти сфери послуг" по вул. Панаса Мирного, 5 м.Хмельницького (коригування)</t>
  </si>
  <si>
    <t>Програма національно-патріотичного виховання мешканців Хмельницької міської територіальної громади на 2023-2024 роки (із змінами)</t>
  </si>
  <si>
    <t>Програма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2023 – 2024 роки (із змінами)</t>
  </si>
  <si>
    <t>Програма заходів національного спротиву Хмельницької міської територіальної громади на 2023 рік (із змінами)</t>
  </si>
  <si>
    <t xml:space="preserve">Програма підтримки членів сімей загиблих (померлих) ветеранів війни, членів сімей загиблих (померлих) Захисників і Захисниць України мешканців Хмельницької міської територіальної громади «Родини Героїв» на 2023 – 2025 роки (із змінами) </t>
  </si>
  <si>
    <t>Програма бюджетування за участі громадськості (Бюджет участі) Хмельницької міської територіальної громади на 2020-2023 роки (із змінами)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</si>
  <si>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</si>
  <si>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0219820</t>
  </si>
  <si>
    <t>9820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</si>
  <si>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</si>
  <si>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Виконання заходів щодо облаштування безпечних умов у закладах загальної середньої освіти</t>
  </si>
  <si>
    <t>0611260</t>
  </si>
  <si>
    <t>1260</t>
  </si>
  <si>
    <t>0611261</t>
  </si>
  <si>
    <t>1261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</si>
  <si>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</si>
  <si>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0611262</t>
  </si>
  <si>
    <t>1262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</si>
  <si>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</si>
  <si>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Програма розвитку освіти Хмельницької міської територіальної громади на 2022 - 2026 роки (зі змінами)</t>
  </si>
  <si>
    <t>Програма створення та розвитку індустріального парку "Хмельницький"  (із змінами)</t>
  </si>
  <si>
    <t>Нове будівництво зовнішніх мереж теплопостачання ДНЗ "Хмельницький центр ПТО сфери послуг" по вул. Панаса Мирного, 5 м. Хмельницький</t>
  </si>
  <si>
    <t>Частина чистого прибутку (доходу)  комунальних унітарних підприємств та їх об'єднань, що вилучається до відповідного місцевого бюджету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</si>
  <si>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"Перехідні положення" Земельного кодексу України</t>
  </si>
  <si>
    <t>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</t>
  </si>
  <si>
    <t>Заходи щодо відновлення і підтримання сприятливого гідрологічного режиму та санітарного стану річок (виготовлення проектів землеустрою щодо встановлення меж прибережних захисних смуг поверхневих водних об’єктів)</t>
  </si>
  <si>
    <t xml:space="preserve">Організація та проведення екологічних акцій серед учнівської молоді Хмельницької міської територіальної громади </t>
  </si>
  <si>
    <t>Будівництво каналізаційних мереж в мікрорайоні "Озерна" в м. Хмельницькому (коригування)</t>
  </si>
  <si>
    <t>0217640</t>
  </si>
  <si>
    <t>Рішення 29-ї сесії Хмельницької міської ради від 02.06.2023 року №21</t>
  </si>
  <si>
    <t xml:space="preserve">Комплексна програма мобілізації зусиль Хмельницької міської ради та Головного управління Державної податкової служби у Хмельницькій області по забезпеченню надходжень до бюджету Хмельницької міської територіальної громади на 2021-2023 роки (із змінами) </t>
  </si>
  <si>
    <t>Нове будівництво нежитлового приміщення за адресою: вул.Заводська, 165 в м.Хмельницькому (коригування)</t>
  </si>
  <si>
    <t>Програма підтримки і розвитку комунального підприємства "Елеватор" Хмельницької міської ради на 2023 - 2027 роки (із змінами)</t>
  </si>
  <si>
    <t>Програма підтримки і розвитку міського комунального підприємства «Хмельницькводоканал» на 2023-2027 роки (із змінами)</t>
  </si>
  <si>
    <t>1416016</t>
  </si>
  <si>
    <t>6016</t>
  </si>
  <si>
    <t>Впровадження засобів обліку витрат та регулювання споживання води та теплової енергії</t>
  </si>
  <si>
    <t>Програма підтримки і розвитку міського комунального підприємства «Хмельницьктеплокомуненерго» на 2023 – 2027 роки (із змінами)</t>
  </si>
  <si>
    <t>Програма підтримки і розвитку комунального підприємства по зеленому будівництву і благоустрою міста виконавчого комітету Хмельницької міської ради на 2023 - 2027 роки (із змінами)</t>
  </si>
  <si>
    <t xml:space="preserve">Програма підтримки і розвитку комунального підприємства по будівництву, ремонту та експлуатації доріг виконавчого комітету Хмельницької міської ради на 2023-2027 роки </t>
  </si>
  <si>
    <t xml:space="preserve">Програма підтримки і розвитку комунального підприємства «Акведук» Хмельницької міської ради на 2023 – 2027 роки </t>
  </si>
  <si>
    <t>Програма підтримки та розвитку Хмельницького комунального підприємства «Спецкомунтранс» на 2023 – 2027 роки (із змінами)</t>
  </si>
  <si>
    <r>
      <t>Реконструкція ділянки водопроводу від вул. Партизанської до вул. Волочиської в м. Хмельницькому</t>
    </r>
    <r>
      <rPr>
        <sz val="16"/>
        <color theme="1"/>
        <rFont val="Times New Roman"/>
        <family val="1"/>
        <charset val="204"/>
      </rPr>
      <t xml:space="preserve"> </t>
    </r>
  </si>
  <si>
    <t>Реконструкція каналізаційної мережі по вул. С. Бандери,22 в м. Хмельницький</t>
  </si>
  <si>
    <t>Будівництво вуличних мереж каналізації по пров. Північному в м.Хмельницький</t>
  </si>
  <si>
    <t>Реконструкція ділянки водопроводу по вул. Гоголя від вул. О.Теліги до ж.б.№99 по вул. Гоголя в м. Хмельницький</t>
  </si>
  <si>
    <t>Програма розвитку та вдосконалення міського пасажирського транспорту  міста Хмельницького на 2019 - 2023 роки  (із змінами і доповненнями)</t>
  </si>
  <si>
    <t>Програма розвитку електротранспорту Хмельницької міської територіальної громади на 2021 - 2025 роки</t>
  </si>
  <si>
    <t xml:space="preserve"> Реконструкція приміщень рентгенкабінету під приміщення ангіографії з облаштуванням даху, вхідної групи центрального входу приміщень фойє та коридору (заходи з енергозбереження та дотримання умов доступності маломобільних груп населення ) першого поверху корпусу №3 комунального підприємства «Хмельницька міська лікарня» Хмельницької міської ради  за  адресою: м.Хмельницький, провулок Проскурівський,1</t>
  </si>
  <si>
    <t>Заходи з озеленення, в тому числі інвентаризація зелених насаджень</t>
  </si>
  <si>
    <t>Нове будівництво зовнішніх мереж газопостачання індустріального парку "Хмельницький" по вул. Вінницьке шосе, 18 в м. Хмельницькому (коригування)</t>
  </si>
  <si>
    <t xml:space="preserve"> Нове будівництво зовнішніх мереж  водопостачання та каналізації індустріального парку  "Хмельницький" по  вул. Вінницьке шосе, 18 в м. Хмельницькому (коригування)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</si>
  <si>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</si>
  <si>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</si>
  <si>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</t>
  </si>
  <si>
    <t xml:space="preserve">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</si>
  <si>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</t>
  </si>
  <si>
    <t xml:space="preserve">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</si>
  <si>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</t>
  </si>
  <si>
    <t>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</si>
  <si>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</t>
  </si>
  <si>
    <t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</t>
  </si>
  <si>
    <t>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</t>
  </si>
  <si>
    <t>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</si>
  <si>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</si>
  <si>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</t>
  </si>
  <si>
    <t>України "Про статус ветеранів війни, гарантії їх соціального захисту", та які потребують поліпшення житлових умов</t>
  </si>
  <si>
    <t xml:space="preserve"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</t>
  </si>
  <si>
    <t>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</si>
  <si>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Будівництво, розширення, реконструкція споруд і мереж водопроводу і каналізації (в тому числі проектні розроблення)</t>
  </si>
  <si>
    <t>Виконання заходів щодо створення навчально-практичних центрів сучасної професійної (професійно-технічної) освіти</t>
  </si>
  <si>
    <t>Реконструкція ділянки водопроводу по вул. Проскурівська, 66 в  м. Хмельницький</t>
  </si>
  <si>
    <t>Програма розвитку міського комунального підприємства «Муніципальна телерадіокомпанія «Місто» на 2021-2023 роки (із змінами)</t>
  </si>
  <si>
    <t>Програма розвитку та організації надання адміністративних послуг на території Хмельницької міської територіальної громади на 2023 рік</t>
  </si>
  <si>
    <t>Рішення 31-ї сесії Хмельницької міської ради від 28.07.2023 року №20</t>
  </si>
  <si>
    <t xml:space="preserve">Секретар міської ради </t>
  </si>
  <si>
    <t xml:space="preserve">Віталій ДІДЕНКО </t>
  </si>
  <si>
    <t>Програма підтримки 
Хмельницькою міською радою
державних стандартів у сфері 
забезпечення доступу громадян до 
правосуддя на 2023 рік</t>
  </si>
  <si>
    <t>Рішення 33-ї сесії Хмельницької міської ради від 15.09.2023 року №12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</si>
  <si>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</si>
  <si>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Рішення 31-ї сесії Хмельницької міської ради від 28.07.2023 року №48</t>
  </si>
  <si>
    <t>Програма підтримки і розвитку Хмельницького комунального підприємства «Міськсвітло» на 2023-2027 роки</t>
  </si>
  <si>
    <t>Програма підтримки і розвитку Спеціалізованого комунального підприємства «Хмельницька міська ритуальна служба» на 2023-2027 роки</t>
  </si>
  <si>
    <t>Рішення 33-ї сесії Хмельницької міської ради від 15.09.2023 року №43</t>
  </si>
  <si>
    <t>Програма підтримки і розвитку комунального підприємства "Акведук" Хмельницької міської ради на 2023 - 2027 роки (із змінами)</t>
  </si>
  <si>
    <t>Програма єдності та підтримки громад України, що постраждали внаслідок бойових дій, терористичних актів, диверсій, спричинених збройною агресією російської федерації проти України на 2023-2027 роки</t>
  </si>
  <si>
    <t>Рішення 31-ї сесії Хмельницької міської ради від 28.07.202 року №33</t>
  </si>
  <si>
    <t>Реконструкція будівель за адресою Хмельницька область, Хмельницький район, с.Головчинці, вул.Підлісна, 4/1 для облаштування місць проживання та реабілітації внутрішньо переміщених та евакуйованих осіб з впровадженням заходів з енергоефективності, а саме: Котельня. Теплові мережі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</si>
  <si>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соціальної сфери</t>
    </r>
  </si>
  <si>
    <t>2023 - 2024 роки</t>
  </si>
  <si>
    <t>Нове будівництво модульної котельні на твердому паливі для опалення частини приміщень та внутрішнє опорядження частини приміщень Державного навчального закладу "Вище професійне училище №11 м. Хмельницького" за адресою: вул. Тернопільська, 15/2, м.Хмельницький</t>
  </si>
  <si>
    <t>Нове будівництво споруди цивільного захисту для Хмельницької спеціалізованої загальноосвітньої школи І-ІІІ ступенів №19 імені академіка Михайла Павловського на вул. Кам'янецька, 164 м.Хмельницького</t>
  </si>
  <si>
    <t>Нове будівництво споруди цивільного захисту для Хмельницького закладу дошкільної освіти №18 "Зірочка" Хмельницької міської ради Хмельницької області на вул. Кам'янецька, 65/1, м.Хмельницького</t>
  </si>
  <si>
    <t>Нове будівництво споруди цивільного захисту для Спеціалізованої загальноосвітньої школи І-ІІІ ступенів №12 м.Хмельницького на вул.Довженка, 6 м.Хмельницького</t>
  </si>
  <si>
    <t>1270</t>
  </si>
  <si>
    <t>0611270</t>
  </si>
  <si>
    <t>Виконання заходів за рахунок коштів освітньої субвенції з державного бюджету місцевим бюджетам (за спеціальним фондом державного бюджету)</t>
  </si>
  <si>
    <t>0611271</t>
  </si>
  <si>
    <t>1271</t>
  </si>
  <si>
    <t>0611272</t>
  </si>
  <si>
    <t>1272</t>
  </si>
  <si>
    <t>Реалізація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</si>
  <si>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Співфінансування заходів за рахунок освітньої субвенції з державного бюджету місцевим бюджетам (за спеціальним фондом державного бюджету)</t>
  </si>
  <si>
    <t>Програма сприяння розвитку волонтерства на території Хмельницької міської територіальної громади на 2023-2027 роки</t>
  </si>
  <si>
    <t>Рішення 29-ї сесії Хмельницької міської ради від 02.06.2023 року №27</t>
  </si>
  <si>
    <t xml:space="preserve"> Зміни обсягів депозитів і цінних паперів, що використовуються для управління ліквідністю </t>
  </si>
  <si>
    <t>Повернення бюджетних коштів з депозитів, надходження внаслідок продажу/пред'явлення цінних паперів</t>
  </si>
  <si>
    <t xml:space="preserve"> Розміщення бюджетних коштів на депозитах, придбання цінних паперів</t>
  </si>
  <si>
    <t>Надходження внаслідок продажу/пред'явлення цінних паперів</t>
  </si>
  <si>
    <t xml:space="preserve"> Придбання цінних паперів</t>
  </si>
  <si>
    <t xml:space="preserve"> Зміни обсягів депозитів і цінних паперів, що використовуються для управління ліквідністю</t>
  </si>
  <si>
    <t>Розміщення бюджетних коштів на депозитах, придбання цінних паперів</t>
  </si>
  <si>
    <t>Придбання цінних паперів</t>
  </si>
  <si>
    <t xml:space="preserve">Керуючий справами </t>
  </si>
  <si>
    <t>Юлія САБІЙ</t>
  </si>
  <si>
    <t xml:space="preserve">Секретар міської ради  </t>
  </si>
  <si>
    <t>1419000</t>
  </si>
  <si>
    <t>1419700</t>
  </si>
  <si>
    <t>1419770</t>
  </si>
  <si>
    <t>80/20</t>
  </si>
  <si>
    <t>Видатки, що здійснюються згідно розпоряджень міського голови, рішень міської ради та її виконавчого комітету</t>
  </si>
  <si>
    <r>
      <t xml:space="preserve">Нове </t>
    </r>
    <r>
      <rPr>
        <sz val="12"/>
        <rFont val="Times New Roman"/>
        <family val="1"/>
        <charset val="204"/>
      </rPr>
      <t xml:space="preserve">будівництво споруди цивільного захисту для Хмельницької середньої загальноосвітньої школи І-ІІІ ступенів № 13 імені М.К. Чекмана на вул. Профспілковій, 39 в м. Хмельницькому </t>
    </r>
  </si>
  <si>
    <r>
      <rPr>
        <sz val="12"/>
        <rFont val="Times New Roman"/>
        <family val="1"/>
        <charset val="204"/>
      </rPr>
      <t>Реконструкція будівлі Хмельницького закладу дошкільної освіти № 23 «Вогник» Хмельницької міської ради для улаштування споруди цивільного захисту на вул. Бажана, 2 в м. Хмельницькому</t>
    </r>
  </si>
  <si>
    <r>
      <rPr>
        <sz val="12"/>
        <rFont val="Times New Roman"/>
        <family val="1"/>
        <charset val="204"/>
      </rPr>
      <t xml:space="preserve">Реконструкція будівлі Хмельницької спеціалізованої середньої загальноосвітньої школи І-ІІІ ступенів № 6 з поглибленим вивченням німецької мови з 1-го класу для улаштування споруди цивільного захисту на пров. Володимирський, 12 в м. Хмельницькому </t>
    </r>
  </si>
  <si>
    <r>
      <rPr>
        <sz val="12"/>
        <rFont val="Times New Roman"/>
        <family val="1"/>
        <charset val="204"/>
      </rPr>
      <t xml:space="preserve">Реконструкція будівлі спеціалізованої загальноосвітньої школи І-ІІІ ступенів № 7 міста Хмельницького для улаштування споруди цивільного захисту на вул. Заводська, 33 в м. Хмельницькому </t>
    </r>
  </si>
  <si>
    <t>Нове будівництво споруди цивільного захисту для Шаровечківської ЗОШ I-III ступенів Хмельницької міської ради Хмельницької області, за адресою: с. Шаровечка, вул. Шкільна, 10, Хмельницького району, Хмельницької області</t>
  </si>
  <si>
    <t>Нове будівництво споруди цивільного захисту для Хмельницького закладу дошкільної освіти № 15 "Червона шапочка" Хмельницької міської ради Хмельницької області на вул. М. Трембовецької, 23 м. Хмельницький</t>
  </si>
  <si>
    <t>РІЗНИЦЯ</t>
  </si>
  <si>
    <t>Програма підтримки ОСББ Хмельницької міської територіальної громади на 2023 – 2026 роки</t>
  </si>
  <si>
    <t>Рішення 35-ї сесії Хмельницької міської ради від 10.11.2023 року №36</t>
  </si>
  <si>
    <t>Реконструкція існуючих газових мереж з заміною ВОГ теплогенераторної Іванковецького ліцею Хмельницької міської ради за адресою: вул.Шкільна, 2, с.Іванківці, Хмельницький район</t>
  </si>
  <si>
    <t>Реконструкція під'їзної дороги від вул.Вінницьке шосе до вул.Вінницьке шосе, 18 (індустріальний парк) в м.Хмеьницькому</t>
  </si>
  <si>
    <t>Програма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2022-2024 роки (із змінами)</t>
  </si>
  <si>
    <t xml:space="preserve">Програма «Здійснення Управлінням ДМС у Хмельницькій області та Хмельницькою міською радою заходів у сфері громадянства, міграції, надання адміністративних послуг на 2023 - 2024 роки» (із змінами)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</si>
</sst>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₴_-;\-* #,##0.00\ _₴_-;_-* &quot;-&quot;??\ _₴_-;_-@_-"/>
    <numFmt numFmtId="165" formatCode="_-* #,##0.00_₴_-;\-* #,##0.00_₴_-;_-* &quot;-&quot;??_₴_-;_-@_-"/>
    <numFmt numFmtId="166" formatCode="#,##0.0"/>
    <numFmt numFmtId="167" formatCode="0.0"/>
    <numFmt numFmtId="168" formatCode="#,##0.00000"/>
    <numFmt numFmtId="169" formatCode="_-* #,##0.00_₴_-;\-* #,##0.00_₴_-;_-* \-??_₴_-;_-@_-"/>
  </numFmts>
  <fonts count="205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sz val="37"/>
      <name val="Times New Roman"/>
      <family val="1"/>
      <charset val="204"/>
    </font>
    <font>
      <sz val="36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i/>
      <sz val="10"/>
      <name val="Arial Cyr"/>
      <charset val="204"/>
    </font>
    <font>
      <b/>
      <sz val="36"/>
      <name val="Times New Roman Cyr"/>
      <family val="1"/>
      <charset val="204"/>
    </font>
    <font>
      <sz val="10"/>
      <name val="Arial"/>
      <family val="2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48"/>
      <name val="Times New Roman Cyr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Arial Cyr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sz val="50"/>
      <name val="Arial Cyr"/>
      <charset val="204"/>
    </font>
    <font>
      <sz val="11"/>
      <color theme="1"/>
      <name val="Calibri"/>
      <family val="2"/>
      <scheme val="minor"/>
    </font>
    <font>
      <u/>
      <sz val="10"/>
      <name val="Arial Cyr"/>
      <charset val="204"/>
    </font>
    <font>
      <sz val="28"/>
      <name val="Times New Roman Cyr"/>
      <family val="1"/>
      <charset val="204"/>
    </font>
    <font>
      <b/>
      <sz val="36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36"/>
      <color rgb="FFFF0000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sz val="12.5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37"/>
      <color rgb="FFFF0000"/>
      <name val="Times New Roman"/>
      <family val="1"/>
      <charset val="204"/>
    </font>
    <font>
      <b/>
      <i/>
      <sz val="36"/>
      <name val="Times New Roman"/>
      <family val="1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b/>
      <sz val="36"/>
      <color rgb="FFFF0000"/>
      <name val="Arial Cyr"/>
      <charset val="204"/>
    </font>
    <font>
      <b/>
      <sz val="48"/>
      <color rgb="FFFF0000"/>
      <name val="Times New Roman Cyr"/>
      <family val="1"/>
      <charset val="204"/>
    </font>
    <font>
      <b/>
      <sz val="36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sz val="10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i/>
      <sz val="37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sz val="10"/>
      <color rgb="FFFF0000"/>
      <name val="Times New Roman Cyr"/>
      <family val="1"/>
      <charset val="204"/>
    </font>
    <font>
      <sz val="48"/>
      <name val="Times New Roman Cyr"/>
      <family val="1"/>
      <charset val="204"/>
    </font>
    <font>
      <i/>
      <sz val="37"/>
      <name val="Times New Roman"/>
      <family val="1"/>
      <charset val="204"/>
    </font>
    <font>
      <b/>
      <i/>
      <sz val="10"/>
      <name val="Arial Cyr"/>
      <charset val="204"/>
    </font>
    <font>
      <b/>
      <i/>
      <sz val="36"/>
      <color rgb="FFFF0000"/>
      <name val="Arial Cyr"/>
      <charset val="204"/>
    </font>
    <font>
      <i/>
      <sz val="36"/>
      <color rgb="FFFF0000"/>
      <name val="Times New Roman"/>
      <family val="1"/>
      <charset val="204"/>
    </font>
    <font>
      <u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indexed="62"/>
      <name val="Cambria"/>
      <family val="2"/>
      <charset val="204"/>
    </font>
    <font>
      <b/>
      <sz val="14"/>
      <color rgb="FF00FFCC"/>
      <name val="Times New Roman"/>
      <family val="1"/>
      <charset val="204"/>
    </font>
    <font>
      <sz val="10"/>
      <color rgb="FF00FFCC"/>
      <name val="Arial Cyr"/>
      <charset val="204"/>
    </font>
    <font>
      <b/>
      <sz val="48"/>
      <color rgb="FF00FFCC"/>
      <name val="Times New Roman Cyr"/>
      <family val="1"/>
      <charset val="204"/>
    </font>
    <font>
      <sz val="36"/>
      <color rgb="FF00FFCC"/>
      <name val="Times New Roman"/>
      <family val="1"/>
      <charset val="204"/>
    </font>
    <font>
      <sz val="36"/>
      <color rgb="FF00FFCC"/>
      <name val="Arial Cyr"/>
      <charset val="204"/>
    </font>
    <font>
      <b/>
      <sz val="37"/>
      <color rgb="FF00FFCC"/>
      <name val="Times New Roman"/>
      <family val="1"/>
      <charset val="204"/>
    </font>
    <font>
      <b/>
      <i/>
      <sz val="37"/>
      <color rgb="FF00FFCC"/>
      <name val="Times New Roman"/>
      <family val="1"/>
      <charset val="204"/>
    </font>
    <font>
      <sz val="48"/>
      <color rgb="FF00FFCC"/>
      <name val="Arial Cyr"/>
      <charset val="204"/>
    </font>
    <font>
      <sz val="36"/>
      <color rgb="FF00FFCC"/>
      <name val="Times New Roman Cyr"/>
      <family val="1"/>
      <charset val="204"/>
    </font>
    <font>
      <sz val="48"/>
      <color rgb="FF00FFCC"/>
      <name val="Times New Roman Cyr"/>
      <family val="1"/>
      <charset val="204"/>
    </font>
    <font>
      <sz val="22"/>
      <color rgb="FF00FFCC"/>
      <name val="Times New Roman Cyr"/>
      <family val="1"/>
      <charset val="204"/>
    </font>
    <font>
      <b/>
      <sz val="10"/>
      <color rgb="FF00FFCC"/>
      <name val="Times New Roman Cyr"/>
      <family val="1"/>
      <charset val="204"/>
    </font>
    <font>
      <sz val="10"/>
      <color rgb="FF00FFCC"/>
      <name val="Times New Roman Cyr"/>
      <family val="1"/>
      <charset val="204"/>
    </font>
    <font>
      <sz val="22"/>
      <color rgb="FF00FFCC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i/>
      <sz val="37"/>
      <color rgb="FFFF0000"/>
      <name val="Times New Roman"/>
      <family val="1"/>
      <charset val="204"/>
    </font>
    <font>
      <i/>
      <sz val="36"/>
      <color rgb="FFFF0000"/>
      <name val="Arial Cyr"/>
      <charset val="204"/>
    </font>
    <font>
      <b/>
      <vertAlign val="superscript"/>
      <sz val="36"/>
      <color rgb="FFFF0000"/>
      <name val="Times New Roman"/>
      <family val="1"/>
      <charset val="204"/>
    </font>
    <font>
      <b/>
      <i/>
      <sz val="10"/>
      <color rgb="FFFF0000"/>
      <name val="Arial Cyr"/>
      <charset val="204"/>
    </font>
    <font>
      <vertAlign val="superscript"/>
      <sz val="20"/>
      <color rgb="FFFF0000"/>
      <name val="Times New Roman"/>
      <family val="1"/>
      <charset val="204"/>
    </font>
    <font>
      <sz val="20"/>
      <color rgb="FFFF0000"/>
      <name val="Arial Cyr"/>
      <charset val="204"/>
    </font>
    <font>
      <sz val="9"/>
      <color rgb="FFFF0000"/>
      <name val="Times New Roman CYR"/>
      <charset val="204"/>
    </font>
    <font>
      <sz val="11"/>
      <color rgb="FFFF0000"/>
      <name val="Times New Roman Cyr"/>
      <family val="1"/>
      <charset val="204"/>
    </font>
    <font>
      <b/>
      <sz val="11"/>
      <color rgb="FFFF0000"/>
      <name val="Times New Roman Cyr"/>
      <family val="1"/>
      <charset val="204"/>
    </font>
    <font>
      <i/>
      <sz val="11"/>
      <color rgb="FFFF0000"/>
      <name val="Times New Roman Cyr"/>
      <family val="1"/>
      <charset val="204"/>
    </font>
    <font>
      <sz val="11"/>
      <color rgb="FFFF0000"/>
      <name val="Times New Roman Cyr"/>
      <charset val="204"/>
    </font>
    <font>
      <sz val="72"/>
      <color rgb="FFFF0000"/>
      <name val="Arial Cyr"/>
      <charset val="204"/>
    </font>
    <font>
      <sz val="22"/>
      <color rgb="FFFF0000"/>
      <name val="Arial Cyr"/>
      <charset val="204"/>
    </font>
    <font>
      <b/>
      <sz val="28"/>
      <color rgb="FFFF0000"/>
      <name val="Arial Cyr"/>
      <charset val="204"/>
    </font>
    <font>
      <b/>
      <sz val="28"/>
      <color rgb="FFFF0000"/>
      <name val="Times New Roman"/>
      <family val="1"/>
      <charset val="204"/>
    </font>
    <font>
      <b/>
      <vertAlign val="superscript"/>
      <sz val="11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48"/>
      <color rgb="FFFF0000"/>
      <name val="Times New Roman"/>
      <family val="1"/>
      <charset val="204"/>
    </font>
    <font>
      <sz val="34"/>
      <color rgb="FFFF0000"/>
      <name val="Times New Roman"/>
      <family val="1"/>
      <charset val="204"/>
    </font>
    <font>
      <sz val="72"/>
      <color rgb="FFFF0000"/>
      <name val="Times New Roman"/>
      <family val="1"/>
      <charset val="204"/>
    </font>
    <font>
      <b/>
      <sz val="72"/>
      <color rgb="FFFF0000"/>
      <name val="Times New Roman"/>
      <family val="1"/>
      <charset val="204"/>
    </font>
    <font>
      <sz val="36"/>
      <color rgb="FFFF0000"/>
      <name val="Times New Roman Cyr"/>
      <family val="1"/>
      <charset val="204"/>
    </font>
    <font>
      <b/>
      <sz val="36"/>
      <color rgb="FFFF0000"/>
      <name val="Times New Roman Cyr"/>
      <family val="1"/>
      <charset val="204"/>
    </font>
    <font>
      <b/>
      <sz val="10"/>
      <color rgb="FFFF0000"/>
      <name val="Times New Roman Cyr"/>
      <family val="1"/>
      <charset val="204"/>
    </font>
    <font>
      <sz val="50"/>
      <color rgb="FFFF0000"/>
      <name val="Arial Cyr"/>
      <charset val="204"/>
    </font>
    <font>
      <sz val="12.5"/>
      <color rgb="FFFF0000"/>
      <name val="Times New Roman"/>
      <family val="1"/>
      <charset val="204"/>
    </font>
    <font>
      <b/>
      <i/>
      <sz val="10"/>
      <color rgb="FFFF0000"/>
      <name val="Arial"/>
      <family val="2"/>
      <charset val="204"/>
    </font>
    <font>
      <sz val="12"/>
      <name val="Arial"/>
      <family val="2"/>
      <charset val="204"/>
    </font>
    <font>
      <b/>
      <sz val="12"/>
      <color rgb="FF00FFCC"/>
      <name val="Times New Roman"/>
      <family val="1"/>
      <charset val="204"/>
    </font>
    <font>
      <sz val="22"/>
      <name val="Times New Roman"/>
      <family val="1"/>
      <charset val="204"/>
    </font>
    <font>
      <u/>
      <sz val="36"/>
      <name val="Times New Roman"/>
      <family val="1"/>
      <charset val="204"/>
    </font>
    <font>
      <u/>
      <sz val="36"/>
      <name val="Arial Cyr"/>
      <charset val="204"/>
    </font>
    <font>
      <b/>
      <sz val="72"/>
      <color rgb="FF00FFCC"/>
      <name val="Times New Roman"/>
      <family val="1"/>
      <charset val="204"/>
    </font>
    <font>
      <sz val="10"/>
      <color rgb="FF00FFCC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9"/>
      <name val="Times New Roman"/>
      <family val="1"/>
      <charset val="204"/>
    </font>
    <font>
      <u/>
      <sz val="9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u/>
      <sz val="10"/>
      <name val="Times New Roman"/>
      <family val="1"/>
      <charset val="204"/>
    </font>
    <font>
      <i/>
      <sz val="36"/>
      <name val="Times New Roman"/>
      <family val="1"/>
      <charset val="204"/>
    </font>
    <font>
      <b/>
      <sz val="36"/>
      <color rgb="FF00FFCC"/>
      <name val="Times New Roman"/>
      <family val="1"/>
      <charset val="204"/>
    </font>
    <font>
      <b/>
      <vertAlign val="superscript"/>
      <sz val="36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i/>
      <sz val="11"/>
      <name val="Times New Roman"/>
      <family val="1"/>
      <charset val="204"/>
    </font>
    <font>
      <sz val="11"/>
      <name val="Arial Cyr"/>
      <charset val="204"/>
    </font>
    <font>
      <b/>
      <vertAlign val="superscript"/>
      <sz val="11"/>
      <name val="Times New Roman"/>
      <family val="1"/>
      <charset val="204"/>
    </font>
    <font>
      <b/>
      <i/>
      <vertAlign val="superscript"/>
      <sz val="36"/>
      <name val="Times New Roman"/>
      <family val="1"/>
      <charset val="204"/>
    </font>
    <font>
      <sz val="34"/>
      <name val="Times New Roman"/>
      <family val="1"/>
      <charset val="204"/>
    </font>
    <font>
      <i/>
      <sz val="10"/>
      <color rgb="FF00FFCC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20"/>
      <name val="Times New Roman"/>
      <family val="1"/>
      <charset val="204"/>
    </font>
    <font>
      <vertAlign val="superscript"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theme="1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4"/>
      <color rgb="FF00FFCC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31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FFCC"/>
      <name val="Times New Roman CYR"/>
      <charset val="204"/>
    </font>
    <font>
      <b/>
      <sz val="10"/>
      <color rgb="FF00FFCC"/>
      <name val="Times New Roman"/>
      <family val="1"/>
      <charset val="204"/>
    </font>
    <font>
      <sz val="3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rgb="FF00FFCC"/>
      <name val="Times New Roman"/>
      <family val="1"/>
      <charset val="204"/>
    </font>
    <font>
      <b/>
      <sz val="28"/>
      <color rgb="FF00FFCC"/>
      <name val="Times New Roman"/>
      <family val="1"/>
      <charset val="204"/>
    </font>
    <font>
      <b/>
      <sz val="28"/>
      <color rgb="FF00FFCC"/>
      <name val="Arial Cyr"/>
      <charset val="204"/>
    </font>
  </fonts>
  <fills count="4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gradientFill type="path" left="0.5" right="0.5" top="0.5" bottom="0.5">
        <stop position="0">
          <color theme="0"/>
        </stop>
        <stop position="1">
          <color rgb="FFCCFFCC"/>
        </stop>
      </gradient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FF99"/>
        <bgColor auto="1"/>
      </patternFill>
    </fill>
    <fill>
      <patternFill patternType="solid">
        <fgColor rgb="FF00CCFF"/>
        <bgColor indexed="64"/>
      </patternFill>
    </fill>
    <fill>
      <gradientFill degree="270">
        <stop position="0">
          <color theme="0"/>
        </stop>
        <stop position="1">
          <color rgb="FF00CCFF"/>
        </stop>
      </gradientFill>
    </fill>
    <fill>
      <patternFill patternType="solid">
        <fgColor rgb="FFCCFF99"/>
        <bgColor indexed="64"/>
      </patternFill>
    </fill>
    <fill>
      <gradientFill degree="270">
        <stop position="0">
          <color theme="0"/>
        </stop>
        <stop position="1">
          <color rgb="FFCCFF99"/>
        </stop>
      </gradientFill>
    </fill>
    <fill>
      <gradientFill degree="225">
        <stop position="0">
          <color theme="0"/>
        </stop>
        <stop position="1">
          <color rgb="FFFFFF99"/>
        </stop>
      </gradientFill>
    </fill>
    <fill>
      <gradientFill degree="270">
        <stop position="0">
          <color theme="0"/>
        </stop>
        <stop position="1">
          <color rgb="FF00FFCC"/>
        </stop>
      </gradientFill>
    </fill>
    <fill>
      <gradientFill degree="90">
        <stop position="0">
          <color rgb="FF00FFCC"/>
        </stop>
        <stop position="1">
          <color rgb="FF00FFCC"/>
        </stop>
      </gradient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auto="1"/>
      </patternFill>
    </fill>
    <fill>
      <gradientFill type="path" left="0.5" right="0.5" top="0.5" bottom="0.5">
        <stop position="0">
          <color theme="0"/>
        </stop>
        <stop position="1">
          <color theme="5" tint="0.80001220740379042"/>
        </stop>
      </gradientFill>
    </fill>
    <fill>
      <gradientFill degree="90">
        <stop position="0">
          <color theme="0"/>
        </stop>
        <stop position="0.5">
          <color rgb="FFCCFF99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9" tint="0.59999389629810485"/>
        </stop>
        <stop position="1">
          <color theme="0"/>
        </stop>
      </gradient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indexed="64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10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</borders>
  <cellStyleXfs count="191">
    <xf numFmtId="0" fontId="0" fillId="0" borderId="0"/>
    <xf numFmtId="0" fontId="10" fillId="0" borderId="0"/>
    <xf numFmtId="0" fontId="18" fillId="2" borderId="1" applyNumberFormat="0" applyAlignment="0" applyProtection="0"/>
    <xf numFmtId="0" fontId="26" fillId="3" borderId="0" applyNumberFormat="0" applyBorder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0" fillId="0" borderId="0"/>
    <xf numFmtId="0" fontId="36" fillId="0" borderId="0"/>
    <xf numFmtId="0" fontId="28" fillId="0" borderId="0"/>
    <xf numFmtId="0" fontId="10" fillId="0" borderId="0"/>
    <xf numFmtId="0" fontId="36" fillId="0" borderId="0"/>
    <xf numFmtId="0" fontId="10" fillId="0" borderId="0"/>
    <xf numFmtId="0" fontId="3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5" fillId="0" borderId="0">
      <alignment vertical="top"/>
    </xf>
    <xf numFmtId="0" fontId="22" fillId="5" borderId="5" applyNumberFormat="0" applyAlignment="0" applyProtection="0"/>
    <xf numFmtId="0" fontId="23" fillId="0" borderId="0" applyNumberFormat="0" applyFill="0" applyBorder="0" applyAlignment="0" applyProtection="0"/>
    <xf numFmtId="0" fontId="10" fillId="0" borderId="0"/>
    <xf numFmtId="0" fontId="36" fillId="0" borderId="0"/>
    <xf numFmtId="0" fontId="12" fillId="0" borderId="0"/>
    <xf numFmtId="0" fontId="39" fillId="0" borderId="0" applyNumberFormat="0" applyFont="0" applyFill="0" applyBorder="0" applyAlignment="0" applyProtection="0">
      <alignment vertical="top"/>
    </xf>
    <xf numFmtId="0" fontId="27" fillId="0" borderId="0"/>
    <xf numFmtId="0" fontId="11" fillId="0" borderId="0" applyNumberFormat="0" applyFont="0" applyFill="0" applyBorder="0" applyAlignment="0" applyProtection="0">
      <alignment vertical="top"/>
    </xf>
    <xf numFmtId="0" fontId="12" fillId="0" borderId="0"/>
    <xf numFmtId="0" fontId="27" fillId="0" borderId="0"/>
    <xf numFmtId="0" fontId="24" fillId="0" borderId="6" applyNumberFormat="0" applyFill="0" applyAlignment="0" applyProtection="0"/>
    <xf numFmtId="0" fontId="29" fillId="4" borderId="0" applyNumberFormat="0" applyBorder="0" applyAlignment="0" applyProtection="0"/>
    <xf numFmtId="0" fontId="27" fillId="0" borderId="0"/>
    <xf numFmtId="0" fontId="25" fillId="0" borderId="0" applyNumberFormat="0" applyFill="0" applyBorder="0" applyAlignment="0" applyProtection="0"/>
    <xf numFmtId="0" fontId="10" fillId="0" borderId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3" borderId="0" applyNumberFormat="0" applyBorder="0" applyAlignment="0" applyProtection="0"/>
    <xf numFmtId="0" fontId="46" fillId="2" borderId="0" applyNumberFormat="0" applyBorder="0" applyAlignment="0" applyProtection="0"/>
    <xf numFmtId="0" fontId="46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2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22" borderId="0" applyNumberFormat="0" applyBorder="0" applyAlignment="0" applyProtection="0"/>
    <xf numFmtId="0" fontId="18" fillId="2" borderId="1" applyNumberFormat="0" applyAlignment="0" applyProtection="0"/>
    <xf numFmtId="0" fontId="48" fillId="23" borderId="11" applyNumberFormat="0" applyAlignment="0" applyProtection="0"/>
    <xf numFmtId="0" fontId="49" fillId="23" borderId="1" applyNumberFormat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0" fillId="0" borderId="12" applyNumberFormat="0" applyFill="0" applyAlignment="0" applyProtection="0"/>
    <xf numFmtId="0" fontId="22" fillId="5" borderId="5" applyNumberFormat="0" applyAlignment="0" applyProtection="0"/>
    <xf numFmtId="0" fontId="23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52" fillId="8" borderId="0" applyNumberFormat="0" applyBorder="0" applyAlignment="0" applyProtection="0"/>
    <xf numFmtId="0" fontId="53" fillId="0" borderId="0" applyNumberFormat="0" applyFill="0" applyBorder="0" applyAlignment="0" applyProtection="0"/>
    <xf numFmtId="0" fontId="46" fillId="24" borderId="13" applyNumberFormat="0" applyFont="0" applyAlignment="0" applyProtection="0"/>
    <xf numFmtId="0" fontId="24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9" borderId="0" applyNumberFormat="0" applyBorder="0" applyAlignment="0" applyProtection="0"/>
    <xf numFmtId="0" fontId="57" fillId="0" borderId="0"/>
    <xf numFmtId="0" fontId="10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60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6" fillId="0" borderId="0"/>
    <xf numFmtId="0" fontId="18" fillId="4" borderId="1" applyNumberFormat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0" applyNumberFormat="0" applyFill="0" applyBorder="0" applyAlignment="0" applyProtection="0"/>
    <xf numFmtId="0" fontId="25" fillId="0" borderId="25" applyNumberFormat="0" applyFill="0" applyAlignment="0" applyProtection="0"/>
    <xf numFmtId="0" fontId="96" fillId="0" borderId="0" applyNumberFormat="0" applyFill="0" applyBorder="0" applyAlignment="0" applyProtection="0"/>
    <xf numFmtId="0" fontId="35" fillId="0" borderId="0"/>
    <xf numFmtId="0" fontId="46" fillId="0" borderId="0"/>
    <xf numFmtId="0" fontId="60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57" fillId="0" borderId="0"/>
    <xf numFmtId="0" fontId="39" fillId="0" borderId="0"/>
    <xf numFmtId="0" fontId="57" fillId="0" borderId="0"/>
    <xf numFmtId="0" fontId="12" fillId="0" borderId="0"/>
    <xf numFmtId="0" fontId="16" fillId="0" borderId="0"/>
    <xf numFmtId="0" fontId="39" fillId="0" borderId="0"/>
    <xf numFmtId="0" fontId="46" fillId="0" borderId="0"/>
    <xf numFmtId="0" fontId="46" fillId="0" borderId="0"/>
    <xf numFmtId="0" fontId="16" fillId="0" borderId="0"/>
    <xf numFmtId="0" fontId="16" fillId="0" borderId="0"/>
    <xf numFmtId="0" fontId="46" fillId="0" borderId="0"/>
    <xf numFmtId="0" fontId="10" fillId="0" borderId="0"/>
    <xf numFmtId="0" fontId="2" fillId="0" borderId="0"/>
    <xf numFmtId="0" fontId="2" fillId="0" borderId="0"/>
    <xf numFmtId="0" fontId="57" fillId="0" borderId="0"/>
    <xf numFmtId="0" fontId="95" fillId="0" borderId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57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2" borderId="1" applyNumberFormat="0" applyAlignment="0" applyProtection="0"/>
    <xf numFmtId="0" fontId="2" fillId="0" borderId="0"/>
    <xf numFmtId="0" fontId="2" fillId="0" borderId="0"/>
    <xf numFmtId="0" fontId="24" fillId="0" borderId="6" applyNumberFormat="0" applyFill="0" applyAlignment="0" applyProtection="0"/>
    <xf numFmtId="0" fontId="22" fillId="5" borderId="5" applyNumberFormat="0" applyAlignment="0" applyProtection="0"/>
    <xf numFmtId="0" fontId="23" fillId="0" borderId="0" applyNumberFormat="0" applyFill="0" applyBorder="0" applyAlignment="0" applyProtection="0"/>
    <xf numFmtId="0" fontId="95" fillId="0" borderId="0"/>
    <xf numFmtId="0" fontId="10" fillId="0" borderId="0"/>
    <xf numFmtId="0" fontId="12" fillId="0" borderId="0"/>
    <xf numFmtId="0" fontId="25" fillId="0" borderId="0" applyNumberFormat="0" applyFill="0" applyBorder="0" applyAlignment="0" applyProtection="0"/>
    <xf numFmtId="0" fontId="1" fillId="0" borderId="0"/>
  </cellStyleXfs>
  <cellXfs count="847">
    <xf numFmtId="0" fontId="0" fillId="0" borderId="0" xfId="0"/>
    <xf numFmtId="0" fontId="16" fillId="0" borderId="0" xfId="39" applyFont="1"/>
    <xf numFmtId="0" fontId="31" fillId="0" borderId="0" xfId="0" applyFont="1" applyAlignment="1">
      <alignment horizontal="left" vertical="center"/>
    </xf>
    <xf numFmtId="0" fontId="31" fillId="0" borderId="0" xfId="39" applyFont="1"/>
    <xf numFmtId="0" fontId="65" fillId="0" borderId="0" xfId="0" applyFont="1"/>
    <xf numFmtId="0" fontId="73" fillId="0" borderId="0" xfId="0" applyFont="1"/>
    <xf numFmtId="0" fontId="74" fillId="0" borderId="0" xfId="0" applyFont="1"/>
    <xf numFmtId="0" fontId="79" fillId="0" borderId="0" xfId="35" applyFont="1"/>
    <xf numFmtId="0" fontId="80" fillId="0" borderId="0" xfId="35" applyFont="1" applyAlignment="1">
      <alignment horizontal="center" vertical="center"/>
    </xf>
    <xf numFmtId="0" fontId="68" fillId="0" borderId="0" xfId="0" applyFont="1"/>
    <xf numFmtId="2" fontId="82" fillId="0" borderId="0" xfId="36" applyNumberFormat="1" applyFont="1" applyFill="1" applyAlignment="1">
      <alignment horizontal="center" vertical="top"/>
    </xf>
    <xf numFmtId="0" fontId="78" fillId="0" borderId="0" xfId="35" applyFont="1" applyAlignment="1">
      <alignment horizontal="center" vertical="center"/>
    </xf>
    <xf numFmtId="0" fontId="68" fillId="0" borderId="0" xfId="36" applyFont="1">
      <alignment vertical="top"/>
    </xf>
    <xf numFmtId="0" fontId="64" fillId="0" borderId="0" xfId="0" applyFont="1"/>
    <xf numFmtId="0" fontId="94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56" fillId="0" borderId="0" xfId="0" applyFont="1" applyAlignment="1">
      <alignment horizontal="left" vertical="center"/>
    </xf>
    <xf numFmtId="4" fontId="30" fillId="0" borderId="0" xfId="36" applyNumberFormat="1" applyFont="1" applyFill="1" applyBorder="1" applyAlignment="1">
      <alignment horizontal="center" vertical="center" wrapText="1"/>
    </xf>
    <xf numFmtId="0" fontId="13" fillId="28" borderId="0" xfId="0" applyFont="1" applyFill="1" applyAlignment="1">
      <alignment vertical="center"/>
    </xf>
    <xf numFmtId="0" fontId="31" fillId="28" borderId="0" xfId="0" applyFont="1" applyFill="1" applyAlignment="1">
      <alignment vertical="center"/>
    </xf>
    <xf numFmtId="0" fontId="64" fillId="28" borderId="0" xfId="0" applyFont="1" applyFill="1"/>
    <xf numFmtId="0" fontId="0" fillId="28" borderId="0" xfId="0" applyFill="1"/>
    <xf numFmtId="0" fontId="31" fillId="28" borderId="0" xfId="0" applyFont="1" applyFill="1" applyAlignment="1">
      <alignment horizontal="right" vertical="center"/>
    </xf>
    <xf numFmtId="0" fontId="67" fillId="28" borderId="0" xfId="38" applyFont="1" applyFill="1" applyBorder="1" applyAlignment="1" applyProtection="1">
      <alignment horizontal="center" vertical="center" wrapText="1"/>
      <protection locked="0"/>
    </xf>
    <xf numFmtId="0" fontId="15" fillId="28" borderId="0" xfId="0" applyFont="1" applyFill="1"/>
    <xf numFmtId="0" fontId="65" fillId="28" borderId="0" xfId="0" applyFont="1" applyFill="1"/>
    <xf numFmtId="4" fontId="30" fillId="28" borderId="0" xfId="0" applyNumberFormat="1" applyFont="1" applyFill="1" applyAlignment="1">
      <alignment horizontal="left" vertical="center"/>
    </xf>
    <xf numFmtId="4" fontId="72" fillId="28" borderId="0" xfId="0" applyNumberFormat="1" applyFont="1" applyFill="1" applyAlignment="1">
      <alignment horizontal="left" vertical="center"/>
    </xf>
    <xf numFmtId="0" fontId="90" fillId="28" borderId="0" xfId="0" applyFont="1" applyFill="1"/>
    <xf numFmtId="4" fontId="77" fillId="28" borderId="0" xfId="0" applyNumberFormat="1" applyFont="1" applyFill="1" applyAlignment="1">
      <alignment horizontal="left" vertical="center"/>
    </xf>
    <xf numFmtId="4" fontId="63" fillId="28" borderId="0" xfId="0" applyNumberFormat="1" applyFont="1" applyFill="1" applyAlignment="1">
      <alignment horizontal="left" vertical="center"/>
    </xf>
    <xf numFmtId="4" fontId="66" fillId="28" borderId="0" xfId="0" applyNumberFormat="1" applyFont="1" applyFill="1" applyAlignment="1">
      <alignment horizontal="left" vertical="center"/>
    </xf>
    <xf numFmtId="4" fontId="92" fillId="28" borderId="0" xfId="0" applyNumberFormat="1" applyFont="1" applyFill="1" applyAlignment="1">
      <alignment horizontal="left" vertical="center"/>
    </xf>
    <xf numFmtId="0" fontId="37" fillId="28" borderId="0" xfId="0" applyFont="1" applyFill="1"/>
    <xf numFmtId="4" fontId="84" fillId="28" borderId="0" xfId="0" applyNumberFormat="1" applyFont="1" applyFill="1" applyAlignment="1">
      <alignment horizontal="left" vertical="center"/>
    </xf>
    <xf numFmtId="4" fontId="67" fillId="28" borderId="0" xfId="0" applyNumberFormat="1" applyFont="1" applyFill="1" applyAlignment="1">
      <alignment horizontal="left" vertical="center"/>
    </xf>
    <xf numFmtId="0" fontId="73" fillId="28" borderId="0" xfId="0" applyFont="1" applyFill="1"/>
    <xf numFmtId="4" fontId="31" fillId="28" borderId="0" xfId="0" applyNumberFormat="1" applyFont="1" applyFill="1" applyAlignment="1">
      <alignment horizontal="left" vertical="center"/>
    </xf>
    <xf numFmtId="4" fontId="44" fillId="28" borderId="0" xfId="0" applyNumberFormat="1" applyFont="1" applyFill="1"/>
    <xf numFmtId="4" fontId="75" fillId="28" borderId="0" xfId="0" applyNumberFormat="1" applyFont="1" applyFill="1" applyAlignment="1">
      <alignment horizontal="left" vertical="center"/>
    </xf>
    <xf numFmtId="4" fontId="91" fillId="28" borderId="0" xfId="0" applyNumberFormat="1" applyFont="1" applyFill="1" applyAlignment="1">
      <alignment horizontal="left" vertical="center"/>
    </xf>
    <xf numFmtId="49" fontId="67" fillId="28" borderId="15" xfId="0" applyNumberFormat="1" applyFont="1" applyFill="1" applyBorder="1" applyAlignment="1">
      <alignment horizontal="center" vertical="center" wrapText="1"/>
    </xf>
    <xf numFmtId="4" fontId="71" fillId="28" borderId="15" xfId="0" applyNumberFormat="1" applyFont="1" applyFill="1" applyBorder="1" applyAlignment="1">
      <alignment horizontal="center" vertical="center" wrapText="1"/>
    </xf>
    <xf numFmtId="4" fontId="68" fillId="28" borderId="15" xfId="0" applyNumberFormat="1" applyFont="1" applyFill="1" applyBorder="1" applyAlignment="1">
      <alignment horizontal="center" vertical="center" wrapText="1"/>
    </xf>
    <xf numFmtId="4" fontId="68" fillId="28" borderId="15" xfId="0" applyNumberFormat="1" applyFont="1" applyFill="1" applyBorder="1" applyAlignment="1">
      <alignment horizontal="center" vertical="center"/>
    </xf>
    <xf numFmtId="4" fontId="32" fillId="28" borderId="0" xfId="0" applyNumberFormat="1" applyFont="1" applyFill="1" applyAlignment="1">
      <alignment horizontal="center" vertical="center" wrapText="1"/>
    </xf>
    <xf numFmtId="4" fontId="32" fillId="28" borderId="0" xfId="0" applyNumberFormat="1" applyFont="1" applyFill="1" applyAlignment="1">
      <alignment horizontal="left" vertical="center" wrapText="1"/>
    </xf>
    <xf numFmtId="4" fontId="71" fillId="28" borderId="0" xfId="0" applyNumberFormat="1" applyFont="1" applyFill="1" applyAlignment="1">
      <alignment horizontal="center" vertical="center" wrapText="1"/>
    </xf>
    <xf numFmtId="4" fontId="33" fillId="28" borderId="0" xfId="0" applyNumberFormat="1" applyFont="1" applyFill="1" applyAlignment="1">
      <alignment horizontal="left" vertical="center" wrapText="1"/>
    </xf>
    <xf numFmtId="4" fontId="33" fillId="28" borderId="0" xfId="0" applyNumberFormat="1" applyFont="1" applyFill="1" applyAlignment="1">
      <alignment horizontal="center" vertical="center" wrapText="1"/>
    </xf>
    <xf numFmtId="4" fontId="71" fillId="28" borderId="0" xfId="0" applyNumberFormat="1" applyFont="1" applyFill="1" applyAlignment="1">
      <alignment horizontal="left" vertical="center" wrapText="1"/>
    </xf>
    <xf numFmtId="4" fontId="83" fillId="28" borderId="0" xfId="0" applyNumberFormat="1" applyFont="1" applyFill="1" applyAlignment="1">
      <alignment horizontal="left" vertical="center" wrapText="1"/>
    </xf>
    <xf numFmtId="4" fontId="89" fillId="28" borderId="0" xfId="0" applyNumberFormat="1" applyFont="1" applyFill="1" applyAlignment="1">
      <alignment horizontal="left" vertical="center" wrapText="1"/>
    </xf>
    <xf numFmtId="4" fontId="85" fillId="28" borderId="0" xfId="0" applyNumberFormat="1" applyFont="1" applyFill="1" applyAlignment="1">
      <alignment horizontal="left" vertical="center" wrapText="1"/>
    </xf>
    <xf numFmtId="4" fontId="86" fillId="28" borderId="0" xfId="0" applyNumberFormat="1" applyFont="1" applyFill="1" applyAlignment="1">
      <alignment horizontal="center" vertical="center" wrapText="1"/>
    </xf>
    <xf numFmtId="4" fontId="54" fillId="28" borderId="0" xfId="0" applyNumberFormat="1" applyFont="1" applyFill="1" applyAlignment="1">
      <alignment vertical="center"/>
    </xf>
    <xf numFmtId="4" fontId="67" fillId="28" borderId="0" xfId="0" applyNumberFormat="1" applyFont="1" applyFill="1" applyAlignment="1">
      <alignment horizontal="center" vertical="center"/>
    </xf>
    <xf numFmtId="0" fontId="14" fillId="28" borderId="0" xfId="0" applyFont="1" applyFill="1" applyAlignment="1">
      <alignment vertical="center"/>
    </xf>
    <xf numFmtId="0" fontId="87" fillId="28" borderId="0" xfId="0" applyFont="1" applyFill="1" applyAlignment="1">
      <alignment vertical="center"/>
    </xf>
    <xf numFmtId="4" fontId="14" fillId="28" borderId="0" xfId="0" applyNumberFormat="1" applyFont="1" applyFill="1" applyAlignment="1">
      <alignment vertical="center"/>
    </xf>
    <xf numFmtId="4" fontId="13" fillId="28" borderId="0" xfId="0" applyNumberFormat="1" applyFont="1" applyFill="1" applyAlignment="1">
      <alignment vertical="center"/>
    </xf>
    <xf numFmtId="0" fontId="88" fillId="28" borderId="0" xfId="0" applyFont="1" applyFill="1" applyAlignment="1">
      <alignment vertical="center"/>
    </xf>
    <xf numFmtId="4" fontId="58" fillId="28" borderId="0" xfId="0" applyNumberFormat="1" applyFont="1" applyFill="1" applyAlignment="1">
      <alignment vertical="center"/>
    </xf>
    <xf numFmtId="168" fontId="38" fillId="28" borderId="0" xfId="0" applyNumberFormat="1" applyFont="1" applyFill="1" applyAlignment="1">
      <alignment vertical="center"/>
    </xf>
    <xf numFmtId="4" fontId="30" fillId="29" borderId="0" xfId="36" applyNumberFormat="1" applyFont="1" applyFill="1" applyBorder="1" applyAlignment="1">
      <alignment horizontal="center" vertical="center" wrapText="1"/>
    </xf>
    <xf numFmtId="4" fontId="76" fillId="28" borderId="0" xfId="0" applyNumberFormat="1" applyFont="1" applyFill="1" applyAlignment="1">
      <alignment vertical="center"/>
    </xf>
    <xf numFmtId="0" fontId="30" fillId="28" borderId="0" xfId="0" applyFont="1" applyFill="1" applyAlignment="1">
      <alignment horizontal="right" vertical="center"/>
    </xf>
    <xf numFmtId="0" fontId="58" fillId="28" borderId="0" xfId="0" applyFont="1" applyFill="1" applyAlignment="1">
      <alignment vertical="center"/>
    </xf>
    <xf numFmtId="4" fontId="62" fillId="28" borderId="0" xfId="0" applyNumberFormat="1" applyFont="1" applyFill="1" applyAlignment="1">
      <alignment vertical="center"/>
    </xf>
    <xf numFmtId="4" fontId="38" fillId="28" borderId="0" xfId="0" applyNumberFormat="1" applyFont="1" applyFill="1" applyAlignment="1">
      <alignment vertical="center"/>
    </xf>
    <xf numFmtId="0" fontId="59" fillId="28" borderId="0" xfId="0" applyFont="1" applyFill="1"/>
    <xf numFmtId="10" fontId="38" fillId="28" borderId="0" xfId="0" applyNumberFormat="1" applyFont="1" applyFill="1" applyAlignment="1">
      <alignment vertical="center"/>
    </xf>
    <xf numFmtId="0" fontId="38" fillId="28" borderId="0" xfId="0" applyFont="1" applyFill="1" applyAlignment="1">
      <alignment vertical="center"/>
    </xf>
    <xf numFmtId="4" fontId="67" fillId="28" borderId="15" xfId="0" applyNumberFormat="1" applyFont="1" applyFill="1" applyBorder="1" applyAlignment="1">
      <alignment horizontal="center" vertical="center" wrapText="1"/>
    </xf>
    <xf numFmtId="0" fontId="40" fillId="28" borderId="0" xfId="36" applyFont="1" applyFill="1" applyAlignment="1">
      <alignment horizontal="center" vertical="top"/>
    </xf>
    <xf numFmtId="0" fontId="17" fillId="28" borderId="0" xfId="36" applyFont="1" applyFill="1" applyAlignment="1">
      <alignment horizontal="center" vertical="top"/>
    </xf>
    <xf numFmtId="2" fontId="81" fillId="28" borderId="0" xfId="36" applyNumberFormat="1" applyFont="1" applyFill="1" applyAlignment="1">
      <alignment horizontal="center" vertical="top"/>
    </xf>
    <xf numFmtId="0" fontId="13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6" xfId="38" applyFont="1" applyFill="1" applyBorder="1" applyAlignment="1" applyProtection="1">
      <alignment horizontal="center" wrapText="1"/>
      <protection locked="0"/>
    </xf>
    <xf numFmtId="0" fontId="31" fillId="0" borderId="0" xfId="38" applyFont="1" applyFill="1" applyBorder="1" applyAlignment="1" applyProtection="1">
      <alignment horizontal="center" vertical="top" wrapText="1"/>
      <protection locked="0"/>
    </xf>
    <xf numFmtId="4" fontId="16" fillId="0" borderId="15" xfId="36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40" fillId="0" borderId="0" xfId="36" applyFont="1" applyFill="1" applyAlignment="1">
      <alignment horizontal="center" vertical="center"/>
    </xf>
    <xf numFmtId="0" fontId="16" fillId="0" borderId="0" xfId="36" applyFont="1" applyFill="1" applyAlignment="1">
      <alignment horizontal="right" vertical="center"/>
    </xf>
    <xf numFmtId="4" fontId="43" fillId="0" borderId="15" xfId="36" applyNumberFormat="1" applyFont="1" applyFill="1" applyBorder="1" applyAlignment="1">
      <alignment horizontal="center" vertical="center" wrapText="1"/>
    </xf>
    <xf numFmtId="2" fontId="97" fillId="28" borderId="0" xfId="36" applyNumberFormat="1" applyFont="1" applyFill="1" applyAlignment="1">
      <alignment horizontal="center" vertical="top"/>
    </xf>
    <xf numFmtId="4" fontId="99" fillId="28" borderId="0" xfId="0" applyNumberFormat="1" applyFont="1" applyFill="1" applyAlignment="1">
      <alignment vertical="center"/>
    </xf>
    <xf numFmtId="0" fontId="98" fillId="0" borderId="0" xfId="0" applyFont="1"/>
    <xf numFmtId="0" fontId="98" fillId="28" borderId="0" xfId="0" applyFont="1" applyFill="1"/>
    <xf numFmtId="4" fontId="101" fillId="28" borderId="0" xfId="0" applyNumberFormat="1" applyFont="1" applyFill="1"/>
    <xf numFmtId="4" fontId="100" fillId="28" borderId="0" xfId="0" applyNumberFormat="1" applyFont="1" applyFill="1" applyAlignment="1">
      <alignment horizontal="center" vertical="center"/>
    </xf>
    <xf numFmtId="4" fontId="102" fillId="29" borderId="15" xfId="0" applyNumberFormat="1" applyFont="1" applyFill="1" applyBorder="1" applyAlignment="1">
      <alignment horizontal="center" vertical="center"/>
    </xf>
    <xf numFmtId="4" fontId="104" fillId="28" borderId="0" xfId="0" applyNumberFormat="1" applyFont="1" applyFill="1" applyAlignment="1">
      <alignment vertical="center"/>
    </xf>
    <xf numFmtId="4" fontId="105" fillId="28" borderId="0" xfId="0" applyNumberFormat="1" applyFont="1" applyFill="1" applyAlignment="1">
      <alignment vertical="center"/>
    </xf>
    <xf numFmtId="0" fontId="106" fillId="28" borderId="0" xfId="0" applyFont="1" applyFill="1" applyAlignment="1">
      <alignment vertical="center"/>
    </xf>
    <xf numFmtId="0" fontId="107" fillId="28" borderId="0" xfId="0" applyFont="1" applyFill="1" applyAlignment="1">
      <alignment vertical="center"/>
    </xf>
    <xf numFmtId="166" fontId="108" fillId="28" borderId="0" xfId="0" applyNumberFormat="1" applyFont="1" applyFill="1" applyAlignment="1">
      <alignment horizontal="right" vertical="center" wrapText="1"/>
    </xf>
    <xf numFmtId="166" fontId="109" fillId="28" borderId="0" xfId="0" applyNumberFormat="1" applyFont="1" applyFill="1" applyAlignment="1">
      <alignment horizontal="right" vertical="center" wrapText="1"/>
    </xf>
    <xf numFmtId="166" fontId="99" fillId="28" borderId="0" xfId="0" applyNumberFormat="1" applyFont="1" applyFill="1" applyAlignment="1">
      <alignment horizontal="right" vertical="center" wrapText="1"/>
    </xf>
    <xf numFmtId="0" fontId="109" fillId="28" borderId="0" xfId="0" applyFont="1" applyFill="1" applyAlignment="1">
      <alignment vertical="center"/>
    </xf>
    <xf numFmtId="0" fontId="108" fillId="28" borderId="0" xfId="0" applyFont="1" applyFill="1" applyAlignment="1">
      <alignment vertical="center"/>
    </xf>
    <xf numFmtId="4" fontId="108" fillId="28" borderId="0" xfId="0" applyNumberFormat="1" applyFont="1" applyFill="1" applyAlignment="1">
      <alignment vertical="center"/>
    </xf>
    <xf numFmtId="2" fontId="110" fillId="28" borderId="0" xfId="0" applyNumberFormat="1" applyFont="1" applyFill="1" applyAlignment="1">
      <alignment horizontal="center" vertical="center"/>
    </xf>
    <xf numFmtId="4" fontId="103" fillId="29" borderId="14" xfId="0" applyNumberFormat="1" applyFont="1" applyFill="1" applyBorder="1" applyAlignment="1">
      <alignment horizontal="center" vertical="center" wrapText="1"/>
    </xf>
    <xf numFmtId="4" fontId="103" fillId="29" borderId="8" xfId="0" applyNumberFormat="1" applyFont="1" applyFill="1" applyBorder="1" applyAlignment="1">
      <alignment horizontal="center" vertical="center" wrapText="1"/>
    </xf>
    <xf numFmtId="0" fontId="103" fillId="28" borderId="0" xfId="0" applyFont="1" applyFill="1" applyAlignment="1">
      <alignment horizontal="center" vertical="center"/>
    </xf>
    <xf numFmtId="2" fontId="16" fillId="0" borderId="15" xfId="36" applyNumberFormat="1" applyFont="1" applyFill="1" applyBorder="1" applyAlignment="1">
      <alignment horizontal="center" vertical="center" wrapText="1"/>
    </xf>
    <xf numFmtId="4" fontId="16" fillId="0" borderId="15" xfId="36" applyNumberFormat="1" applyFont="1" applyFill="1" applyBorder="1" applyAlignment="1">
      <alignment horizontal="center" vertical="center" wrapText="1"/>
    </xf>
    <xf numFmtId="0" fontId="41" fillId="0" borderId="0" xfId="0" applyFont="1"/>
    <xf numFmtId="10" fontId="105" fillId="28" borderId="0" xfId="0" applyNumberFormat="1" applyFont="1" applyFill="1" applyAlignment="1">
      <alignment vertical="center"/>
    </xf>
    <xf numFmtId="0" fontId="40" fillId="0" borderId="0" xfId="36" applyFont="1" applyAlignment="1">
      <alignment horizontal="center" vertical="center"/>
    </xf>
    <xf numFmtId="0" fontId="81" fillId="0" borderId="0" xfId="36" applyFont="1">
      <alignment vertical="top"/>
    </xf>
    <xf numFmtId="0" fontId="10" fillId="0" borderId="0" xfId="0" applyFont="1" applyAlignment="1">
      <alignment horizontal="center" vertical="center"/>
    </xf>
    <xf numFmtId="0" fontId="40" fillId="0" borderId="0" xfId="36" applyFont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36" applyFont="1" applyAlignment="1">
      <alignment horizontal="center" vertical="top"/>
    </xf>
    <xf numFmtId="49" fontId="31" fillId="0" borderId="15" xfId="0" applyNumberFormat="1" applyFont="1" applyBorder="1" applyAlignment="1">
      <alignment horizontal="center" vertical="center" wrapText="1"/>
    </xf>
    <xf numFmtId="0" fontId="78" fillId="0" borderId="0" xfId="39" applyFont="1"/>
    <xf numFmtId="0" fontId="70" fillId="0" borderId="0" xfId="39" applyFont="1" applyAlignment="1">
      <alignment wrapText="1"/>
    </xf>
    <xf numFmtId="0" fontId="114" fillId="0" borderId="0" xfId="39" applyFont="1" applyAlignment="1">
      <alignment wrapText="1"/>
    </xf>
    <xf numFmtId="0" fontId="115" fillId="0" borderId="0" xfId="39" applyFont="1" applyAlignment="1">
      <alignment wrapText="1"/>
    </xf>
    <xf numFmtId="0" fontId="78" fillId="0" borderId="0" xfId="39" applyFont="1" applyAlignment="1">
      <alignment wrapText="1"/>
    </xf>
    <xf numFmtId="0" fontId="118" fillId="0" borderId="0" xfId="39" applyFont="1" applyAlignment="1">
      <alignment wrapText="1"/>
    </xf>
    <xf numFmtId="4" fontId="116" fillId="28" borderId="24" xfId="39" applyNumberFormat="1" applyFont="1" applyFill="1" applyBorder="1" applyAlignment="1">
      <alignment horizontal="center" vertical="center" wrapText="1"/>
    </xf>
    <xf numFmtId="4" fontId="117" fillId="28" borderId="24" xfId="39" applyNumberFormat="1" applyFont="1" applyFill="1" applyBorder="1" applyAlignment="1">
      <alignment horizontal="center" vertical="center" wrapText="1"/>
    </xf>
    <xf numFmtId="0" fontId="78" fillId="0" borderId="0" xfId="39" applyFont="1" applyAlignment="1">
      <alignment vertical="center"/>
    </xf>
    <xf numFmtId="4" fontId="78" fillId="0" borderId="0" xfId="39" applyNumberFormat="1" applyFont="1"/>
    <xf numFmtId="0" fontId="111" fillId="0" borderId="0" xfId="0" applyFont="1" applyAlignment="1">
      <alignment horizontal="justify" vertical="center"/>
    </xf>
    <xf numFmtId="0" fontId="112" fillId="0" borderId="0" xfId="39" applyFont="1"/>
    <xf numFmtId="4" fontId="64" fillId="28" borderId="0" xfId="0" applyNumberFormat="1" applyFont="1" applyFill="1"/>
    <xf numFmtId="4" fontId="64" fillId="0" borderId="0" xfId="0" applyNumberFormat="1" applyFont="1"/>
    <xf numFmtId="0" fontId="78" fillId="28" borderId="24" xfId="0" applyFont="1" applyFill="1" applyBorder="1" applyAlignment="1">
      <alignment horizontal="center" vertical="center" wrapText="1"/>
    </xf>
    <xf numFmtId="0" fontId="78" fillId="28" borderId="24" xfId="0" applyFont="1" applyFill="1" applyBorder="1" applyAlignment="1">
      <alignment horizontal="left" vertical="center" wrapText="1"/>
    </xf>
    <xf numFmtId="4" fontId="78" fillId="28" borderId="24" xfId="0" applyNumberFormat="1" applyFont="1" applyFill="1" applyBorder="1" applyAlignment="1">
      <alignment horizontal="center" vertical="center" wrapText="1"/>
    </xf>
    <xf numFmtId="4" fontId="65" fillId="28" borderId="0" xfId="0" applyNumberFormat="1" applyFont="1" applyFill="1"/>
    <xf numFmtId="4" fontId="65" fillId="0" borderId="0" xfId="0" applyNumberFormat="1" applyFont="1"/>
    <xf numFmtId="0" fontId="78" fillId="0" borderId="0" xfId="0" applyFont="1"/>
    <xf numFmtId="0" fontId="67" fillId="0" borderId="0" xfId="0" applyFont="1"/>
    <xf numFmtId="49" fontId="63" fillId="0" borderId="15" xfId="0" applyNumberFormat="1" applyFont="1" applyBorder="1" applyAlignment="1">
      <alignment horizontal="center" vertical="center" wrapText="1"/>
    </xf>
    <xf numFmtId="49" fontId="67" fillId="28" borderId="0" xfId="0" applyNumberFormat="1" applyFont="1" applyFill="1" applyAlignment="1">
      <alignment horizontal="center" vertical="center" wrapText="1"/>
    </xf>
    <xf numFmtId="4" fontId="71" fillId="0" borderId="15" xfId="0" applyNumberFormat="1" applyFont="1" applyBorder="1" applyAlignment="1">
      <alignment horizontal="center" vertical="center" wrapText="1"/>
    </xf>
    <xf numFmtId="49" fontId="67" fillId="0" borderId="15" xfId="0" applyNumberFormat="1" applyFont="1" applyBorder="1" applyAlignment="1">
      <alignment horizontal="center" vertical="center" wrapText="1"/>
    </xf>
    <xf numFmtId="4" fontId="68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68" fillId="0" borderId="15" xfId="38" applyNumberFormat="1" applyFont="1" applyFill="1" applyBorder="1" applyAlignment="1">
      <alignment horizontal="center" vertical="center" wrapText="1"/>
    </xf>
    <xf numFmtId="4" fontId="71" fillId="0" borderId="15" xfId="38" applyNumberFormat="1" applyFont="1" applyFill="1" applyBorder="1" applyAlignment="1">
      <alignment horizontal="center" vertical="center" wrapText="1"/>
    </xf>
    <xf numFmtId="4" fontId="68" fillId="0" borderId="15" xfId="0" applyNumberFormat="1" applyFont="1" applyBorder="1" applyAlignment="1">
      <alignment horizontal="center" vertical="center"/>
    </xf>
    <xf numFmtId="0" fontId="113" fillId="28" borderId="0" xfId="0" applyFont="1" applyFill="1"/>
    <xf numFmtId="4" fontId="68" fillId="0" borderId="15" xfId="0" applyNumberFormat="1" applyFont="1" applyBorder="1" applyAlignment="1">
      <alignment horizontal="center" vertical="center" wrapText="1"/>
    </xf>
    <xf numFmtId="0" fontId="116" fillId="28" borderId="0" xfId="0" applyFont="1" applyFill="1"/>
    <xf numFmtId="49" fontId="66" fillId="0" borderId="15" xfId="0" applyNumberFormat="1" applyFont="1" applyBorder="1" applyAlignment="1">
      <alignment horizontal="center" vertical="center" wrapText="1"/>
    </xf>
    <xf numFmtId="4" fontId="83" fillId="0" borderId="15" xfId="0" applyNumberFormat="1" applyFont="1" applyBorder="1" applyAlignment="1">
      <alignment horizontal="center" vertical="center" wrapText="1"/>
    </xf>
    <xf numFmtId="0" fontId="117" fillId="28" borderId="0" xfId="0" applyFont="1" applyFill="1"/>
    <xf numFmtId="0" fontId="78" fillId="28" borderId="0" xfId="0" applyFont="1" applyFill="1"/>
    <xf numFmtId="49" fontId="92" fillId="0" borderId="15" xfId="0" applyNumberFormat="1" applyFont="1" applyBorder="1" applyAlignment="1">
      <alignment horizontal="center" vertical="center" wrapText="1"/>
    </xf>
    <xf numFmtId="4" fontId="119" fillId="0" borderId="15" xfId="0" applyNumberFormat="1" applyFont="1" applyBorder="1" applyAlignment="1">
      <alignment horizontal="center" vertical="center" wrapText="1"/>
    </xf>
    <xf numFmtId="4" fontId="120" fillId="28" borderId="0" xfId="0" applyNumberFormat="1" applyFont="1" applyFill="1" applyAlignment="1">
      <alignment horizontal="center" vertical="center"/>
    </xf>
    <xf numFmtId="4" fontId="74" fillId="28" borderId="0" xfId="0" applyNumberFormat="1" applyFont="1" applyFill="1"/>
    <xf numFmtId="49" fontId="92" fillId="28" borderId="15" xfId="0" applyNumberFormat="1" applyFont="1" applyFill="1" applyBorder="1" applyAlignment="1">
      <alignment horizontal="center" vertical="center" wrapText="1"/>
    </xf>
    <xf numFmtId="4" fontId="119" fillId="28" borderId="15" xfId="0" applyNumberFormat="1" applyFont="1" applyFill="1" applyBorder="1" applyAlignment="1">
      <alignment horizontal="center" vertical="center" wrapText="1"/>
    </xf>
    <xf numFmtId="49" fontId="63" fillId="28" borderId="15" xfId="0" applyNumberFormat="1" applyFont="1" applyFill="1" applyBorder="1" applyAlignment="1">
      <alignment horizontal="center" vertical="center" wrapText="1"/>
    </xf>
    <xf numFmtId="49" fontId="66" fillId="28" borderId="15" xfId="0" applyNumberFormat="1" applyFont="1" applyFill="1" applyBorder="1" applyAlignment="1">
      <alignment horizontal="center" vertical="center" wrapText="1"/>
    </xf>
    <xf numFmtId="4" fontId="83" fillId="28" borderId="15" xfId="0" applyNumberFormat="1" applyFont="1" applyFill="1" applyBorder="1" applyAlignment="1">
      <alignment horizontal="center" vertical="center" wrapText="1"/>
    </xf>
    <xf numFmtId="0" fontId="122" fillId="28" borderId="0" xfId="0" applyFont="1" applyFill="1"/>
    <xf numFmtId="4" fontId="68" fillId="28" borderId="0" xfId="0" applyNumberFormat="1" applyFont="1" applyFill="1" applyAlignment="1">
      <alignment horizontal="center" vertical="center" wrapText="1"/>
    </xf>
    <xf numFmtId="0" fontId="67" fillId="0" borderId="15" xfId="0" applyFont="1" applyBorder="1" applyAlignment="1">
      <alignment horizontal="center" vertical="center" wrapText="1"/>
    </xf>
    <xf numFmtId="4" fontId="71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92" fillId="0" borderId="15" xfId="38" applyFont="1" applyFill="1" applyBorder="1" applyAlignment="1" applyProtection="1">
      <alignment horizontal="center" vertical="center" wrapText="1"/>
      <protection locked="0"/>
    </xf>
    <xf numFmtId="0" fontId="67" fillId="28" borderId="15" xfId="38" applyFont="1" applyFill="1" applyBorder="1" applyAlignment="1" applyProtection="1">
      <alignment horizontal="center" vertical="center" wrapText="1"/>
      <protection locked="0"/>
    </xf>
    <xf numFmtId="0" fontId="67" fillId="0" borderId="0" xfId="38" applyFont="1" applyFill="1" applyBorder="1" applyAlignment="1" applyProtection="1">
      <alignment horizontal="center" wrapText="1"/>
      <protection locked="0"/>
    </xf>
    <xf numFmtId="0" fontId="67" fillId="0" borderId="17" xfId="38" applyFont="1" applyFill="1" applyBorder="1" applyAlignment="1" applyProtection="1">
      <alignment horizontal="center" vertical="top" wrapText="1"/>
      <protection locked="0"/>
    </xf>
    <xf numFmtId="4" fontId="119" fillId="28" borderId="0" xfId="0" applyNumberFormat="1" applyFont="1" applyFill="1" applyAlignment="1">
      <alignment horizontal="center" vertical="center" wrapText="1"/>
    </xf>
    <xf numFmtId="4" fontId="119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83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71" fillId="28" borderId="15" xfId="38" applyNumberFormat="1" applyFont="1" applyFill="1" applyBorder="1" applyAlignment="1" applyProtection="1">
      <alignment horizontal="center" vertical="center" wrapText="1"/>
      <protection locked="0"/>
    </xf>
    <xf numFmtId="4" fontId="68" fillId="28" borderId="15" xfId="38" applyNumberFormat="1" applyFont="1" applyFill="1" applyBorder="1" applyAlignment="1" applyProtection="1">
      <alignment horizontal="center" vertical="center" wrapText="1"/>
      <protection locked="0"/>
    </xf>
    <xf numFmtId="0" fontId="111" fillId="28" borderId="0" xfId="0" applyFont="1" applyFill="1"/>
    <xf numFmtId="0" fontId="67" fillId="28" borderId="0" xfId="38" applyFont="1" applyFill="1" applyBorder="1" applyAlignment="1" applyProtection="1">
      <alignment horizontal="center" wrapText="1"/>
      <protection locked="0"/>
    </xf>
    <xf numFmtId="0" fontId="67" fillId="28" borderId="17" xfId="38" applyFont="1" applyFill="1" applyBorder="1" applyAlignment="1" applyProtection="1">
      <alignment horizontal="center" vertical="top" wrapText="1"/>
      <protection locked="0"/>
    </xf>
    <xf numFmtId="4" fontId="66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66" fillId="0" borderId="15" xfId="0" applyFont="1" applyBorder="1" applyAlignment="1">
      <alignment horizontal="center" vertical="center" wrapText="1"/>
    </xf>
    <xf numFmtId="0" fontId="92" fillId="0" borderId="15" xfId="0" applyFont="1" applyBorder="1" applyAlignment="1">
      <alignment horizontal="center" vertical="center" wrapText="1"/>
    </xf>
    <xf numFmtId="0" fontId="123" fillId="0" borderId="0" xfId="0" applyFont="1" applyAlignment="1">
      <alignment horizontal="left" vertical="center"/>
    </xf>
    <xf numFmtId="0" fontId="124" fillId="0" borderId="0" xfId="0" applyFont="1" applyAlignment="1">
      <alignment horizontal="left" vertical="center"/>
    </xf>
    <xf numFmtId="0" fontId="78" fillId="0" borderId="0" xfId="35" applyFont="1"/>
    <xf numFmtId="0" fontId="79" fillId="0" borderId="9" xfId="35" applyFont="1" applyBorder="1"/>
    <xf numFmtId="0" fontId="79" fillId="0" borderId="10" xfId="35" applyFont="1" applyBorder="1"/>
    <xf numFmtId="0" fontId="115" fillId="0" borderId="0" xfId="35" applyFont="1"/>
    <xf numFmtId="49" fontId="118" fillId="36" borderId="15" xfId="0" applyNumberFormat="1" applyFont="1" applyFill="1" applyBorder="1" applyAlignment="1">
      <alignment horizontal="center" vertical="center" wrapText="1"/>
    </xf>
    <xf numFmtId="0" fontId="118" fillId="36" borderId="15" xfId="38" applyFont="1" applyFill="1" applyBorder="1" applyAlignment="1" applyProtection="1">
      <alignment horizontal="center" vertical="center" wrapText="1"/>
      <protection locked="0"/>
    </xf>
    <xf numFmtId="4" fontId="118" fillId="36" borderId="15" xfId="0" applyNumberFormat="1" applyFont="1" applyFill="1" applyBorder="1" applyAlignment="1">
      <alignment horizontal="center" vertical="center" wrapText="1"/>
    </xf>
    <xf numFmtId="0" fontId="125" fillId="0" borderId="0" xfId="35" applyFont="1"/>
    <xf numFmtId="49" fontId="114" fillId="35" borderId="15" xfId="0" applyNumberFormat="1" applyFont="1" applyFill="1" applyBorder="1" applyAlignment="1">
      <alignment horizontal="center" vertical="center" wrapText="1"/>
    </xf>
    <xf numFmtId="0" fontId="114" fillId="35" borderId="15" xfId="38" applyFont="1" applyFill="1" applyBorder="1" applyAlignment="1" applyProtection="1">
      <alignment horizontal="center" vertical="center" wrapText="1"/>
      <protection locked="0"/>
    </xf>
    <xf numFmtId="4" fontId="114" fillId="35" borderId="15" xfId="0" applyNumberFormat="1" applyFont="1" applyFill="1" applyBorder="1" applyAlignment="1">
      <alignment horizontal="center" vertical="center" wrapText="1"/>
    </xf>
    <xf numFmtId="0" fontId="70" fillId="0" borderId="0" xfId="35" applyFont="1" applyAlignment="1">
      <alignment horizontal="center" vertical="center" wrapText="1"/>
    </xf>
    <xf numFmtId="4" fontId="114" fillId="0" borderId="0" xfId="35" applyNumberFormat="1" applyFont="1" applyAlignment="1">
      <alignment horizontal="center" vertical="center"/>
    </xf>
    <xf numFmtId="0" fontId="126" fillId="0" borderId="0" xfId="0" applyFont="1" applyAlignment="1">
      <alignment vertical="center"/>
    </xf>
    <xf numFmtId="4" fontId="127" fillId="0" borderId="0" xfId="0" applyNumberFormat="1" applyFont="1" applyAlignment="1">
      <alignment vertical="center"/>
    </xf>
    <xf numFmtId="4" fontId="128" fillId="0" borderId="0" xfId="0" applyNumberFormat="1" applyFont="1" applyAlignment="1">
      <alignment vertical="center"/>
    </xf>
    <xf numFmtId="0" fontId="128" fillId="0" borderId="0" xfId="0" applyFont="1" applyAlignment="1">
      <alignment vertical="center"/>
    </xf>
    <xf numFmtId="4" fontId="126" fillId="0" borderId="0" xfId="0" applyNumberFormat="1" applyFont="1" applyAlignment="1">
      <alignment vertical="center"/>
    </xf>
    <xf numFmtId="0" fontId="127" fillId="0" borderId="0" xfId="0" applyFont="1" applyAlignment="1">
      <alignment vertical="center"/>
    </xf>
    <xf numFmtId="0" fontId="129" fillId="0" borderId="0" xfId="35" applyFont="1"/>
    <xf numFmtId="0" fontId="68" fillId="0" borderId="0" xfId="35" applyFont="1"/>
    <xf numFmtId="0" fontId="130" fillId="0" borderId="0" xfId="35" applyFont="1"/>
    <xf numFmtId="0" fontId="87" fillId="0" borderId="0" xfId="0" applyFont="1" applyAlignment="1">
      <alignment vertical="center"/>
    </xf>
    <xf numFmtId="0" fontId="131" fillId="27" borderId="0" xfId="0" applyFont="1" applyFill="1"/>
    <xf numFmtId="0" fontId="64" fillId="27" borderId="0" xfId="0" applyFont="1" applyFill="1"/>
    <xf numFmtId="0" fontId="67" fillId="0" borderId="0" xfId="0" applyFont="1" applyAlignment="1">
      <alignment vertical="center"/>
    </xf>
    <xf numFmtId="0" fontId="65" fillId="27" borderId="0" xfId="0" applyFont="1" applyFill="1"/>
    <xf numFmtId="4" fontId="67" fillId="0" borderId="15" xfId="0" applyNumberFormat="1" applyFont="1" applyBorder="1" applyAlignment="1">
      <alignment horizontal="center" vertical="center" wrapText="1"/>
    </xf>
    <xf numFmtId="0" fontId="132" fillId="27" borderId="0" xfId="0" applyFont="1" applyFill="1"/>
    <xf numFmtId="49" fontId="67" fillId="27" borderId="15" xfId="0" applyNumberFormat="1" applyFont="1" applyFill="1" applyBorder="1" applyAlignment="1">
      <alignment horizontal="center" vertical="center" wrapText="1"/>
    </xf>
    <xf numFmtId="4" fontId="67" fillId="27" borderId="15" xfId="0" applyNumberFormat="1" applyFont="1" applyFill="1" applyBorder="1" applyAlignment="1">
      <alignment horizontal="center" vertical="center" wrapText="1"/>
    </xf>
    <xf numFmtId="49" fontId="67" fillId="27" borderId="15" xfId="0" applyNumberFormat="1" applyFont="1" applyFill="1" applyBorder="1" applyAlignment="1">
      <alignment horizontal="left" vertical="center" wrapText="1"/>
    </xf>
    <xf numFmtId="0" fontId="67" fillId="0" borderId="0" xfId="39" applyFont="1"/>
    <xf numFmtId="0" fontId="67" fillId="0" borderId="0" xfId="0" applyFont="1" applyAlignment="1">
      <alignment horizontal="left" vertical="center"/>
    </xf>
    <xf numFmtId="0" fontId="74" fillId="27" borderId="0" xfId="0" applyFont="1" applyFill="1"/>
    <xf numFmtId="0" fontId="87" fillId="27" borderId="0" xfId="0" applyFont="1" applyFill="1" applyAlignment="1">
      <alignment vertical="center"/>
    </xf>
    <xf numFmtId="0" fontId="78" fillId="28" borderId="0" xfId="35" applyFont="1" applyFill="1"/>
    <xf numFmtId="49" fontId="118" fillId="30" borderId="15" xfId="0" applyNumberFormat="1" applyFont="1" applyFill="1" applyBorder="1" applyAlignment="1">
      <alignment horizontal="center" vertical="center" wrapText="1"/>
    </xf>
    <xf numFmtId="0" fontId="118" fillId="30" borderId="15" xfId="38" applyFont="1" applyFill="1" applyBorder="1" applyAlignment="1" applyProtection="1">
      <alignment horizontal="center" vertical="center" wrapText="1"/>
      <protection locked="0"/>
    </xf>
    <xf numFmtId="4" fontId="118" fillId="30" borderId="15" xfId="0" applyNumberFormat="1" applyFont="1" applyFill="1" applyBorder="1" applyAlignment="1">
      <alignment horizontal="center" vertical="center" wrapText="1"/>
    </xf>
    <xf numFmtId="49" fontId="114" fillId="31" borderId="15" xfId="0" applyNumberFormat="1" applyFont="1" applyFill="1" applyBorder="1" applyAlignment="1">
      <alignment horizontal="center" vertical="center" wrapText="1"/>
    </xf>
    <xf numFmtId="0" fontId="114" fillId="31" borderId="15" xfId="38" applyFont="1" applyFill="1" applyBorder="1" applyAlignment="1" applyProtection="1">
      <alignment horizontal="center" vertical="center" wrapText="1"/>
      <protection locked="0"/>
    </xf>
    <xf numFmtId="4" fontId="114" fillId="31" borderId="15" xfId="0" applyNumberFormat="1" applyFont="1" applyFill="1" applyBorder="1" applyAlignment="1">
      <alignment horizontal="center" vertical="center" wrapText="1"/>
    </xf>
    <xf numFmtId="49" fontId="70" fillId="28" borderId="15" xfId="0" applyNumberFormat="1" applyFont="1" applyFill="1" applyBorder="1" applyAlignment="1">
      <alignment horizontal="center" vertical="center" wrapText="1"/>
    </xf>
    <xf numFmtId="0" fontId="70" fillId="28" borderId="15" xfId="18" applyFont="1" applyFill="1" applyBorder="1" applyAlignment="1">
      <alignment horizontal="center" vertical="center" wrapText="1"/>
    </xf>
    <xf numFmtId="0" fontId="114" fillId="28" borderId="15" xfId="35" applyFont="1" applyFill="1" applyBorder="1" applyAlignment="1">
      <alignment horizontal="center" vertical="center" wrapText="1"/>
    </xf>
    <xf numFmtId="4" fontId="114" fillId="28" borderId="15" xfId="35" applyNumberFormat="1" applyFont="1" applyFill="1" applyBorder="1" applyAlignment="1">
      <alignment horizontal="center" vertical="center" wrapText="1"/>
    </xf>
    <xf numFmtId="4" fontId="70" fillId="28" borderId="15" xfId="0" applyNumberFormat="1" applyFont="1" applyFill="1" applyBorder="1" applyAlignment="1">
      <alignment horizontal="center" vertical="center" wrapText="1"/>
    </xf>
    <xf numFmtId="166" fontId="70" fillId="28" borderId="15" xfId="30" applyNumberFormat="1" applyFont="1" applyFill="1" applyBorder="1" applyAlignment="1">
      <alignment horizontal="center" vertical="center"/>
    </xf>
    <xf numFmtId="4" fontId="70" fillId="28" borderId="15" xfId="30" applyNumberFormat="1" applyFont="1" applyFill="1" applyBorder="1" applyAlignment="1">
      <alignment horizontal="center" vertical="center"/>
    </xf>
    <xf numFmtId="9" fontId="70" fillId="28" borderId="15" xfId="0" applyNumberFormat="1" applyFont="1" applyFill="1" applyBorder="1" applyAlignment="1">
      <alignment horizontal="center" vertical="center" wrapText="1"/>
    </xf>
    <xf numFmtId="9" fontId="118" fillId="36" borderId="15" xfId="0" applyNumberFormat="1" applyFont="1" applyFill="1" applyBorder="1" applyAlignment="1">
      <alignment horizontal="center" vertical="center" wrapText="1"/>
    </xf>
    <xf numFmtId="9" fontId="114" fillId="35" borderId="15" xfId="0" applyNumberFormat="1" applyFont="1" applyFill="1" applyBorder="1" applyAlignment="1">
      <alignment horizontal="center" vertical="center" wrapText="1"/>
    </xf>
    <xf numFmtId="49" fontId="70" fillId="0" borderId="15" xfId="0" applyNumberFormat="1" applyFont="1" applyBorder="1" applyAlignment="1">
      <alignment horizontal="center" vertical="center" wrapText="1"/>
    </xf>
    <xf numFmtId="166" fontId="70" fillId="0" borderId="15" xfId="30" applyNumberFormat="1" applyFont="1" applyBorder="1" applyAlignment="1">
      <alignment horizontal="center" vertical="center" wrapText="1"/>
    </xf>
    <xf numFmtId="166" fontId="70" fillId="0" borderId="15" xfId="30" applyNumberFormat="1" applyFont="1" applyBorder="1" applyAlignment="1">
      <alignment horizontal="center" vertical="center"/>
    </xf>
    <xf numFmtId="4" fontId="70" fillId="0" borderId="15" xfId="30" applyNumberFormat="1" applyFont="1" applyBorder="1" applyAlignment="1">
      <alignment horizontal="center" vertical="center"/>
    </xf>
    <xf numFmtId="4" fontId="70" fillId="0" borderId="15" xfId="0" applyNumberFormat="1" applyFont="1" applyBorder="1" applyAlignment="1">
      <alignment horizontal="center" vertical="center" wrapText="1"/>
    </xf>
    <xf numFmtId="9" fontId="70" fillId="0" borderId="15" xfId="0" applyNumberFormat="1" applyFont="1" applyBorder="1" applyAlignment="1">
      <alignment horizontal="center" vertical="center" wrapText="1"/>
    </xf>
    <xf numFmtId="0" fontId="133" fillId="28" borderId="0" xfId="35" applyFont="1" applyFill="1" applyAlignment="1">
      <alignment horizontal="left" vertical="center"/>
    </xf>
    <xf numFmtId="4" fontId="78" fillId="28" borderId="0" xfId="35" applyNumberFormat="1" applyFont="1" applyFill="1" applyAlignment="1">
      <alignment horizontal="left" vertical="center"/>
    </xf>
    <xf numFmtId="0" fontId="113" fillId="28" borderId="0" xfId="35" applyFont="1" applyFill="1" applyAlignment="1">
      <alignment horizontal="left" vertical="center"/>
    </xf>
    <xf numFmtId="0" fontId="70" fillId="0" borderId="15" xfId="100" applyFont="1" applyBorder="1" applyAlignment="1">
      <alignment horizontal="center" vertical="center" wrapText="1"/>
    </xf>
    <xf numFmtId="0" fontId="70" fillId="28" borderId="15" xfId="100" applyFont="1" applyFill="1" applyBorder="1" applyAlignment="1">
      <alignment horizontal="center" vertical="center" wrapText="1"/>
    </xf>
    <xf numFmtId="49" fontId="118" fillId="32" borderId="15" xfId="0" applyNumberFormat="1" applyFont="1" applyFill="1" applyBorder="1" applyAlignment="1">
      <alignment horizontal="center" vertical="center" wrapText="1"/>
    </xf>
    <xf numFmtId="0" fontId="118" fillId="32" borderId="15" xfId="38" applyFont="1" applyFill="1" applyBorder="1" applyAlignment="1" applyProtection="1">
      <alignment horizontal="center" vertical="center" wrapText="1"/>
      <protection locked="0"/>
    </xf>
    <xf numFmtId="4" fontId="118" fillId="32" borderId="15" xfId="0" applyNumberFormat="1" applyFont="1" applyFill="1" applyBorder="1" applyAlignment="1">
      <alignment horizontal="center" vertical="center" wrapText="1"/>
    </xf>
    <xf numFmtId="9" fontId="118" fillId="32" borderId="15" xfId="0" applyNumberFormat="1" applyFont="1" applyFill="1" applyBorder="1" applyAlignment="1">
      <alignment horizontal="center" vertical="center" wrapText="1"/>
    </xf>
    <xf numFmtId="49" fontId="114" fillId="33" borderId="15" xfId="0" applyNumberFormat="1" applyFont="1" applyFill="1" applyBorder="1" applyAlignment="1">
      <alignment horizontal="center" vertical="center" wrapText="1"/>
    </xf>
    <xf numFmtId="0" fontId="114" fillId="33" borderId="15" xfId="38" applyFont="1" applyFill="1" applyBorder="1" applyAlignment="1" applyProtection="1">
      <alignment horizontal="center" vertical="center" wrapText="1"/>
      <protection locked="0"/>
    </xf>
    <xf numFmtId="4" fontId="114" fillId="33" borderId="15" xfId="0" applyNumberFormat="1" applyFont="1" applyFill="1" applyBorder="1" applyAlignment="1">
      <alignment horizontal="center" vertical="center" wrapText="1"/>
    </xf>
    <xf numFmtId="9" fontId="114" fillId="33" borderId="15" xfId="0" applyNumberFormat="1" applyFont="1" applyFill="1" applyBorder="1" applyAlignment="1">
      <alignment horizontal="center" vertical="center" wrapText="1"/>
    </xf>
    <xf numFmtId="9" fontId="70" fillId="0" borderId="15" xfId="30" applyNumberFormat="1" applyFont="1" applyBorder="1" applyAlignment="1">
      <alignment horizontal="center" vertical="center"/>
    </xf>
    <xf numFmtId="0" fontId="70" fillId="0" borderId="15" xfId="18" applyFont="1" applyBorder="1" applyAlignment="1">
      <alignment horizontal="center" vertical="center" wrapText="1"/>
    </xf>
    <xf numFmtId="0" fontId="117" fillId="28" borderId="0" xfId="35" applyFont="1" applyFill="1"/>
    <xf numFmtId="0" fontId="135" fillId="28" borderId="0" xfId="35" applyFont="1" applyFill="1" applyAlignment="1">
      <alignment vertical="center"/>
    </xf>
    <xf numFmtId="0" fontId="70" fillId="0" borderId="15" xfId="0" applyFont="1" applyBorder="1" applyAlignment="1">
      <alignment horizontal="center" vertical="center" wrapText="1"/>
    </xf>
    <xf numFmtId="0" fontId="70" fillId="0" borderId="15" xfId="45" applyFont="1" applyBorder="1" applyAlignment="1">
      <alignment horizontal="center" vertical="center" wrapText="1"/>
    </xf>
    <xf numFmtId="4" fontId="111" fillId="28" borderId="0" xfId="35" applyNumberFormat="1" applyFont="1" applyFill="1" applyAlignment="1">
      <alignment horizontal="center" vertical="center"/>
    </xf>
    <xf numFmtId="0" fontId="111" fillId="0" borderId="0" xfId="35" applyFont="1"/>
    <xf numFmtId="0" fontId="78" fillId="6" borderId="0" xfId="35" applyFont="1" applyFill="1"/>
    <xf numFmtId="0" fontId="78" fillId="25" borderId="0" xfId="35" applyFont="1" applyFill="1"/>
    <xf numFmtId="0" fontId="117" fillId="0" borderId="0" xfId="35" applyFont="1"/>
    <xf numFmtId="0" fontId="78" fillId="26" borderId="0" xfId="35" applyFont="1" applyFill="1" applyAlignment="1">
      <alignment horizontal="center" vertical="center"/>
    </xf>
    <xf numFmtId="0" fontId="68" fillId="26" borderId="0" xfId="35" applyFont="1" applyFill="1" applyAlignment="1">
      <alignment horizontal="center" vertical="center"/>
    </xf>
    <xf numFmtId="4" fontId="83" fillId="29" borderId="14" xfId="0" applyNumberFormat="1" applyFont="1" applyFill="1" applyBorder="1" applyAlignment="1">
      <alignment horizontal="center" vertical="center" wrapText="1"/>
    </xf>
    <xf numFmtId="166" fontId="67" fillId="0" borderId="15" xfId="30" applyNumberFormat="1" applyFont="1" applyBorder="1" applyAlignment="1">
      <alignment horizontal="center" vertical="center" wrapText="1"/>
    </xf>
    <xf numFmtId="4" fontId="67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83" fillId="29" borderId="0" xfId="0" applyNumberFormat="1" applyFont="1" applyFill="1" applyAlignment="1">
      <alignment horizontal="center" vertical="center" wrapText="1"/>
    </xf>
    <xf numFmtId="166" fontId="67" fillId="28" borderId="15" xfId="30" applyNumberFormat="1" applyFont="1" applyFill="1" applyBorder="1" applyAlignment="1">
      <alignment horizontal="center" vertical="center" wrapText="1"/>
    </xf>
    <xf numFmtId="4" fontId="67" fillId="28" borderId="15" xfId="38" applyNumberFormat="1" applyFont="1" applyFill="1" applyBorder="1" applyAlignment="1" applyProtection="1">
      <alignment horizontal="center" vertical="center" wrapText="1"/>
      <protection locked="0"/>
    </xf>
    <xf numFmtId="4" fontId="137" fillId="28" borderId="0" xfId="0" applyNumberFormat="1" applyFont="1" applyFill="1" applyAlignment="1">
      <alignment horizontal="center" vertical="center" wrapText="1"/>
    </xf>
    <xf numFmtId="4" fontId="83" fillId="29" borderId="8" xfId="0" applyNumberFormat="1" applyFont="1" applyFill="1" applyBorder="1" applyAlignment="1">
      <alignment horizontal="center" vertical="center" wrapText="1"/>
    </xf>
    <xf numFmtId="0" fontId="83" fillId="28" borderId="0" xfId="0" applyFont="1" applyFill="1" applyAlignment="1">
      <alignment horizontal="center" vertical="center"/>
    </xf>
    <xf numFmtId="0" fontId="67" fillId="28" borderId="15" xfId="0" applyFont="1" applyFill="1" applyBorder="1" applyAlignment="1">
      <alignment horizontal="center" vertical="center" wrapText="1"/>
    </xf>
    <xf numFmtId="166" fontId="67" fillId="28" borderId="0" xfId="30" applyNumberFormat="1" applyFont="1" applyFill="1" applyAlignment="1">
      <alignment horizontal="center" vertical="center" wrapText="1"/>
    </xf>
    <xf numFmtId="166" fontId="67" fillId="26" borderId="15" xfId="30" applyNumberFormat="1" applyFont="1" applyFill="1" applyBorder="1" applyAlignment="1">
      <alignment horizontal="center" vertical="center" wrapText="1"/>
    </xf>
    <xf numFmtId="4" fontId="67" fillId="26" borderId="15" xfId="0" applyNumberFormat="1" applyFont="1" applyFill="1" applyBorder="1" applyAlignment="1">
      <alignment horizontal="center" vertical="center" wrapText="1"/>
    </xf>
    <xf numFmtId="4" fontId="67" fillId="28" borderId="0" xfId="30" applyNumberFormat="1" applyFont="1" applyFill="1" applyAlignment="1">
      <alignment horizontal="center" vertical="center" wrapText="1"/>
    </xf>
    <xf numFmtId="4" fontId="138" fillId="0" borderId="15" xfId="0" applyNumberFormat="1" applyFont="1" applyBorder="1" applyAlignment="1">
      <alignment horizontal="center" vertical="center" wrapText="1"/>
    </xf>
    <xf numFmtId="4" fontId="67" fillId="0" borderId="16" xfId="0" applyNumberFormat="1" applyFont="1" applyBorder="1" applyAlignment="1">
      <alignment horizontal="center" vertical="center" wrapText="1"/>
    </xf>
    <xf numFmtId="4" fontId="138" fillId="28" borderId="15" xfId="0" applyNumberFormat="1" applyFont="1" applyFill="1" applyBorder="1" applyAlignment="1">
      <alignment horizontal="center" vertical="center" wrapText="1"/>
    </xf>
    <xf numFmtId="4" fontId="67" fillId="28" borderId="16" xfId="0" applyNumberFormat="1" applyFont="1" applyFill="1" applyBorder="1" applyAlignment="1">
      <alignment horizontal="center" vertical="center" wrapText="1"/>
    </xf>
    <xf numFmtId="4" fontId="66" fillId="28" borderId="0" xfId="38" applyNumberFormat="1" applyFont="1" applyFill="1" applyBorder="1" applyAlignment="1" applyProtection="1">
      <alignment horizontal="center" vertical="center" wrapText="1"/>
      <protection locked="0"/>
    </xf>
    <xf numFmtId="4" fontId="67" fillId="0" borderId="15" xfId="38" applyNumberFormat="1" applyFont="1" applyFill="1" applyBorder="1" applyAlignment="1">
      <alignment horizontal="center" vertical="center" wrapText="1"/>
    </xf>
    <xf numFmtId="4" fontId="67" fillId="28" borderId="15" xfId="38" applyNumberFormat="1" applyFont="1" applyFill="1" applyBorder="1" applyAlignment="1">
      <alignment horizontal="center" vertical="center" wrapText="1"/>
    </xf>
    <xf numFmtId="4" fontId="67" fillId="0" borderId="16" xfId="38" applyNumberFormat="1" applyFont="1" applyFill="1" applyBorder="1" applyAlignment="1" applyProtection="1">
      <alignment horizontal="center" vertical="center" wrapText="1"/>
      <protection locked="0"/>
    </xf>
    <xf numFmtId="4" fontId="67" fillId="0" borderId="16" xfId="38" applyNumberFormat="1" applyFont="1" applyFill="1" applyBorder="1" applyAlignment="1">
      <alignment horizontal="center" vertical="center" wrapText="1"/>
    </xf>
    <xf numFmtId="0" fontId="139" fillId="28" borderId="0" xfId="0" applyFont="1" applyFill="1" applyAlignment="1">
      <alignment horizontal="center" vertical="center"/>
    </xf>
    <xf numFmtId="0" fontId="140" fillId="28" borderId="0" xfId="0" applyFont="1" applyFill="1"/>
    <xf numFmtId="4" fontId="63" fillId="0" borderId="0" xfId="36" applyNumberFormat="1" applyFont="1" applyFill="1" applyBorder="1" applyAlignment="1">
      <alignment horizontal="center" vertical="center" wrapText="1"/>
    </xf>
    <xf numFmtId="4" fontId="63" fillId="0" borderId="0" xfId="0" applyNumberFormat="1" applyFont="1" applyAlignment="1">
      <alignment vertical="center"/>
    </xf>
    <xf numFmtId="4" fontId="141" fillId="0" borderId="0" xfId="0" applyNumberFormat="1" applyFont="1" applyAlignment="1">
      <alignment vertical="center"/>
    </xf>
    <xf numFmtId="4" fontId="142" fillId="0" borderId="0" xfId="0" applyNumberFormat="1" applyFont="1" applyAlignment="1">
      <alignment vertical="center"/>
    </xf>
    <xf numFmtId="0" fontId="141" fillId="0" borderId="0" xfId="0" applyFont="1" applyAlignment="1">
      <alignment vertical="center"/>
    </xf>
    <xf numFmtId="4" fontId="143" fillId="0" borderId="0" xfId="0" applyNumberFormat="1" applyFont="1" applyAlignment="1">
      <alignment vertical="center"/>
    </xf>
    <xf numFmtId="4" fontId="87" fillId="0" borderId="0" xfId="0" applyNumberFormat="1" applyFont="1" applyAlignment="1">
      <alignment vertical="center"/>
    </xf>
    <xf numFmtId="0" fontId="143" fillId="0" borderId="0" xfId="0" applyFont="1" applyAlignment="1">
      <alignment vertical="center"/>
    </xf>
    <xf numFmtId="0" fontId="144" fillId="0" borderId="0" xfId="0" applyFont="1"/>
    <xf numFmtId="0" fontId="142" fillId="0" borderId="0" xfId="0" applyFont="1" applyAlignment="1">
      <alignment vertical="center"/>
    </xf>
    <xf numFmtId="2" fontId="81" fillId="0" borderId="0" xfId="36" applyNumberFormat="1" applyFont="1" applyAlignment="1">
      <alignment horizontal="center" vertical="top"/>
    </xf>
    <xf numFmtId="2" fontId="111" fillId="0" borderId="15" xfId="36" applyNumberFormat="1" applyFont="1" applyFill="1" applyBorder="1" applyAlignment="1">
      <alignment horizontal="center" vertical="center" wrapText="1"/>
    </xf>
    <xf numFmtId="4" fontId="111" fillId="0" borderId="15" xfId="36" applyNumberFormat="1" applyFont="1" applyFill="1" applyBorder="1" applyAlignment="1">
      <alignment horizontal="center" vertical="center"/>
    </xf>
    <xf numFmtId="2" fontId="111" fillId="28" borderId="15" xfId="36" applyNumberFormat="1" applyFont="1" applyFill="1" applyBorder="1" applyAlignment="1">
      <alignment horizontal="center" vertical="center" wrapText="1"/>
    </xf>
    <xf numFmtId="2" fontId="145" fillId="28" borderId="15" xfId="36" applyNumberFormat="1" applyFont="1" applyFill="1" applyBorder="1" applyAlignment="1">
      <alignment horizontal="center" vertical="center" wrapText="1"/>
    </xf>
    <xf numFmtId="0" fontId="64" fillId="28" borderId="15" xfId="0" applyFont="1" applyFill="1" applyBorder="1" applyAlignment="1">
      <alignment horizontal="center"/>
    </xf>
    <xf numFmtId="4" fontId="111" fillId="28" borderId="15" xfId="36" applyNumberFormat="1" applyFont="1" applyFill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2" fontId="69" fillId="0" borderId="0" xfId="36" applyNumberFormat="1" applyFont="1" applyFill="1" applyBorder="1" applyAlignment="1">
      <alignment horizontal="left" vertical="center" wrapText="1"/>
    </xf>
    <xf numFmtId="0" fontId="64" fillId="0" borderId="0" xfId="0" applyFont="1" applyAlignment="1">
      <alignment horizontal="left"/>
    </xf>
    <xf numFmtId="4" fontId="69" fillId="0" borderId="0" xfId="36" applyNumberFormat="1" applyFont="1" applyFill="1" applyBorder="1" applyAlignment="1">
      <alignment horizontal="center" vertical="center" wrapText="1"/>
    </xf>
    <xf numFmtId="2" fontId="81" fillId="0" borderId="0" xfId="36" applyNumberFormat="1" applyFont="1" applyFill="1" applyAlignment="1">
      <alignment horizontal="center" vertical="top"/>
    </xf>
    <xf numFmtId="0" fontId="136" fillId="0" borderId="0" xfId="36" applyFont="1">
      <alignment vertical="top"/>
    </xf>
    <xf numFmtId="2" fontId="136" fillId="0" borderId="0" xfId="36" applyNumberFormat="1" applyFont="1">
      <alignment vertical="top"/>
    </xf>
    <xf numFmtId="0" fontId="145" fillId="0" borderId="0" xfId="36" applyFont="1" applyAlignment="1">
      <alignment horizontal="center" vertical="top" wrapText="1"/>
    </xf>
    <xf numFmtId="2" fontId="145" fillId="0" borderId="0" xfId="36" applyNumberFormat="1" applyFont="1" applyAlignment="1">
      <alignment horizontal="center" vertical="top" wrapText="1"/>
    </xf>
    <xf numFmtId="167" fontId="111" fillId="0" borderId="0" xfId="36" applyNumberFormat="1" applyFont="1" applyAlignment="1">
      <alignment horizontal="center" vertical="top"/>
    </xf>
    <xf numFmtId="0" fontId="146" fillId="0" borderId="0" xfId="38" applyFont="1" applyAlignment="1" applyProtection="1">
      <alignment horizontal="left" vertical="center" wrapText="1"/>
      <protection locked="0"/>
    </xf>
    <xf numFmtId="0" fontId="145" fillId="0" borderId="0" xfId="36" applyFont="1" applyAlignment="1">
      <alignment horizontal="left" vertical="top" wrapText="1"/>
    </xf>
    <xf numFmtId="0" fontId="130" fillId="0" borderId="0" xfId="36" applyFont="1">
      <alignment vertical="top"/>
    </xf>
    <xf numFmtId="0" fontId="112" fillId="0" borderId="0" xfId="0" applyFont="1"/>
    <xf numFmtId="0" fontId="112" fillId="0" borderId="0" xfId="0" applyFont="1" applyAlignment="1">
      <alignment horizontal="center" vertical="center"/>
    </xf>
    <xf numFmtId="4" fontId="112" fillId="0" borderId="0" xfId="0" applyNumberFormat="1" applyFont="1" applyAlignment="1">
      <alignment horizontal="center" vertical="center"/>
    </xf>
    <xf numFmtId="0" fontId="130" fillId="0" borderId="0" xfId="0" applyFont="1"/>
    <xf numFmtId="0" fontId="39" fillId="0" borderId="0" xfId="36" applyFont="1">
      <alignment vertical="top"/>
    </xf>
    <xf numFmtId="0" fontId="147" fillId="0" borderId="0" xfId="36" applyFont="1">
      <alignment vertical="top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93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39" fillId="0" borderId="0" xfId="36" applyFont="1" applyFill="1" applyAlignment="1">
      <alignment vertical="center"/>
    </xf>
    <xf numFmtId="0" fontId="12" fillId="0" borderId="0" xfId="0" applyFont="1"/>
    <xf numFmtId="0" fontId="17" fillId="0" borderId="0" xfId="0" applyFont="1"/>
    <xf numFmtId="0" fontId="17" fillId="0" borderId="15" xfId="0" applyFont="1" applyBorder="1" applyAlignment="1">
      <alignment horizontal="center" vertical="top" wrapText="1"/>
    </xf>
    <xf numFmtId="0" fontId="17" fillId="0" borderId="15" xfId="35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/>
    </xf>
    <xf numFmtId="4" fontId="16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 wrapText="1"/>
    </xf>
    <xf numFmtId="49" fontId="30" fillId="0" borderId="15" xfId="0" applyNumberFormat="1" applyFont="1" applyBorder="1" applyAlignment="1">
      <alignment horizontal="center" vertical="center" wrapText="1"/>
    </xf>
    <xf numFmtId="4" fontId="32" fillId="0" borderId="15" xfId="38" applyNumberFormat="1" applyFont="1" applyFill="1" applyBorder="1" applyAlignment="1" applyProtection="1">
      <alignment horizontal="center" vertical="center" wrapText="1"/>
      <protection locked="0"/>
    </xf>
    <xf numFmtId="49" fontId="72" fillId="0" borderId="15" xfId="0" applyNumberFormat="1" applyFont="1" applyBorder="1" applyAlignment="1">
      <alignment horizontal="center" vertical="center" wrapText="1"/>
    </xf>
    <xf numFmtId="4" fontId="85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33" fillId="0" borderId="15" xfId="0" applyNumberFormat="1" applyFont="1" applyBorder="1" applyAlignment="1">
      <alignment horizontal="center" vertical="center" wrapText="1"/>
    </xf>
    <xf numFmtId="4" fontId="33" fillId="0" borderId="15" xfId="0" applyNumberFormat="1" applyFont="1" applyBorder="1" applyAlignment="1">
      <alignment horizontal="center" vertical="center"/>
    </xf>
    <xf numFmtId="4" fontId="85" fillId="0" borderId="15" xfId="0" applyNumberFormat="1" applyFont="1" applyBorder="1" applyAlignment="1">
      <alignment horizontal="center" vertical="center" wrapText="1"/>
    </xf>
    <xf numFmtId="4" fontId="102" fillId="28" borderId="0" xfId="0" applyNumberFormat="1" applyFont="1" applyFill="1" applyAlignment="1">
      <alignment horizontal="center" vertical="center" wrapText="1"/>
    </xf>
    <xf numFmtId="0" fontId="149" fillId="0" borderId="0" xfId="0" applyFont="1" applyAlignment="1">
      <alignment vertical="center"/>
    </xf>
    <xf numFmtId="0" fontId="149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30" fillId="0" borderId="15" xfId="0" applyFont="1" applyBorder="1" applyAlignment="1">
      <alignment horizontal="center" vertical="top" wrapText="1"/>
    </xf>
    <xf numFmtId="0" fontId="30" fillId="0" borderId="15" xfId="0" applyFont="1" applyBorder="1" applyAlignment="1">
      <alignment horizontal="center" vertical="center" wrapText="1"/>
    </xf>
    <xf numFmtId="49" fontId="31" fillId="0" borderId="15" xfId="0" applyNumberFormat="1" applyFont="1" applyBorder="1" applyAlignment="1">
      <alignment horizontal="left" vertical="center" wrapText="1"/>
    </xf>
    <xf numFmtId="4" fontId="31" fillId="0" borderId="15" xfId="0" applyNumberFormat="1" applyFont="1" applyBorder="1" applyAlignment="1">
      <alignment horizontal="center" vertical="center" wrapText="1"/>
    </xf>
    <xf numFmtId="0" fontId="34" fillId="0" borderId="0" xfId="0" applyFont="1"/>
    <xf numFmtId="0" fontId="31" fillId="0" borderId="15" xfId="0" applyFont="1" applyBorder="1" applyAlignment="1">
      <alignment horizontal="center" vertical="top" wrapText="1"/>
    </xf>
    <xf numFmtId="166" fontId="31" fillId="0" borderId="15" xfId="30" applyNumberFormat="1" applyFont="1" applyBorder="1" applyAlignment="1">
      <alignment horizontal="center" vertical="center" wrapText="1"/>
    </xf>
    <xf numFmtId="4" fontId="31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152" fillId="28" borderId="0" xfId="0" applyFont="1" applyFill="1"/>
    <xf numFmtId="0" fontId="153" fillId="28" borderId="0" xfId="0" applyFont="1" applyFill="1"/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4" fontId="16" fillId="37" borderId="15" xfId="0" applyNumberFormat="1" applyFont="1" applyFill="1" applyBorder="1" applyAlignment="1">
      <alignment horizontal="center" vertical="center"/>
    </xf>
    <xf numFmtId="0" fontId="154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1" fillId="0" borderId="0" xfId="0" applyFont="1" applyAlignment="1">
      <alignment horizontal="center" vertical="top"/>
    </xf>
    <xf numFmtId="0" fontId="155" fillId="0" borderId="0" xfId="0" applyFont="1"/>
    <xf numFmtId="0" fontId="156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right"/>
    </xf>
    <xf numFmtId="0" fontId="161" fillId="0" borderId="24" xfId="0" applyFont="1" applyBorder="1" applyAlignment="1">
      <alignment horizontal="center" vertical="center" wrapText="1"/>
    </xf>
    <xf numFmtId="0" fontId="162" fillId="0" borderId="24" xfId="0" applyFont="1" applyBorder="1" applyAlignment="1">
      <alignment horizontal="center" vertical="top" wrapText="1"/>
    </xf>
    <xf numFmtId="0" fontId="12" fillId="0" borderId="0" xfId="39"/>
    <xf numFmtId="0" fontId="163" fillId="0" borderId="0" xfId="39" applyFont="1" applyAlignment="1">
      <alignment horizontal="center" vertical="center"/>
    </xf>
    <xf numFmtId="0" fontId="164" fillId="0" borderId="0" xfId="39" applyFont="1" applyAlignment="1">
      <alignment horizontal="center" vertical="center"/>
    </xf>
    <xf numFmtId="0" fontId="10" fillId="0" borderId="0" xfId="0" applyFont="1"/>
    <xf numFmtId="0" fontId="162" fillId="0" borderId="0" xfId="39" applyFont="1" applyAlignment="1">
      <alignment vertical="center"/>
    </xf>
    <xf numFmtId="0" fontId="12" fillId="0" borderId="0" xfId="39" applyAlignment="1">
      <alignment horizontal="right" vertical="center"/>
    </xf>
    <xf numFmtId="0" fontId="12" fillId="0" borderId="0" xfId="39" applyAlignment="1">
      <alignment vertical="center" wrapText="1"/>
    </xf>
    <xf numFmtId="0" fontId="155" fillId="0" borderId="24" xfId="39" applyFont="1" applyBorder="1" applyAlignment="1">
      <alignment horizontal="center" vertical="center" wrapText="1"/>
    </xf>
    <xf numFmtId="0" fontId="163" fillId="0" borderId="0" xfId="39" applyFont="1" applyAlignment="1">
      <alignment wrapText="1"/>
    </xf>
    <xf numFmtId="4" fontId="89" fillId="0" borderId="15" xfId="0" applyNumberFormat="1" applyFont="1" applyBorder="1" applyAlignment="1">
      <alignment horizontal="center" vertical="center" wrapText="1"/>
    </xf>
    <xf numFmtId="4" fontId="33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33" fillId="0" borderId="15" xfId="38" applyNumberFormat="1" applyFont="1" applyFill="1" applyBorder="1" applyAlignment="1">
      <alignment horizontal="center" vertical="center" wrapText="1"/>
    </xf>
    <xf numFmtId="4" fontId="31" fillId="0" borderId="16" xfId="0" applyNumberFormat="1" applyFont="1" applyBorder="1" applyAlignment="1">
      <alignment horizontal="center" vertical="center" wrapText="1"/>
    </xf>
    <xf numFmtId="4" fontId="33" fillId="0" borderId="16" xfId="0" applyNumberFormat="1" applyFont="1" applyBorder="1" applyAlignment="1">
      <alignment horizontal="center" vertical="center"/>
    </xf>
    <xf numFmtId="4" fontId="32" fillId="0" borderId="15" xfId="0" applyNumberFormat="1" applyFont="1" applyBorder="1" applyAlignment="1">
      <alignment horizontal="center" vertical="center" wrapText="1"/>
    </xf>
    <xf numFmtId="4" fontId="30" fillId="34" borderId="7" xfId="36" applyNumberFormat="1" applyFont="1" applyFill="1" applyBorder="1" applyAlignment="1">
      <alignment horizontal="center" vertical="center" wrapText="1"/>
    </xf>
    <xf numFmtId="4" fontId="32" fillId="0" borderId="15" xfId="38" applyNumberFormat="1" applyFont="1" applyFill="1" applyBorder="1" applyAlignment="1">
      <alignment horizontal="center" vertical="center" wrapText="1"/>
    </xf>
    <xf numFmtId="49" fontId="31" fillId="28" borderId="15" xfId="0" applyNumberFormat="1" applyFont="1" applyFill="1" applyBorder="1" applyAlignment="1">
      <alignment horizontal="center" vertical="center" wrapText="1"/>
    </xf>
    <xf numFmtId="166" fontId="31" fillId="28" borderId="15" xfId="30" applyNumberFormat="1" applyFont="1" applyFill="1" applyBorder="1" applyAlignment="1">
      <alignment horizontal="center" vertical="center" wrapText="1"/>
    </xf>
    <xf numFmtId="4" fontId="31" fillId="28" borderId="15" xfId="0" applyNumberFormat="1" applyFont="1" applyFill="1" applyBorder="1" applyAlignment="1">
      <alignment horizontal="center" vertical="center" wrapText="1"/>
    </xf>
    <xf numFmtId="49" fontId="167" fillId="0" borderId="15" xfId="0" applyNumberFormat="1" applyFont="1" applyBorder="1" applyAlignment="1">
      <alignment horizontal="center" vertical="center" wrapText="1"/>
    </xf>
    <xf numFmtId="49" fontId="167" fillId="0" borderId="16" xfId="0" applyNumberFormat="1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4" fontId="168" fillId="28" borderId="0" xfId="0" applyNumberFormat="1" applyFont="1" applyFill="1" applyAlignment="1">
      <alignment horizontal="left" vertical="center"/>
    </xf>
    <xf numFmtId="49" fontId="72" fillId="38" borderId="15" xfId="0" applyNumberFormat="1" applyFont="1" applyFill="1" applyBorder="1" applyAlignment="1">
      <alignment horizontal="center" vertical="center" wrapText="1"/>
    </xf>
    <xf numFmtId="0" fontId="72" fillId="38" borderId="15" xfId="38" applyFont="1" applyFill="1" applyBorder="1" applyAlignment="1" applyProtection="1">
      <alignment horizontal="center" vertical="center" wrapText="1"/>
      <protection locked="0"/>
    </xf>
    <xf numFmtId="4" fontId="72" fillId="38" borderId="15" xfId="0" applyNumberFormat="1" applyFont="1" applyFill="1" applyBorder="1" applyAlignment="1">
      <alignment horizontal="center" vertical="center" wrapText="1"/>
    </xf>
    <xf numFmtId="4" fontId="72" fillId="38" borderId="15" xfId="38" applyNumberFormat="1" applyFont="1" applyFill="1" applyBorder="1" applyAlignment="1" applyProtection="1">
      <alignment horizontal="center" vertical="center" wrapText="1"/>
      <protection locked="0"/>
    </xf>
    <xf numFmtId="49" fontId="30" fillId="39" borderId="15" xfId="0" applyNumberFormat="1" applyFont="1" applyFill="1" applyBorder="1" applyAlignment="1">
      <alignment horizontal="center" vertical="center" wrapText="1"/>
    </xf>
    <xf numFmtId="0" fontId="30" fillId="39" borderId="15" xfId="38" applyFont="1" applyFill="1" applyBorder="1" applyAlignment="1" applyProtection="1">
      <alignment horizontal="center" vertical="center" wrapText="1"/>
      <protection locked="0"/>
    </xf>
    <xf numFmtId="4" fontId="30" fillId="39" borderId="15" xfId="38" applyNumberFormat="1" applyFont="1" applyFill="1" applyBorder="1" applyAlignment="1" applyProtection="1">
      <alignment horizontal="center" vertical="center" wrapText="1"/>
      <protection locked="0"/>
    </xf>
    <xf numFmtId="4" fontId="33" fillId="0" borderId="16" xfId="0" applyNumberFormat="1" applyFont="1" applyBorder="1" applyAlignment="1">
      <alignment horizontal="center" vertical="center" wrapText="1"/>
    </xf>
    <xf numFmtId="4" fontId="33" fillId="28" borderId="15" xfId="0" applyNumberFormat="1" applyFont="1" applyFill="1" applyBorder="1" applyAlignment="1">
      <alignment horizontal="center" vertical="center" wrapText="1"/>
    </xf>
    <xf numFmtId="4" fontId="89" fillId="28" borderId="15" xfId="0" applyNumberFormat="1" applyFont="1" applyFill="1" applyBorder="1" applyAlignment="1">
      <alignment horizontal="center" vertical="center" wrapText="1"/>
    </xf>
    <xf numFmtId="0" fontId="31" fillId="0" borderId="15" xfId="38" applyFont="1" applyFill="1" applyBorder="1" applyAlignment="1" applyProtection="1">
      <alignment horizontal="center" vertical="center" wrapText="1"/>
      <protection locked="0"/>
    </xf>
    <xf numFmtId="49" fontId="163" fillId="0" borderId="15" xfId="0" applyNumberFormat="1" applyFont="1" applyBorder="1" applyAlignment="1">
      <alignment horizontal="center" vertical="center" wrapText="1"/>
    </xf>
    <xf numFmtId="0" fontId="12" fillId="0" borderId="0" xfId="35" applyAlignment="1">
      <alignment horizontal="center" vertical="center"/>
    </xf>
    <xf numFmtId="0" fontId="163" fillId="0" borderId="0" xfId="35" applyFont="1" applyAlignment="1">
      <alignment horizontal="center" vertical="center" wrapText="1"/>
    </xf>
    <xf numFmtId="0" fontId="156" fillId="0" borderId="0" xfId="35" applyFont="1" applyAlignment="1">
      <alignment horizontal="center" vertical="center" wrapText="1"/>
    </xf>
    <xf numFmtId="0" fontId="163" fillId="0" borderId="15" xfId="0" applyFont="1" applyBorder="1" applyAlignment="1">
      <alignment horizontal="center" vertical="center" wrapText="1"/>
    </xf>
    <xf numFmtId="0" fontId="163" fillId="0" borderId="15" xfId="35" applyFont="1" applyBorder="1" applyAlignment="1">
      <alignment horizontal="center" vertical="center" wrapText="1"/>
    </xf>
    <xf numFmtId="0" fontId="163" fillId="0" borderId="15" xfId="18" applyFont="1" applyBorder="1" applyAlignment="1">
      <alignment horizontal="center" vertical="center" wrapText="1"/>
    </xf>
    <xf numFmtId="166" fontId="163" fillId="0" borderId="15" xfId="30" applyNumberFormat="1" applyFont="1" applyBorder="1" applyAlignment="1">
      <alignment horizontal="center" vertical="center"/>
    </xf>
    <xf numFmtId="4" fontId="163" fillId="0" borderId="15" xfId="30" applyNumberFormat="1" applyFont="1" applyBorder="1" applyAlignment="1">
      <alignment horizontal="center" vertical="center"/>
    </xf>
    <xf numFmtId="0" fontId="12" fillId="0" borderId="0" xfId="35"/>
    <xf numFmtId="4" fontId="163" fillId="0" borderId="15" xfId="0" applyNumberFormat="1" applyFont="1" applyBorder="1" applyAlignment="1">
      <alignment horizontal="center" vertical="center" wrapText="1"/>
    </xf>
    <xf numFmtId="9" fontId="163" fillId="0" borderId="15" xfId="0" applyNumberFormat="1" applyFont="1" applyBorder="1" applyAlignment="1">
      <alignment horizontal="center" vertical="center" wrapText="1"/>
    </xf>
    <xf numFmtId="166" fontId="163" fillId="0" borderId="15" xfId="30" applyNumberFormat="1" applyFont="1" applyBorder="1" applyAlignment="1">
      <alignment horizontal="center" vertical="center" wrapText="1"/>
    </xf>
    <xf numFmtId="49" fontId="31" fillId="0" borderId="16" xfId="0" applyNumberFormat="1" applyFont="1" applyBorder="1" applyAlignment="1">
      <alignment horizontal="center" vertical="center" wrapText="1"/>
    </xf>
    <xf numFmtId="49" fontId="167" fillId="28" borderId="0" xfId="0" applyNumberFormat="1" applyFont="1" applyFill="1" applyAlignment="1">
      <alignment horizontal="center" wrapText="1"/>
    </xf>
    <xf numFmtId="49" fontId="167" fillId="28" borderId="17" xfId="0" applyNumberFormat="1" applyFont="1" applyFill="1" applyBorder="1" applyAlignment="1">
      <alignment horizontal="center" vertical="top" wrapText="1"/>
    </xf>
    <xf numFmtId="4" fontId="32" fillId="28" borderId="15" xfId="0" applyNumberFormat="1" applyFont="1" applyFill="1" applyBorder="1" applyAlignment="1">
      <alignment horizontal="center" vertical="center" wrapText="1"/>
    </xf>
    <xf numFmtId="4" fontId="33" fillId="28" borderId="15" xfId="0" applyNumberFormat="1" applyFont="1" applyFill="1" applyBorder="1" applyAlignment="1">
      <alignment horizontal="center" vertical="center"/>
    </xf>
    <xf numFmtId="49" fontId="167" fillId="28" borderId="15" xfId="0" applyNumberFormat="1" applyFont="1" applyFill="1" applyBorder="1" applyAlignment="1">
      <alignment horizontal="center" vertical="center" wrapText="1"/>
    </xf>
    <xf numFmtId="0" fontId="31" fillId="28" borderId="15" xfId="0" applyFont="1" applyFill="1" applyBorder="1" applyAlignment="1">
      <alignment horizontal="center" vertical="center" wrapText="1"/>
    </xf>
    <xf numFmtId="4" fontId="102" fillId="29" borderId="14" xfId="0" applyNumberFormat="1" applyFont="1" applyFill="1" applyBorder="1" applyAlignment="1">
      <alignment horizontal="center" vertical="center" wrapText="1"/>
    </xf>
    <xf numFmtId="4" fontId="102" fillId="29" borderId="8" xfId="0" applyNumberFormat="1" applyFont="1" applyFill="1" applyBorder="1" applyAlignment="1">
      <alignment horizontal="center" vertical="center" wrapText="1"/>
    </xf>
    <xf numFmtId="49" fontId="171" fillId="38" borderId="15" xfId="0" applyNumberFormat="1" applyFont="1" applyFill="1" applyBorder="1" applyAlignment="1">
      <alignment horizontal="center" vertical="center" wrapText="1"/>
    </xf>
    <xf numFmtId="0" fontId="171" fillId="38" borderId="15" xfId="38" applyFont="1" applyFill="1" applyBorder="1" applyAlignment="1" applyProtection="1">
      <alignment horizontal="center" vertical="center" wrapText="1"/>
      <protection locked="0"/>
    </xf>
    <xf numFmtId="4" fontId="171" fillId="38" borderId="15" xfId="0" applyNumberFormat="1" applyFont="1" applyFill="1" applyBorder="1" applyAlignment="1">
      <alignment horizontal="center" vertical="center" wrapText="1"/>
    </xf>
    <xf numFmtId="9" fontId="171" fillId="38" borderId="15" xfId="0" applyNumberFormat="1" applyFont="1" applyFill="1" applyBorder="1" applyAlignment="1">
      <alignment horizontal="center" vertical="center" wrapText="1"/>
    </xf>
    <xf numFmtId="49" fontId="172" fillId="39" borderId="15" xfId="0" applyNumberFormat="1" applyFont="1" applyFill="1" applyBorder="1" applyAlignment="1">
      <alignment horizontal="center" vertical="center" wrapText="1"/>
    </xf>
    <xf numFmtId="0" fontId="172" fillId="39" borderId="15" xfId="38" applyFont="1" applyFill="1" applyBorder="1" applyAlignment="1" applyProtection="1">
      <alignment horizontal="center" vertical="center" wrapText="1"/>
      <protection locked="0"/>
    </xf>
    <xf numFmtId="4" fontId="172" fillId="39" borderId="15" xfId="0" applyNumberFormat="1" applyFont="1" applyFill="1" applyBorder="1" applyAlignment="1">
      <alignment horizontal="center" vertical="center" wrapText="1"/>
    </xf>
    <xf numFmtId="9" fontId="172" fillId="39" borderId="15" xfId="0" applyNumberFormat="1" applyFont="1" applyFill="1" applyBorder="1" applyAlignment="1">
      <alignment horizontal="center" vertical="center" wrapText="1"/>
    </xf>
    <xf numFmtId="4" fontId="89" fillId="0" borderId="15" xfId="38" applyNumberFormat="1" applyFont="1" applyFill="1" applyBorder="1" applyAlignment="1" applyProtection="1">
      <alignment horizontal="center" vertical="center" wrapText="1"/>
      <protection locked="0"/>
    </xf>
    <xf numFmtId="49" fontId="31" fillId="0" borderId="15" xfId="0" applyNumberFormat="1" applyFont="1" applyBorder="1" applyAlignment="1">
      <alignment horizontal="center" vertical="center"/>
    </xf>
    <xf numFmtId="0" fontId="173" fillId="0" borderId="0" xfId="35" applyFont="1"/>
    <xf numFmtId="0" fontId="162" fillId="0" borderId="0" xfId="35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73" fillId="0" borderId="0" xfId="35" applyFont="1" applyAlignment="1">
      <alignment horizontal="center"/>
    </xf>
    <xf numFmtId="0" fontId="162" fillId="0" borderId="0" xfId="35" applyFont="1" applyAlignment="1">
      <alignment horizontal="right"/>
    </xf>
    <xf numFmtId="0" fontId="156" fillId="0" borderId="0" xfId="35" applyFont="1" applyAlignment="1">
      <alignment horizontal="center"/>
    </xf>
    <xf numFmtId="0" fontId="12" fillId="0" borderId="0" xfId="35" applyAlignment="1">
      <alignment horizontal="right" vertical="center"/>
    </xf>
    <xf numFmtId="0" fontId="174" fillId="0" borderId="15" xfId="35" applyFont="1" applyBorder="1" applyAlignment="1">
      <alignment horizontal="center" vertical="top" wrapText="1"/>
    </xf>
    <xf numFmtId="0" fontId="155" fillId="0" borderId="15" xfId="35" applyFont="1" applyBorder="1" applyAlignment="1">
      <alignment horizontal="center" vertical="center" wrapText="1"/>
    </xf>
    <xf numFmtId="0" fontId="155" fillId="0" borderId="15" xfId="0" applyFont="1" applyBorder="1" applyAlignment="1">
      <alignment horizontal="center" vertical="center"/>
    </xf>
    <xf numFmtId="4" fontId="171" fillId="38" borderId="15" xfId="38" applyNumberFormat="1" applyFont="1" applyFill="1" applyBorder="1" applyAlignment="1" applyProtection="1">
      <alignment horizontal="center" vertical="center" wrapText="1"/>
      <protection locked="0"/>
    </xf>
    <xf numFmtId="4" fontId="172" fillId="39" borderId="15" xfId="38" applyNumberFormat="1" applyFont="1" applyFill="1" applyBorder="1" applyAlignment="1" applyProtection="1">
      <alignment horizontal="center" vertical="center" wrapText="1"/>
      <protection locked="0"/>
    </xf>
    <xf numFmtId="49" fontId="172" fillId="0" borderId="15" xfId="0" applyNumberFormat="1" applyFont="1" applyBorder="1" applyAlignment="1">
      <alignment horizontal="center" vertical="center" wrapText="1"/>
    </xf>
    <xf numFmtId="0" fontId="172" fillId="0" borderId="15" xfId="38" applyFont="1" applyFill="1" applyBorder="1" applyAlignment="1" applyProtection="1">
      <alignment horizontal="center" vertical="center" wrapText="1"/>
      <protection locked="0"/>
    </xf>
    <xf numFmtId="4" fontId="172" fillId="0" borderId="15" xfId="0" applyNumberFormat="1" applyFont="1" applyBorder="1" applyAlignment="1">
      <alignment horizontal="center" vertical="center" wrapText="1"/>
    </xf>
    <xf numFmtId="49" fontId="171" fillId="0" borderId="15" xfId="0" applyNumberFormat="1" applyFont="1" applyBorder="1" applyAlignment="1">
      <alignment horizontal="center" vertical="center" wrapText="1"/>
    </xf>
    <xf numFmtId="0" fontId="171" fillId="0" borderId="15" xfId="38" applyFont="1" applyFill="1" applyBorder="1" applyAlignment="1" applyProtection="1">
      <alignment horizontal="center" vertical="center" wrapText="1"/>
      <protection locked="0"/>
    </xf>
    <xf numFmtId="4" fontId="171" fillId="0" borderId="15" xfId="0" applyNumberFormat="1" applyFont="1" applyBorder="1" applyAlignment="1">
      <alignment horizontal="center" vertical="center" wrapText="1"/>
    </xf>
    <xf numFmtId="49" fontId="163" fillId="0" borderId="15" xfId="35" applyNumberFormat="1" applyFont="1" applyBorder="1" applyAlignment="1">
      <alignment horizontal="center" vertical="center" wrapText="1"/>
    </xf>
    <xf numFmtId="49" fontId="175" fillId="0" borderId="15" xfId="0" applyNumberFormat="1" applyFont="1" applyBorder="1" applyAlignment="1">
      <alignment horizontal="center" vertical="center" wrapText="1"/>
    </xf>
    <xf numFmtId="0" fontId="175" fillId="0" borderId="15" xfId="38" applyFont="1" applyFill="1" applyBorder="1" applyAlignment="1" applyProtection="1">
      <alignment horizontal="center" vertical="center" wrapText="1"/>
      <protection locked="0"/>
    </xf>
    <xf numFmtId="4" fontId="175" fillId="0" borderId="15" xfId="0" applyNumberFormat="1" applyFont="1" applyBorder="1" applyAlignment="1">
      <alignment horizontal="center" vertical="center" wrapText="1"/>
    </xf>
    <xf numFmtId="4" fontId="163" fillId="0" borderId="15" xfId="35" applyNumberFormat="1" applyFont="1" applyBorder="1" applyAlignment="1">
      <alignment horizontal="center" vertical="center"/>
    </xf>
    <xf numFmtId="0" fontId="172" fillId="0" borderId="0" xfId="0" applyFont="1" applyAlignment="1">
      <alignment horizontal="center" vertical="center"/>
    </xf>
    <xf numFmtId="0" fontId="172" fillId="0" borderId="0" xfId="0" applyFont="1" applyAlignment="1">
      <alignment horizontal="left" vertical="center"/>
    </xf>
    <xf numFmtId="4" fontId="172" fillId="0" borderId="0" xfId="0" applyNumberFormat="1" applyFont="1" applyAlignment="1">
      <alignment horizontal="center" vertical="center"/>
    </xf>
    <xf numFmtId="0" fontId="163" fillId="0" borderId="0" xfId="39" applyFont="1"/>
    <xf numFmtId="0" fontId="176" fillId="0" borderId="0" xfId="0" applyFont="1"/>
    <xf numFmtId="0" fontId="163" fillId="0" borderId="0" xfId="0" applyFont="1" applyAlignment="1">
      <alignment horizontal="left" vertical="center"/>
    </xf>
    <xf numFmtId="0" fontId="163" fillId="0" borderId="0" xfId="0" applyFont="1" applyAlignment="1">
      <alignment horizontal="center" vertical="center"/>
    </xf>
    <xf numFmtId="0" fontId="30" fillId="0" borderId="15" xfId="38" applyFont="1" applyFill="1" applyBorder="1" applyAlignment="1" applyProtection="1">
      <alignment horizontal="center" vertical="center" wrapText="1"/>
      <protection locked="0"/>
    </xf>
    <xf numFmtId="49" fontId="167" fillId="0" borderId="15" xfId="0" applyNumberFormat="1" applyFont="1" applyBorder="1" applyAlignment="1">
      <alignment horizontal="center" vertical="center"/>
    </xf>
    <xf numFmtId="4" fontId="31" fillId="0" borderId="15" xfId="38" applyNumberFormat="1" applyFont="1" applyFill="1" applyBorder="1" applyAlignment="1">
      <alignment horizontal="center" vertical="center" wrapText="1"/>
    </xf>
    <xf numFmtId="4" fontId="30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167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163" fillId="0" borderId="15" xfId="100" applyFont="1" applyBorder="1" applyAlignment="1">
      <alignment horizontal="center" vertical="center" wrapText="1"/>
    </xf>
    <xf numFmtId="4" fontId="179" fillId="0" borderId="15" xfId="0" applyNumberFormat="1" applyFont="1" applyBorder="1" applyAlignment="1">
      <alignment horizontal="center" vertical="center" wrapText="1"/>
    </xf>
    <xf numFmtId="49" fontId="31" fillId="0" borderId="19" xfId="0" applyNumberFormat="1" applyFont="1" applyBorder="1" applyAlignment="1">
      <alignment horizontal="center" vertical="center" wrapText="1"/>
    </xf>
    <xf numFmtId="49" fontId="31" fillId="28" borderId="16" xfId="0" applyNumberFormat="1" applyFont="1" applyFill="1" applyBorder="1" applyAlignment="1">
      <alignment horizontal="center" wrapText="1"/>
    </xf>
    <xf numFmtId="49" fontId="31" fillId="28" borderId="0" xfId="0" applyNumberFormat="1" applyFont="1" applyFill="1" applyAlignment="1">
      <alignment horizontal="center" vertical="center" wrapText="1"/>
    </xf>
    <xf numFmtId="49" fontId="31" fillId="28" borderId="17" xfId="0" applyNumberFormat="1" applyFont="1" applyFill="1" applyBorder="1" applyAlignment="1">
      <alignment horizontal="center" vertical="top" wrapText="1"/>
    </xf>
    <xf numFmtId="0" fontId="167" fillId="0" borderId="15" xfId="38" applyFont="1" applyFill="1" applyBorder="1" applyAlignment="1" applyProtection="1">
      <alignment horizontal="center" vertical="center" wrapText="1"/>
      <protection locked="0"/>
    </xf>
    <xf numFmtId="4" fontId="31" fillId="0" borderId="16" xfId="38" applyNumberFormat="1" applyFont="1" applyFill="1" applyBorder="1" applyAlignment="1" applyProtection="1">
      <alignment horizontal="center" vertical="center" wrapText="1"/>
      <protection locked="0"/>
    </xf>
    <xf numFmtId="4" fontId="31" fillId="0" borderId="16" xfId="38" applyNumberFormat="1" applyFont="1" applyFill="1" applyBorder="1" applyAlignment="1">
      <alignment horizontal="center" vertical="center" wrapText="1"/>
    </xf>
    <xf numFmtId="0" fontId="30" fillId="0" borderId="17" xfId="38" applyFont="1" applyFill="1" applyBorder="1" applyAlignment="1" applyProtection="1">
      <alignment horizontal="center" vertical="top" wrapText="1"/>
      <protection locked="0"/>
    </xf>
    <xf numFmtId="9" fontId="163" fillId="0" borderId="15" xfId="30" applyNumberFormat="1" applyFont="1" applyBorder="1" applyAlignment="1">
      <alignment horizontal="center" vertical="center"/>
    </xf>
    <xf numFmtId="49" fontId="163" fillId="0" borderId="15" xfId="18" applyNumberFormat="1" applyFont="1" applyBorder="1" applyAlignment="1">
      <alignment horizontal="center" vertical="center" wrapText="1"/>
    </xf>
    <xf numFmtId="0" fontId="163" fillId="0" borderId="15" xfId="92" applyFont="1" applyBorder="1" applyAlignment="1">
      <alignment horizontal="center" vertical="center" wrapText="1"/>
    </xf>
    <xf numFmtId="0" fontId="163" fillId="0" borderId="15" xfId="84" applyFont="1" applyBorder="1" applyAlignment="1">
      <alignment horizontal="center" vertical="center" wrapText="1"/>
    </xf>
    <xf numFmtId="0" fontId="163" fillId="0" borderId="15" xfId="40" applyFont="1" applyBorder="1" applyAlignment="1">
      <alignment horizontal="center" vertical="center" wrapText="1"/>
    </xf>
    <xf numFmtId="0" fontId="153" fillId="28" borderId="0" xfId="35" applyFont="1" applyFill="1" applyAlignment="1">
      <alignment horizontal="center" vertical="center"/>
    </xf>
    <xf numFmtId="4" fontId="180" fillId="28" borderId="0" xfId="35" applyNumberFormat="1" applyFont="1" applyFill="1"/>
    <xf numFmtId="0" fontId="163" fillId="0" borderId="0" xfId="0" applyFont="1"/>
    <xf numFmtId="0" fontId="16" fillId="0" borderId="0" xfId="0" applyFont="1"/>
    <xf numFmtId="0" fontId="72" fillId="0" borderId="15" xfId="0" applyFont="1" applyBorder="1" applyAlignment="1">
      <alignment horizontal="center" vertical="center" wrapText="1"/>
    </xf>
    <xf numFmtId="49" fontId="31" fillId="27" borderId="15" xfId="0" applyNumberFormat="1" applyFont="1" applyFill="1" applyBorder="1" applyAlignment="1">
      <alignment horizontal="center" vertical="center" wrapText="1"/>
    </xf>
    <xf numFmtId="49" fontId="31" fillId="27" borderId="15" xfId="0" applyNumberFormat="1" applyFont="1" applyFill="1" applyBorder="1" applyAlignment="1">
      <alignment horizontal="left" vertical="center" wrapText="1"/>
    </xf>
    <xf numFmtId="4" fontId="31" fillId="27" borderId="15" xfId="0" applyNumberFormat="1" applyFont="1" applyFill="1" applyBorder="1" applyAlignment="1">
      <alignment horizontal="center" vertical="center" wrapText="1"/>
    </xf>
    <xf numFmtId="49" fontId="31" fillId="0" borderId="19" xfId="0" applyNumberFormat="1" applyFont="1" applyBorder="1" applyAlignment="1">
      <alignment horizontal="left" vertical="center" wrapText="1"/>
    </xf>
    <xf numFmtId="4" fontId="31" fillId="0" borderId="19" xfId="0" applyNumberFormat="1" applyFont="1" applyBorder="1" applyAlignment="1">
      <alignment horizontal="center" vertical="center" wrapText="1"/>
    </xf>
    <xf numFmtId="49" fontId="31" fillId="39" borderId="19" xfId="0" applyNumberFormat="1" applyFont="1" applyFill="1" applyBorder="1" applyAlignment="1">
      <alignment horizontal="center" vertical="center" wrapText="1"/>
    </xf>
    <xf numFmtId="49" fontId="31" fillId="39" borderId="19" xfId="0" applyNumberFormat="1" applyFont="1" applyFill="1" applyBorder="1" applyAlignment="1">
      <alignment horizontal="left" vertical="center" wrapText="1"/>
    </xf>
    <xf numFmtId="4" fontId="31" fillId="39" borderId="19" xfId="0" applyNumberFormat="1" applyFont="1" applyFill="1" applyBorder="1" applyAlignment="1">
      <alignment horizontal="center" vertical="center" wrapText="1"/>
    </xf>
    <xf numFmtId="4" fontId="85" fillId="0" borderId="15" xfId="0" applyNumberFormat="1" applyFont="1" applyBorder="1" applyAlignment="1">
      <alignment horizontal="center" vertical="center"/>
    </xf>
    <xf numFmtId="0" fontId="155" fillId="0" borderId="24" xfId="0" applyFont="1" applyBorder="1" applyAlignment="1">
      <alignment horizontal="center" vertical="center" wrapText="1"/>
    </xf>
    <xf numFmtId="0" fontId="155" fillId="0" borderId="24" xfId="0" applyFont="1" applyBorder="1" applyAlignment="1">
      <alignment horizontal="left" vertical="center" wrapText="1"/>
    </xf>
    <xf numFmtId="4" fontId="155" fillId="0" borderId="24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 wrapText="1"/>
    </xf>
    <xf numFmtId="4" fontId="12" fillId="0" borderId="24" xfId="0" applyNumberFormat="1" applyFont="1" applyBorder="1" applyAlignment="1">
      <alignment horizontal="center" vertical="center" wrapText="1"/>
    </xf>
    <xf numFmtId="0" fontId="183" fillId="0" borderId="24" xfId="0" applyFont="1" applyBorder="1" applyAlignment="1">
      <alignment horizontal="center" vertical="center" wrapText="1"/>
    </xf>
    <xf numFmtId="0" fontId="183" fillId="0" borderId="24" xfId="0" applyFont="1" applyBorder="1" applyAlignment="1">
      <alignment horizontal="left" vertical="center" wrapText="1"/>
    </xf>
    <xf numFmtId="4" fontId="183" fillId="0" borderId="24" xfId="0" applyNumberFormat="1" applyFont="1" applyBorder="1" applyAlignment="1">
      <alignment horizontal="center" vertical="center" wrapText="1"/>
    </xf>
    <xf numFmtId="0" fontId="184" fillId="0" borderId="24" xfId="0" applyFont="1" applyBorder="1" applyAlignment="1">
      <alignment horizontal="center" vertical="center" wrapText="1"/>
    </xf>
    <xf numFmtId="0" fontId="184" fillId="0" borderId="24" xfId="0" applyFont="1" applyBorder="1" applyAlignment="1">
      <alignment horizontal="left" vertical="center" wrapText="1"/>
    </xf>
    <xf numFmtId="4" fontId="184" fillId="0" borderId="24" xfId="0" applyNumberFormat="1" applyFont="1" applyBorder="1" applyAlignment="1">
      <alignment horizontal="center" vertical="center" wrapText="1"/>
    </xf>
    <xf numFmtId="4" fontId="72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58" fillId="0" borderId="0" xfId="0" applyFont="1" applyAlignment="1">
      <alignment vertical="center"/>
    </xf>
    <xf numFmtId="4" fontId="58" fillId="0" borderId="0" xfId="0" applyNumberFormat="1" applyFont="1" applyAlignment="1">
      <alignment vertical="center"/>
    </xf>
    <xf numFmtId="4" fontId="38" fillId="0" borderId="0" xfId="0" applyNumberFormat="1" applyFont="1" applyAlignment="1">
      <alignment vertical="center"/>
    </xf>
    <xf numFmtId="0" fontId="189" fillId="0" borderId="24" xfId="39" applyFont="1" applyBorder="1" applyAlignment="1">
      <alignment horizontal="center" vertical="center" wrapText="1"/>
    </xf>
    <xf numFmtId="0" fontId="189" fillId="0" borderId="24" xfId="39" applyFont="1" applyBorder="1" applyAlignment="1">
      <alignment vertical="center" wrapText="1"/>
    </xf>
    <xf numFmtId="4" fontId="190" fillId="0" borderId="24" xfId="39" applyNumberFormat="1" applyFont="1" applyBorder="1" applyAlignment="1">
      <alignment horizontal="center" vertical="center" wrapText="1"/>
    </xf>
    <xf numFmtId="4" fontId="189" fillId="0" borderId="24" xfId="39" applyNumberFormat="1" applyFont="1" applyBorder="1" applyAlignment="1">
      <alignment horizontal="center" vertical="center" wrapText="1"/>
    </xf>
    <xf numFmtId="0" fontId="191" fillId="0" borderId="24" xfId="39" applyFont="1" applyBorder="1" applyAlignment="1">
      <alignment horizontal="center" vertical="center" wrapText="1"/>
    </xf>
    <xf numFmtId="0" fontId="191" fillId="0" borderId="24" xfId="39" applyFont="1" applyBorder="1" applyAlignment="1">
      <alignment vertical="center" wrapText="1"/>
    </xf>
    <xf numFmtId="4" fontId="191" fillId="0" borderId="24" xfId="39" applyNumberFormat="1" applyFont="1" applyBorder="1" applyAlignment="1">
      <alignment horizontal="center" vertical="center" wrapText="1"/>
    </xf>
    <xf numFmtId="0" fontId="189" fillId="0" borderId="24" xfId="37" applyFont="1" applyBorder="1" applyAlignment="1">
      <alignment horizontal="justify" vertical="center" wrapText="1"/>
    </xf>
    <xf numFmtId="0" fontId="190" fillId="0" borderId="24" xfId="39" applyFont="1" applyBorder="1" applyAlignment="1">
      <alignment horizontal="center" vertical="center" wrapText="1"/>
    </xf>
    <xf numFmtId="0" fontId="190" fillId="0" borderId="24" xfId="37" applyFont="1" applyBorder="1" applyAlignment="1">
      <alignment horizontal="center" vertical="center" wrapText="1"/>
    </xf>
    <xf numFmtId="0" fontId="191" fillId="0" borderId="24" xfId="37" applyFont="1" applyBorder="1" applyAlignment="1">
      <alignment horizontal="justify" vertical="center" wrapText="1"/>
    </xf>
    <xf numFmtId="0" fontId="189" fillId="0" borderId="24" xfId="37" applyFont="1" applyBorder="1" applyAlignment="1">
      <alignment horizontal="left" vertical="center" wrapText="1"/>
    </xf>
    <xf numFmtId="0" fontId="191" fillId="0" borderId="24" xfId="37" applyFont="1" applyBorder="1" applyAlignment="1">
      <alignment horizontal="left" vertical="center" wrapText="1"/>
    </xf>
    <xf numFmtId="4" fontId="192" fillId="0" borderId="24" xfId="39" applyNumberFormat="1" applyFont="1" applyBorder="1" applyAlignment="1">
      <alignment horizontal="center" vertical="center" wrapText="1"/>
    </xf>
    <xf numFmtId="0" fontId="190" fillId="0" borderId="24" xfId="37" applyFont="1" applyBorder="1" applyAlignment="1">
      <alignment horizontal="justify" vertical="center" wrapText="1"/>
    </xf>
    <xf numFmtId="0" fontId="189" fillId="0" borderId="24" xfId="37" applyFont="1" applyBorder="1" applyAlignment="1">
      <alignment vertical="center" wrapText="1"/>
    </xf>
    <xf numFmtId="0" fontId="191" fillId="0" borderId="24" xfId="37" applyFont="1" applyBorder="1" applyAlignment="1">
      <alignment vertical="center" wrapText="1"/>
    </xf>
    <xf numFmtId="0" fontId="190" fillId="0" borderId="24" xfId="37" applyFont="1" applyBorder="1" applyAlignment="1">
      <alignment vertical="center" wrapText="1"/>
    </xf>
    <xf numFmtId="0" fontId="189" fillId="0" borderId="24" xfId="0" applyFont="1" applyBorder="1" applyAlignment="1">
      <alignment horizontal="justify" vertical="center"/>
    </xf>
    <xf numFmtId="0" fontId="190" fillId="0" borderId="24" xfId="39" applyFont="1" applyBorder="1" applyAlignment="1">
      <alignment vertical="center" wrapText="1"/>
    </xf>
    <xf numFmtId="4" fontId="190" fillId="28" borderId="24" xfId="39" applyNumberFormat="1" applyFont="1" applyFill="1" applyBorder="1" applyAlignment="1">
      <alignment horizontal="center" vertical="center" wrapText="1"/>
    </xf>
    <xf numFmtId="4" fontId="189" fillId="28" borderId="24" xfId="39" applyNumberFormat="1" applyFont="1" applyFill="1" applyBorder="1" applyAlignment="1">
      <alignment horizontal="center" vertical="center" wrapText="1"/>
    </xf>
    <xf numFmtId="4" fontId="148" fillId="0" borderId="0" xfId="39" applyNumberFormat="1" applyFont="1"/>
    <xf numFmtId="0" fontId="153" fillId="0" borderId="0" xfId="39" applyFont="1"/>
    <xf numFmtId="4" fontId="155" fillId="0" borderId="24" xfId="0" applyNumberFormat="1" applyFont="1" applyBorder="1" applyAlignment="1">
      <alignment horizontal="left" vertical="center" wrapText="1"/>
    </xf>
    <xf numFmtId="4" fontId="183" fillId="0" borderId="24" xfId="0" applyNumberFormat="1" applyFont="1" applyBorder="1" applyAlignment="1">
      <alignment horizontal="left" vertical="center" wrapText="1"/>
    </xf>
    <xf numFmtId="0" fontId="183" fillId="28" borderId="24" xfId="0" applyFont="1" applyFill="1" applyBorder="1" applyAlignment="1">
      <alignment horizontal="center" vertical="center" wrapText="1"/>
    </xf>
    <xf numFmtId="0" fontId="183" fillId="28" borderId="24" xfId="0" applyFont="1" applyFill="1" applyBorder="1" applyAlignment="1">
      <alignment horizontal="left" vertical="center" wrapText="1"/>
    </xf>
    <xf numFmtId="4" fontId="183" fillId="28" borderId="24" xfId="0" applyNumberFormat="1" applyFont="1" applyFill="1" applyBorder="1" applyAlignment="1">
      <alignment horizontal="center" vertical="center" wrapText="1"/>
    </xf>
    <xf numFmtId="0" fontId="12" fillId="28" borderId="24" xfId="0" applyFont="1" applyFill="1" applyBorder="1" applyAlignment="1">
      <alignment horizontal="center" vertical="center" wrapText="1"/>
    </xf>
    <xf numFmtId="0" fontId="12" fillId="28" borderId="24" xfId="0" applyFont="1" applyFill="1" applyBorder="1" applyAlignment="1">
      <alignment horizontal="left" vertical="center" wrapText="1"/>
    </xf>
    <xf numFmtId="4" fontId="148" fillId="28" borderId="15" xfId="0" applyNumberFormat="1" applyFont="1" applyFill="1" applyBorder="1" applyAlignment="1">
      <alignment horizontal="center" vertical="center"/>
    </xf>
    <xf numFmtId="4" fontId="30" fillId="0" borderId="22" xfId="0" applyNumberFormat="1" applyFont="1" applyBorder="1" applyAlignment="1">
      <alignment horizontal="center" vertical="center" wrapText="1"/>
    </xf>
    <xf numFmtId="4" fontId="31" fillId="0" borderId="22" xfId="0" applyNumberFormat="1" applyFont="1" applyBorder="1" applyAlignment="1">
      <alignment horizontal="center" vertical="center" wrapText="1"/>
    </xf>
    <xf numFmtId="4" fontId="31" fillId="27" borderId="22" xfId="0" applyNumberFormat="1" applyFont="1" applyFill="1" applyBorder="1" applyAlignment="1">
      <alignment horizontal="center" vertical="center" wrapText="1"/>
    </xf>
    <xf numFmtId="49" fontId="30" fillId="35" borderId="15" xfId="0" applyNumberFormat="1" applyFont="1" applyFill="1" applyBorder="1" applyAlignment="1">
      <alignment horizontal="center" vertical="center" wrapText="1"/>
    </xf>
    <xf numFmtId="4" fontId="30" fillId="35" borderId="22" xfId="0" applyNumberFormat="1" applyFont="1" applyFill="1" applyBorder="1" applyAlignment="1">
      <alignment horizontal="center" vertical="center" wrapText="1"/>
    </xf>
    <xf numFmtId="49" fontId="31" fillId="35" borderId="15" xfId="0" applyNumberFormat="1" applyFont="1" applyFill="1" applyBorder="1" applyAlignment="1">
      <alignment horizontal="center" vertical="center" wrapText="1"/>
    </xf>
    <xf numFmtId="4" fontId="31" fillId="35" borderId="22" xfId="0" applyNumberFormat="1" applyFont="1" applyFill="1" applyBorder="1" applyAlignment="1">
      <alignment horizontal="center" vertical="center" wrapText="1"/>
    </xf>
    <xf numFmtId="4" fontId="31" fillId="35" borderId="15" xfId="0" applyNumberFormat="1" applyFont="1" applyFill="1" applyBorder="1" applyAlignment="1">
      <alignment horizontal="center" vertical="center" wrapText="1"/>
    </xf>
    <xf numFmtId="2" fontId="77" fillId="40" borderId="15" xfId="0" applyNumberFormat="1" applyFont="1" applyFill="1" applyBorder="1" applyAlignment="1">
      <alignment horizontal="center" vertical="center"/>
    </xf>
    <xf numFmtId="4" fontId="86" fillId="40" borderId="15" xfId="0" applyNumberFormat="1" applyFont="1" applyFill="1" applyBorder="1" applyAlignment="1">
      <alignment horizontal="center" vertical="center"/>
    </xf>
    <xf numFmtId="0" fontId="190" fillId="40" borderId="24" xfId="39" applyFont="1" applyFill="1" applyBorder="1" applyAlignment="1">
      <alignment horizontal="center" vertical="center" wrapText="1"/>
    </xf>
    <xf numFmtId="0" fontId="190" fillId="40" borderId="24" xfId="37" applyFont="1" applyFill="1" applyBorder="1" applyAlignment="1">
      <alignment horizontal="center" vertical="center" wrapText="1"/>
    </xf>
    <xf numFmtId="4" fontId="190" fillId="40" borderId="24" xfId="39" applyNumberFormat="1" applyFont="1" applyFill="1" applyBorder="1" applyAlignment="1">
      <alignment horizontal="center" vertical="center" wrapText="1"/>
    </xf>
    <xf numFmtId="0" fontId="190" fillId="39" borderId="24" xfId="39" applyFont="1" applyFill="1" applyBorder="1" applyAlignment="1">
      <alignment horizontal="center" vertical="center" wrapText="1"/>
    </xf>
    <xf numFmtId="4" fontId="190" fillId="39" borderId="24" xfId="39" applyNumberFormat="1" applyFont="1" applyFill="1" applyBorder="1" applyAlignment="1">
      <alignment horizontal="center" vertical="center" wrapText="1"/>
    </xf>
    <xf numFmtId="0" fontId="155" fillId="41" borderId="24" xfId="0" applyFont="1" applyFill="1" applyBorder="1" applyAlignment="1">
      <alignment horizontal="center" vertical="center" wrapText="1"/>
    </xf>
    <xf numFmtId="0" fontId="155" fillId="41" borderId="24" xfId="0" applyFont="1" applyFill="1" applyBorder="1" applyAlignment="1">
      <alignment horizontal="left" vertical="center" wrapText="1"/>
    </xf>
    <xf numFmtId="4" fontId="155" fillId="41" borderId="24" xfId="0" applyNumberFormat="1" applyFont="1" applyFill="1" applyBorder="1" applyAlignment="1">
      <alignment horizontal="center" vertical="center" wrapText="1"/>
    </xf>
    <xf numFmtId="2" fontId="172" fillId="40" borderId="15" xfId="0" applyNumberFormat="1" applyFont="1" applyFill="1" applyBorder="1" applyAlignment="1">
      <alignment horizontal="center" vertical="center"/>
    </xf>
    <xf numFmtId="4" fontId="172" fillId="40" borderId="15" xfId="0" applyNumberFormat="1" applyFont="1" applyFill="1" applyBorder="1" applyAlignment="1">
      <alignment horizontal="center" vertical="center"/>
    </xf>
    <xf numFmtId="4" fontId="163" fillId="40" borderId="15" xfId="0" applyNumberFormat="1" applyFont="1" applyFill="1" applyBorder="1" applyAlignment="1">
      <alignment horizontal="center" vertical="center"/>
    </xf>
    <xf numFmtId="0" fontId="30" fillId="40" borderId="15" xfId="0" applyFont="1" applyFill="1" applyBorder="1" applyAlignment="1">
      <alignment horizontal="center" vertical="center"/>
    </xf>
    <xf numFmtId="0" fontId="30" fillId="40" borderId="15" xfId="0" applyFont="1" applyFill="1" applyBorder="1" applyAlignment="1">
      <alignment horizontal="left" vertical="center"/>
    </xf>
    <xf numFmtId="4" fontId="30" fillId="40" borderId="15" xfId="0" applyNumberFormat="1" applyFont="1" applyFill="1" applyBorder="1" applyAlignment="1">
      <alignment horizontal="center" vertical="center"/>
    </xf>
    <xf numFmtId="164" fontId="40" fillId="40" borderId="15" xfId="0" applyNumberFormat="1" applyFont="1" applyFill="1" applyBorder="1" applyAlignment="1">
      <alignment horizontal="center" vertical="center"/>
    </xf>
    <xf numFmtId="164" fontId="40" fillId="40" borderId="15" xfId="36" applyNumberFormat="1" applyFont="1" applyFill="1" applyBorder="1" applyAlignment="1">
      <alignment horizontal="center" vertical="center" wrapText="1"/>
    </xf>
    <xf numFmtId="2" fontId="17" fillId="40" borderId="15" xfId="0" applyNumberFormat="1" applyFont="1" applyFill="1" applyBorder="1" applyAlignment="1">
      <alignment horizontal="center" vertical="center"/>
    </xf>
    <xf numFmtId="4" fontId="17" fillId="40" borderId="15" xfId="0" applyNumberFormat="1" applyFont="1" applyFill="1" applyBorder="1" applyAlignment="1">
      <alignment horizontal="center" vertical="center"/>
    </xf>
    <xf numFmtId="4" fontId="32" fillId="0" borderId="16" xfId="0" applyNumberFormat="1" applyFont="1" applyBorder="1" applyAlignment="1">
      <alignment horizontal="center" vertical="center" wrapText="1"/>
    </xf>
    <xf numFmtId="2" fontId="40" fillId="39" borderId="15" xfId="36" applyNumberFormat="1" applyFont="1" applyFill="1" applyBorder="1" applyAlignment="1">
      <alignment horizontal="center" vertical="center" wrapText="1"/>
    </xf>
    <xf numFmtId="0" fontId="155" fillId="0" borderId="24" xfId="37" applyFont="1" applyBorder="1" applyAlignment="1">
      <alignment horizontal="center" vertical="center" wrapText="1"/>
    </xf>
    <xf numFmtId="0" fontId="12" fillId="0" borderId="24" xfId="39" applyBorder="1" applyAlignment="1">
      <alignment horizontal="center" vertical="center" wrapText="1"/>
    </xf>
    <xf numFmtId="0" fontId="12" fillId="0" borderId="24" xfId="37" applyFont="1" applyBorder="1" applyAlignment="1">
      <alignment horizontal="justify" vertical="center" wrapText="1"/>
    </xf>
    <xf numFmtId="0" fontId="155" fillId="0" borderId="24" xfId="39" applyFont="1" applyBorder="1" applyAlignment="1">
      <alignment vertical="center" wrapText="1"/>
    </xf>
    <xf numFmtId="0" fontId="12" fillId="0" borderId="24" xfId="39" applyBorder="1" applyAlignment="1">
      <alignment vertical="center" wrapText="1"/>
    </xf>
    <xf numFmtId="0" fontId="12" fillId="28" borderId="24" xfId="39" applyFill="1" applyBorder="1" applyAlignment="1">
      <alignment horizontal="center" vertical="center" wrapText="1"/>
    </xf>
    <xf numFmtId="0" fontId="12" fillId="28" borderId="24" xfId="39" applyFill="1" applyBorder="1" applyAlignment="1">
      <alignment vertical="center" wrapText="1"/>
    </xf>
    <xf numFmtId="0" fontId="184" fillId="0" borderId="24" xfId="39" applyFont="1" applyBorder="1" applyAlignment="1">
      <alignment vertical="center" wrapText="1"/>
    </xf>
    <xf numFmtId="0" fontId="184" fillId="28" borderId="24" xfId="39" applyFont="1" applyFill="1" applyBorder="1" applyAlignment="1">
      <alignment vertical="center" wrapText="1"/>
    </xf>
    <xf numFmtId="0" fontId="155" fillId="40" borderId="24" xfId="39" applyFont="1" applyFill="1" applyBorder="1" applyAlignment="1">
      <alignment horizontal="center" vertical="center" wrapText="1"/>
    </xf>
    <xf numFmtId="0" fontId="155" fillId="40" borderId="24" xfId="37" applyFont="1" applyFill="1" applyBorder="1" applyAlignment="1">
      <alignment horizontal="center" vertical="center" wrapText="1"/>
    </xf>
    <xf numFmtId="0" fontId="72" fillId="0" borderId="17" xfId="38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" fontId="113" fillId="0" borderId="24" xfId="0" applyNumberFormat="1" applyFont="1" applyBorder="1" applyAlignment="1">
      <alignment horizontal="center" vertical="center" wrapText="1"/>
    </xf>
    <xf numFmtId="4" fontId="78" fillId="0" borderId="24" xfId="0" applyNumberFormat="1" applyFont="1" applyBorder="1" applyAlignment="1">
      <alignment horizontal="center" vertical="center" wrapText="1"/>
    </xf>
    <xf numFmtId="0" fontId="16" fillId="37" borderId="15" xfId="0" applyFont="1" applyFill="1" applyBorder="1" applyAlignment="1">
      <alignment horizontal="center" vertical="center" wrapText="1"/>
    </xf>
    <xf numFmtId="0" fontId="154" fillId="37" borderId="15" xfId="0" applyFont="1" applyFill="1" applyBorder="1" applyAlignment="1">
      <alignment horizontal="center" vertical="center" wrapText="1"/>
    </xf>
    <xf numFmtId="0" fontId="31" fillId="0" borderId="0" xfId="38" applyFont="1" applyFill="1" applyBorder="1" applyAlignment="1" applyProtection="1">
      <alignment horizontal="center" wrapText="1"/>
      <protection locked="0"/>
    </xf>
    <xf numFmtId="0" fontId="31" fillId="0" borderId="17" xfId="38" applyFont="1" applyFill="1" applyBorder="1" applyAlignment="1" applyProtection="1">
      <alignment horizontal="center" vertical="top" wrapText="1"/>
      <protection locked="0"/>
    </xf>
    <xf numFmtId="0" fontId="193" fillId="28" borderId="0" xfId="35" applyFont="1" applyFill="1" applyAlignment="1">
      <alignment vertical="center"/>
    </xf>
    <xf numFmtId="0" fontId="163" fillId="0" borderId="15" xfId="45" applyFont="1" applyBorder="1" applyAlignment="1">
      <alignment horizontal="center" vertical="center" wrapText="1"/>
    </xf>
    <xf numFmtId="0" fontId="175" fillId="0" borderId="15" xfId="100" applyFont="1" applyBorder="1" applyAlignment="1">
      <alignment horizontal="center" vertical="center" wrapText="1"/>
    </xf>
    <xf numFmtId="4" fontId="194" fillId="0" borderId="15" xfId="30" applyNumberFormat="1" applyFont="1" applyBorder="1" applyAlignment="1">
      <alignment horizontal="center" vertical="center"/>
    </xf>
    <xf numFmtId="9" fontId="194" fillId="0" borderId="15" xfId="30" applyNumberFormat="1" applyFont="1" applyBorder="1" applyAlignment="1">
      <alignment horizontal="center" vertical="center"/>
    </xf>
    <xf numFmtId="4" fontId="163" fillId="0" borderId="16" xfId="30" applyNumberFormat="1" applyFont="1" applyBorder="1" applyAlignment="1">
      <alignment horizontal="center" vertical="center"/>
    </xf>
    <xf numFmtId="4" fontId="195" fillId="0" borderId="15" xfId="0" applyNumberFormat="1" applyFont="1" applyBorder="1" applyAlignment="1">
      <alignment horizontal="center" vertical="center" wrapText="1"/>
    </xf>
    <xf numFmtId="4" fontId="163" fillId="42" borderId="15" xfId="30" applyNumberFormat="1" applyFont="1" applyFill="1" applyBorder="1" applyAlignment="1">
      <alignment horizontal="center" vertical="center"/>
    </xf>
    <xf numFmtId="4" fontId="78" fillId="28" borderId="0" xfId="35" applyNumberFormat="1" applyFont="1" applyFill="1"/>
    <xf numFmtId="0" fontId="196" fillId="0" borderId="0" xfId="0" applyFont="1" applyAlignment="1">
      <alignment horizontal="left" vertical="center"/>
    </xf>
    <xf numFmtId="0" fontId="31" fillId="0" borderId="0" xfId="39" applyFont="1" applyAlignment="1">
      <alignment vertical="center"/>
    </xf>
    <xf numFmtId="0" fontId="163" fillId="0" borderId="0" xfId="39" applyFont="1" applyAlignment="1">
      <alignment vertical="center"/>
    </xf>
    <xf numFmtId="166" fontId="31" fillId="43" borderId="15" xfId="30" applyNumberFormat="1" applyFont="1" applyFill="1" applyBorder="1" applyAlignment="1">
      <alignment horizontal="center" vertical="center" wrapText="1"/>
    </xf>
    <xf numFmtId="4" fontId="31" fillId="43" borderId="15" xfId="0" applyNumberFormat="1" applyFont="1" applyFill="1" applyBorder="1" applyAlignment="1">
      <alignment horizontal="center" vertical="center" wrapText="1"/>
    </xf>
    <xf numFmtId="0" fontId="198" fillId="0" borderId="0" xfId="35" applyFont="1" applyAlignment="1">
      <alignment horizontal="center" vertical="center"/>
    </xf>
    <xf numFmtId="4" fontId="199" fillId="28" borderId="0" xfId="0" applyNumberFormat="1" applyFont="1" applyFill="1"/>
    <xf numFmtId="4" fontId="199" fillId="28" borderId="0" xfId="0" applyNumberFormat="1" applyFont="1" applyFill="1" applyAlignment="1">
      <alignment horizontal="center" vertical="center"/>
    </xf>
    <xf numFmtId="49" fontId="200" fillId="0" borderId="15" xfId="0" applyNumberFormat="1" applyFont="1" applyBorder="1" applyAlignment="1">
      <alignment horizontal="center" vertical="center" wrapText="1"/>
    </xf>
    <xf numFmtId="4" fontId="31" fillId="0" borderId="22" xfId="38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39" applyFont="1" applyAlignment="1">
      <alignment vertical="center" wrapText="1"/>
    </xf>
    <xf numFmtId="166" fontId="31" fillId="0" borderId="16" xfId="30" applyNumberFormat="1" applyFont="1" applyBorder="1" applyAlignment="1">
      <alignment horizontal="center" vertical="center" wrapText="1"/>
    </xf>
    <xf numFmtId="4" fontId="202" fillId="28" borderId="15" xfId="35" applyNumberFormat="1" applyFont="1" applyFill="1" applyBorder="1" applyAlignment="1">
      <alignment horizontal="left" vertical="center"/>
    </xf>
    <xf numFmtId="4" fontId="163" fillId="0" borderId="20" xfId="30" applyNumberFormat="1" applyFont="1" applyBorder="1" applyAlignment="1">
      <alignment horizontal="center" vertical="center"/>
    </xf>
    <xf numFmtId="49" fontId="31" fillId="0" borderId="16" xfId="0" applyNumberFormat="1" applyFont="1" applyBorder="1" applyAlignment="1">
      <alignment horizontal="center" wrapText="1"/>
    </xf>
    <xf numFmtId="49" fontId="31" fillId="0" borderId="0" xfId="0" applyNumberFormat="1" applyFont="1" applyAlignment="1">
      <alignment horizontal="center" vertical="center" wrapText="1"/>
    </xf>
    <xf numFmtId="49" fontId="31" fillId="0" borderId="17" xfId="0" applyNumberFormat="1" applyFont="1" applyBorder="1" applyAlignment="1">
      <alignment horizontal="center" vertical="top" wrapText="1"/>
    </xf>
    <xf numFmtId="4" fontId="203" fillId="0" borderId="15" xfId="0" applyNumberFormat="1" applyFont="1" applyBorder="1" applyAlignment="1">
      <alignment horizontal="center" vertical="center" wrapText="1"/>
    </xf>
    <xf numFmtId="4" fontId="203" fillId="27" borderId="15" xfId="0" applyNumberFormat="1" applyFont="1" applyFill="1" applyBorder="1" applyAlignment="1">
      <alignment horizontal="center" vertical="center" wrapText="1"/>
    </xf>
    <xf numFmtId="4" fontId="133" fillId="27" borderId="15" xfId="0" applyNumberFormat="1" applyFont="1" applyFill="1" applyBorder="1" applyAlignment="1">
      <alignment horizontal="center" vertical="center" wrapText="1"/>
    </xf>
    <xf numFmtId="0" fontId="204" fillId="27" borderId="0" xfId="0" applyFont="1" applyFill="1"/>
    <xf numFmtId="0" fontId="204" fillId="0" borderId="0" xfId="0" applyFont="1"/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wrapText="1"/>
    </xf>
    <xf numFmtId="0" fontId="197" fillId="0" borderId="0" xfId="0" applyFont="1" applyAlignment="1">
      <alignment horizontal="justify" vertical="center"/>
    </xf>
    <xf numFmtId="4" fontId="103" fillId="29" borderId="0" xfId="0" applyNumberFormat="1" applyFont="1" applyFill="1" applyAlignment="1">
      <alignment horizontal="center" vertical="center" wrapText="1"/>
    </xf>
    <xf numFmtId="0" fontId="16" fillId="0" borderId="0" xfId="0" applyFont="1" applyAlignment="1">
      <alignment horizontal="justify" vertical="center"/>
    </xf>
    <xf numFmtId="0" fontId="196" fillId="0" borderId="0" xfId="0" applyFont="1" applyAlignment="1">
      <alignment horizontal="justify" vertical="center"/>
    </xf>
    <xf numFmtId="0" fontId="16" fillId="0" borderId="0" xfId="0" applyFont="1" applyAlignment="1">
      <alignment horizontal="left" vertical="center"/>
    </xf>
    <xf numFmtId="0" fontId="163" fillId="0" borderId="15" xfId="38" applyFont="1" applyFill="1" applyBorder="1" applyAlignment="1" applyProtection="1">
      <alignment horizontal="center" vertical="center" wrapText="1"/>
      <protection locked="0"/>
    </xf>
    <xf numFmtId="4" fontId="168" fillId="27" borderId="15" xfId="0" applyNumberFormat="1" applyFont="1" applyFill="1" applyBorder="1" applyAlignment="1">
      <alignment horizontal="center" vertical="center" wrapText="1"/>
    </xf>
    <xf numFmtId="4" fontId="184" fillId="0" borderId="24" xfId="0" applyNumberFormat="1" applyFont="1" applyBorder="1" applyAlignment="1">
      <alignment horizontal="left" vertical="center" wrapText="1"/>
    </xf>
    <xf numFmtId="0" fontId="94" fillId="0" borderId="0" xfId="0" applyFont="1" applyAlignment="1">
      <alignment horizontal="justify" vertical="center"/>
    </xf>
    <xf numFmtId="0" fontId="197" fillId="0" borderId="0" xfId="0" applyFont="1" applyAlignment="1">
      <alignment horizontal="left" vertical="center"/>
    </xf>
    <xf numFmtId="0" fontId="164" fillId="0" borderId="0" xfId="39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65" fillId="0" borderId="0" xfId="39" applyFont="1" applyAlignment="1">
      <alignment horizontal="center" vertical="center"/>
    </xf>
    <xf numFmtId="0" fontId="61" fillId="0" borderId="0" xfId="0" applyFont="1"/>
    <xf numFmtId="0" fontId="17" fillId="0" borderId="0" xfId="39" applyFont="1" applyAlignment="1">
      <alignment horizontal="center" vertical="center"/>
    </xf>
    <xf numFmtId="0" fontId="41" fillId="0" borderId="0" xfId="0" applyFont="1"/>
    <xf numFmtId="0" fontId="155" fillId="0" borderId="24" xfId="39" applyFont="1" applyBorder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6" fillId="0" borderId="0" xfId="39" applyFont="1" applyAlignment="1">
      <alignment vertical="center" wrapText="1"/>
    </xf>
    <xf numFmtId="0" fontId="0" fillId="0" borderId="0" xfId="0"/>
    <xf numFmtId="0" fontId="156" fillId="0" borderId="0" xfId="0" applyFont="1" applyAlignment="1">
      <alignment horizontal="center" vertical="center" wrapText="1"/>
    </xf>
    <xf numFmtId="0" fontId="157" fillId="0" borderId="0" xfId="0" applyFont="1" applyAlignment="1">
      <alignment horizontal="center"/>
    </xf>
    <xf numFmtId="0" fontId="15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9" fillId="0" borderId="0" xfId="0" applyFont="1" applyAlignment="1">
      <alignment horizontal="center" vertical="top"/>
    </xf>
    <xf numFmtId="0" fontId="160" fillId="0" borderId="0" xfId="0" applyFont="1" applyAlignment="1">
      <alignment horizontal="center" vertical="top"/>
    </xf>
    <xf numFmtId="0" fontId="161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55" fillId="39" borderId="24" xfId="0" applyFont="1" applyFill="1" applyBorder="1" applyAlignment="1">
      <alignment horizontal="left" vertical="center" wrapText="1"/>
    </xf>
    <xf numFmtId="0" fontId="0" fillId="39" borderId="24" xfId="0" applyFill="1" applyBorder="1" applyAlignment="1">
      <alignment wrapText="1"/>
    </xf>
    <xf numFmtId="0" fontId="31" fillId="0" borderId="0" xfId="39" applyFont="1" applyAlignment="1">
      <alignment vertical="center" wrapText="1"/>
    </xf>
    <xf numFmtId="0" fontId="34" fillId="0" borderId="0" xfId="0" applyFont="1"/>
    <xf numFmtId="4" fontId="32" fillId="28" borderId="16" xfId="0" applyNumberFormat="1" applyFont="1" applyFill="1" applyBorder="1" applyAlignment="1">
      <alignment horizontal="center" vertical="center" wrapText="1"/>
    </xf>
    <xf numFmtId="0" fontId="0" fillId="28" borderId="18" xfId="0" applyFill="1" applyBorder="1" applyAlignment="1">
      <alignment horizontal="center" vertical="center" wrapText="1"/>
    </xf>
    <xf numFmtId="0" fontId="0" fillId="28" borderId="17" xfId="0" applyFill="1" applyBorder="1" applyAlignment="1">
      <alignment horizontal="center" vertical="center" wrapText="1"/>
    </xf>
    <xf numFmtId="4" fontId="33" fillId="28" borderId="16" xfId="0" applyNumberFormat="1" applyFont="1" applyFill="1" applyBorder="1" applyAlignment="1">
      <alignment horizontal="center" vertical="center" wrapText="1"/>
    </xf>
    <xf numFmtId="4" fontId="32" fillId="28" borderId="0" xfId="0" applyNumberFormat="1" applyFont="1" applyFill="1" applyAlignment="1">
      <alignment horizontal="left" vertical="center" wrapText="1"/>
    </xf>
    <xf numFmtId="0" fontId="0" fillId="28" borderId="0" xfId="0" applyFill="1"/>
    <xf numFmtId="49" fontId="31" fillId="28" borderId="16" xfId="0" applyNumberFormat="1" applyFont="1" applyFill="1" applyBorder="1" applyAlignment="1">
      <alignment horizontal="center" vertical="center" wrapText="1"/>
    </xf>
    <xf numFmtId="4" fontId="32" fillId="0" borderId="16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" fontId="31" fillId="0" borderId="15" xfId="0" applyNumberFormat="1" applyFont="1" applyBorder="1" applyAlignment="1">
      <alignment horizontal="center" vertical="center" wrapText="1"/>
    </xf>
    <xf numFmtId="4" fontId="30" fillId="0" borderId="15" xfId="0" applyNumberFormat="1" applyFont="1" applyBorder="1" applyAlignment="1">
      <alignment horizontal="center" vertical="center" wrapText="1"/>
    </xf>
    <xf numFmtId="4" fontId="67" fillId="0" borderId="15" xfId="0" applyNumberFormat="1" applyFont="1" applyBorder="1" applyAlignment="1">
      <alignment horizontal="center" vertical="center" wrapText="1"/>
    </xf>
    <xf numFmtId="0" fontId="64" fillId="0" borderId="15" xfId="0" applyFont="1" applyBorder="1" applyAlignment="1">
      <alignment horizontal="center" vertical="center" wrapText="1"/>
    </xf>
    <xf numFmtId="4" fontId="64" fillId="0" borderId="15" xfId="0" applyNumberFormat="1" applyFont="1" applyBorder="1" applyAlignment="1">
      <alignment horizontal="center" vertical="center" wrapText="1"/>
    </xf>
    <xf numFmtId="4" fontId="68" fillId="0" borderId="15" xfId="0" applyNumberFormat="1" applyFont="1" applyBorder="1" applyAlignment="1">
      <alignment horizontal="center" vertical="center"/>
    </xf>
    <xf numFmtId="0" fontId="64" fillId="0" borderId="15" xfId="0" applyFont="1" applyBorder="1" applyAlignment="1">
      <alignment horizontal="center" vertical="center"/>
    </xf>
    <xf numFmtId="4" fontId="63" fillId="0" borderId="15" xfId="0" applyNumberFormat="1" applyFont="1" applyBorder="1" applyAlignment="1">
      <alignment horizontal="center" vertical="center" wrapText="1"/>
    </xf>
    <xf numFmtId="4" fontId="65" fillId="0" borderId="15" xfId="0" applyNumberFormat="1" applyFont="1" applyBorder="1" applyAlignment="1">
      <alignment horizontal="center" vertical="center" wrapText="1"/>
    </xf>
    <xf numFmtId="49" fontId="31" fillId="0" borderId="16" xfId="0" applyNumberFormat="1" applyFont="1" applyBorder="1" applyAlignment="1">
      <alignment horizontal="center" vertical="center" wrapText="1"/>
    </xf>
    <xf numFmtId="4" fontId="33" fillId="0" borderId="16" xfId="0" applyNumberFormat="1" applyFont="1" applyBorder="1" applyAlignment="1">
      <alignment horizontal="center" vertical="center" wrapText="1"/>
    </xf>
    <xf numFmtId="0" fontId="0" fillId="28" borderId="0" xfId="0" applyFill="1" applyAlignment="1">
      <alignment horizontal="left" vertical="center" wrapText="1"/>
    </xf>
    <xf numFmtId="0" fontId="64" fillId="28" borderId="23" xfId="0" applyFont="1" applyFill="1" applyBorder="1"/>
    <xf numFmtId="4" fontId="63" fillId="28" borderId="15" xfId="0" applyNumberFormat="1" applyFont="1" applyFill="1" applyBorder="1" applyAlignment="1">
      <alignment horizontal="center" vertical="center" wrapText="1"/>
    </xf>
    <xf numFmtId="49" fontId="67" fillId="28" borderId="15" xfId="0" applyNumberFormat="1" applyFont="1" applyFill="1" applyBorder="1" applyAlignment="1">
      <alignment horizontal="center" vertical="center" wrapText="1"/>
    </xf>
    <xf numFmtId="4" fontId="71" fillId="28" borderId="15" xfId="0" applyNumberFormat="1" applyFont="1" applyFill="1" applyBorder="1" applyAlignment="1">
      <alignment horizontal="center" vertical="center" wrapText="1"/>
    </xf>
    <xf numFmtId="4" fontId="67" fillId="28" borderId="15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Border="1" applyAlignment="1">
      <alignment horizontal="center" vertical="center" wrapText="1"/>
    </xf>
    <xf numFmtId="0" fontId="31" fillId="0" borderId="0" xfId="0" applyFont="1"/>
    <xf numFmtId="4" fontId="89" fillId="28" borderId="16" xfId="0" applyNumberFormat="1" applyFont="1" applyFill="1" applyBorder="1" applyAlignment="1">
      <alignment horizontal="center" vertical="center" wrapText="1"/>
    </xf>
    <xf numFmtId="4" fontId="33" fillId="0" borderId="15" xfId="0" applyNumberFormat="1" applyFont="1" applyBorder="1" applyAlignment="1">
      <alignment horizontal="center" vertical="center"/>
    </xf>
    <xf numFmtId="4" fontId="68" fillId="28" borderId="15" xfId="0" applyNumberFormat="1" applyFont="1" applyFill="1" applyBorder="1" applyAlignment="1">
      <alignment horizontal="center" vertical="center"/>
    </xf>
    <xf numFmtId="4" fontId="32" fillId="0" borderId="15" xfId="0" applyNumberFormat="1" applyFont="1" applyBorder="1" applyAlignment="1">
      <alignment horizontal="center" vertical="center" wrapText="1"/>
    </xf>
    <xf numFmtId="4" fontId="31" fillId="0" borderId="16" xfId="0" applyNumberFormat="1" applyFont="1" applyBorder="1" applyAlignment="1">
      <alignment horizontal="center" vertical="center" wrapText="1"/>
    </xf>
    <xf numFmtId="4" fontId="31" fillId="0" borderId="17" xfId="0" applyNumberFormat="1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" fontId="71" fillId="0" borderId="15" xfId="0" applyNumberFormat="1" applyFont="1" applyBorder="1" applyAlignment="1">
      <alignment horizontal="center" vertical="center" wrapText="1"/>
    </xf>
    <xf numFmtId="49" fontId="67" fillId="0" borderId="15" xfId="0" applyNumberFormat="1" applyFont="1" applyBorder="1" applyAlignment="1">
      <alignment horizontal="center" vertical="center" wrapText="1"/>
    </xf>
    <xf numFmtId="0" fontId="74" fillId="0" borderId="15" xfId="0" applyFont="1" applyBorder="1" applyAlignment="1">
      <alignment horizontal="center" vertical="center" wrapText="1"/>
    </xf>
    <xf numFmtId="49" fontId="167" fillId="28" borderId="16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150" fillId="0" borderId="0" xfId="0" applyFont="1" applyAlignment="1">
      <alignment horizontal="center"/>
    </xf>
    <xf numFmtId="0" fontId="151" fillId="0" borderId="0" xfId="0" applyFont="1" applyAlignment="1">
      <alignment horizontal="center"/>
    </xf>
    <xf numFmtId="0" fontId="30" fillId="0" borderId="15" xfId="0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30" fillId="0" borderId="15" xfId="0" applyFont="1" applyBorder="1" applyAlignment="1">
      <alignment horizontal="center" vertical="top" wrapText="1"/>
    </xf>
    <xf numFmtId="0" fontId="31" fillId="0" borderId="0" xfId="0" applyFont="1" applyAlignment="1">
      <alignment horizontal="center" vertical="top"/>
    </xf>
    <xf numFmtId="0" fontId="34" fillId="0" borderId="0" xfId="0" applyFont="1" applyAlignment="1">
      <alignment horizontal="center" vertical="top"/>
    </xf>
    <xf numFmtId="0" fontId="15" fillId="0" borderId="15" xfId="0" applyFont="1" applyBorder="1" applyAlignment="1">
      <alignment horizontal="center" vertical="top"/>
    </xf>
    <xf numFmtId="0" fontId="186" fillId="0" borderId="0" xfId="0" applyFont="1" applyAlignment="1">
      <alignment horizontal="left" vertical="center"/>
    </xf>
    <xf numFmtId="0" fontId="188" fillId="0" borderId="0" xfId="0" applyFont="1" applyAlignment="1">
      <alignment horizontal="left" vertical="center"/>
    </xf>
    <xf numFmtId="0" fontId="31" fillId="28" borderId="0" xfId="0" applyFont="1" applyFill="1"/>
    <xf numFmtId="4" fontId="33" fillId="0" borderId="16" xfId="0" applyNumberFormat="1" applyFont="1" applyBorder="1" applyAlignment="1">
      <alignment horizontal="center" vertical="center"/>
    </xf>
    <xf numFmtId="4" fontId="33" fillId="0" borderId="17" xfId="0" applyNumberFormat="1" applyFont="1" applyBorder="1" applyAlignment="1">
      <alignment horizontal="center" vertical="center"/>
    </xf>
    <xf numFmtId="4" fontId="30" fillId="0" borderId="16" xfId="0" applyNumberFormat="1" applyFont="1" applyBorder="1" applyAlignment="1">
      <alignment horizontal="center" vertical="center" wrapText="1"/>
    </xf>
    <xf numFmtId="4" fontId="30" fillId="0" borderId="17" xfId="0" applyNumberFormat="1" applyFont="1" applyBorder="1" applyAlignment="1">
      <alignment horizontal="center" vertical="center" wrapText="1"/>
    </xf>
    <xf numFmtId="4" fontId="32" fillId="0" borderId="17" xfId="0" applyNumberFormat="1" applyFont="1" applyBorder="1" applyAlignment="1">
      <alignment horizontal="center" vertical="center" wrapText="1"/>
    </xf>
    <xf numFmtId="0" fontId="174" fillId="0" borderId="15" xfId="35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70" fillId="0" borderId="0" xfId="0" applyFont="1"/>
    <xf numFmtId="0" fontId="163" fillId="0" borderId="0" xfId="35" applyFont="1" applyAlignment="1">
      <alignment horizontal="center" vertical="center" wrapText="1"/>
    </xf>
    <xf numFmtId="0" fontId="156" fillId="0" borderId="0" xfId="35" applyFont="1" applyAlignment="1">
      <alignment horizontal="center" vertical="center" wrapText="1"/>
    </xf>
    <xf numFmtId="0" fontId="155" fillId="0" borderId="15" xfId="35" applyFont="1" applyBorder="1" applyAlignment="1">
      <alignment horizontal="center" vertical="top" wrapText="1"/>
    </xf>
    <xf numFmtId="0" fontId="163" fillId="0" borderId="0" xfId="0" applyFont="1"/>
    <xf numFmtId="0" fontId="197" fillId="0" borderId="0" xfId="0" applyFont="1" applyAlignment="1">
      <alignment horizontal="justify" vertical="center"/>
    </xf>
    <xf numFmtId="0" fontId="93" fillId="0" borderId="0" xfId="0" applyFont="1" applyAlignment="1">
      <alignment horizontal="center" vertical="center"/>
    </xf>
    <xf numFmtId="0" fontId="93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79" fillId="0" borderId="0" xfId="35" applyFont="1"/>
    <xf numFmtId="0" fontId="64" fillId="0" borderId="0" xfId="0" applyFont="1"/>
    <xf numFmtId="0" fontId="155" fillId="0" borderId="15" xfId="0" applyFont="1" applyBorder="1" applyAlignment="1">
      <alignment horizontal="center" vertical="top" wrapText="1"/>
    </xf>
    <xf numFmtId="0" fontId="155" fillId="0" borderId="15" xfId="0" applyFont="1" applyBorder="1" applyAlignment="1">
      <alignment horizontal="center" vertical="top"/>
    </xf>
    <xf numFmtId="0" fontId="10" fillId="0" borderId="0" xfId="0" applyFont="1" applyAlignment="1">
      <alignment horizontal="center" vertical="center" wrapText="1"/>
    </xf>
    <xf numFmtId="49" fontId="31" fillId="0" borderId="19" xfId="0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67" fillId="0" borderId="0" xfId="0" applyFont="1"/>
    <xf numFmtId="49" fontId="30" fillId="39" borderId="19" xfId="0" applyNumberFormat="1" applyFont="1" applyFill="1" applyBorder="1" applyAlignment="1">
      <alignment horizontal="center" vertical="center" wrapText="1"/>
    </xf>
    <xf numFmtId="0" fontId="15" fillId="39" borderId="21" xfId="0" applyFont="1" applyFill="1" applyBorder="1" applyAlignment="1">
      <alignment horizontal="center" vertical="center" wrapText="1"/>
    </xf>
    <xf numFmtId="0" fontId="15" fillId="39" borderId="22" xfId="0" applyFont="1" applyFill="1" applyBorder="1" applyAlignment="1">
      <alignment horizontal="center" vertical="center" wrapText="1"/>
    </xf>
    <xf numFmtId="49" fontId="30" fillId="0" borderId="19" xfId="0" applyNumberFormat="1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49" fontId="31" fillId="39" borderId="19" xfId="0" applyNumberFormat="1" applyFont="1" applyFill="1" applyBorder="1" applyAlignment="1">
      <alignment horizontal="left" vertical="center" wrapText="1"/>
    </xf>
    <xf numFmtId="49" fontId="31" fillId="39" borderId="22" xfId="0" applyNumberFormat="1" applyFont="1" applyFill="1" applyBorder="1" applyAlignment="1">
      <alignment horizontal="left" vertical="center" wrapText="1"/>
    </xf>
    <xf numFmtId="49" fontId="31" fillId="35" borderId="19" xfId="0" applyNumberFormat="1" applyFont="1" applyFill="1" applyBorder="1" applyAlignment="1">
      <alignment horizontal="left" vertical="center" wrapText="1"/>
    </xf>
    <xf numFmtId="0" fontId="0" fillId="35" borderId="22" xfId="0" applyFill="1" applyBorder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96" fillId="0" borderId="0" xfId="0" applyFont="1" applyAlignment="1">
      <alignment horizontal="justify" vertical="center"/>
    </xf>
    <xf numFmtId="0" fontId="67" fillId="0" borderId="0" xfId="39" applyFont="1" applyAlignment="1">
      <alignment vertical="top" wrapText="1"/>
    </xf>
    <xf numFmtId="0" fontId="64" fillId="0" borderId="0" xfId="0" applyFont="1" applyAlignment="1">
      <alignment vertical="top" wrapText="1"/>
    </xf>
    <xf numFmtId="49" fontId="31" fillId="27" borderId="19" xfId="0" applyNumberFormat="1" applyFont="1" applyFill="1" applyBorder="1" applyAlignment="1">
      <alignment horizontal="left" vertical="center" wrapText="1"/>
    </xf>
    <xf numFmtId="0" fontId="0" fillId="27" borderId="22" xfId="0" applyFill="1" applyBorder="1" applyAlignment="1">
      <alignment horizontal="left" vertical="center" wrapText="1"/>
    </xf>
    <xf numFmtId="49" fontId="30" fillId="35" borderId="19" xfId="0" applyNumberFormat="1" applyFont="1" applyFill="1" applyBorder="1" applyAlignment="1">
      <alignment horizontal="left" vertical="center" wrapText="1"/>
    </xf>
    <xf numFmtId="49" fontId="30" fillId="35" borderId="22" xfId="0" applyNumberFormat="1" applyFont="1" applyFill="1" applyBorder="1" applyAlignment="1">
      <alignment horizontal="left" vertical="center" wrapText="1"/>
    </xf>
    <xf numFmtId="49" fontId="31" fillId="0" borderId="26" xfId="0" applyNumberFormat="1" applyFont="1" applyBorder="1" applyAlignment="1">
      <alignment horizontal="left" wrapText="1"/>
    </xf>
    <xf numFmtId="0" fontId="0" fillId="0" borderId="27" xfId="0" applyBorder="1" applyAlignment="1">
      <alignment horizontal="left" wrapText="1"/>
    </xf>
    <xf numFmtId="49" fontId="3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7" fillId="27" borderId="0" xfId="0" applyFont="1" applyFill="1" applyAlignment="1">
      <alignment horizontal="center" vertical="center"/>
    </xf>
    <xf numFmtId="0" fontId="67" fillId="27" borderId="0" xfId="0" applyFont="1" applyFill="1" applyAlignment="1">
      <alignment vertical="center"/>
    </xf>
    <xf numFmtId="49" fontId="30" fillId="0" borderId="22" xfId="0" applyNumberFormat="1" applyFont="1" applyBorder="1" applyAlignment="1">
      <alignment horizontal="left" vertical="center" wrapText="1"/>
    </xf>
    <xf numFmtId="49" fontId="31" fillId="0" borderId="22" xfId="0" applyNumberFormat="1" applyFont="1" applyBorder="1" applyAlignment="1">
      <alignment horizontal="left" vertical="center" wrapText="1"/>
    </xf>
    <xf numFmtId="0" fontId="30" fillId="0" borderId="19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49" fontId="31" fillId="0" borderId="19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76" fillId="0" borderId="0" xfId="0" applyFont="1"/>
    <xf numFmtId="0" fontId="181" fillId="0" borderId="0" xfId="0" applyFont="1" applyAlignment="1">
      <alignment horizontal="left" vertical="center"/>
    </xf>
    <xf numFmtId="0" fontId="182" fillId="0" borderId="0" xfId="0" applyFont="1" applyAlignment="1">
      <alignment horizontal="center" vertical="center"/>
    </xf>
    <xf numFmtId="0" fontId="111" fillId="0" borderId="0" xfId="35" applyFont="1" applyAlignment="1">
      <alignment horizontal="center" vertical="center"/>
    </xf>
    <xf numFmtId="0" fontId="170" fillId="0" borderId="0" xfId="35" applyFont="1" applyAlignment="1">
      <alignment horizontal="center" vertical="center" wrapText="1"/>
    </xf>
    <xf numFmtId="4" fontId="102" fillId="29" borderId="23" xfId="0" applyNumberFormat="1" applyFont="1" applyFill="1" applyBorder="1" applyAlignment="1">
      <alignment horizontal="center" vertical="center" wrapText="1"/>
    </xf>
    <xf numFmtId="0" fontId="98" fillId="0" borderId="23" xfId="0" applyFont="1" applyBorder="1"/>
    <xf numFmtId="0" fontId="34" fillId="0" borderId="17" xfId="0" applyFont="1" applyBorder="1" applyAlignment="1">
      <alignment horizontal="center" vertical="center" wrapText="1"/>
    </xf>
    <xf numFmtId="4" fontId="67" fillId="0" borderId="16" xfId="0" applyNumberFormat="1" applyFont="1" applyBorder="1" applyAlignment="1">
      <alignment horizontal="center" vertical="center" wrapText="1"/>
    </xf>
    <xf numFmtId="4" fontId="67" fillId="0" borderId="17" xfId="0" applyNumberFormat="1" applyFont="1" applyBorder="1" applyAlignment="1">
      <alignment horizontal="center" vertical="center" wrapText="1"/>
    </xf>
    <xf numFmtId="166" fontId="31" fillId="0" borderId="16" xfId="30" applyNumberFormat="1" applyFont="1" applyBorder="1" applyAlignment="1">
      <alignment horizontal="center" vertical="center" wrapText="1"/>
    </xf>
    <xf numFmtId="166" fontId="31" fillId="0" borderId="17" xfId="30" applyNumberFormat="1" applyFont="1" applyBorder="1" applyAlignment="1">
      <alignment horizontal="center" vertical="center" wrapText="1"/>
    </xf>
    <xf numFmtId="49" fontId="31" fillId="0" borderId="17" xfId="0" applyNumberFormat="1" applyFont="1" applyBorder="1" applyAlignment="1">
      <alignment horizontal="center" vertical="center" wrapText="1"/>
    </xf>
    <xf numFmtId="4" fontId="83" fillId="29" borderId="23" xfId="0" applyNumberFormat="1" applyFont="1" applyFill="1" applyBorder="1" applyAlignment="1">
      <alignment horizontal="center" vertical="center" wrapText="1"/>
    </xf>
    <xf numFmtId="0" fontId="78" fillId="28" borderId="23" xfId="0" applyFont="1" applyFill="1" applyBorder="1"/>
    <xf numFmtId="0" fontId="31" fillId="0" borderId="15" xfId="0" applyFont="1" applyBorder="1" applyAlignment="1">
      <alignment horizontal="center" vertical="top" wrapText="1"/>
    </xf>
    <xf numFmtId="0" fontId="31" fillId="0" borderId="15" xfId="0" applyFont="1" applyBorder="1" applyAlignment="1">
      <alignment horizontal="center" vertical="top"/>
    </xf>
    <xf numFmtId="4" fontId="103" fillId="29" borderId="23" xfId="0" applyNumberFormat="1" applyFont="1" applyFill="1" applyBorder="1" applyAlignment="1">
      <alignment horizontal="center" vertical="center" wrapText="1"/>
    </xf>
    <xf numFmtId="0" fontId="153" fillId="28" borderId="23" xfId="0" applyFont="1" applyFill="1" applyBorder="1"/>
    <xf numFmtId="0" fontId="55" fillId="0" borderId="0" xfId="0" applyFont="1" applyAlignment="1">
      <alignment horizontal="left" vertical="center"/>
    </xf>
    <xf numFmtId="0" fontId="56" fillId="0" borderId="0" xfId="0" applyFont="1" applyAlignment="1">
      <alignment horizontal="left" vertical="center"/>
    </xf>
    <xf numFmtId="4" fontId="67" fillId="0" borderId="16" xfId="38" applyNumberFormat="1" applyFont="1" applyFill="1" applyBorder="1" applyAlignment="1" applyProtection="1">
      <alignment horizontal="center" vertical="center" wrapText="1"/>
      <protection locked="0"/>
    </xf>
    <xf numFmtId="0" fontId="64" fillId="0" borderId="17" xfId="0" applyFont="1" applyBorder="1" applyAlignment="1">
      <alignment horizontal="center" vertical="center" wrapText="1"/>
    </xf>
    <xf numFmtId="4" fontId="67" fillId="0" borderId="16" xfId="38" applyNumberFormat="1" applyFont="1" applyFill="1" applyBorder="1" applyAlignment="1">
      <alignment horizontal="center" vertical="center" wrapText="1"/>
    </xf>
    <xf numFmtId="49" fontId="67" fillId="0" borderId="16" xfId="0" applyNumberFormat="1" applyFont="1" applyBorder="1" applyAlignment="1">
      <alignment horizontal="center" vertical="center" wrapText="1"/>
    </xf>
    <xf numFmtId="4" fontId="67" fillId="28" borderId="16" xfId="0" applyNumberFormat="1" applyFont="1" applyFill="1" applyBorder="1" applyAlignment="1">
      <alignment horizontal="center" vertical="center" wrapText="1"/>
    </xf>
    <xf numFmtId="0" fontId="64" fillId="28" borderId="17" xfId="0" applyFont="1" applyFill="1" applyBorder="1" applyAlignment="1">
      <alignment horizontal="center" vertical="center" wrapText="1"/>
    </xf>
    <xf numFmtId="49" fontId="67" fillId="28" borderId="16" xfId="0" applyNumberFormat="1" applyFont="1" applyFill="1" applyBorder="1" applyAlignment="1">
      <alignment horizontal="center" vertical="center" wrapText="1"/>
    </xf>
    <xf numFmtId="0" fontId="67" fillId="28" borderId="17" xfId="0" applyFont="1" applyFill="1" applyBorder="1" applyAlignment="1">
      <alignment horizontal="center" vertical="center" wrapText="1"/>
    </xf>
    <xf numFmtId="0" fontId="74" fillId="0" borderId="17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2" fontId="42" fillId="0" borderId="15" xfId="36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2" fontId="145" fillId="0" borderId="15" xfId="36" applyNumberFormat="1" applyFont="1" applyFill="1" applyBorder="1" applyAlignment="1">
      <alignment horizontal="center" vertical="center" wrapText="1"/>
    </xf>
    <xf numFmtId="0" fontId="64" fillId="0" borderId="15" xfId="0" applyFont="1" applyBorder="1" applyAlignment="1">
      <alignment horizontal="center"/>
    </xf>
    <xf numFmtId="2" fontId="40" fillId="39" borderId="15" xfId="36" applyNumberFormat="1" applyFont="1" applyFill="1" applyBorder="1" applyAlignment="1">
      <alignment horizontal="center" vertical="center"/>
    </xf>
    <xf numFmtId="0" fontId="10" fillId="39" borderId="15" xfId="0" applyFont="1" applyFill="1" applyBorder="1" applyAlignment="1">
      <alignment horizontal="center"/>
    </xf>
    <xf numFmtId="164" fontId="40" fillId="40" borderId="15" xfId="36" applyNumberFormat="1" applyFont="1" applyFill="1" applyBorder="1" applyAlignment="1">
      <alignment horizontal="left" vertical="center" wrapText="1"/>
    </xf>
    <xf numFmtId="164" fontId="10" fillId="40" borderId="15" xfId="0" applyNumberFormat="1" applyFont="1" applyFill="1" applyBorder="1" applyAlignment="1">
      <alignment horizontal="left"/>
    </xf>
    <xf numFmtId="0" fontId="16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0" fillId="0" borderId="0" xfId="36" applyFont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36" applyFont="1" applyAlignment="1">
      <alignment horizontal="center" vertical="top"/>
    </xf>
    <xf numFmtId="0" fontId="10" fillId="0" borderId="0" xfId="0" applyFont="1" applyAlignment="1">
      <alignment vertical="top"/>
    </xf>
    <xf numFmtId="0" fontId="40" fillId="0" borderId="0" xfId="36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1" fillId="0" borderId="0" xfId="36" applyFont="1">
      <alignment vertical="top"/>
    </xf>
    <xf numFmtId="0" fontId="111" fillId="0" borderId="0" xfId="36" applyFont="1" applyAlignment="1">
      <alignment horizontal="center" vertical="center" wrapText="1"/>
    </xf>
    <xf numFmtId="0" fontId="136" fillId="0" borderId="0" xfId="36" applyFont="1" applyAlignment="1">
      <alignment horizontal="left" vertical="top" wrapText="1"/>
    </xf>
    <xf numFmtId="2" fontId="40" fillId="0" borderId="15" xfId="36" applyNumberFormat="1" applyFont="1" applyFill="1" applyBorder="1" applyAlignment="1">
      <alignment horizontal="center" vertical="center" wrapText="1"/>
    </xf>
    <xf numFmtId="2" fontId="42" fillId="0" borderId="0" xfId="36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2" fontId="81" fillId="28" borderId="23" xfId="36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6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4" fontId="32" fillId="0" borderId="18" xfId="0" applyNumberFormat="1" applyFont="1" applyBorder="1" applyAlignment="1">
      <alignment horizontal="center" vertical="center" wrapText="1"/>
    </xf>
  </cellXfs>
  <cellStyles count="191">
    <cellStyle name="20% - Акцент1" xfId="46" xr:uid="{00000000-0005-0000-0000-000000000000}"/>
    <cellStyle name="20% - Акцент2" xfId="47" xr:uid="{00000000-0005-0000-0000-000001000000}"/>
    <cellStyle name="20% - Акцент3" xfId="48" xr:uid="{00000000-0005-0000-0000-000002000000}"/>
    <cellStyle name="20% - Акцент4" xfId="49" xr:uid="{00000000-0005-0000-0000-000003000000}"/>
    <cellStyle name="20% - Акцент5" xfId="50" xr:uid="{00000000-0005-0000-0000-000004000000}"/>
    <cellStyle name="20% - Акцент6" xfId="51" xr:uid="{00000000-0005-0000-0000-000005000000}"/>
    <cellStyle name="40% - Акцент1" xfId="52" xr:uid="{00000000-0005-0000-0000-000006000000}"/>
    <cellStyle name="40% - Акцент2" xfId="53" xr:uid="{00000000-0005-0000-0000-000007000000}"/>
    <cellStyle name="40% - Акцент3" xfId="54" xr:uid="{00000000-0005-0000-0000-000008000000}"/>
    <cellStyle name="40% - Акцент4" xfId="55" xr:uid="{00000000-0005-0000-0000-000009000000}"/>
    <cellStyle name="40% - Акцент5" xfId="56" xr:uid="{00000000-0005-0000-0000-00000A000000}"/>
    <cellStyle name="40% - Акцент6" xfId="57" xr:uid="{00000000-0005-0000-0000-00000B000000}"/>
    <cellStyle name="60% - Акцент1" xfId="58" xr:uid="{00000000-0005-0000-0000-00000C000000}"/>
    <cellStyle name="60% - Акцент2" xfId="59" xr:uid="{00000000-0005-0000-0000-00000D000000}"/>
    <cellStyle name="60% - Акцент3" xfId="60" xr:uid="{00000000-0005-0000-0000-00000E000000}"/>
    <cellStyle name="60% - Акцент4" xfId="61" xr:uid="{00000000-0005-0000-0000-00000F000000}"/>
    <cellStyle name="60% - Акцент5" xfId="62" xr:uid="{00000000-0005-0000-0000-000010000000}"/>
    <cellStyle name="60% - Акцент6" xfId="63" xr:uid="{00000000-0005-0000-0000-000011000000}"/>
    <cellStyle name="Excel Built-in Normal" xfId="102" xr:uid="{00000000-0005-0000-0000-000012000000}"/>
    <cellStyle name="Excel Built-in Normal 2" xfId="118" xr:uid="{00000000-0005-0000-0000-000013000000}"/>
    <cellStyle name="Excel Built-in Обычный_УКБ до бюджету 2016р ост" xfId="84" xr:uid="{00000000-0005-0000-0000-000014000000}"/>
    <cellStyle name="Normal_meresha_07" xfId="1" xr:uid="{00000000-0005-0000-0000-000015000000}"/>
    <cellStyle name="TableStyleLight1" xfId="131" xr:uid="{00000000-0005-0000-0000-000016000000}"/>
    <cellStyle name="TableStyleLight1 2" xfId="173" xr:uid="{00000000-0005-0000-0000-000017000000}"/>
    <cellStyle name="Акцент1" xfId="64" xr:uid="{00000000-0005-0000-0000-000018000000}"/>
    <cellStyle name="Акцент2" xfId="65" xr:uid="{00000000-0005-0000-0000-000019000000}"/>
    <cellStyle name="Акцент3" xfId="66" xr:uid="{00000000-0005-0000-0000-00001A000000}"/>
    <cellStyle name="Акцент4" xfId="67" xr:uid="{00000000-0005-0000-0000-00001B000000}"/>
    <cellStyle name="Акцент5" xfId="68" xr:uid="{00000000-0005-0000-0000-00001C000000}"/>
    <cellStyle name="Акцент6" xfId="69" xr:uid="{00000000-0005-0000-0000-00001D000000}"/>
    <cellStyle name="Ввід" xfId="2" xr:uid="{00000000-0005-0000-0000-00001E000000}"/>
    <cellStyle name="Ввід 2" xfId="180" xr:uid="{00000000-0005-0000-0000-00001F000000}"/>
    <cellStyle name="Ввід 3" xfId="103" xr:uid="{00000000-0005-0000-0000-000020000000}"/>
    <cellStyle name="Ввод " xfId="70" xr:uid="{00000000-0005-0000-0000-000021000000}"/>
    <cellStyle name="Вывод" xfId="71" xr:uid="{00000000-0005-0000-0000-000022000000}"/>
    <cellStyle name="Вычисление" xfId="72" xr:uid="{00000000-0005-0000-0000-000023000000}"/>
    <cellStyle name="Гіперпосилання 2" xfId="73" xr:uid="{00000000-0005-0000-0000-000024000000}"/>
    <cellStyle name="Добре" xfId="3" xr:uid="{00000000-0005-0000-0000-000025000000}"/>
    <cellStyle name="Заголовок 1" xfId="4" builtinId="16" customBuiltin="1"/>
    <cellStyle name="Заголовок 1 2" xfId="104" xr:uid="{00000000-0005-0000-0000-000027000000}"/>
    <cellStyle name="Заголовок 2" xfId="5" builtinId="17" customBuiltin="1"/>
    <cellStyle name="Заголовок 2 2" xfId="105" xr:uid="{00000000-0005-0000-0000-000029000000}"/>
    <cellStyle name="Заголовок 3" xfId="6" builtinId="18" customBuiltin="1"/>
    <cellStyle name="Заголовок 3 2" xfId="106" xr:uid="{00000000-0005-0000-0000-00002B000000}"/>
    <cellStyle name="Заголовок 4" xfId="7" builtinId="19" customBuiltin="1"/>
    <cellStyle name="Заголовок 4 2" xfId="107" xr:uid="{00000000-0005-0000-0000-00002D000000}"/>
    <cellStyle name="Звичайний" xfId="0" builtinId="0"/>
    <cellStyle name="Звичайний 10" xfId="8" xr:uid="{00000000-0005-0000-0000-00002F000000}"/>
    <cellStyle name="Звичайний 11" xfId="9" xr:uid="{00000000-0005-0000-0000-000030000000}"/>
    <cellStyle name="Звичайний 12" xfId="10" xr:uid="{00000000-0005-0000-0000-000031000000}"/>
    <cellStyle name="Звичайний 13" xfId="11" xr:uid="{00000000-0005-0000-0000-000032000000}"/>
    <cellStyle name="Звичайний 14" xfId="12" xr:uid="{00000000-0005-0000-0000-000033000000}"/>
    <cellStyle name="Звичайний 15" xfId="13" xr:uid="{00000000-0005-0000-0000-000034000000}"/>
    <cellStyle name="Звичайний 16" xfId="14" xr:uid="{00000000-0005-0000-0000-000035000000}"/>
    <cellStyle name="Звичайний 17" xfId="15" xr:uid="{00000000-0005-0000-0000-000036000000}"/>
    <cellStyle name="Звичайний 18" xfId="16" xr:uid="{00000000-0005-0000-0000-000037000000}"/>
    <cellStyle name="Звичайний 19" xfId="17" xr:uid="{00000000-0005-0000-0000-000038000000}"/>
    <cellStyle name="Звичайний 2" xfId="18" xr:uid="{00000000-0005-0000-0000-000039000000}"/>
    <cellStyle name="Звичайний 2 2" xfId="19" xr:uid="{00000000-0005-0000-0000-00003A000000}"/>
    <cellStyle name="Звичайний 2 2 2" xfId="88" xr:uid="{00000000-0005-0000-0000-00003B000000}"/>
    <cellStyle name="Звичайний 2 3" xfId="94" xr:uid="{00000000-0005-0000-0000-00003C000000}"/>
    <cellStyle name="Звичайний 20" xfId="20" xr:uid="{00000000-0005-0000-0000-00003D000000}"/>
    <cellStyle name="Звичайний 21" xfId="86" xr:uid="{00000000-0005-0000-0000-00003E000000}"/>
    <cellStyle name="Звичайний 21 2" xfId="93" xr:uid="{00000000-0005-0000-0000-00003F000000}"/>
    <cellStyle name="Звичайний 21 2 2" xfId="96" xr:uid="{00000000-0005-0000-0000-000040000000}"/>
    <cellStyle name="Звичайний 21 2 2 2" xfId="181" xr:uid="{00000000-0005-0000-0000-000041000000}"/>
    <cellStyle name="Звичайний 21 2 3" xfId="98" xr:uid="{00000000-0005-0000-0000-000042000000}"/>
    <cellStyle name="Звичайний 21 2 3 2" xfId="100" xr:uid="{00000000-0005-0000-0000-000043000000}"/>
    <cellStyle name="Звичайний 21 2 3 2 2" xfId="182" xr:uid="{00000000-0005-0000-0000-000044000000}"/>
    <cellStyle name="Звичайний 21 2 3 2 3" xfId="178" xr:uid="{00000000-0005-0000-0000-000045000000}"/>
    <cellStyle name="Звичайний 21 2 3 2 3 2 2 2" xfId="190" xr:uid="{00000000-0005-0000-0000-000046000000}"/>
    <cellStyle name="Звичайний 21 2 4" xfId="160" xr:uid="{00000000-0005-0000-0000-000047000000}"/>
    <cellStyle name="Звичайний 21 3" xfId="113" xr:uid="{00000000-0005-0000-0000-000048000000}"/>
    <cellStyle name="Звичайний 22" xfId="114" xr:uid="{00000000-0005-0000-0000-000049000000}"/>
    <cellStyle name="Звичайний 22 2" xfId="140" xr:uid="{00000000-0005-0000-0000-00004A000000}"/>
    <cellStyle name="Звичайний 23" xfId="115" xr:uid="{00000000-0005-0000-0000-00004B000000}"/>
    <cellStyle name="Звичайний 23 2" xfId="141" xr:uid="{00000000-0005-0000-0000-00004C000000}"/>
    <cellStyle name="Звичайний 24" xfId="116" xr:uid="{00000000-0005-0000-0000-00004D000000}"/>
    <cellStyle name="Звичайний 24 2" xfId="142" xr:uid="{00000000-0005-0000-0000-00004E000000}"/>
    <cellStyle name="Звичайний 25" xfId="117" xr:uid="{00000000-0005-0000-0000-00004F000000}"/>
    <cellStyle name="Звичайний 26" xfId="127" xr:uid="{00000000-0005-0000-0000-000050000000}"/>
    <cellStyle name="Звичайний 27" xfId="132" xr:uid="{00000000-0005-0000-0000-000051000000}"/>
    <cellStyle name="Звичайний 27 2" xfId="145" xr:uid="{00000000-0005-0000-0000-000052000000}"/>
    <cellStyle name="Звичайний 27 2 3" xfId="151" xr:uid="{00000000-0005-0000-0000-000053000000}"/>
    <cellStyle name="Звичайний 27 2 3 2" xfId="152" xr:uid="{00000000-0005-0000-0000-000054000000}"/>
    <cellStyle name="Звичайний 27 2 3 2 2" xfId="162" xr:uid="{00000000-0005-0000-0000-000055000000}"/>
    <cellStyle name="Звичайний 27 2 3 2 2 2" xfId="177" xr:uid="{00000000-0005-0000-0000-000056000000}"/>
    <cellStyle name="Звичайний 27 3" xfId="129" xr:uid="{00000000-0005-0000-0000-000057000000}"/>
    <cellStyle name="Звичайний 27 3 2" xfId="87" xr:uid="{00000000-0005-0000-0000-000058000000}"/>
    <cellStyle name="Звичайний 27 3 2 2" xfId="144" xr:uid="{00000000-0005-0000-0000-000059000000}"/>
    <cellStyle name="Звичайний 27 3 2 3" xfId="156" xr:uid="{00000000-0005-0000-0000-00005A000000}"/>
    <cellStyle name="Звичайний 27 3 2 4" xfId="165" xr:uid="{00000000-0005-0000-0000-00005B000000}"/>
    <cellStyle name="Звичайний 27 3 2 4 2" xfId="170" xr:uid="{00000000-0005-0000-0000-00005C000000}"/>
    <cellStyle name="Звичайний 27 3 2 5" xfId="130" xr:uid="{00000000-0005-0000-0000-00005D000000}"/>
    <cellStyle name="Звичайний 27 3 3" xfId="143" xr:uid="{00000000-0005-0000-0000-00005E000000}"/>
    <cellStyle name="Звичайний 27 3 3 2" xfId="135" xr:uid="{00000000-0005-0000-0000-00005F000000}"/>
    <cellStyle name="Звичайний 27 3 3 2 2" xfId="147" xr:uid="{00000000-0005-0000-0000-000060000000}"/>
    <cellStyle name="Звичайний 27 3 3 2 3" xfId="155" xr:uid="{00000000-0005-0000-0000-000061000000}"/>
    <cellStyle name="Звичайний 27 4 2" xfId="164" xr:uid="{00000000-0005-0000-0000-000062000000}"/>
    <cellStyle name="Звичайний 27 4 2 2" xfId="169" xr:uid="{00000000-0005-0000-0000-000063000000}"/>
    <cellStyle name="Звичайний 27 4 2 2 2" xfId="175" xr:uid="{00000000-0005-0000-0000-000064000000}"/>
    <cellStyle name="Звичайний 27 5" xfId="163" xr:uid="{00000000-0005-0000-0000-000065000000}"/>
    <cellStyle name="Звичайний 27 5 2" xfId="168" xr:uid="{00000000-0005-0000-0000-000066000000}"/>
    <cellStyle name="Звичайний 27 5 2 2" xfId="174" xr:uid="{00000000-0005-0000-0000-000067000000}"/>
    <cellStyle name="Звичайний 28" xfId="136" xr:uid="{00000000-0005-0000-0000-000068000000}"/>
    <cellStyle name="Звичайний 28 2" xfId="148" xr:uid="{00000000-0005-0000-0000-000069000000}"/>
    <cellStyle name="Звичайний 28 3" xfId="154" xr:uid="{00000000-0005-0000-0000-00006A000000}"/>
    <cellStyle name="Звичайний 29" xfId="139" xr:uid="{00000000-0005-0000-0000-00006B000000}"/>
    <cellStyle name="Звичайний 29 2" xfId="153" xr:uid="{00000000-0005-0000-0000-00006C000000}"/>
    <cellStyle name="Звичайний 29 2 2" xfId="166" xr:uid="{00000000-0005-0000-0000-00006D000000}"/>
    <cellStyle name="Звичайний 29 2 2 2" xfId="176" xr:uid="{00000000-0005-0000-0000-00006E000000}"/>
    <cellStyle name="Звичайний 3" xfId="21" xr:uid="{00000000-0005-0000-0000-00006F000000}"/>
    <cellStyle name="Звичайний 3 2" xfId="22" xr:uid="{00000000-0005-0000-0000-000070000000}"/>
    <cellStyle name="Звичайний 3 2 2" xfId="89" xr:uid="{00000000-0005-0000-0000-000071000000}"/>
    <cellStyle name="Звичайний 30" xfId="158" xr:uid="{00000000-0005-0000-0000-000072000000}"/>
    <cellStyle name="Звичайний 30 2" xfId="95" xr:uid="{00000000-0005-0000-0000-000073000000}"/>
    <cellStyle name="Звичайний 30 2 2" xfId="97" xr:uid="{00000000-0005-0000-0000-000074000000}"/>
    <cellStyle name="Звичайний 30 2 3" xfId="99" xr:uid="{00000000-0005-0000-0000-000075000000}"/>
    <cellStyle name="Звичайний 30 2 3 2" xfId="101" xr:uid="{00000000-0005-0000-0000-000076000000}"/>
    <cellStyle name="Звичайний 31" xfId="161" xr:uid="{00000000-0005-0000-0000-000077000000}"/>
    <cellStyle name="Звичайний 31 2" xfId="171" xr:uid="{00000000-0005-0000-0000-000078000000}"/>
    <cellStyle name="Звичайний 31 2 2" xfId="172" xr:uid="{00000000-0005-0000-0000-000079000000}"/>
    <cellStyle name="Звичайний 32" xfId="134" xr:uid="{00000000-0005-0000-0000-00007A000000}"/>
    <cellStyle name="Звичайний 32 2" xfId="137" xr:uid="{00000000-0005-0000-0000-00007B000000}"/>
    <cellStyle name="Звичайний 32 2 2" xfId="138" xr:uid="{00000000-0005-0000-0000-00007C000000}"/>
    <cellStyle name="Звичайний 32 2 2 2" xfId="150" xr:uid="{00000000-0005-0000-0000-00007D000000}"/>
    <cellStyle name="Звичайний 32 2 2 3" xfId="157" xr:uid="{00000000-0005-0000-0000-00007E000000}"/>
    <cellStyle name="Звичайний 32 2 2 4" xfId="159" xr:uid="{00000000-0005-0000-0000-00007F000000}"/>
    <cellStyle name="Звичайний 32 2 3" xfId="149" xr:uid="{00000000-0005-0000-0000-000080000000}"/>
    <cellStyle name="Звичайний 32 3" xfId="146" xr:uid="{00000000-0005-0000-0000-000081000000}"/>
    <cellStyle name="Звичайний 33" xfId="179" xr:uid="{00000000-0005-0000-0000-000082000000}"/>
    <cellStyle name="Звичайний 4" xfId="23" xr:uid="{00000000-0005-0000-0000-000083000000}"/>
    <cellStyle name="Звичайний 4 2" xfId="24" xr:uid="{00000000-0005-0000-0000-000084000000}"/>
    <cellStyle name="Звичайний 4 2 2" xfId="90" xr:uid="{00000000-0005-0000-0000-000085000000}"/>
    <cellStyle name="Звичайний 4 3" xfId="167" xr:uid="{00000000-0005-0000-0000-000086000000}"/>
    <cellStyle name="Звичайний 5" xfId="25" xr:uid="{00000000-0005-0000-0000-000087000000}"/>
    <cellStyle name="Звичайний 6" xfId="26" xr:uid="{00000000-0005-0000-0000-000088000000}"/>
    <cellStyle name="Звичайний 7" xfId="27" xr:uid="{00000000-0005-0000-0000-000089000000}"/>
    <cellStyle name="Звичайний 8" xfId="28" xr:uid="{00000000-0005-0000-0000-00008A000000}"/>
    <cellStyle name="Звичайний 9" xfId="29" xr:uid="{00000000-0005-0000-0000-00008B000000}"/>
    <cellStyle name="Звичайний_Додаток _ 3 зм_ни 4575" xfId="30" xr:uid="{00000000-0005-0000-0000-00008C000000}"/>
    <cellStyle name="Зв'язана клітинка" xfId="41" xr:uid="{00000000-0005-0000-0000-00008D000000}"/>
    <cellStyle name="Зв'язана клітинка 2" xfId="183" xr:uid="{00000000-0005-0000-0000-00008E000000}"/>
    <cellStyle name="Зв'язана клітинка 3" xfId="108" xr:uid="{00000000-0005-0000-0000-00008F000000}"/>
    <cellStyle name="Итог" xfId="74" xr:uid="{00000000-0005-0000-0000-000090000000}"/>
    <cellStyle name="Контрольна клітинка" xfId="31" xr:uid="{00000000-0005-0000-0000-000091000000}"/>
    <cellStyle name="Контрольна клітинка 2" xfId="184" xr:uid="{00000000-0005-0000-0000-000092000000}"/>
    <cellStyle name="Контрольная ячейка" xfId="75" xr:uid="{00000000-0005-0000-0000-000093000000}"/>
    <cellStyle name="Назва" xfId="32" xr:uid="{00000000-0005-0000-0000-000094000000}"/>
    <cellStyle name="Назва 2" xfId="185" xr:uid="{00000000-0005-0000-0000-000095000000}"/>
    <cellStyle name="Назва 3" xfId="109" xr:uid="{00000000-0005-0000-0000-000096000000}"/>
    <cellStyle name="Название" xfId="76" xr:uid="{00000000-0005-0000-0000-000097000000}"/>
    <cellStyle name="Нейтральный" xfId="77" xr:uid="{00000000-0005-0000-0000-000098000000}"/>
    <cellStyle name="Обычный 2" xfId="33" xr:uid="{00000000-0005-0000-0000-000099000000}"/>
    <cellStyle name="Обычный 2 2" xfId="34" xr:uid="{00000000-0005-0000-0000-00009A000000}"/>
    <cellStyle name="Обычный 2 2 2" xfId="91" xr:uid="{00000000-0005-0000-0000-00009B000000}"/>
    <cellStyle name="Обычный 2 2 2 2" xfId="120" xr:uid="{00000000-0005-0000-0000-00009C000000}"/>
    <cellStyle name="Обычный 2 2 3" xfId="128" xr:uid="{00000000-0005-0000-0000-00009D000000}"/>
    <cellStyle name="Обычный 2 3" xfId="110" xr:uid="{00000000-0005-0000-0000-00009E000000}"/>
    <cellStyle name="Обычный 2 3 2" xfId="187" xr:uid="{00000000-0005-0000-0000-00009F000000}"/>
    <cellStyle name="Обычный 2 4" xfId="119" xr:uid="{00000000-0005-0000-0000-0000A0000000}"/>
    <cellStyle name="Обычный 2 5" xfId="186" xr:uid="{00000000-0005-0000-0000-0000A1000000}"/>
    <cellStyle name="Обычный 3" xfId="35" xr:uid="{00000000-0005-0000-0000-0000A2000000}"/>
    <cellStyle name="Обычный 3 2" xfId="121" xr:uid="{00000000-0005-0000-0000-0000A3000000}"/>
    <cellStyle name="Обычный 3 3" xfId="188" xr:uid="{00000000-0005-0000-0000-0000A4000000}"/>
    <cellStyle name="Обычный 3 4" xfId="111" xr:uid="{00000000-0005-0000-0000-0000A5000000}"/>
    <cellStyle name="Обычный 4" xfId="112" xr:uid="{00000000-0005-0000-0000-0000A6000000}"/>
    <cellStyle name="Обычный 4 2" xfId="122" xr:uid="{00000000-0005-0000-0000-0000A7000000}"/>
    <cellStyle name="Обычный 4 3" xfId="85" xr:uid="{00000000-0005-0000-0000-0000A8000000}"/>
    <cellStyle name="Обычный 5" xfId="123" xr:uid="{00000000-0005-0000-0000-0000A9000000}"/>
    <cellStyle name="Обычный 6" xfId="124" xr:uid="{00000000-0005-0000-0000-0000AA000000}"/>
    <cellStyle name="Обычный 7" xfId="125" xr:uid="{00000000-0005-0000-0000-0000AB000000}"/>
    <cellStyle name="Обычный 8" xfId="126" xr:uid="{00000000-0005-0000-0000-0000AC000000}"/>
    <cellStyle name="Обычный_Plan_kapbud_2006 уточн." xfId="36" xr:uid="{00000000-0005-0000-0000-0000AD000000}"/>
    <cellStyle name="Обычный_дод.1" xfId="37" xr:uid="{00000000-0005-0000-0000-0000AE000000}"/>
    <cellStyle name="Обычный_Додаток 2 до бюджету 2000 року" xfId="38" xr:uid="{00000000-0005-0000-0000-0000AF000000}"/>
    <cellStyle name="Обычный_Додаток №1" xfId="39" xr:uid="{00000000-0005-0000-0000-0000B0000000}"/>
    <cellStyle name="Обычный_КАПІТАЛЬНІ  ВКЛАДЕННЯ 2015 2 2" xfId="45" xr:uid="{00000000-0005-0000-0000-0000B1000000}"/>
    <cellStyle name="Обычный_УЖКГ бюджет 2016 Після Ямчука 2" xfId="40" xr:uid="{00000000-0005-0000-0000-0000B2000000}"/>
    <cellStyle name="Обычный_УКБ до бюджету 2016р ост 2" xfId="92" xr:uid="{00000000-0005-0000-0000-0000B3000000}"/>
    <cellStyle name="Плохой" xfId="78" xr:uid="{00000000-0005-0000-0000-0000B4000000}"/>
    <cellStyle name="Пояснение" xfId="79" xr:uid="{00000000-0005-0000-0000-0000B5000000}"/>
    <cellStyle name="Примечание" xfId="80" xr:uid="{00000000-0005-0000-0000-0000B6000000}"/>
    <cellStyle name="Связанная ячейка" xfId="81" xr:uid="{00000000-0005-0000-0000-0000B7000000}"/>
    <cellStyle name="Середній" xfId="42" xr:uid="{00000000-0005-0000-0000-0000B8000000}"/>
    <cellStyle name="Стиль 1" xfId="43" xr:uid="{00000000-0005-0000-0000-0000B9000000}"/>
    <cellStyle name="Текст попередження" xfId="44" xr:uid="{00000000-0005-0000-0000-0000BA000000}"/>
    <cellStyle name="Текст попередження 2" xfId="189" xr:uid="{00000000-0005-0000-0000-0000BB000000}"/>
    <cellStyle name="Текст предупреждения" xfId="82" xr:uid="{00000000-0005-0000-0000-0000BC000000}"/>
    <cellStyle name="Фінансовий 2" xfId="133" xr:uid="{00000000-0005-0000-0000-0000BD000000}"/>
    <cellStyle name="Хороший" xfId="83" xr:uid="{00000000-0005-0000-0000-0000BE000000}"/>
  </cellStyles>
  <dxfs count="0"/>
  <tableStyles count="0" defaultTableStyle="TableStyleMedium2" defaultPivotStyle="PivotStyleLight16"/>
  <colors>
    <mruColors>
      <color rgb="FF00FFCC"/>
      <color rgb="FFCCFF99"/>
      <color rgb="FFCCCCFF"/>
      <color rgb="FFFFAFAF"/>
      <color rgb="FFFFABAB"/>
      <color rgb="FFFFCCCC"/>
      <color rgb="FF66FFCC"/>
      <color rgb="FFFFFF99"/>
      <color rgb="FFFFCC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1"/>
  <sheetViews>
    <sheetView view="pageBreakPreview" topLeftCell="A129" zoomScale="85" zoomScaleNormal="100" zoomScaleSheetLayoutView="85" workbookViewId="0">
      <selection activeCell="A146" sqref="A146:XFD146"/>
    </sheetView>
  </sheetViews>
  <sheetFormatPr defaultColWidth="6.85546875" defaultRowHeight="12.75" x14ac:dyDescent="0.2"/>
  <cols>
    <col min="1" max="1" width="10.140625" style="120" customWidth="1"/>
    <col min="2" max="2" width="40.42578125" style="120" customWidth="1"/>
    <col min="3" max="4" width="17.28515625" style="120" customWidth="1"/>
    <col min="5" max="5" width="15.7109375" style="120" customWidth="1"/>
    <col min="6" max="6" width="14.5703125" style="120" customWidth="1"/>
    <col min="7" max="10" width="10.85546875" style="120" bestFit="1" customWidth="1"/>
    <col min="11" max="252" width="7.85546875" style="120" customWidth="1"/>
    <col min="253" max="16384" width="6.85546875" style="120"/>
  </cols>
  <sheetData>
    <row r="1" spans="1:7" ht="15.75" x14ac:dyDescent="0.2">
      <c r="A1" s="379"/>
      <c r="B1" s="379"/>
      <c r="C1" s="379"/>
      <c r="D1" s="658" t="s">
        <v>56</v>
      </c>
      <c r="E1" s="659"/>
      <c r="F1" s="659"/>
      <c r="G1" s="659"/>
    </row>
    <row r="2" spans="1:7" ht="15.75" x14ac:dyDescent="0.2">
      <c r="A2" s="379"/>
      <c r="B2" s="379"/>
      <c r="C2" s="380"/>
      <c r="D2" s="658" t="s">
        <v>1363</v>
      </c>
      <c r="E2" s="660"/>
      <c r="F2" s="660"/>
      <c r="G2" s="660"/>
    </row>
    <row r="3" spans="1:7" ht="6" hidden="1" customHeight="1" x14ac:dyDescent="0.2">
      <c r="A3" s="379"/>
      <c r="B3" s="379"/>
      <c r="C3" s="380"/>
      <c r="D3" s="658"/>
      <c r="E3" s="660"/>
      <c r="F3" s="660"/>
      <c r="G3" s="660"/>
    </row>
    <row r="4" spans="1:7" ht="12.75" customHeight="1" x14ac:dyDescent="0.2">
      <c r="A4" s="651"/>
      <c r="B4" s="651"/>
      <c r="C4" s="651"/>
      <c r="D4" s="651"/>
      <c r="E4" s="651"/>
      <c r="F4" s="379"/>
      <c r="G4" s="379"/>
    </row>
    <row r="5" spans="1:7" ht="20.25" x14ac:dyDescent="0.2">
      <c r="A5" s="651" t="s">
        <v>1130</v>
      </c>
      <c r="B5" s="652"/>
      <c r="C5" s="652"/>
      <c r="D5" s="652"/>
      <c r="E5" s="652"/>
      <c r="F5" s="652"/>
      <c r="G5" s="379"/>
    </row>
    <row r="6" spans="1:7" ht="20.25" x14ac:dyDescent="0.2">
      <c r="A6" s="651" t="s">
        <v>1289</v>
      </c>
      <c r="B6" s="652"/>
      <c r="C6" s="652"/>
      <c r="D6" s="652"/>
      <c r="E6" s="652"/>
      <c r="F6" s="652"/>
      <c r="G6" s="379"/>
    </row>
    <row r="7" spans="1:7" ht="20.25" x14ac:dyDescent="0.2">
      <c r="A7" s="381"/>
      <c r="B7" s="332"/>
      <c r="C7" s="332"/>
      <c r="D7" s="332"/>
      <c r="E7" s="332"/>
      <c r="F7" s="332"/>
      <c r="G7" s="379"/>
    </row>
    <row r="8" spans="1:7" ht="20.25" x14ac:dyDescent="0.2">
      <c r="A8" s="653">
        <v>2256400000</v>
      </c>
      <c r="B8" s="654"/>
      <c r="C8" s="654"/>
      <c r="D8" s="654"/>
      <c r="E8" s="654"/>
      <c r="F8" s="654"/>
      <c r="G8" s="379"/>
    </row>
    <row r="9" spans="1:7" ht="15.75" x14ac:dyDescent="0.2">
      <c r="A9" s="655" t="s">
        <v>494</v>
      </c>
      <c r="B9" s="656"/>
      <c r="C9" s="656"/>
      <c r="D9" s="656"/>
      <c r="E9" s="656"/>
      <c r="F9" s="656"/>
      <c r="G9" s="379"/>
    </row>
    <row r="10" spans="1:7" ht="20.25" x14ac:dyDescent="0.2">
      <c r="A10" s="381"/>
      <c r="B10" s="382"/>
      <c r="C10" s="382"/>
      <c r="D10" s="382"/>
      <c r="E10" s="382"/>
      <c r="F10" s="382"/>
      <c r="G10" s="379"/>
    </row>
    <row r="11" spans="1:7" ht="13.5" thickBot="1" x14ac:dyDescent="0.25">
      <c r="A11" s="379"/>
      <c r="B11" s="383"/>
      <c r="C11" s="383"/>
      <c r="D11" s="383"/>
      <c r="E11" s="383"/>
      <c r="F11" s="384" t="s">
        <v>408</v>
      </c>
      <c r="G11" s="379"/>
    </row>
    <row r="12" spans="1:7" ht="14.25" thickTop="1" thickBot="1" x14ac:dyDescent="0.25">
      <c r="A12" s="657" t="s">
        <v>57</v>
      </c>
      <c r="B12" s="657" t="s">
        <v>1290</v>
      </c>
      <c r="C12" s="657" t="s">
        <v>387</v>
      </c>
      <c r="D12" s="657" t="s">
        <v>12</v>
      </c>
      <c r="E12" s="657" t="s">
        <v>52</v>
      </c>
      <c r="F12" s="657"/>
      <c r="G12" s="385"/>
    </row>
    <row r="13" spans="1:7" ht="39.75" thickTop="1" thickBot="1" x14ac:dyDescent="0.3">
      <c r="A13" s="657"/>
      <c r="B13" s="657"/>
      <c r="C13" s="657"/>
      <c r="D13" s="657"/>
      <c r="E13" s="386" t="s">
        <v>388</v>
      </c>
      <c r="F13" s="386" t="s">
        <v>430</v>
      </c>
      <c r="G13" s="387"/>
    </row>
    <row r="14" spans="1:7" ht="16.5" thickTop="1" thickBot="1" x14ac:dyDescent="0.3">
      <c r="A14" s="386">
        <v>1</v>
      </c>
      <c r="B14" s="386">
        <v>2</v>
      </c>
      <c r="C14" s="386">
        <v>3</v>
      </c>
      <c r="D14" s="386">
        <v>4</v>
      </c>
      <c r="E14" s="386">
        <v>5</v>
      </c>
      <c r="F14" s="386">
        <v>6</v>
      </c>
      <c r="G14" s="387"/>
    </row>
    <row r="15" spans="1:7" ht="25.5" customHeight="1" thickTop="1" thickBot="1" x14ac:dyDescent="0.25">
      <c r="A15" s="571">
        <v>10000000</v>
      </c>
      <c r="B15" s="571" t="s">
        <v>58</v>
      </c>
      <c r="C15" s="572">
        <f t="shared" ref="C15:C20" si="0">SUM(D15,E15)</f>
        <v>3775416665</v>
      </c>
      <c r="D15" s="572">
        <f>SUM(D16,D29,D37,D58,D24)</f>
        <v>3774066665</v>
      </c>
      <c r="E15" s="572">
        <f>SUM(E16,E29,E37,E58,E24)</f>
        <v>1350000</v>
      </c>
      <c r="F15" s="572">
        <f>SUM(F16,F29,F37,F58,F24)</f>
        <v>0</v>
      </c>
      <c r="G15" s="122"/>
    </row>
    <row r="16" spans="1:7" ht="31.7" customHeight="1" thickTop="1" thickBot="1" x14ac:dyDescent="0.25">
      <c r="A16" s="534">
        <v>11000000</v>
      </c>
      <c r="B16" s="534" t="s">
        <v>59</v>
      </c>
      <c r="C16" s="528">
        <f>SUM(D16,E16)</f>
        <v>2681866665</v>
      </c>
      <c r="D16" s="528">
        <f>SUM(D17,D22)</f>
        <v>2681866665</v>
      </c>
      <c r="E16" s="528"/>
      <c r="F16" s="528"/>
      <c r="G16" s="123"/>
    </row>
    <row r="17" spans="1:7" ht="24.75" customHeight="1" thickTop="1" thickBot="1" x14ac:dyDescent="0.25">
      <c r="A17" s="530">
        <v>11010000</v>
      </c>
      <c r="B17" s="531" t="s">
        <v>60</v>
      </c>
      <c r="C17" s="532">
        <f t="shared" si="0"/>
        <v>2680866665</v>
      </c>
      <c r="D17" s="532">
        <f>SUM(D18:D21)</f>
        <v>2680866665</v>
      </c>
      <c r="E17" s="532"/>
      <c r="F17" s="532"/>
      <c r="G17" s="123"/>
    </row>
    <row r="18" spans="1:7" ht="39.75" thickTop="1" thickBot="1" x14ac:dyDescent="0.25">
      <c r="A18" s="526">
        <v>11010100</v>
      </c>
      <c r="B18" s="527" t="s">
        <v>61</v>
      </c>
      <c r="C18" s="528">
        <f t="shared" si="0"/>
        <v>1379607465</v>
      </c>
      <c r="D18" s="529">
        <f>1373299900+6307565</f>
        <v>1379607465</v>
      </c>
      <c r="E18" s="529"/>
      <c r="F18" s="529"/>
      <c r="G18" s="123"/>
    </row>
    <row r="19" spans="1:7" ht="65.25" thickTop="1" thickBot="1" x14ac:dyDescent="0.25">
      <c r="A19" s="526">
        <v>11010200</v>
      </c>
      <c r="B19" s="527" t="s">
        <v>62</v>
      </c>
      <c r="C19" s="528">
        <f t="shared" si="0"/>
        <v>1222159100</v>
      </c>
      <c r="D19" s="529">
        <v>1222159100</v>
      </c>
      <c r="E19" s="529"/>
      <c r="F19" s="529"/>
      <c r="G19" s="123"/>
    </row>
    <row r="20" spans="1:7" ht="39.75" thickTop="1" thickBot="1" x14ac:dyDescent="0.25">
      <c r="A20" s="526">
        <v>11010400</v>
      </c>
      <c r="B20" s="527" t="s">
        <v>63</v>
      </c>
      <c r="C20" s="528">
        <f t="shared" si="0"/>
        <v>40200100</v>
      </c>
      <c r="D20" s="529">
        <v>40200100</v>
      </c>
      <c r="E20" s="529"/>
      <c r="F20" s="529"/>
      <c r="G20" s="123"/>
    </row>
    <row r="21" spans="1:7" ht="39.75" thickTop="1" thickBot="1" x14ac:dyDescent="0.3">
      <c r="A21" s="526">
        <v>11010500</v>
      </c>
      <c r="B21" s="527" t="s">
        <v>64</v>
      </c>
      <c r="C21" s="528">
        <f t="shared" ref="C21:C100" si="1">SUM(D21,E21)</f>
        <v>38900000</v>
      </c>
      <c r="D21" s="529">
        <f>(20500000)+18400000</f>
        <v>38900000</v>
      </c>
      <c r="E21" s="529"/>
      <c r="F21" s="529"/>
      <c r="G21" s="121"/>
    </row>
    <row r="22" spans="1:7" ht="28.5" customHeight="1" thickTop="1" thickBot="1" x14ac:dyDescent="0.25">
      <c r="A22" s="530">
        <v>11020000</v>
      </c>
      <c r="B22" s="531" t="s">
        <v>65</v>
      </c>
      <c r="C22" s="532">
        <f>SUM(D22,E22)</f>
        <v>1000000</v>
      </c>
      <c r="D22" s="532">
        <f>D23</f>
        <v>1000000</v>
      </c>
      <c r="E22" s="532"/>
      <c r="F22" s="532"/>
      <c r="G22" s="122"/>
    </row>
    <row r="23" spans="1:7" ht="27" thickTop="1" thickBot="1" x14ac:dyDescent="0.3">
      <c r="A23" s="526">
        <v>11020200</v>
      </c>
      <c r="B23" s="533" t="s">
        <v>66</v>
      </c>
      <c r="C23" s="528">
        <f>SUM(D23,E23)</f>
        <v>1000000</v>
      </c>
      <c r="D23" s="529">
        <v>1000000</v>
      </c>
      <c r="E23" s="529"/>
      <c r="F23" s="529"/>
      <c r="G23" s="121"/>
    </row>
    <row r="24" spans="1:7" ht="27" thickTop="1" thickBot="1" x14ac:dyDescent="0.3">
      <c r="A24" s="534">
        <v>13000000</v>
      </c>
      <c r="B24" s="535" t="s">
        <v>531</v>
      </c>
      <c r="C24" s="528">
        <f>D24+E24</f>
        <v>1200000</v>
      </c>
      <c r="D24" s="528">
        <f>SUM(D25,D27)</f>
        <v>1200000</v>
      </c>
      <c r="E24" s="529"/>
      <c r="F24" s="529"/>
      <c r="G24" s="121"/>
    </row>
    <row r="25" spans="1:7" ht="28.5" thickTop="1" thickBot="1" x14ac:dyDescent="0.3">
      <c r="A25" s="530">
        <v>13010000</v>
      </c>
      <c r="B25" s="536" t="s">
        <v>532</v>
      </c>
      <c r="C25" s="532">
        <f>D25+E25</f>
        <v>1155000</v>
      </c>
      <c r="D25" s="532">
        <f>SUM(D26)</f>
        <v>1155000</v>
      </c>
      <c r="E25" s="532"/>
      <c r="F25" s="532"/>
      <c r="G25" s="121"/>
    </row>
    <row r="26" spans="1:7" ht="65.25" thickTop="1" thickBot="1" x14ac:dyDescent="0.3">
      <c r="A26" s="526">
        <v>13010200</v>
      </c>
      <c r="B26" s="537" t="s">
        <v>533</v>
      </c>
      <c r="C26" s="528">
        <f t="shared" ref="C26:C29" si="2">D26+E26</f>
        <v>1155000</v>
      </c>
      <c r="D26" s="529">
        <v>1155000</v>
      </c>
      <c r="E26" s="529"/>
      <c r="F26" s="529"/>
      <c r="G26" s="121"/>
    </row>
    <row r="27" spans="1:7" ht="16.5" thickTop="1" thickBot="1" x14ac:dyDescent="0.3">
      <c r="A27" s="530">
        <v>13030000</v>
      </c>
      <c r="B27" s="538" t="s">
        <v>534</v>
      </c>
      <c r="C27" s="532">
        <f>D27+E27</f>
        <v>45000</v>
      </c>
      <c r="D27" s="532">
        <f>SUM(D28)</f>
        <v>45000</v>
      </c>
      <c r="E27" s="532"/>
      <c r="F27" s="532"/>
      <c r="G27" s="121"/>
    </row>
    <row r="28" spans="1:7" ht="39.75" thickTop="1" thickBot="1" x14ac:dyDescent="0.3">
      <c r="A28" s="526">
        <v>13030100</v>
      </c>
      <c r="B28" s="537" t="s">
        <v>535</v>
      </c>
      <c r="C28" s="528">
        <f t="shared" si="2"/>
        <v>45000</v>
      </c>
      <c r="D28" s="529">
        <v>45000</v>
      </c>
      <c r="E28" s="529"/>
      <c r="F28" s="529"/>
      <c r="G28" s="121"/>
    </row>
    <row r="29" spans="1:7" ht="26.45" customHeight="1" thickTop="1" thickBot="1" x14ac:dyDescent="0.3">
      <c r="A29" s="534">
        <v>14000000</v>
      </c>
      <c r="B29" s="535" t="s">
        <v>536</v>
      </c>
      <c r="C29" s="528">
        <f t="shared" si="2"/>
        <v>330250000</v>
      </c>
      <c r="D29" s="528">
        <f>SUM(D30,D32,D34)</f>
        <v>330250000</v>
      </c>
      <c r="E29" s="528"/>
      <c r="F29" s="529"/>
      <c r="G29" s="121"/>
    </row>
    <row r="30" spans="1:7" ht="30" customHeight="1" thickTop="1" thickBot="1" x14ac:dyDescent="0.3">
      <c r="A30" s="530">
        <v>14020000</v>
      </c>
      <c r="B30" s="536" t="s">
        <v>628</v>
      </c>
      <c r="C30" s="532">
        <f>SUM(D30,E30)</f>
        <v>16920600</v>
      </c>
      <c r="D30" s="532">
        <f>SUM(D31,E31)</f>
        <v>16920600</v>
      </c>
      <c r="E30" s="532"/>
      <c r="F30" s="539"/>
      <c r="G30" s="121"/>
    </row>
    <row r="31" spans="1:7" ht="16.5" thickTop="1" thickBot="1" x14ac:dyDescent="0.3">
      <c r="A31" s="526">
        <v>14021900</v>
      </c>
      <c r="B31" s="533" t="s">
        <v>627</v>
      </c>
      <c r="C31" s="529">
        <f>SUM(D31,E31)</f>
        <v>16920600</v>
      </c>
      <c r="D31" s="529">
        <f>(11920600)+5000000</f>
        <v>16920600</v>
      </c>
      <c r="E31" s="528"/>
      <c r="F31" s="529"/>
      <c r="G31" s="121"/>
    </row>
    <row r="32" spans="1:7" ht="42" thickTop="1" thickBot="1" x14ac:dyDescent="0.3">
      <c r="A32" s="530">
        <v>14030000</v>
      </c>
      <c r="B32" s="536" t="s">
        <v>629</v>
      </c>
      <c r="C32" s="532">
        <f>SUM(D32,E32)</f>
        <v>63079400</v>
      </c>
      <c r="D32" s="532">
        <f>SUM(D33,E33)</f>
        <v>63079400</v>
      </c>
      <c r="E32" s="532"/>
      <c r="F32" s="539"/>
      <c r="G32" s="121"/>
    </row>
    <row r="33" spans="1:7" ht="16.5" thickTop="1" thickBot="1" x14ac:dyDescent="0.3">
      <c r="A33" s="526">
        <v>14031900</v>
      </c>
      <c r="B33" s="533" t="s">
        <v>627</v>
      </c>
      <c r="C33" s="529">
        <f>SUM(D33,E33)</f>
        <v>63079400</v>
      </c>
      <c r="D33" s="529">
        <f>(53079400)+10000000</f>
        <v>63079400</v>
      </c>
      <c r="E33" s="528"/>
      <c r="F33" s="529"/>
      <c r="G33" s="121"/>
    </row>
    <row r="34" spans="1:7" ht="42" thickTop="1" thickBot="1" x14ac:dyDescent="0.3">
      <c r="A34" s="530">
        <v>14040000</v>
      </c>
      <c r="B34" s="536" t="s">
        <v>1234</v>
      </c>
      <c r="C34" s="532">
        <f>SUM(C35:C36)</f>
        <v>250250000</v>
      </c>
      <c r="D34" s="532">
        <f>SUM(D35:D36)</f>
        <v>250250000</v>
      </c>
      <c r="E34" s="532"/>
      <c r="F34" s="539"/>
      <c r="G34" s="121"/>
    </row>
    <row r="35" spans="1:7" ht="103.5" thickTop="1" thickBot="1" x14ac:dyDescent="0.25">
      <c r="A35" s="526">
        <v>14040100</v>
      </c>
      <c r="B35" s="533" t="s">
        <v>1255</v>
      </c>
      <c r="C35" s="529">
        <f>SUM(D35,E35)</f>
        <v>145050000</v>
      </c>
      <c r="D35" s="529">
        <f>(115050000)+30000000</f>
        <v>145050000</v>
      </c>
      <c r="E35" s="528"/>
      <c r="F35" s="529"/>
      <c r="G35" s="124"/>
    </row>
    <row r="36" spans="1:7" ht="78" thickTop="1" thickBot="1" x14ac:dyDescent="0.25">
      <c r="A36" s="526">
        <v>14040200</v>
      </c>
      <c r="B36" s="533" t="s">
        <v>1233</v>
      </c>
      <c r="C36" s="529">
        <f>SUM(D36,E36)</f>
        <v>105200000</v>
      </c>
      <c r="D36" s="529">
        <v>105200000</v>
      </c>
      <c r="E36" s="528"/>
      <c r="F36" s="529"/>
      <c r="G36" s="124"/>
    </row>
    <row r="37" spans="1:7" ht="29.25" customHeight="1" thickTop="1" thickBot="1" x14ac:dyDescent="0.3">
      <c r="A37" s="534">
        <v>18000000</v>
      </c>
      <c r="B37" s="534" t="s">
        <v>67</v>
      </c>
      <c r="C37" s="528">
        <f t="shared" si="1"/>
        <v>760750000</v>
      </c>
      <c r="D37" s="528">
        <f>SUM(D38,D51,D54,D49)</f>
        <v>760750000</v>
      </c>
      <c r="E37" s="528"/>
      <c r="F37" s="528"/>
      <c r="G37" s="121"/>
    </row>
    <row r="38" spans="1:7" ht="16.5" thickTop="1" thickBot="1" x14ac:dyDescent="0.3">
      <c r="A38" s="530">
        <v>18010000</v>
      </c>
      <c r="B38" s="536" t="s">
        <v>68</v>
      </c>
      <c r="C38" s="532">
        <f>SUM(D38,E38)</f>
        <v>257500000</v>
      </c>
      <c r="D38" s="532">
        <f>SUM(D39:D48)</f>
        <v>257500000</v>
      </c>
      <c r="E38" s="532"/>
      <c r="F38" s="532"/>
      <c r="G38" s="121"/>
    </row>
    <row r="39" spans="1:7" ht="52.5" thickTop="1" thickBot="1" x14ac:dyDescent="0.3">
      <c r="A39" s="526">
        <v>18010100</v>
      </c>
      <c r="B39" s="533" t="s">
        <v>69</v>
      </c>
      <c r="C39" s="528">
        <f t="shared" si="1"/>
        <v>295000</v>
      </c>
      <c r="D39" s="529">
        <v>295000</v>
      </c>
      <c r="E39" s="529"/>
      <c r="F39" s="529"/>
      <c r="G39" s="121"/>
    </row>
    <row r="40" spans="1:7" ht="52.5" thickTop="1" thickBot="1" x14ac:dyDescent="0.3">
      <c r="A40" s="526">
        <v>18010200</v>
      </c>
      <c r="B40" s="533" t="s">
        <v>70</v>
      </c>
      <c r="C40" s="528">
        <f t="shared" si="1"/>
        <v>16022500</v>
      </c>
      <c r="D40" s="529">
        <v>16022500</v>
      </c>
      <c r="E40" s="529"/>
      <c r="F40" s="529"/>
      <c r="G40" s="121"/>
    </row>
    <row r="41" spans="1:7" ht="52.5" thickTop="1" thickBot="1" x14ac:dyDescent="0.3">
      <c r="A41" s="526">
        <v>18010300</v>
      </c>
      <c r="B41" s="533" t="s">
        <v>71</v>
      </c>
      <c r="C41" s="528">
        <f t="shared" si="1"/>
        <v>8950000</v>
      </c>
      <c r="D41" s="529">
        <v>8950000</v>
      </c>
      <c r="E41" s="529"/>
      <c r="F41" s="529"/>
      <c r="G41" s="121"/>
    </row>
    <row r="42" spans="1:7" ht="52.5" thickTop="1" thickBot="1" x14ac:dyDescent="0.3">
      <c r="A42" s="526">
        <v>18010400</v>
      </c>
      <c r="B42" s="533" t="s">
        <v>72</v>
      </c>
      <c r="C42" s="528">
        <f t="shared" si="1"/>
        <v>35332500</v>
      </c>
      <c r="D42" s="529">
        <v>35332500</v>
      </c>
      <c r="E42" s="529"/>
      <c r="F42" s="529"/>
      <c r="G42" s="121"/>
    </row>
    <row r="43" spans="1:7" ht="16.5" thickTop="1" thickBot="1" x14ac:dyDescent="0.3">
      <c r="A43" s="526">
        <v>18010500</v>
      </c>
      <c r="B43" s="533" t="s">
        <v>73</v>
      </c>
      <c r="C43" s="528">
        <f t="shared" si="1"/>
        <v>41250000</v>
      </c>
      <c r="D43" s="529">
        <v>41250000</v>
      </c>
      <c r="E43" s="529"/>
      <c r="F43" s="529"/>
      <c r="G43" s="121"/>
    </row>
    <row r="44" spans="1:7" ht="16.5" thickTop="1" thickBot="1" x14ac:dyDescent="0.3">
      <c r="A44" s="526">
        <v>18010600</v>
      </c>
      <c r="B44" s="533" t="s">
        <v>74</v>
      </c>
      <c r="C44" s="528">
        <f t="shared" si="1"/>
        <v>120400000</v>
      </c>
      <c r="D44" s="529">
        <v>120400000</v>
      </c>
      <c r="E44" s="529"/>
      <c r="F44" s="529"/>
      <c r="G44" s="121"/>
    </row>
    <row r="45" spans="1:7" ht="16.5" thickTop="1" thickBot="1" x14ac:dyDescent="0.3">
      <c r="A45" s="526">
        <v>18010700</v>
      </c>
      <c r="B45" s="533" t="s">
        <v>75</v>
      </c>
      <c r="C45" s="528">
        <f t="shared" si="1"/>
        <v>1705000</v>
      </c>
      <c r="D45" s="529">
        <v>1705000</v>
      </c>
      <c r="E45" s="529"/>
      <c r="F45" s="529"/>
      <c r="G45" s="121"/>
    </row>
    <row r="46" spans="1:7" ht="16.5" thickTop="1" thickBot="1" x14ac:dyDescent="0.3">
      <c r="A46" s="526">
        <v>18010900</v>
      </c>
      <c r="B46" s="533" t="s">
        <v>76</v>
      </c>
      <c r="C46" s="528">
        <f t="shared" si="1"/>
        <v>33145000</v>
      </c>
      <c r="D46" s="529">
        <v>33145000</v>
      </c>
      <c r="E46" s="529"/>
      <c r="F46" s="529"/>
      <c r="G46" s="121"/>
    </row>
    <row r="47" spans="1:7" ht="15.75" thickTop="1" thickBot="1" x14ac:dyDescent="0.25">
      <c r="A47" s="526">
        <v>18011000</v>
      </c>
      <c r="B47" s="533" t="s">
        <v>77</v>
      </c>
      <c r="C47" s="528">
        <f t="shared" si="1"/>
        <v>115000</v>
      </c>
      <c r="D47" s="529">
        <v>115000</v>
      </c>
      <c r="E47" s="529"/>
      <c r="F47" s="529"/>
      <c r="G47" s="122"/>
    </row>
    <row r="48" spans="1:7" ht="16.5" thickTop="1" thickBot="1" x14ac:dyDescent="0.3">
      <c r="A48" s="526">
        <v>18011100</v>
      </c>
      <c r="B48" s="533" t="s">
        <v>78</v>
      </c>
      <c r="C48" s="528">
        <f t="shared" si="1"/>
        <v>285000</v>
      </c>
      <c r="D48" s="529">
        <v>285000</v>
      </c>
      <c r="E48" s="529"/>
      <c r="F48" s="529"/>
      <c r="G48" s="121"/>
    </row>
    <row r="49" spans="1:7" ht="28.5" thickTop="1" thickBot="1" x14ac:dyDescent="0.3">
      <c r="A49" s="530">
        <v>18020000</v>
      </c>
      <c r="B49" s="536" t="s">
        <v>1179</v>
      </c>
      <c r="C49" s="532">
        <f t="shared" si="1"/>
        <v>250000</v>
      </c>
      <c r="D49" s="532">
        <f>SUM(D50,E50)</f>
        <v>250000</v>
      </c>
      <c r="E49" s="532"/>
      <c r="F49" s="532"/>
      <c r="G49" s="121"/>
    </row>
    <row r="50" spans="1:7" ht="27" thickTop="1" thickBot="1" x14ac:dyDescent="0.3">
      <c r="A50" s="526">
        <v>180201000</v>
      </c>
      <c r="B50" s="533" t="s">
        <v>1180</v>
      </c>
      <c r="C50" s="528">
        <f t="shared" si="1"/>
        <v>250000</v>
      </c>
      <c r="D50" s="529">
        <v>250000</v>
      </c>
      <c r="E50" s="529"/>
      <c r="F50" s="529"/>
      <c r="G50" s="121"/>
    </row>
    <row r="51" spans="1:7" ht="16.5" thickTop="1" thickBot="1" x14ac:dyDescent="0.3">
      <c r="A51" s="530">
        <v>18030000</v>
      </c>
      <c r="B51" s="536" t="s">
        <v>79</v>
      </c>
      <c r="C51" s="532">
        <f>SUM(D51,E51)</f>
        <v>1500000</v>
      </c>
      <c r="D51" s="532">
        <f>SUM(D52:D53)</f>
        <v>1500000</v>
      </c>
      <c r="E51" s="532"/>
      <c r="F51" s="532"/>
      <c r="G51" s="121"/>
    </row>
    <row r="52" spans="1:7" ht="27" thickTop="1" thickBot="1" x14ac:dyDescent="0.3">
      <c r="A52" s="526">
        <v>18030100</v>
      </c>
      <c r="B52" s="533" t="s">
        <v>80</v>
      </c>
      <c r="C52" s="528">
        <f>SUM(D52,E52)</f>
        <v>950200</v>
      </c>
      <c r="D52" s="529">
        <v>950200</v>
      </c>
      <c r="E52" s="529"/>
      <c r="F52" s="529"/>
      <c r="G52" s="121"/>
    </row>
    <row r="53" spans="1:7" ht="27" thickTop="1" thickBot="1" x14ac:dyDescent="0.3">
      <c r="A53" s="526">
        <v>18030200</v>
      </c>
      <c r="B53" s="533" t="s">
        <v>81</v>
      </c>
      <c r="C53" s="528">
        <f>SUM(D53,E53)</f>
        <v>549800</v>
      </c>
      <c r="D53" s="529">
        <v>549800</v>
      </c>
      <c r="E53" s="529"/>
      <c r="F53" s="529"/>
      <c r="G53" s="121"/>
    </row>
    <row r="54" spans="1:7" ht="16.5" thickTop="1" thickBot="1" x14ac:dyDescent="0.3">
      <c r="A54" s="530">
        <v>18050000</v>
      </c>
      <c r="B54" s="536" t="s">
        <v>82</v>
      </c>
      <c r="C54" s="532">
        <f>SUM(D54,E54)</f>
        <v>501500000</v>
      </c>
      <c r="D54" s="532">
        <f>SUM(D55:D57)</f>
        <v>501500000</v>
      </c>
      <c r="E54" s="539"/>
      <c r="F54" s="539"/>
      <c r="G54" s="121"/>
    </row>
    <row r="55" spans="1:7" ht="16.5" thickTop="1" thickBot="1" x14ac:dyDescent="0.3">
      <c r="A55" s="526">
        <v>18050300</v>
      </c>
      <c r="B55" s="527" t="s">
        <v>1058</v>
      </c>
      <c r="C55" s="528">
        <f t="shared" si="1"/>
        <v>112215000</v>
      </c>
      <c r="D55" s="529">
        <f>(97215000)+15000000</f>
        <v>112215000</v>
      </c>
      <c r="E55" s="529"/>
      <c r="F55" s="529"/>
      <c r="G55" s="121"/>
    </row>
    <row r="56" spans="1:7" ht="15.75" thickTop="1" thickBot="1" x14ac:dyDescent="0.25">
      <c r="A56" s="526">
        <v>18050400</v>
      </c>
      <c r="B56" s="533" t="s">
        <v>83</v>
      </c>
      <c r="C56" s="528">
        <f t="shared" si="1"/>
        <v>385285000</v>
      </c>
      <c r="D56" s="529">
        <f>(350285000)+35000000</f>
        <v>385285000</v>
      </c>
      <c r="E56" s="529"/>
      <c r="F56" s="529"/>
      <c r="G56" s="122"/>
    </row>
    <row r="57" spans="1:7" ht="65.25" thickTop="1" thickBot="1" x14ac:dyDescent="0.25">
      <c r="A57" s="526">
        <v>18050500</v>
      </c>
      <c r="B57" s="533" t="s">
        <v>544</v>
      </c>
      <c r="C57" s="528">
        <f t="shared" si="1"/>
        <v>4000000</v>
      </c>
      <c r="D57" s="529">
        <v>4000000</v>
      </c>
      <c r="E57" s="529"/>
      <c r="F57" s="529"/>
      <c r="G57" s="122"/>
    </row>
    <row r="58" spans="1:7" ht="31.7" customHeight="1" thickTop="1" thickBot="1" x14ac:dyDescent="0.25">
      <c r="A58" s="534">
        <v>19000000</v>
      </c>
      <c r="B58" s="540" t="s">
        <v>537</v>
      </c>
      <c r="C58" s="528">
        <f t="shared" si="1"/>
        <v>1350000</v>
      </c>
      <c r="D58" s="528"/>
      <c r="E58" s="528">
        <f>SUM(E60:E62)</f>
        <v>1350000</v>
      </c>
      <c r="F58" s="529"/>
      <c r="G58" s="122"/>
    </row>
    <row r="59" spans="1:7" ht="16.5" thickTop="1" thickBot="1" x14ac:dyDescent="0.3">
      <c r="A59" s="530">
        <v>1901000</v>
      </c>
      <c r="B59" s="531" t="s">
        <v>84</v>
      </c>
      <c r="C59" s="532">
        <f t="shared" ref="C59:C63" si="3">SUM(D59,E59)</f>
        <v>1350000</v>
      </c>
      <c r="D59" s="532">
        <f>SUM(D60:D62)</f>
        <v>0</v>
      </c>
      <c r="E59" s="532">
        <f>SUM(E60:E62)</f>
        <v>1350000</v>
      </c>
      <c r="F59" s="532"/>
      <c r="G59" s="121"/>
    </row>
    <row r="60" spans="1:7" ht="52.5" thickTop="1" thickBot="1" x14ac:dyDescent="0.3">
      <c r="A60" s="526">
        <v>19010100</v>
      </c>
      <c r="B60" s="527" t="s">
        <v>538</v>
      </c>
      <c r="C60" s="528">
        <f t="shared" si="3"/>
        <v>225100</v>
      </c>
      <c r="D60" s="529"/>
      <c r="E60" s="529">
        <v>225100</v>
      </c>
      <c r="F60" s="529"/>
      <c r="G60" s="121"/>
    </row>
    <row r="61" spans="1:7" ht="27" thickTop="1" thickBot="1" x14ac:dyDescent="0.25">
      <c r="A61" s="526">
        <v>19010200</v>
      </c>
      <c r="B61" s="527" t="s">
        <v>1333</v>
      </c>
      <c r="C61" s="528">
        <f t="shared" si="3"/>
        <v>195200</v>
      </c>
      <c r="D61" s="529"/>
      <c r="E61" s="529">
        <v>195200</v>
      </c>
      <c r="F61" s="529"/>
      <c r="G61" s="124"/>
    </row>
    <row r="62" spans="1:7" ht="52.5" thickTop="1" thickBot="1" x14ac:dyDescent="0.3">
      <c r="A62" s="526">
        <v>19010300</v>
      </c>
      <c r="B62" s="527" t="s">
        <v>1334</v>
      </c>
      <c r="C62" s="528">
        <f t="shared" si="3"/>
        <v>929700</v>
      </c>
      <c r="D62" s="529"/>
      <c r="E62" s="529">
        <v>929700</v>
      </c>
      <c r="F62" s="529"/>
      <c r="G62" s="121"/>
    </row>
    <row r="63" spans="1:7" ht="30" customHeight="1" thickTop="1" thickBot="1" x14ac:dyDescent="0.3">
      <c r="A63" s="571">
        <v>20000000</v>
      </c>
      <c r="B63" s="571" t="s">
        <v>85</v>
      </c>
      <c r="C63" s="572">
        <f t="shared" si="3"/>
        <v>318509778</v>
      </c>
      <c r="D63" s="572">
        <f>SUM(D64,D72,D82,D87)</f>
        <v>118535000</v>
      </c>
      <c r="E63" s="572">
        <f>SUM(E64,E72,E82,E87)</f>
        <v>199974778</v>
      </c>
      <c r="F63" s="572">
        <f>SUM(F64,F72,F82,F87)</f>
        <v>5000012</v>
      </c>
      <c r="G63" s="121"/>
    </row>
    <row r="64" spans="1:7" ht="27" thickTop="1" thickBot="1" x14ac:dyDescent="0.3">
      <c r="A64" s="534">
        <v>21000000</v>
      </c>
      <c r="B64" s="534" t="s">
        <v>539</v>
      </c>
      <c r="C64" s="528">
        <f>SUM(D64,E64)</f>
        <v>57200000</v>
      </c>
      <c r="D64" s="528">
        <f>SUM(D65,D68,D67)</f>
        <v>57200000</v>
      </c>
      <c r="E64" s="528"/>
      <c r="F64" s="528"/>
      <c r="G64" s="121"/>
    </row>
    <row r="65" spans="1:7" ht="55.5" thickTop="1" thickBot="1" x14ac:dyDescent="0.3">
      <c r="A65" s="530">
        <v>21010000</v>
      </c>
      <c r="B65" s="536" t="s">
        <v>540</v>
      </c>
      <c r="C65" s="532">
        <f t="shared" si="1"/>
        <v>1700000</v>
      </c>
      <c r="D65" s="532">
        <f>D66</f>
        <v>1700000</v>
      </c>
      <c r="E65" s="532"/>
      <c r="F65" s="532"/>
      <c r="G65" s="121"/>
    </row>
    <row r="66" spans="1:7" ht="52.5" thickTop="1" thickBot="1" x14ac:dyDescent="0.3">
      <c r="A66" s="526">
        <v>21010300</v>
      </c>
      <c r="B66" s="533" t="s">
        <v>1495</v>
      </c>
      <c r="C66" s="528">
        <f t="shared" si="1"/>
        <v>1700000</v>
      </c>
      <c r="D66" s="529">
        <v>1700000</v>
      </c>
      <c r="E66" s="529"/>
      <c r="F66" s="529"/>
      <c r="G66" s="121"/>
    </row>
    <row r="67" spans="1:7" ht="28.5" thickTop="1" thickBot="1" x14ac:dyDescent="0.3">
      <c r="A67" s="530">
        <v>21050000</v>
      </c>
      <c r="B67" s="536" t="s">
        <v>86</v>
      </c>
      <c r="C67" s="532">
        <f t="shared" si="1"/>
        <v>32500000</v>
      </c>
      <c r="D67" s="532">
        <v>32500000</v>
      </c>
      <c r="E67" s="532"/>
      <c r="F67" s="532"/>
      <c r="G67" s="121"/>
    </row>
    <row r="68" spans="1:7" ht="15" thickTop="1" thickBot="1" x14ac:dyDescent="0.25">
      <c r="A68" s="530">
        <v>21080000</v>
      </c>
      <c r="B68" s="536" t="s">
        <v>1059</v>
      </c>
      <c r="C68" s="532">
        <f t="shared" ref="C68:C73" si="4">SUM(D68,E68)</f>
        <v>23000000</v>
      </c>
      <c r="D68" s="532">
        <f>SUM(D69:D71)</f>
        <v>23000000</v>
      </c>
      <c r="E68" s="532"/>
      <c r="F68" s="532"/>
      <c r="G68" s="124"/>
    </row>
    <row r="69" spans="1:7" ht="16.5" thickTop="1" thickBot="1" x14ac:dyDescent="0.3">
      <c r="A69" s="526">
        <v>21081100</v>
      </c>
      <c r="B69" s="541" t="s">
        <v>87</v>
      </c>
      <c r="C69" s="528">
        <f t="shared" si="4"/>
        <v>7000000</v>
      </c>
      <c r="D69" s="529">
        <v>7000000</v>
      </c>
      <c r="E69" s="529"/>
      <c r="F69" s="529"/>
      <c r="G69" s="121"/>
    </row>
    <row r="70" spans="1:7" ht="90.75" thickTop="1" thickBot="1" x14ac:dyDescent="0.3">
      <c r="A70" s="526">
        <v>21081500</v>
      </c>
      <c r="B70" s="527" t="s">
        <v>1351</v>
      </c>
      <c r="C70" s="528">
        <f t="shared" si="4"/>
        <v>500000</v>
      </c>
      <c r="D70" s="529">
        <v>500000</v>
      </c>
      <c r="E70" s="529"/>
      <c r="F70" s="529"/>
      <c r="G70" s="121"/>
    </row>
    <row r="71" spans="1:7" ht="16.5" thickTop="1" thickBot="1" x14ac:dyDescent="0.3">
      <c r="A71" s="526">
        <v>21081700</v>
      </c>
      <c r="B71" s="527" t="s">
        <v>378</v>
      </c>
      <c r="C71" s="528">
        <f t="shared" si="4"/>
        <v>15500000</v>
      </c>
      <c r="D71" s="529">
        <f>(12500000)+3000000</f>
        <v>15500000</v>
      </c>
      <c r="E71" s="529"/>
      <c r="F71" s="529"/>
      <c r="G71" s="125"/>
    </row>
    <row r="72" spans="1:7" ht="27" thickTop="1" thickBot="1" x14ac:dyDescent="0.3">
      <c r="A72" s="534">
        <v>22000000</v>
      </c>
      <c r="B72" s="534" t="s">
        <v>88</v>
      </c>
      <c r="C72" s="528">
        <f t="shared" si="4"/>
        <v>41835000</v>
      </c>
      <c r="D72" s="528">
        <f>SUM(D73,D77,D79)</f>
        <v>41835000</v>
      </c>
      <c r="E72" s="529"/>
      <c r="F72" s="529"/>
      <c r="G72" s="121"/>
    </row>
    <row r="73" spans="1:7" ht="24.75" customHeight="1" thickTop="1" thickBot="1" x14ac:dyDescent="0.3">
      <c r="A73" s="530">
        <v>22010000</v>
      </c>
      <c r="B73" s="531" t="s">
        <v>541</v>
      </c>
      <c r="C73" s="532">
        <f t="shared" si="4"/>
        <v>27535000</v>
      </c>
      <c r="D73" s="532">
        <f>SUM(D74:D76)</f>
        <v>27535000</v>
      </c>
      <c r="E73" s="532"/>
      <c r="F73" s="532"/>
      <c r="G73" s="121"/>
    </row>
    <row r="74" spans="1:7" ht="39.75" thickTop="1" thickBot="1" x14ac:dyDescent="0.3">
      <c r="A74" s="526">
        <v>22010300</v>
      </c>
      <c r="B74" s="527" t="s">
        <v>147</v>
      </c>
      <c r="C74" s="528">
        <f t="shared" si="1"/>
        <v>900200</v>
      </c>
      <c r="D74" s="529">
        <v>900200</v>
      </c>
      <c r="E74" s="529"/>
      <c r="F74" s="529"/>
      <c r="G74" s="121"/>
    </row>
    <row r="75" spans="1:7" ht="27" thickTop="1" thickBot="1" x14ac:dyDescent="0.3">
      <c r="A75" s="526">
        <v>22012500</v>
      </c>
      <c r="B75" s="527" t="s">
        <v>90</v>
      </c>
      <c r="C75" s="528">
        <f t="shared" si="1"/>
        <v>25629150</v>
      </c>
      <c r="D75" s="529">
        <v>25629150</v>
      </c>
      <c r="E75" s="529"/>
      <c r="F75" s="529"/>
      <c r="G75" s="121"/>
    </row>
    <row r="76" spans="1:7" ht="27" thickTop="1" thickBot="1" x14ac:dyDescent="0.3">
      <c r="A76" s="526">
        <v>22012600</v>
      </c>
      <c r="B76" s="527" t="s">
        <v>89</v>
      </c>
      <c r="C76" s="528">
        <f>SUM(D76,E76)</f>
        <v>1005650</v>
      </c>
      <c r="D76" s="529">
        <v>1005650</v>
      </c>
      <c r="E76" s="529"/>
      <c r="F76" s="529"/>
      <c r="G76" s="121"/>
    </row>
    <row r="77" spans="1:7" ht="42" thickTop="1" thickBot="1" x14ac:dyDescent="0.3">
      <c r="A77" s="530">
        <v>2208000</v>
      </c>
      <c r="B77" s="531" t="s">
        <v>542</v>
      </c>
      <c r="C77" s="532">
        <f t="shared" si="1"/>
        <v>14000000</v>
      </c>
      <c r="D77" s="532">
        <f>D78</f>
        <v>14000000</v>
      </c>
      <c r="E77" s="532"/>
      <c r="F77" s="532"/>
      <c r="G77" s="121"/>
    </row>
    <row r="78" spans="1:7" ht="52.5" thickTop="1" thickBot="1" x14ac:dyDescent="0.3">
      <c r="A78" s="526">
        <v>22080400</v>
      </c>
      <c r="B78" s="541" t="s">
        <v>91</v>
      </c>
      <c r="C78" s="528">
        <f t="shared" si="1"/>
        <v>14000000</v>
      </c>
      <c r="D78" s="529">
        <f>(10000000)+4000000</f>
        <v>14000000</v>
      </c>
      <c r="E78" s="529"/>
      <c r="F78" s="529"/>
      <c r="G78" s="121"/>
    </row>
    <row r="79" spans="1:7" ht="16.5" thickTop="1" thickBot="1" x14ac:dyDescent="0.3">
      <c r="A79" s="530">
        <v>22090000</v>
      </c>
      <c r="B79" s="542" t="s">
        <v>92</v>
      </c>
      <c r="C79" s="532">
        <f t="shared" si="1"/>
        <v>300000</v>
      </c>
      <c r="D79" s="532">
        <f>SUM(D80:D81)</f>
        <v>300000</v>
      </c>
      <c r="E79" s="532"/>
      <c r="F79" s="532"/>
      <c r="G79" s="121"/>
    </row>
    <row r="80" spans="1:7" ht="52.5" thickTop="1" thickBot="1" x14ac:dyDescent="0.3">
      <c r="A80" s="526">
        <v>22090100</v>
      </c>
      <c r="B80" s="533" t="s">
        <v>93</v>
      </c>
      <c r="C80" s="528">
        <f t="shared" si="1"/>
        <v>169800</v>
      </c>
      <c r="D80" s="529">
        <v>169800</v>
      </c>
      <c r="E80" s="529"/>
      <c r="F80" s="529"/>
      <c r="G80" s="121"/>
    </row>
    <row r="81" spans="1:7" ht="39.75" thickTop="1" thickBot="1" x14ac:dyDescent="0.25">
      <c r="A81" s="526">
        <v>22090400</v>
      </c>
      <c r="B81" s="533" t="s">
        <v>94</v>
      </c>
      <c r="C81" s="528">
        <f t="shared" si="1"/>
        <v>130200</v>
      </c>
      <c r="D81" s="529">
        <v>130200</v>
      </c>
      <c r="E81" s="529"/>
      <c r="F81" s="529"/>
      <c r="G81" s="123"/>
    </row>
    <row r="82" spans="1:7" ht="20.25" customHeight="1" thickTop="1" thickBot="1" x14ac:dyDescent="0.3">
      <c r="A82" s="534">
        <v>24000000</v>
      </c>
      <c r="B82" s="543" t="s">
        <v>95</v>
      </c>
      <c r="C82" s="528">
        <f t="shared" si="1"/>
        <v>24500012</v>
      </c>
      <c r="D82" s="528">
        <f>D83+D84+D86+D85</f>
        <v>19500000</v>
      </c>
      <c r="E82" s="528">
        <f>E83+E84+E86+E85</f>
        <v>5000012</v>
      </c>
      <c r="F82" s="528">
        <f>F83+F84+F86+F85</f>
        <v>5000012</v>
      </c>
      <c r="G82" s="121"/>
    </row>
    <row r="83" spans="1:7" ht="16.5" thickTop="1" thickBot="1" x14ac:dyDescent="0.3">
      <c r="A83" s="526">
        <v>24060300</v>
      </c>
      <c r="B83" s="527" t="s">
        <v>96</v>
      </c>
      <c r="C83" s="528">
        <f t="shared" si="1"/>
        <v>18000000</v>
      </c>
      <c r="D83" s="529">
        <v>18000000</v>
      </c>
      <c r="E83" s="529"/>
      <c r="F83" s="529"/>
      <c r="G83" s="121"/>
    </row>
    <row r="84" spans="1:7" ht="65.25" thickTop="1" thickBot="1" x14ac:dyDescent="0.3">
      <c r="A84" s="526">
        <v>24062200</v>
      </c>
      <c r="B84" s="527" t="s">
        <v>379</v>
      </c>
      <c r="C84" s="528">
        <f t="shared" si="1"/>
        <v>1500000</v>
      </c>
      <c r="D84" s="529">
        <v>1500000</v>
      </c>
      <c r="E84" s="529"/>
      <c r="F84" s="529"/>
      <c r="G84" s="121"/>
    </row>
    <row r="85" spans="1:7" ht="39.75" thickTop="1" thickBot="1" x14ac:dyDescent="0.3">
      <c r="A85" s="526">
        <v>24110700</v>
      </c>
      <c r="B85" s="544" t="s">
        <v>595</v>
      </c>
      <c r="C85" s="528">
        <f t="shared" si="1"/>
        <v>12</v>
      </c>
      <c r="D85" s="529"/>
      <c r="E85" s="529">
        <v>12</v>
      </c>
      <c r="F85" s="529">
        <v>12</v>
      </c>
      <c r="G85" s="121"/>
    </row>
    <row r="86" spans="1:7" ht="27" thickTop="1" thickBot="1" x14ac:dyDescent="0.25">
      <c r="A86" s="526">
        <v>24170000</v>
      </c>
      <c r="B86" s="533" t="s">
        <v>97</v>
      </c>
      <c r="C86" s="528">
        <f t="shared" ref="C86:C92" si="5">SUM(D86,E86)</f>
        <v>5000000</v>
      </c>
      <c r="D86" s="529"/>
      <c r="E86" s="529">
        <v>5000000</v>
      </c>
      <c r="F86" s="529">
        <v>5000000</v>
      </c>
      <c r="G86" s="122"/>
    </row>
    <row r="87" spans="1:7" ht="16.5" thickTop="1" thickBot="1" x14ac:dyDescent="0.3">
      <c r="A87" s="534">
        <v>25000000</v>
      </c>
      <c r="B87" s="545" t="s">
        <v>98</v>
      </c>
      <c r="C87" s="528">
        <f t="shared" si="5"/>
        <v>194974766</v>
      </c>
      <c r="D87" s="528">
        <f>SUM(D88:D92,)</f>
        <v>0</v>
      </c>
      <c r="E87" s="528">
        <f>SUM(E88)</f>
        <v>194974766</v>
      </c>
      <c r="F87" s="528"/>
      <c r="G87" s="121"/>
    </row>
    <row r="88" spans="1:7" ht="42" thickTop="1" thickBot="1" x14ac:dyDescent="0.3">
      <c r="A88" s="530">
        <v>25010000</v>
      </c>
      <c r="B88" s="536" t="s">
        <v>99</v>
      </c>
      <c r="C88" s="532">
        <f t="shared" si="5"/>
        <v>194974766</v>
      </c>
      <c r="D88" s="532">
        <v>0</v>
      </c>
      <c r="E88" s="532">
        <f>SUM(E89:E92)</f>
        <v>194974766</v>
      </c>
      <c r="F88" s="532"/>
      <c r="G88" s="121"/>
    </row>
    <row r="89" spans="1:7" ht="27" thickTop="1" thickBot="1" x14ac:dyDescent="0.3">
      <c r="A89" s="526">
        <v>25010100</v>
      </c>
      <c r="B89" s="533" t="s">
        <v>100</v>
      </c>
      <c r="C89" s="528">
        <f t="shared" si="5"/>
        <v>178761226</v>
      </c>
      <c r="D89" s="529"/>
      <c r="E89" s="529">
        <f>172410907+6350319</f>
        <v>178761226</v>
      </c>
      <c r="F89" s="529"/>
      <c r="G89" s="121"/>
    </row>
    <row r="90" spans="1:7" ht="27" thickTop="1" thickBot="1" x14ac:dyDescent="0.3">
      <c r="A90" s="526">
        <v>25010200</v>
      </c>
      <c r="B90" s="533" t="s">
        <v>101</v>
      </c>
      <c r="C90" s="528">
        <f t="shared" si="5"/>
        <v>13040510</v>
      </c>
      <c r="D90" s="529"/>
      <c r="E90" s="529">
        <v>13040510</v>
      </c>
      <c r="F90" s="529"/>
      <c r="G90" s="121"/>
    </row>
    <row r="91" spans="1:7" ht="16.5" thickTop="1" thickBot="1" x14ac:dyDescent="0.3">
      <c r="A91" s="526">
        <v>25010300</v>
      </c>
      <c r="B91" s="533" t="s">
        <v>102</v>
      </c>
      <c r="C91" s="528">
        <f t="shared" si="5"/>
        <v>3121470</v>
      </c>
      <c r="D91" s="529"/>
      <c r="E91" s="529">
        <v>3121470</v>
      </c>
      <c r="F91" s="529"/>
      <c r="G91" s="121"/>
    </row>
    <row r="92" spans="1:7" ht="39.75" thickTop="1" thickBot="1" x14ac:dyDescent="0.3">
      <c r="A92" s="526">
        <v>25010400</v>
      </c>
      <c r="B92" s="533" t="s">
        <v>103</v>
      </c>
      <c r="C92" s="528">
        <f t="shared" si="5"/>
        <v>51560</v>
      </c>
      <c r="D92" s="529"/>
      <c r="E92" s="529">
        <v>51560</v>
      </c>
      <c r="F92" s="529"/>
      <c r="G92" s="121"/>
    </row>
    <row r="93" spans="1:7" ht="24.75" customHeight="1" thickTop="1" thickBot="1" x14ac:dyDescent="0.25">
      <c r="A93" s="534">
        <v>30000000</v>
      </c>
      <c r="B93" s="534" t="s">
        <v>104</v>
      </c>
      <c r="C93" s="528">
        <f>SUM(D93,E93)</f>
        <v>29537780</v>
      </c>
      <c r="D93" s="528">
        <f>SUM(D94)+D98</f>
        <v>25000</v>
      </c>
      <c r="E93" s="528">
        <f>SUM(E94)+E98</f>
        <v>29512780</v>
      </c>
      <c r="F93" s="528">
        <f>SUM(F94)+F98</f>
        <v>29512780</v>
      </c>
      <c r="G93" s="123"/>
    </row>
    <row r="94" spans="1:7" ht="27" customHeight="1" thickTop="1" thickBot="1" x14ac:dyDescent="0.3">
      <c r="A94" s="534">
        <v>31000000</v>
      </c>
      <c r="B94" s="534" t="s">
        <v>105</v>
      </c>
      <c r="C94" s="528">
        <f>SUM(D94,E94)</f>
        <v>11025000</v>
      </c>
      <c r="D94" s="528">
        <f>D95+D97</f>
        <v>25000</v>
      </c>
      <c r="E94" s="528">
        <f>E95+E97</f>
        <v>11000000</v>
      </c>
      <c r="F94" s="528">
        <f>F95+F97</f>
        <v>11000000</v>
      </c>
      <c r="G94" s="121"/>
    </row>
    <row r="95" spans="1:7" ht="82.5" thickTop="1" thickBot="1" x14ac:dyDescent="0.3">
      <c r="A95" s="530">
        <v>3101000</v>
      </c>
      <c r="B95" s="531" t="s">
        <v>543</v>
      </c>
      <c r="C95" s="532">
        <f>SUM(D95,E95)</f>
        <v>25000</v>
      </c>
      <c r="D95" s="532">
        <f>D96</f>
        <v>25000</v>
      </c>
      <c r="E95" s="532"/>
      <c r="F95" s="532"/>
      <c r="G95" s="121"/>
    </row>
    <row r="96" spans="1:7" ht="78" thickTop="1" thickBot="1" x14ac:dyDescent="0.3">
      <c r="A96" s="526">
        <v>31010200</v>
      </c>
      <c r="B96" s="533" t="s">
        <v>106</v>
      </c>
      <c r="C96" s="528">
        <f>SUM(D96,E96)</f>
        <v>25000</v>
      </c>
      <c r="D96" s="529">
        <v>25000</v>
      </c>
      <c r="E96" s="529"/>
      <c r="F96" s="529"/>
      <c r="G96" s="121"/>
    </row>
    <row r="97" spans="1:7" ht="55.5" thickTop="1" thickBot="1" x14ac:dyDescent="0.3">
      <c r="A97" s="530">
        <v>31030000</v>
      </c>
      <c r="B97" s="536" t="s">
        <v>107</v>
      </c>
      <c r="C97" s="532">
        <f t="shared" si="1"/>
        <v>11000000</v>
      </c>
      <c r="D97" s="532"/>
      <c r="E97" s="532">
        <f>(6000000)+5000000</f>
        <v>11000000</v>
      </c>
      <c r="F97" s="532">
        <f>(6000000)+5000000</f>
        <v>11000000</v>
      </c>
      <c r="G97" s="121"/>
    </row>
    <row r="98" spans="1:7" ht="27" thickTop="1" thickBot="1" x14ac:dyDescent="0.3">
      <c r="A98" s="571">
        <v>33000000</v>
      </c>
      <c r="B98" s="571" t="s">
        <v>108</v>
      </c>
      <c r="C98" s="572">
        <f t="shared" si="1"/>
        <v>18512780</v>
      </c>
      <c r="D98" s="572">
        <f>SUM(D99)</f>
        <v>0</v>
      </c>
      <c r="E98" s="572">
        <f>SUM(E99)</f>
        <v>18512780</v>
      </c>
      <c r="F98" s="572">
        <f>SUM(F99)</f>
        <v>18512780</v>
      </c>
      <c r="G98" s="121"/>
    </row>
    <row r="99" spans="1:7" ht="16.5" thickTop="1" thickBot="1" x14ac:dyDescent="0.3">
      <c r="A99" s="530">
        <v>33010000</v>
      </c>
      <c r="B99" s="531" t="s">
        <v>109</v>
      </c>
      <c r="C99" s="532">
        <f>SUM(D99,E99)</f>
        <v>18512780</v>
      </c>
      <c r="D99" s="532">
        <f>SUM(D100:D102)</f>
        <v>0</v>
      </c>
      <c r="E99" s="532">
        <f>SUM(E100:E102)</f>
        <v>18512780</v>
      </c>
      <c r="F99" s="532">
        <f>SUM(F100:F102)</f>
        <v>18512780</v>
      </c>
      <c r="G99" s="121"/>
    </row>
    <row r="100" spans="1:7" ht="52.5" thickTop="1" thickBot="1" x14ac:dyDescent="0.3">
      <c r="A100" s="526">
        <v>33010100</v>
      </c>
      <c r="B100" s="533" t="s">
        <v>347</v>
      </c>
      <c r="C100" s="528">
        <f t="shared" si="1"/>
        <v>16179350</v>
      </c>
      <c r="D100" s="529"/>
      <c r="E100" s="529">
        <f>(10179350)+6000000</f>
        <v>16179350</v>
      </c>
      <c r="F100" s="529">
        <f>(10179350)+6000000</f>
        <v>16179350</v>
      </c>
      <c r="G100" s="121"/>
    </row>
    <row r="101" spans="1:7" ht="52.5" thickTop="1" thickBot="1" x14ac:dyDescent="0.3">
      <c r="A101" s="526">
        <v>33010200</v>
      </c>
      <c r="B101" s="533" t="s">
        <v>110</v>
      </c>
      <c r="C101" s="528">
        <f>SUM(D101,E101)</f>
        <v>933430</v>
      </c>
      <c r="D101" s="529"/>
      <c r="E101" s="529">
        <v>933430</v>
      </c>
      <c r="F101" s="529">
        <v>933430</v>
      </c>
      <c r="G101" s="121"/>
    </row>
    <row r="102" spans="1:7" ht="65.25" thickTop="1" thickBot="1" x14ac:dyDescent="0.3">
      <c r="A102" s="526">
        <v>33010500</v>
      </c>
      <c r="B102" s="533" t="s">
        <v>1496</v>
      </c>
      <c r="C102" s="528">
        <f>SUM(D102,E102)</f>
        <v>1400000</v>
      </c>
      <c r="D102" s="529"/>
      <c r="E102" s="529">
        <v>1400000</v>
      </c>
      <c r="F102" s="529">
        <v>1400000</v>
      </c>
      <c r="G102" s="121"/>
    </row>
    <row r="103" spans="1:7" ht="27" customHeight="1" thickTop="1" thickBot="1" x14ac:dyDescent="0.3">
      <c r="A103" s="571">
        <v>50000000</v>
      </c>
      <c r="B103" s="571" t="s">
        <v>491</v>
      </c>
      <c r="C103" s="572">
        <f>SUM(D103,E103)</f>
        <v>4800700</v>
      </c>
      <c r="D103" s="572">
        <f>SUM(D104)</f>
        <v>0</v>
      </c>
      <c r="E103" s="572">
        <f>SUM(E104)</f>
        <v>4800700</v>
      </c>
      <c r="F103" s="572">
        <f>SUM(F104)</f>
        <v>0</v>
      </c>
      <c r="G103" s="121"/>
    </row>
    <row r="104" spans="1:7" ht="52.5" thickTop="1" thickBot="1" x14ac:dyDescent="0.3">
      <c r="A104" s="534">
        <v>50110000</v>
      </c>
      <c r="B104" s="540" t="s">
        <v>111</v>
      </c>
      <c r="C104" s="528">
        <f t="shared" ref="C104:C140" si="6">SUM(D104,E104)</f>
        <v>4800700</v>
      </c>
      <c r="D104" s="529"/>
      <c r="E104" s="528">
        <f>(4200700)+600000</f>
        <v>4800700</v>
      </c>
      <c r="F104" s="529"/>
      <c r="G104" s="121"/>
    </row>
    <row r="105" spans="1:7" ht="45.75" customHeight="1" thickTop="1" thickBot="1" x14ac:dyDescent="0.25">
      <c r="A105" s="568"/>
      <c r="B105" s="569" t="s">
        <v>492</v>
      </c>
      <c r="C105" s="570">
        <f t="shared" ref="C105:C113" si="7">SUM(D105,E105)</f>
        <v>4128264923</v>
      </c>
      <c r="D105" s="570">
        <f>D103+D93+D63+D15</f>
        <v>3892626665</v>
      </c>
      <c r="E105" s="570">
        <f>E103+E93+E63+E15</f>
        <v>235638258</v>
      </c>
      <c r="F105" s="570">
        <f>F103+F93+F63+F15</f>
        <v>34512792</v>
      </c>
      <c r="G105" s="122"/>
    </row>
    <row r="106" spans="1:7" ht="34.5" customHeight="1" thickTop="1" thickBot="1" x14ac:dyDescent="0.25">
      <c r="A106" s="571">
        <v>40000000</v>
      </c>
      <c r="B106" s="571" t="s">
        <v>431</v>
      </c>
      <c r="C106" s="572">
        <f>SUM(D106,E106)</f>
        <v>785680055.77999997</v>
      </c>
      <c r="D106" s="572">
        <f>SUM(D112,D109,D107)</f>
        <v>782878146.77999997</v>
      </c>
      <c r="E106" s="572">
        <f>SUM(E112,E109,E107)</f>
        <v>2801909</v>
      </c>
      <c r="F106" s="572">
        <f>SUM(F112,F109,F107)</f>
        <v>0</v>
      </c>
      <c r="G106" s="122"/>
    </row>
    <row r="107" spans="1:7" ht="34.5" customHeight="1" thickTop="1" thickBot="1" x14ac:dyDescent="0.25">
      <c r="A107" s="386">
        <v>41020000</v>
      </c>
      <c r="B107" s="588" t="s">
        <v>1427</v>
      </c>
      <c r="C107" s="528">
        <f t="shared" ref="C107:C108" si="8">SUM(D107,E107)</f>
        <v>16579700</v>
      </c>
      <c r="D107" s="528">
        <f>SUM(D108)</f>
        <v>16579700</v>
      </c>
      <c r="E107" s="528"/>
      <c r="F107" s="528"/>
      <c r="G107" s="122"/>
    </row>
    <row r="108" spans="1:7" ht="103.5" thickTop="1" thickBot="1" x14ac:dyDescent="0.25">
      <c r="A108" s="589">
        <v>41021400</v>
      </c>
      <c r="B108" s="590" t="s">
        <v>1434</v>
      </c>
      <c r="C108" s="528">
        <f t="shared" si="8"/>
        <v>16579700</v>
      </c>
      <c r="D108" s="529">
        <v>16579700</v>
      </c>
      <c r="E108" s="528"/>
      <c r="F108" s="528"/>
      <c r="G108" s="122"/>
    </row>
    <row r="109" spans="1:7" ht="27" thickTop="1" thickBot="1" x14ac:dyDescent="0.25">
      <c r="A109" s="386">
        <v>41040000</v>
      </c>
      <c r="B109" s="588" t="s">
        <v>348</v>
      </c>
      <c r="C109" s="528">
        <f>SUM(D109,E109)</f>
        <v>7726747.6399999997</v>
      </c>
      <c r="D109" s="528">
        <f>SUM(D110:D111)</f>
        <v>7726747.6399999997</v>
      </c>
      <c r="E109" s="528"/>
      <c r="F109" s="528"/>
      <c r="G109" s="122"/>
    </row>
    <row r="110" spans="1:7" ht="65.25" thickTop="1" thickBot="1" x14ac:dyDescent="0.25">
      <c r="A110" s="589">
        <v>41040200</v>
      </c>
      <c r="B110" s="590" t="s">
        <v>1182</v>
      </c>
      <c r="C110" s="528">
        <f t="shared" si="7"/>
        <v>7423154</v>
      </c>
      <c r="D110" s="529">
        <v>7423154</v>
      </c>
      <c r="E110" s="528"/>
      <c r="F110" s="528"/>
      <c r="G110" s="122"/>
    </row>
    <row r="111" spans="1:7" ht="15.75" thickTop="1" thickBot="1" x14ac:dyDescent="0.25">
      <c r="A111" s="589">
        <v>41040400</v>
      </c>
      <c r="B111" s="590" t="s">
        <v>1242</v>
      </c>
      <c r="C111" s="528">
        <f t="shared" si="7"/>
        <v>303593.64</v>
      </c>
      <c r="D111" s="529">
        <f>(134764.64)+168829</f>
        <v>303593.64</v>
      </c>
      <c r="E111" s="528"/>
      <c r="F111" s="528"/>
      <c r="G111" s="122"/>
    </row>
    <row r="112" spans="1:7" ht="15.75" thickTop="1" thickBot="1" x14ac:dyDescent="0.25">
      <c r="A112" s="386">
        <v>41000000</v>
      </c>
      <c r="B112" s="386" t="s">
        <v>112</v>
      </c>
      <c r="C112" s="528">
        <f t="shared" si="7"/>
        <v>761373608.13999999</v>
      </c>
      <c r="D112" s="528">
        <f>SUM(D113,D121)</f>
        <v>758571699.13999999</v>
      </c>
      <c r="E112" s="528">
        <f>SUM(E113,E121)</f>
        <v>2801909</v>
      </c>
      <c r="F112" s="528">
        <f>SUM(F113,F121)</f>
        <v>0</v>
      </c>
      <c r="G112" s="122"/>
    </row>
    <row r="113" spans="1:7" ht="27" thickTop="1" thickBot="1" x14ac:dyDescent="0.3">
      <c r="A113" s="386">
        <v>41030000</v>
      </c>
      <c r="B113" s="591" t="s">
        <v>442</v>
      </c>
      <c r="C113" s="528">
        <f t="shared" si="7"/>
        <v>622434500</v>
      </c>
      <c r="D113" s="528">
        <f>SUM(D114:D120)</f>
        <v>622434500</v>
      </c>
      <c r="E113" s="528">
        <f>SUM(E114:E120)</f>
        <v>0</v>
      </c>
      <c r="F113" s="528">
        <f>SUM(F114:F120)</f>
        <v>0</v>
      </c>
      <c r="G113" s="121"/>
    </row>
    <row r="114" spans="1:7" ht="52.5" thickTop="1" thickBot="1" x14ac:dyDescent="0.3">
      <c r="A114" s="589">
        <v>41032300</v>
      </c>
      <c r="B114" s="592" t="s">
        <v>996</v>
      </c>
      <c r="C114" s="528">
        <f t="shared" si="6"/>
        <v>0</v>
      </c>
      <c r="D114" s="529">
        <v>0</v>
      </c>
      <c r="E114" s="528"/>
      <c r="F114" s="529"/>
      <c r="G114" s="121"/>
    </row>
    <row r="115" spans="1:7" ht="52.5" thickTop="1" thickBot="1" x14ac:dyDescent="0.3">
      <c r="A115" s="589">
        <v>41033800</v>
      </c>
      <c r="B115" s="592" t="s">
        <v>1061</v>
      </c>
      <c r="C115" s="528">
        <f t="shared" si="6"/>
        <v>0</v>
      </c>
      <c r="D115" s="529">
        <v>0</v>
      </c>
      <c r="E115" s="528"/>
      <c r="F115" s="529"/>
      <c r="G115" s="121"/>
    </row>
    <row r="116" spans="1:7" ht="27" thickTop="1" thickBot="1" x14ac:dyDescent="0.3">
      <c r="A116" s="589">
        <v>41033900</v>
      </c>
      <c r="B116" s="592" t="s">
        <v>113</v>
      </c>
      <c r="C116" s="528">
        <f t="shared" si="6"/>
        <v>622434500</v>
      </c>
      <c r="D116" s="529">
        <f>(622418100)+16400</f>
        <v>622434500</v>
      </c>
      <c r="E116" s="529"/>
      <c r="F116" s="529"/>
      <c r="G116" s="121"/>
    </row>
    <row r="117" spans="1:7" ht="52.5" thickTop="1" thickBot="1" x14ac:dyDescent="0.3">
      <c r="A117" s="589">
        <v>41034500</v>
      </c>
      <c r="B117" s="592" t="s">
        <v>1062</v>
      </c>
      <c r="C117" s="528">
        <f t="shared" si="6"/>
        <v>0</v>
      </c>
      <c r="D117" s="529">
        <v>0</v>
      </c>
      <c r="E117" s="529">
        <v>0</v>
      </c>
      <c r="F117" s="529">
        <v>0</v>
      </c>
      <c r="G117" s="121"/>
    </row>
    <row r="118" spans="1:7" ht="52.5" thickTop="1" thickBot="1" x14ac:dyDescent="0.3">
      <c r="A118" s="589">
        <v>41035500</v>
      </c>
      <c r="B118" s="592" t="s">
        <v>998</v>
      </c>
      <c r="C118" s="528">
        <f t="shared" si="6"/>
        <v>0</v>
      </c>
      <c r="D118" s="529">
        <v>0</v>
      </c>
      <c r="E118" s="529"/>
      <c r="F118" s="529"/>
      <c r="G118" s="121"/>
    </row>
    <row r="119" spans="1:7" ht="65.25" thickTop="1" thickBot="1" x14ac:dyDescent="0.3">
      <c r="A119" s="589">
        <v>41035600</v>
      </c>
      <c r="B119" s="592" t="s">
        <v>1023</v>
      </c>
      <c r="C119" s="528">
        <f t="shared" si="6"/>
        <v>0</v>
      </c>
      <c r="D119" s="529">
        <v>0</v>
      </c>
      <c r="E119" s="529"/>
      <c r="F119" s="529"/>
      <c r="G119" s="121"/>
    </row>
    <row r="120" spans="1:7" ht="39.75" thickTop="1" thickBot="1" x14ac:dyDescent="0.3">
      <c r="A120" s="589">
        <v>41035700</v>
      </c>
      <c r="B120" s="592" t="s">
        <v>988</v>
      </c>
      <c r="C120" s="528">
        <f t="shared" si="6"/>
        <v>0</v>
      </c>
      <c r="D120" s="529">
        <v>0</v>
      </c>
      <c r="E120" s="529"/>
      <c r="F120" s="529"/>
      <c r="G120" s="121"/>
    </row>
    <row r="121" spans="1:7" ht="27" thickTop="1" thickBot="1" x14ac:dyDescent="0.3">
      <c r="A121" s="386">
        <v>41050000</v>
      </c>
      <c r="B121" s="591" t="s">
        <v>477</v>
      </c>
      <c r="C121" s="528">
        <f t="shared" ref="C121:C128" si="9">SUM(D121,E121)</f>
        <v>138939108.14000002</v>
      </c>
      <c r="D121" s="528">
        <f>SUM(D122:D134)+D141+D142</f>
        <v>136137199.14000002</v>
      </c>
      <c r="E121" s="528">
        <f>SUM(E122:E134)</f>
        <v>2801909</v>
      </c>
      <c r="F121" s="528">
        <f>SUM(F122:F134)</f>
        <v>0</v>
      </c>
      <c r="G121" s="121"/>
    </row>
    <row r="122" spans="1:7" ht="313.5" customHeight="1" thickTop="1" thickBot="1" x14ac:dyDescent="0.3">
      <c r="A122" s="589">
        <v>41050400</v>
      </c>
      <c r="B122" s="592" t="s">
        <v>1525</v>
      </c>
      <c r="C122" s="528">
        <f t="shared" si="9"/>
        <v>60048682.840000004</v>
      </c>
      <c r="D122" s="529">
        <v>60048682.840000004</v>
      </c>
      <c r="E122" s="529"/>
      <c r="F122" s="529"/>
      <c r="G122" s="121"/>
    </row>
    <row r="123" spans="1:7" ht="228" customHeight="1" thickTop="1" thickBot="1" x14ac:dyDescent="0.3">
      <c r="A123" s="589">
        <v>41050500</v>
      </c>
      <c r="B123" s="592" t="s">
        <v>1063</v>
      </c>
      <c r="C123" s="528">
        <f t="shared" si="9"/>
        <v>18344699.329999998</v>
      </c>
      <c r="D123" s="529">
        <f>(16166689.19)+2178010.14</f>
        <v>18344699.329999998</v>
      </c>
      <c r="E123" s="529"/>
      <c r="F123" s="529"/>
      <c r="G123" s="121"/>
    </row>
    <row r="124" spans="1:7" ht="326.25" customHeight="1" thickTop="1" thickBot="1" x14ac:dyDescent="0.3">
      <c r="A124" s="589">
        <v>41050600</v>
      </c>
      <c r="B124" s="592" t="s">
        <v>1526</v>
      </c>
      <c r="C124" s="528">
        <f t="shared" si="9"/>
        <v>34451671.970000006</v>
      </c>
      <c r="D124" s="529">
        <f>((25469713.26)+9382915)-400956.29</f>
        <v>34451671.970000006</v>
      </c>
      <c r="E124" s="529"/>
      <c r="F124" s="529"/>
      <c r="G124" s="121"/>
    </row>
    <row r="125" spans="1:7" ht="116.25" hidden="1" thickTop="1" thickBot="1" x14ac:dyDescent="0.3">
      <c r="A125" s="593">
        <v>41050900</v>
      </c>
      <c r="B125" s="594" t="s">
        <v>1064</v>
      </c>
      <c r="C125" s="546">
        <f t="shared" si="9"/>
        <v>0</v>
      </c>
      <c r="D125" s="547">
        <v>0</v>
      </c>
      <c r="E125" s="547"/>
      <c r="F125" s="547"/>
      <c r="G125" s="121"/>
    </row>
    <row r="126" spans="1:7" ht="39.75" thickTop="1" thickBot="1" x14ac:dyDescent="0.3">
      <c r="A126" s="589">
        <v>41051000</v>
      </c>
      <c r="B126" s="592" t="s">
        <v>478</v>
      </c>
      <c r="C126" s="528">
        <f t="shared" si="9"/>
        <v>11061995</v>
      </c>
      <c r="D126" s="529">
        <f>4544686+3715400</f>
        <v>8260086</v>
      </c>
      <c r="E126" s="529">
        <f>(2828521)-26612</f>
        <v>2801909</v>
      </c>
      <c r="F126" s="529"/>
      <c r="G126" s="121"/>
    </row>
    <row r="127" spans="1:7" ht="52.5" thickTop="1" thickBot="1" x14ac:dyDescent="0.3">
      <c r="A127" s="589">
        <v>41051200</v>
      </c>
      <c r="B127" s="592" t="s">
        <v>1353</v>
      </c>
      <c r="C127" s="528">
        <f>SUM(D127,E127)</f>
        <v>4309689</v>
      </c>
      <c r="D127" s="529">
        <v>4309689</v>
      </c>
      <c r="E127" s="529"/>
      <c r="F127" s="529"/>
      <c r="G127" s="121"/>
    </row>
    <row r="128" spans="1:7" ht="65.25" hidden="1" thickTop="1" thickBot="1" x14ac:dyDescent="0.3">
      <c r="A128" s="593">
        <v>41051400</v>
      </c>
      <c r="B128" s="594" t="s">
        <v>1001</v>
      </c>
      <c r="C128" s="546">
        <f t="shared" si="9"/>
        <v>0</v>
      </c>
      <c r="D128" s="547">
        <v>0</v>
      </c>
      <c r="E128" s="547"/>
      <c r="F128" s="547"/>
      <c r="G128" s="121"/>
    </row>
    <row r="129" spans="1:10" ht="65.25" thickTop="1" thickBot="1" x14ac:dyDescent="0.3">
      <c r="A129" s="589">
        <v>41051700</v>
      </c>
      <c r="B129" s="592" t="s">
        <v>957</v>
      </c>
      <c r="C129" s="528">
        <f t="shared" si="6"/>
        <v>2413596</v>
      </c>
      <c r="D129" s="529">
        <v>2413596</v>
      </c>
      <c r="E129" s="529"/>
      <c r="F129" s="529"/>
      <c r="G129" s="121"/>
    </row>
    <row r="130" spans="1:10" ht="90.75" hidden="1" thickTop="1" thickBot="1" x14ac:dyDescent="0.3">
      <c r="A130" s="593">
        <v>41056600</v>
      </c>
      <c r="B130" s="594" t="s">
        <v>1042</v>
      </c>
      <c r="C130" s="546">
        <f t="shared" si="6"/>
        <v>0</v>
      </c>
      <c r="D130" s="547">
        <f>10623233.82-10623233.82</f>
        <v>0</v>
      </c>
      <c r="E130" s="547"/>
      <c r="F130" s="547"/>
      <c r="G130" s="121"/>
    </row>
    <row r="131" spans="1:10" ht="52.5" hidden="1" thickTop="1" thickBot="1" x14ac:dyDescent="0.25">
      <c r="A131" s="593">
        <v>41055000</v>
      </c>
      <c r="B131" s="594" t="s">
        <v>1065</v>
      </c>
      <c r="C131" s="546">
        <f t="shared" si="6"/>
        <v>0</v>
      </c>
      <c r="D131" s="547">
        <v>0</v>
      </c>
      <c r="E131" s="547"/>
      <c r="F131" s="547"/>
      <c r="G131" s="122"/>
    </row>
    <row r="132" spans="1:10" ht="27" hidden="1" thickTop="1" thickBot="1" x14ac:dyDescent="0.25">
      <c r="A132" s="593">
        <v>41053600</v>
      </c>
      <c r="B132" s="594" t="s">
        <v>959</v>
      </c>
      <c r="C132" s="546">
        <f t="shared" si="6"/>
        <v>0</v>
      </c>
      <c r="D132" s="547"/>
      <c r="E132" s="547">
        <v>0</v>
      </c>
      <c r="F132" s="547"/>
      <c r="G132" s="122"/>
    </row>
    <row r="133" spans="1:10" ht="205.5" hidden="1" thickTop="1" thickBot="1" x14ac:dyDescent="0.25">
      <c r="A133" s="593">
        <v>41054200</v>
      </c>
      <c r="B133" s="594" t="s">
        <v>1066</v>
      </c>
      <c r="C133" s="546">
        <f t="shared" si="6"/>
        <v>0</v>
      </c>
      <c r="D133" s="547">
        <v>0</v>
      </c>
      <c r="E133" s="547"/>
      <c r="F133" s="547"/>
      <c r="G133" s="122"/>
    </row>
    <row r="134" spans="1:10" ht="27" thickTop="1" thickBot="1" x14ac:dyDescent="0.25">
      <c r="A134" s="589">
        <v>41053900</v>
      </c>
      <c r="B134" s="592" t="s">
        <v>910</v>
      </c>
      <c r="C134" s="528">
        <f t="shared" si="6"/>
        <v>961639</v>
      </c>
      <c r="D134" s="529">
        <f>SUM(D135:D140)</f>
        <v>961639</v>
      </c>
      <c r="E134" s="529">
        <f>SUM(E135:E140)</f>
        <v>0</v>
      </c>
      <c r="F134" s="529">
        <f>SUM(F135:F140)</f>
        <v>0</v>
      </c>
      <c r="G134" s="122"/>
    </row>
    <row r="135" spans="1:10" ht="15.75" thickTop="1" thickBot="1" x14ac:dyDescent="0.25">
      <c r="A135" s="589"/>
      <c r="B135" s="595" t="s">
        <v>960</v>
      </c>
      <c r="C135" s="532">
        <f>SUM(D135,E135)</f>
        <v>0</v>
      </c>
      <c r="D135" s="539"/>
      <c r="E135" s="539">
        <v>0</v>
      </c>
      <c r="F135" s="539">
        <v>0</v>
      </c>
      <c r="G135" s="122"/>
    </row>
    <row r="136" spans="1:10" ht="39.75" thickTop="1" thickBot="1" x14ac:dyDescent="0.25">
      <c r="A136" s="589"/>
      <c r="B136" s="595" t="s">
        <v>911</v>
      </c>
      <c r="C136" s="532">
        <f t="shared" si="6"/>
        <v>272462</v>
      </c>
      <c r="D136" s="539">
        <v>272462</v>
      </c>
      <c r="E136" s="539"/>
      <c r="F136" s="539"/>
      <c r="G136" s="122"/>
    </row>
    <row r="137" spans="1:10" ht="52.5" thickTop="1" thickBot="1" x14ac:dyDescent="0.25">
      <c r="A137" s="589"/>
      <c r="B137" s="595" t="s">
        <v>912</v>
      </c>
      <c r="C137" s="532">
        <f t="shared" si="6"/>
        <v>142618</v>
      </c>
      <c r="D137" s="539">
        <v>142618</v>
      </c>
      <c r="E137" s="539"/>
      <c r="F137" s="539"/>
      <c r="G137" s="122"/>
    </row>
    <row r="138" spans="1:10" ht="27" thickTop="1" thickBot="1" x14ac:dyDescent="0.25">
      <c r="A138" s="589"/>
      <c r="B138" s="595" t="s">
        <v>913</v>
      </c>
      <c r="C138" s="532">
        <f t="shared" si="6"/>
        <v>546559</v>
      </c>
      <c r="D138" s="539">
        <v>546559</v>
      </c>
      <c r="E138" s="539"/>
      <c r="F138" s="539"/>
      <c r="G138" s="122"/>
    </row>
    <row r="139" spans="1:10" ht="39.75" hidden="1" thickTop="1" thickBot="1" x14ac:dyDescent="0.25">
      <c r="A139" s="593"/>
      <c r="B139" s="596" t="s">
        <v>1104</v>
      </c>
      <c r="C139" s="126">
        <f t="shared" si="6"/>
        <v>0</v>
      </c>
      <c r="D139" s="127">
        <v>0</v>
      </c>
      <c r="E139" s="127"/>
      <c r="F139" s="127"/>
      <c r="G139" s="122"/>
    </row>
    <row r="140" spans="1:10" ht="27" hidden="1" thickTop="1" thickBot="1" x14ac:dyDescent="0.25">
      <c r="A140" s="593"/>
      <c r="B140" s="596" t="s">
        <v>1105</v>
      </c>
      <c r="C140" s="126">
        <f t="shared" si="6"/>
        <v>0</v>
      </c>
      <c r="D140" s="127"/>
      <c r="E140" s="127">
        <v>0</v>
      </c>
      <c r="F140" s="127">
        <v>0</v>
      </c>
      <c r="G140" s="122"/>
    </row>
    <row r="141" spans="1:10" ht="65.25" thickTop="1" thickBot="1" x14ac:dyDescent="0.25">
      <c r="A141" s="589">
        <v>41057700</v>
      </c>
      <c r="B141" s="592" t="s">
        <v>1468</v>
      </c>
      <c r="C141" s="528">
        <f>SUM(D141,E141)</f>
        <v>147135</v>
      </c>
      <c r="D141" s="529">
        <f>(88281)+58854</f>
        <v>147135</v>
      </c>
      <c r="E141" s="529"/>
      <c r="F141" s="529"/>
      <c r="G141" s="122"/>
    </row>
    <row r="142" spans="1:10" ht="52.5" thickTop="1" thickBot="1" x14ac:dyDescent="0.25">
      <c r="A142" s="589">
        <v>41059000</v>
      </c>
      <c r="B142" s="592" t="s">
        <v>1497</v>
      </c>
      <c r="C142" s="528">
        <f>SUM(D142,E142)</f>
        <v>7200000</v>
      </c>
      <c r="D142" s="529">
        <v>7200000</v>
      </c>
      <c r="E142" s="529"/>
      <c r="F142" s="529"/>
      <c r="G142" s="122"/>
    </row>
    <row r="143" spans="1:10" ht="33.75" customHeight="1" thickTop="1" thickBot="1" x14ac:dyDescent="0.3">
      <c r="A143" s="597"/>
      <c r="B143" s="598" t="s">
        <v>1057</v>
      </c>
      <c r="C143" s="570">
        <f>SUM(D143,E143)</f>
        <v>4913944978.7799997</v>
      </c>
      <c r="D143" s="570">
        <f>SUM(D105,D106)</f>
        <v>4675504811.7799997</v>
      </c>
      <c r="E143" s="570">
        <f>SUM(E105,E112)</f>
        <v>238440167</v>
      </c>
      <c r="F143" s="570">
        <f>SUM(F105,F112)</f>
        <v>34512792</v>
      </c>
      <c r="G143" s="548" t="b">
        <f>C143=C138+C137+C136+C116+C110+C104+C97+C96+C92+C91+C90+C89+C86+C85+C84+C83+C81+C80+C78+C76+C75+C74+C71+C70+C69+C67+C66+C62+C61+C60+C57+C56+C55+C53+C52+C48+C47+C46+C45+C44+C43+C42+C41+C40+C39+C35+C33+C30+C28+C26+C23+C21+C20+C19+C18+C101+C100+C36+C50+C127+C126+C108+C141+C111+C142+C102+C124+C122+C123+C129</f>
        <v>1</v>
      </c>
      <c r="H143" s="548" t="b">
        <f t="shared" ref="H143:J143" si="10">D143=D138+D137+D136+D116+D110+D104+D97+D96+D92+D91+D90+D89+D86+D85+D84+D83+D81+D80+D78+D76+D75+D74+D71+D70+D69+D67+D66+D62+D61+D60+D57+D56+D55+D53+D52+D48+D47+D46+D45+D44+D43+D42+D41+D40+D39+D35+D33+D30+D28+D26+D23+D21+D20+D19+D18+D101+D100+D36+D50+D127+D126+D108+D141+D111+D142+D102+D124+D122+D123+D129</f>
        <v>1</v>
      </c>
      <c r="I143" s="548" t="b">
        <f t="shared" si="10"/>
        <v>1</v>
      </c>
      <c r="J143" s="548" t="b">
        <f t="shared" si="10"/>
        <v>1</v>
      </c>
    </row>
    <row r="144" spans="1:10" ht="16.5" thickTop="1" x14ac:dyDescent="0.25">
      <c r="B144" s="128"/>
      <c r="G144" s="548" t="b">
        <f>(((((3453807039-'d2'!C37+7423154+961639+622418100+3715400+4544686)+16400+4309689+6350319+16579700+88281)+7200000+134764.64+550557565+60048682.84+25469713.26+16166689.19+132000000)+168829+13974521.14)+2486418.71)-26612=C143</f>
        <v>1</v>
      </c>
      <c r="H144" s="549"/>
      <c r="I144" s="549"/>
      <c r="J144" s="549"/>
    </row>
    <row r="145" spans="1:6" ht="15.75" x14ac:dyDescent="0.2">
      <c r="B145" s="649" t="s">
        <v>1586</v>
      </c>
      <c r="C145"/>
      <c r="D145"/>
      <c r="E145" s="14" t="s">
        <v>1587</v>
      </c>
      <c r="F145" s="130"/>
    </row>
    <row r="146" spans="1:6" ht="15.75" hidden="1" x14ac:dyDescent="0.2">
      <c r="B146" s="643" t="s">
        <v>1548</v>
      </c>
      <c r="C146"/>
      <c r="D146"/>
      <c r="E146" s="645" t="s">
        <v>1549</v>
      </c>
      <c r="F146" s="130"/>
    </row>
    <row r="147" spans="1:6" ht="15.75" x14ac:dyDescent="0.25">
      <c r="B147" s="1"/>
      <c r="C147" s="379"/>
      <c r="D147" s="379"/>
      <c r="E147" s="1"/>
    </row>
    <row r="148" spans="1:6" ht="15.75" x14ac:dyDescent="0.25">
      <c r="A148" s="131"/>
      <c r="B148" s="627" t="s">
        <v>528</v>
      </c>
      <c r="C148" s="1"/>
      <c r="D148" s="1"/>
      <c r="E148" s="1" t="s">
        <v>1435</v>
      </c>
      <c r="F148" s="131"/>
    </row>
    <row r="151" spans="1:6" x14ac:dyDescent="0.2">
      <c r="C151" s="129"/>
      <c r="D151" s="129"/>
      <c r="E151" s="129"/>
      <c r="F151" s="129"/>
    </row>
  </sheetData>
  <mergeCells count="13">
    <mergeCell ref="D1:G1"/>
    <mergeCell ref="D2:G2"/>
    <mergeCell ref="D3:G3"/>
    <mergeCell ref="A4:E4"/>
    <mergeCell ref="A5:F5"/>
    <mergeCell ref="A6:F6"/>
    <mergeCell ref="A8:F8"/>
    <mergeCell ref="A9:F9"/>
    <mergeCell ref="A12:A13"/>
    <mergeCell ref="B12:B13"/>
    <mergeCell ref="C12:C13"/>
    <mergeCell ref="D12:D13"/>
    <mergeCell ref="E12:F12"/>
  </mergeCells>
  <hyperlinks>
    <hyperlink ref="B94" location="_ftn1" display="_ftn1" xr:uid="{00000000-0004-0000-0000-000000000000}"/>
    <hyperlink ref="B93" location="_ftn1" display="_ftn1" xr:uid="{00000000-0004-0000-0000-000001000000}"/>
    <hyperlink ref="B81" location="_ftn1" display="_ftn1" xr:uid="{00000000-0004-0000-0000-000002000000}"/>
    <hyperlink ref="B20" location="_ftn1" display="_ftn1" xr:uid="{00000000-0004-0000-0000-000003000000}"/>
    <hyperlink ref="B19" location="_ftn1" display="_ftn1" xr:uid="{00000000-0004-0000-0000-000004000000}"/>
    <hyperlink ref="B61" location="_ftn1" display="_ftn1" xr:uid="{00000000-0004-0000-0000-000005000000}"/>
    <hyperlink ref="B98" location="_ftn1" display="_ftn1" xr:uid="{00000000-0004-0000-0000-000006000000}"/>
    <hyperlink ref="B99" location="_ftn1" display="_ftn1" xr:uid="{00000000-0004-0000-0000-000007000000}"/>
    <hyperlink ref="B69" location="_ftn1" display="_ftn1" xr:uid="{00000000-0004-0000-0000-000008000000}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87" fitToHeight="0" orientation="portrait" verticalDpi="4294967295" r:id="rId1"/>
  <headerFooter alignWithMargins="0"/>
  <rowBreaks count="1" manualBreakCount="1">
    <brk id="10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E7542-8A36-4D9C-831D-FECF2B742B7C}">
  <sheetPr>
    <tabColor theme="7" tint="0.39997558519241921"/>
  </sheetPr>
  <dimension ref="A1:T449"/>
  <sheetViews>
    <sheetView view="pageBreakPreview" zoomScale="25" zoomScaleNormal="25" zoomScaleSheetLayoutView="25" zoomScalePageLayoutView="10" workbookViewId="0">
      <pane ySplit="14" topLeftCell="A15" activePane="bottomLeft" state="frozen"/>
      <selection activeCell="B52" sqref="B52:E52"/>
      <selection pane="bottomLeft" activeCell="D11" sqref="D11:D13"/>
    </sheetView>
  </sheetViews>
  <sheetFormatPr defaultColWidth="9.140625" defaultRowHeight="12.75" x14ac:dyDescent="0.2"/>
  <cols>
    <col min="1" max="1" width="48" style="18" customWidth="1"/>
    <col min="2" max="2" width="52.5703125" style="18" customWidth="1"/>
    <col min="3" max="3" width="65.7109375" style="18" customWidth="1"/>
    <col min="4" max="4" width="256.140625" style="18" customWidth="1"/>
    <col min="5" max="5" width="66.42578125" style="57" customWidth="1"/>
    <col min="6" max="6" width="62.5703125" style="18" customWidth="1"/>
    <col min="7" max="7" width="59.7109375" style="18" customWidth="1"/>
    <col min="8" max="8" width="53.140625" style="18" customWidth="1"/>
    <col min="9" max="9" width="41.85546875" style="18" customWidth="1"/>
    <col min="10" max="10" width="50.5703125" style="57" customWidth="1"/>
    <col min="11" max="11" width="52.5703125" style="57" customWidth="1"/>
    <col min="12" max="12" width="56.140625" style="18" customWidth="1"/>
    <col min="13" max="13" width="54.85546875" style="18" customWidth="1"/>
    <col min="14" max="14" width="51" style="18" customWidth="1"/>
    <col min="15" max="15" width="56.140625" style="18" bestFit="1" customWidth="1"/>
    <col min="16" max="16" width="86.28515625" style="57" customWidth="1"/>
    <col min="17" max="17" width="52.140625" style="91" customWidth="1"/>
    <col min="18" max="18" width="33.85546875" style="20" customWidth="1"/>
    <col min="19" max="19" width="40.140625" style="21" bestFit="1" customWidth="1"/>
    <col min="20" max="20" width="43.5703125" style="21" bestFit="1" customWidth="1"/>
    <col min="21" max="16384" width="9.140625" style="21"/>
  </cols>
  <sheetData>
    <row r="1" spans="1:18" ht="45.75" x14ac:dyDescent="0.2">
      <c r="A1" s="77"/>
      <c r="B1" s="77"/>
      <c r="C1" s="77"/>
      <c r="D1" s="78"/>
      <c r="E1" s="79"/>
      <c r="F1" s="80"/>
      <c r="G1" s="79"/>
      <c r="H1" s="79"/>
      <c r="I1" s="79"/>
      <c r="J1" s="79"/>
      <c r="K1" s="79"/>
      <c r="L1" s="79"/>
      <c r="M1" s="79"/>
      <c r="N1" s="716" t="s">
        <v>497</v>
      </c>
      <c r="O1" s="717"/>
      <c r="P1" s="717"/>
      <c r="Q1" s="717"/>
    </row>
    <row r="2" spans="1:18" ht="45.75" x14ac:dyDescent="0.2">
      <c r="A2" s="78"/>
      <c r="B2" s="78"/>
      <c r="C2" s="78"/>
      <c r="D2" s="78"/>
      <c r="E2" s="79"/>
      <c r="F2" s="80"/>
      <c r="G2" s="79"/>
      <c r="H2" s="79"/>
      <c r="I2" s="79"/>
      <c r="J2" s="79"/>
      <c r="K2" s="79"/>
      <c r="L2" s="79"/>
      <c r="M2" s="79"/>
      <c r="N2" s="716" t="s">
        <v>1365</v>
      </c>
      <c r="O2" s="718"/>
      <c r="P2" s="718"/>
      <c r="Q2" s="718"/>
    </row>
    <row r="3" spans="1:18" ht="40.700000000000003" customHeight="1" x14ac:dyDescent="0.2">
      <c r="A3" s="78"/>
      <c r="B3" s="78"/>
      <c r="C3" s="78"/>
      <c r="D3" s="78"/>
      <c r="E3" s="79"/>
      <c r="F3" s="80"/>
      <c r="G3" s="79"/>
      <c r="H3" s="79"/>
      <c r="I3" s="79"/>
      <c r="J3" s="79"/>
      <c r="K3" s="79"/>
      <c r="L3" s="79"/>
      <c r="M3" s="79"/>
      <c r="N3" s="79"/>
      <c r="O3" s="716"/>
      <c r="P3" s="719"/>
      <c r="Q3" s="90"/>
    </row>
    <row r="4" spans="1:18" ht="45.75" hidden="1" x14ac:dyDescent="0.2">
      <c r="A4" s="78"/>
      <c r="B4" s="78"/>
      <c r="C4" s="78"/>
      <c r="D4" s="78"/>
      <c r="E4" s="79"/>
      <c r="F4" s="80"/>
      <c r="G4" s="79"/>
      <c r="H4" s="79"/>
      <c r="I4" s="79"/>
      <c r="J4" s="79"/>
      <c r="K4" s="79"/>
      <c r="L4" s="79"/>
      <c r="M4" s="79"/>
      <c r="N4" s="79"/>
      <c r="O4" s="78"/>
      <c r="P4" s="80"/>
      <c r="Q4" s="90"/>
    </row>
    <row r="5" spans="1:18" ht="45" x14ac:dyDescent="0.2">
      <c r="A5" s="720" t="s">
        <v>570</v>
      </c>
      <c r="B5" s="720"/>
      <c r="C5" s="720"/>
      <c r="D5" s="720"/>
      <c r="E5" s="720"/>
      <c r="F5" s="720"/>
      <c r="G5" s="720"/>
      <c r="H5" s="720"/>
      <c r="I5" s="720"/>
      <c r="J5" s="720"/>
      <c r="K5" s="720"/>
      <c r="L5" s="720"/>
      <c r="M5" s="720"/>
      <c r="N5" s="720"/>
      <c r="O5" s="720"/>
      <c r="P5" s="720"/>
      <c r="Q5" s="90"/>
    </row>
    <row r="6" spans="1:18" ht="45" x14ac:dyDescent="0.2">
      <c r="A6" s="720" t="s">
        <v>1287</v>
      </c>
      <c r="B6" s="720"/>
      <c r="C6" s="720"/>
      <c r="D6" s="720"/>
      <c r="E6" s="720"/>
      <c r="F6" s="720"/>
      <c r="G6" s="720"/>
      <c r="H6" s="720"/>
      <c r="I6" s="720"/>
      <c r="J6" s="720"/>
      <c r="K6" s="720"/>
      <c r="L6" s="720"/>
      <c r="M6" s="720"/>
      <c r="N6" s="720"/>
      <c r="O6" s="720"/>
      <c r="P6" s="720"/>
      <c r="Q6" s="90"/>
    </row>
    <row r="7" spans="1:18" ht="45" x14ac:dyDescent="0.2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90"/>
    </row>
    <row r="8" spans="1:18" ht="45.75" x14ac:dyDescent="0.65">
      <c r="A8" s="721">
        <v>2256400000</v>
      </c>
      <c r="B8" s="722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13"/>
    </row>
    <row r="9" spans="1:18" ht="45.75" x14ac:dyDescent="0.2">
      <c r="A9" s="726" t="s">
        <v>494</v>
      </c>
      <c r="B9" s="727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13"/>
    </row>
    <row r="10" spans="1:18" ht="53.45" customHeight="1" thickBot="1" x14ac:dyDescent="0.25">
      <c r="A10" s="79"/>
      <c r="B10" s="79"/>
      <c r="C10" s="79"/>
      <c r="D10" s="79"/>
      <c r="E10" s="79"/>
      <c r="F10" s="80"/>
      <c r="G10" s="79"/>
      <c r="H10" s="79"/>
      <c r="I10" s="79"/>
      <c r="J10" s="79"/>
      <c r="K10" s="79"/>
      <c r="L10" s="79"/>
      <c r="M10" s="79"/>
      <c r="N10" s="79"/>
      <c r="O10" s="79"/>
      <c r="P10" s="356" t="s">
        <v>408</v>
      </c>
      <c r="Q10" s="13"/>
    </row>
    <row r="11" spans="1:18" ht="62.45" customHeight="1" thickTop="1" thickBot="1" x14ac:dyDescent="0.25">
      <c r="A11" s="725" t="s">
        <v>495</v>
      </c>
      <c r="B11" s="725" t="s">
        <v>496</v>
      </c>
      <c r="C11" s="725" t="s">
        <v>394</v>
      </c>
      <c r="D11" s="725" t="s">
        <v>578</v>
      </c>
      <c r="E11" s="723" t="s">
        <v>12</v>
      </c>
      <c r="F11" s="723"/>
      <c r="G11" s="723"/>
      <c r="H11" s="723"/>
      <c r="I11" s="723"/>
      <c r="J11" s="723" t="s">
        <v>52</v>
      </c>
      <c r="K11" s="723"/>
      <c r="L11" s="723"/>
      <c r="M11" s="723"/>
      <c r="N11" s="723"/>
      <c r="O11" s="724"/>
      <c r="P11" s="723" t="s">
        <v>11</v>
      </c>
      <c r="Q11" s="20"/>
    </row>
    <row r="12" spans="1:18" ht="96" customHeight="1" thickTop="1" thickBot="1" x14ac:dyDescent="0.25">
      <c r="A12" s="723"/>
      <c r="B12" s="728"/>
      <c r="C12" s="728"/>
      <c r="D12" s="723"/>
      <c r="E12" s="725" t="s">
        <v>388</v>
      </c>
      <c r="F12" s="725" t="s">
        <v>53</v>
      </c>
      <c r="G12" s="725" t="s">
        <v>13</v>
      </c>
      <c r="H12" s="725"/>
      <c r="I12" s="725" t="s">
        <v>55</v>
      </c>
      <c r="J12" s="725" t="s">
        <v>388</v>
      </c>
      <c r="K12" s="725" t="s">
        <v>389</v>
      </c>
      <c r="L12" s="725" t="s">
        <v>53</v>
      </c>
      <c r="M12" s="725" t="s">
        <v>13</v>
      </c>
      <c r="N12" s="725"/>
      <c r="O12" s="725" t="s">
        <v>55</v>
      </c>
      <c r="P12" s="723"/>
      <c r="Q12" s="20"/>
    </row>
    <row r="13" spans="1:18" ht="328.7" customHeight="1" thickTop="1" thickBot="1" x14ac:dyDescent="0.25">
      <c r="A13" s="728"/>
      <c r="B13" s="728"/>
      <c r="C13" s="728"/>
      <c r="D13" s="728"/>
      <c r="E13" s="725"/>
      <c r="F13" s="725"/>
      <c r="G13" s="357" t="s">
        <v>54</v>
      </c>
      <c r="H13" s="357" t="s">
        <v>15</v>
      </c>
      <c r="I13" s="725"/>
      <c r="J13" s="725"/>
      <c r="K13" s="725"/>
      <c r="L13" s="725"/>
      <c r="M13" s="357" t="s">
        <v>54</v>
      </c>
      <c r="N13" s="357" t="s">
        <v>15</v>
      </c>
      <c r="O13" s="725"/>
      <c r="P13" s="723"/>
      <c r="Q13" s="20"/>
    </row>
    <row r="14" spans="1:18" s="24" customFormat="1" ht="47.25" thickTop="1" thickBot="1" x14ac:dyDescent="0.25">
      <c r="A14" s="346" t="s">
        <v>2</v>
      </c>
      <c r="B14" s="346" t="s">
        <v>3</v>
      </c>
      <c r="C14" s="346" t="s">
        <v>14</v>
      </c>
      <c r="D14" s="346" t="s">
        <v>5</v>
      </c>
      <c r="E14" s="346" t="s">
        <v>396</v>
      </c>
      <c r="F14" s="346" t="s">
        <v>397</v>
      </c>
      <c r="G14" s="346" t="s">
        <v>398</v>
      </c>
      <c r="H14" s="346" t="s">
        <v>399</v>
      </c>
      <c r="I14" s="346" t="s">
        <v>400</v>
      </c>
      <c r="J14" s="346" t="s">
        <v>401</v>
      </c>
      <c r="K14" s="346" t="s">
        <v>402</v>
      </c>
      <c r="L14" s="346" t="s">
        <v>403</v>
      </c>
      <c r="M14" s="346" t="s">
        <v>404</v>
      </c>
      <c r="N14" s="346" t="s">
        <v>405</v>
      </c>
      <c r="O14" s="346" t="s">
        <v>406</v>
      </c>
      <c r="P14" s="346" t="s">
        <v>407</v>
      </c>
      <c r="Q14" s="142"/>
      <c r="R14" s="23"/>
    </row>
    <row r="15" spans="1:18" s="24" customFormat="1" ht="46.5" thickTop="1" thickBot="1" x14ac:dyDescent="0.25">
      <c r="A15" s="403" t="s">
        <v>148</v>
      </c>
      <c r="B15" s="403"/>
      <c r="C15" s="403"/>
      <c r="D15" s="404" t="s">
        <v>150</v>
      </c>
      <c r="E15" s="406">
        <f>E16</f>
        <v>364446102.94999999</v>
      </c>
      <c r="F15" s="405">
        <f t="shared" ref="F15:N15" si="0">F16</f>
        <v>364446102.94999999</v>
      </c>
      <c r="G15" s="405">
        <f t="shared" si="0"/>
        <v>95820900</v>
      </c>
      <c r="H15" s="405">
        <f t="shared" si="0"/>
        <v>6005100</v>
      </c>
      <c r="I15" s="405">
        <f t="shared" si="0"/>
        <v>0</v>
      </c>
      <c r="J15" s="406">
        <f t="shared" si="0"/>
        <v>252589388.57000002</v>
      </c>
      <c r="K15" s="405">
        <f t="shared" si="0"/>
        <v>247834692.36000001</v>
      </c>
      <c r="L15" s="405">
        <f t="shared" si="0"/>
        <v>3957638.209999999</v>
      </c>
      <c r="M15" s="405">
        <f t="shared" si="0"/>
        <v>0</v>
      </c>
      <c r="N15" s="405">
        <f t="shared" si="0"/>
        <v>0</v>
      </c>
      <c r="O15" s="406">
        <f>O16</f>
        <v>248631750.36000001</v>
      </c>
      <c r="P15" s="405">
        <f t="shared" ref="P15" si="1">P16</f>
        <v>617035491.51999998</v>
      </c>
      <c r="Q15" s="25"/>
      <c r="R15" s="25"/>
    </row>
    <row r="16" spans="1:18" s="24" customFormat="1" ht="91.5" thickTop="1" thickBot="1" x14ac:dyDescent="0.25">
      <c r="A16" s="407" t="s">
        <v>149</v>
      </c>
      <c r="B16" s="407"/>
      <c r="C16" s="407"/>
      <c r="D16" s="408" t="s">
        <v>151</v>
      </c>
      <c r="E16" s="409">
        <f>E17+E22+E33+E39</f>
        <v>364446102.94999999</v>
      </c>
      <c r="F16" s="409">
        <f>F17+F22+F33+F39</f>
        <v>364446102.94999999</v>
      </c>
      <c r="G16" s="409">
        <f>G17+G22+G33+G39</f>
        <v>95820900</v>
      </c>
      <c r="H16" s="409">
        <f>H17+H22+H33+H39</f>
        <v>6005100</v>
      </c>
      <c r="I16" s="409">
        <f>I17+I22+I33+I39</f>
        <v>0</v>
      </c>
      <c r="J16" s="409">
        <f>L16+O16</f>
        <v>252589388.57000002</v>
      </c>
      <c r="K16" s="409">
        <f>K17+K22+K33+K39</f>
        <v>247834692.36000001</v>
      </c>
      <c r="L16" s="409">
        <f>L17+L22+L33+L39</f>
        <v>3957638.209999999</v>
      </c>
      <c r="M16" s="409">
        <f>M17+M22+M33+M39</f>
        <v>0</v>
      </c>
      <c r="N16" s="409">
        <f>N17+N22+N33+N39</f>
        <v>0</v>
      </c>
      <c r="O16" s="409">
        <f>O17+O22+O33+O39</f>
        <v>248631750.36000001</v>
      </c>
      <c r="P16" s="409">
        <f>E16+J16</f>
        <v>617035491.51999998</v>
      </c>
      <c r="Q16" s="402" t="b">
        <f>P16=P18+P20+P21+P24+P28+P30+P32+P35+P36+P38+P41+P42+P43+P44+P27</f>
        <v>1</v>
      </c>
      <c r="R16" s="26"/>
    </row>
    <row r="17" spans="1:18" s="28" customFormat="1" ht="47.25" thickTop="1" thickBot="1" x14ac:dyDescent="0.25">
      <c r="A17" s="346" t="s">
        <v>689</v>
      </c>
      <c r="B17" s="346" t="s">
        <v>690</v>
      </c>
      <c r="C17" s="346"/>
      <c r="D17" s="346" t="s">
        <v>691</v>
      </c>
      <c r="E17" s="393">
        <f>SUM(E18:E21)</f>
        <v>168289027</v>
      </c>
      <c r="F17" s="393">
        <f>SUM(F18:F21)</f>
        <v>168289027</v>
      </c>
      <c r="G17" s="393">
        <f t="shared" ref="G17:P17" si="2">SUM(G18:G21)</f>
        <v>95820900</v>
      </c>
      <c r="H17" s="393">
        <f t="shared" si="2"/>
        <v>6005100</v>
      </c>
      <c r="I17" s="393">
        <f t="shared" si="2"/>
        <v>0</v>
      </c>
      <c r="J17" s="393">
        <f t="shared" si="2"/>
        <v>4620522</v>
      </c>
      <c r="K17" s="393">
        <f t="shared" si="2"/>
        <v>4620522</v>
      </c>
      <c r="L17" s="393">
        <f t="shared" si="2"/>
        <v>0</v>
      </c>
      <c r="M17" s="393">
        <f t="shared" si="2"/>
        <v>0</v>
      </c>
      <c r="N17" s="393">
        <f t="shared" si="2"/>
        <v>0</v>
      </c>
      <c r="O17" s="393">
        <f t="shared" si="2"/>
        <v>4620522</v>
      </c>
      <c r="P17" s="393">
        <f t="shared" si="2"/>
        <v>172909549</v>
      </c>
      <c r="Q17" s="31"/>
      <c r="R17" s="27"/>
    </row>
    <row r="18" spans="1:18" ht="138.75" thickTop="1" thickBot="1" x14ac:dyDescent="0.25">
      <c r="A18" s="119" t="s">
        <v>236</v>
      </c>
      <c r="B18" s="119" t="s">
        <v>237</v>
      </c>
      <c r="C18" s="119" t="s">
        <v>238</v>
      </c>
      <c r="D18" s="119" t="s">
        <v>235</v>
      </c>
      <c r="E18" s="393">
        <f t="shared" ref="E18:E44" si="3">F18</f>
        <v>132739957</v>
      </c>
      <c r="F18" s="389">
        <f>(((((135815958)+13895+600+500000)-86000)+98000+95000+93000+85000+750000+37600+84450+2000-86450)+141904)-4805000</f>
        <v>132739957</v>
      </c>
      <c r="G18" s="389">
        <f>(97820900)-2000000</f>
        <v>95820900</v>
      </c>
      <c r="H18" s="389">
        <f>(3400000+149000+3021200+420900+119000)-50000-50000-900000-65000-40000</f>
        <v>6005100</v>
      </c>
      <c r="I18" s="389"/>
      <c r="J18" s="393">
        <f t="shared" ref="J18:J28" si="4">L18+O18</f>
        <v>4620522</v>
      </c>
      <c r="K18" s="389">
        <f>((2000000)+2135522)+500000+1705000+285000+150000+964000+50000+151300-1705000-964000-500000-151300</f>
        <v>4620522</v>
      </c>
      <c r="L18" s="390"/>
      <c r="M18" s="395"/>
      <c r="N18" s="395"/>
      <c r="O18" s="351">
        <f t="shared" ref="O18:O28" si="5">K18</f>
        <v>4620522</v>
      </c>
      <c r="P18" s="393">
        <f>+J18+E18</f>
        <v>137360479</v>
      </c>
      <c r="Q18" s="149"/>
      <c r="R18" s="29"/>
    </row>
    <row r="19" spans="1:18" ht="93" hidden="1" thickTop="1" thickBot="1" x14ac:dyDescent="0.25">
      <c r="A19" s="144" t="s">
        <v>589</v>
      </c>
      <c r="B19" s="144" t="s">
        <v>240</v>
      </c>
      <c r="C19" s="144" t="s">
        <v>238</v>
      </c>
      <c r="D19" s="144" t="s">
        <v>239</v>
      </c>
      <c r="E19" s="143">
        <f t="shared" si="3"/>
        <v>0</v>
      </c>
      <c r="F19" s="145"/>
      <c r="G19" s="145"/>
      <c r="H19" s="145"/>
      <c r="I19" s="145"/>
      <c r="J19" s="143">
        <f t="shared" si="4"/>
        <v>0</v>
      </c>
      <c r="K19" s="145"/>
      <c r="L19" s="146"/>
      <c r="M19" s="147"/>
      <c r="N19" s="147"/>
      <c r="O19" s="148">
        <f t="shared" si="5"/>
        <v>0</v>
      </c>
      <c r="P19" s="143">
        <f>+J19+E19</f>
        <v>0</v>
      </c>
      <c r="Q19" s="149"/>
      <c r="R19" s="29"/>
    </row>
    <row r="20" spans="1:18" ht="93" thickTop="1" thickBot="1" x14ac:dyDescent="0.25">
      <c r="A20" s="119" t="s">
        <v>630</v>
      </c>
      <c r="B20" s="119" t="s">
        <v>366</v>
      </c>
      <c r="C20" s="119" t="s">
        <v>631</v>
      </c>
      <c r="D20" s="119" t="s">
        <v>632</v>
      </c>
      <c r="E20" s="393">
        <f t="shared" si="3"/>
        <v>139400</v>
      </c>
      <c r="F20" s="389">
        <f>((49000)+4400)+86000</f>
        <v>139400</v>
      </c>
      <c r="G20" s="389"/>
      <c r="H20" s="389"/>
      <c r="I20" s="389"/>
      <c r="J20" s="393">
        <f t="shared" si="4"/>
        <v>0</v>
      </c>
      <c r="K20" s="389"/>
      <c r="L20" s="390"/>
      <c r="M20" s="395"/>
      <c r="N20" s="395"/>
      <c r="O20" s="351">
        <f t="shared" si="5"/>
        <v>0</v>
      </c>
      <c r="P20" s="393">
        <f>+J20+E20</f>
        <v>139400</v>
      </c>
      <c r="Q20" s="149"/>
      <c r="R20" s="30"/>
    </row>
    <row r="21" spans="1:18" ht="48" thickTop="1" thickBot="1" x14ac:dyDescent="0.25">
      <c r="A21" s="119" t="s">
        <v>251</v>
      </c>
      <c r="B21" s="119" t="s">
        <v>43</v>
      </c>
      <c r="C21" s="119" t="s">
        <v>42</v>
      </c>
      <c r="D21" s="119" t="s">
        <v>252</v>
      </c>
      <c r="E21" s="393">
        <f t="shared" si="3"/>
        <v>35409670</v>
      </c>
      <c r="F21" s="350">
        <f>(((((26700470+20000000+10000000)-17307000-5864000)+107839798-50000000-5963614)-33705184-6300000)+100000+3729200+31024533-44724533+13700000)-13820000</f>
        <v>35409670</v>
      </c>
      <c r="G21" s="350"/>
      <c r="H21" s="350"/>
      <c r="I21" s="350"/>
      <c r="J21" s="393">
        <f t="shared" si="4"/>
        <v>0</v>
      </c>
      <c r="K21" s="350"/>
      <c r="L21" s="350"/>
      <c r="M21" s="350"/>
      <c r="N21" s="350"/>
      <c r="O21" s="351">
        <f t="shared" si="5"/>
        <v>0</v>
      </c>
      <c r="P21" s="393">
        <f>E21+J21</f>
        <v>35409670</v>
      </c>
      <c r="Q21" s="149"/>
      <c r="R21" s="30"/>
    </row>
    <row r="22" spans="1:18" s="28" customFormat="1" ht="47.25" thickTop="1" thickBot="1" x14ac:dyDescent="0.3">
      <c r="A22" s="346" t="s">
        <v>753</v>
      </c>
      <c r="B22" s="346" t="s">
        <v>754</v>
      </c>
      <c r="C22" s="346"/>
      <c r="D22" s="346" t="s">
        <v>755</v>
      </c>
      <c r="E22" s="393">
        <f t="shared" ref="E22:P22" si="6">SUM(E23:E32)-E23-E26-E29</f>
        <v>7612809.4800000004</v>
      </c>
      <c r="F22" s="393">
        <f t="shared" si="6"/>
        <v>7612809.4800000004</v>
      </c>
      <c r="G22" s="393">
        <f t="shared" si="6"/>
        <v>0</v>
      </c>
      <c r="H22" s="393">
        <f t="shared" si="6"/>
        <v>0</v>
      </c>
      <c r="I22" s="393">
        <f t="shared" si="6"/>
        <v>0</v>
      </c>
      <c r="J22" s="393">
        <f t="shared" si="6"/>
        <v>7047368.2100000018</v>
      </c>
      <c r="K22" s="393">
        <f t="shared" si="6"/>
        <v>2292672</v>
      </c>
      <c r="L22" s="393">
        <f t="shared" si="6"/>
        <v>3957638.209999999</v>
      </c>
      <c r="M22" s="393">
        <f t="shared" si="6"/>
        <v>0</v>
      </c>
      <c r="N22" s="393">
        <f t="shared" si="6"/>
        <v>0</v>
      </c>
      <c r="O22" s="393">
        <f t="shared" si="6"/>
        <v>3089730</v>
      </c>
      <c r="P22" s="393">
        <f t="shared" si="6"/>
        <v>14660177.690000001</v>
      </c>
      <c r="Q22" s="151"/>
      <c r="R22" s="31"/>
    </row>
    <row r="23" spans="1:18" s="33" customFormat="1" ht="47.25" thickTop="1" thickBot="1" x14ac:dyDescent="0.25">
      <c r="A23" s="348" t="s">
        <v>692</v>
      </c>
      <c r="B23" s="348" t="s">
        <v>693</v>
      </c>
      <c r="C23" s="348"/>
      <c r="D23" s="348" t="s">
        <v>694</v>
      </c>
      <c r="E23" s="352">
        <f t="shared" ref="E23:P23" si="7">SUM(E24:E25)</f>
        <v>5063364.9800000004</v>
      </c>
      <c r="F23" s="352">
        <f t="shared" si="7"/>
        <v>5063364.9800000004</v>
      </c>
      <c r="G23" s="352">
        <f t="shared" si="7"/>
        <v>0</v>
      </c>
      <c r="H23" s="352">
        <f t="shared" si="7"/>
        <v>0</v>
      </c>
      <c r="I23" s="352">
        <f t="shared" si="7"/>
        <v>0</v>
      </c>
      <c r="J23" s="352">
        <f t="shared" si="7"/>
        <v>2235000</v>
      </c>
      <c r="K23" s="352">
        <f t="shared" si="7"/>
        <v>2235000</v>
      </c>
      <c r="L23" s="352">
        <f t="shared" si="7"/>
        <v>0</v>
      </c>
      <c r="M23" s="352">
        <f t="shared" si="7"/>
        <v>0</v>
      </c>
      <c r="N23" s="352">
        <f t="shared" si="7"/>
        <v>0</v>
      </c>
      <c r="O23" s="352">
        <f t="shared" si="7"/>
        <v>2235000</v>
      </c>
      <c r="P23" s="352">
        <f t="shared" si="7"/>
        <v>7298364.9800000004</v>
      </c>
      <c r="Q23" s="154"/>
      <c r="R23" s="32"/>
    </row>
    <row r="24" spans="1:18" ht="48" thickTop="1" thickBot="1" x14ac:dyDescent="0.25">
      <c r="A24" s="119" t="s">
        <v>242</v>
      </c>
      <c r="B24" s="119" t="s">
        <v>243</v>
      </c>
      <c r="C24" s="119" t="s">
        <v>244</v>
      </c>
      <c r="D24" s="119" t="s">
        <v>241</v>
      </c>
      <c r="E24" s="393">
        <f t="shared" si="3"/>
        <v>5063364.9800000004</v>
      </c>
      <c r="F24" s="350">
        <f>((4937300)+91064.98)+35000</f>
        <v>5063364.9800000004</v>
      </c>
      <c r="G24" s="350"/>
      <c r="H24" s="350"/>
      <c r="I24" s="350"/>
      <c r="J24" s="393">
        <f t="shared" si="4"/>
        <v>2235000</v>
      </c>
      <c r="K24" s="350">
        <f>(1680000)+350000+205000</f>
        <v>2235000</v>
      </c>
      <c r="L24" s="350"/>
      <c r="M24" s="350"/>
      <c r="N24" s="350"/>
      <c r="O24" s="351">
        <f t="shared" si="5"/>
        <v>2235000</v>
      </c>
      <c r="P24" s="393">
        <f>+J24+E24</f>
        <v>7298364.9800000004</v>
      </c>
      <c r="Q24" s="149"/>
      <c r="R24" s="29"/>
    </row>
    <row r="25" spans="1:18" ht="93" hidden="1" thickTop="1" thickBot="1" x14ac:dyDescent="0.25">
      <c r="A25" s="41" t="s">
        <v>990</v>
      </c>
      <c r="B25" s="41" t="s">
        <v>991</v>
      </c>
      <c r="C25" s="41" t="s">
        <v>244</v>
      </c>
      <c r="D25" s="41" t="s">
        <v>992</v>
      </c>
      <c r="E25" s="143">
        <f t="shared" si="3"/>
        <v>0</v>
      </c>
      <c r="F25" s="150">
        <v>0</v>
      </c>
      <c r="G25" s="150"/>
      <c r="H25" s="150"/>
      <c r="I25" s="150"/>
      <c r="J25" s="143">
        <f t="shared" si="4"/>
        <v>0</v>
      </c>
      <c r="K25" s="43"/>
      <c r="L25" s="43"/>
      <c r="M25" s="43"/>
      <c r="N25" s="43"/>
      <c r="O25" s="44"/>
      <c r="P25" s="42">
        <f>+J25+E25</f>
        <v>0</v>
      </c>
      <c r="Q25" s="149"/>
      <c r="R25" s="29"/>
    </row>
    <row r="26" spans="1:18" ht="47.25" thickTop="1" thickBot="1" x14ac:dyDescent="0.25">
      <c r="A26" s="348" t="s">
        <v>696</v>
      </c>
      <c r="B26" s="348" t="s">
        <v>697</v>
      </c>
      <c r="C26" s="348"/>
      <c r="D26" s="348" t="s">
        <v>695</v>
      </c>
      <c r="E26" s="352">
        <f>SUM(E28)+E29+E27</f>
        <v>2549444.5</v>
      </c>
      <c r="F26" s="352">
        <f t="shared" ref="F26:P26" si="8">SUM(F28)+F29+F27</f>
        <v>2549444.5</v>
      </c>
      <c r="G26" s="352">
        <f t="shared" si="8"/>
        <v>0</v>
      </c>
      <c r="H26" s="352">
        <f t="shared" si="8"/>
        <v>0</v>
      </c>
      <c r="I26" s="352">
        <f t="shared" si="8"/>
        <v>0</v>
      </c>
      <c r="J26" s="352">
        <f t="shared" si="8"/>
        <v>4812368.21</v>
      </c>
      <c r="K26" s="352">
        <f t="shared" si="8"/>
        <v>57672.000000000233</v>
      </c>
      <c r="L26" s="352">
        <f t="shared" si="8"/>
        <v>3957638.21</v>
      </c>
      <c r="M26" s="352">
        <f t="shared" si="8"/>
        <v>0</v>
      </c>
      <c r="N26" s="352">
        <f t="shared" si="8"/>
        <v>0</v>
      </c>
      <c r="O26" s="352">
        <f t="shared" si="8"/>
        <v>854730.00000000023</v>
      </c>
      <c r="P26" s="352">
        <f t="shared" si="8"/>
        <v>7361812.71</v>
      </c>
      <c r="Q26" s="155"/>
      <c r="R26" s="34"/>
    </row>
    <row r="27" spans="1:18" ht="48" thickTop="1" thickBot="1" x14ac:dyDescent="0.25">
      <c r="A27" s="119" t="s">
        <v>1501</v>
      </c>
      <c r="B27" s="119" t="s">
        <v>216</v>
      </c>
      <c r="C27" s="119" t="s">
        <v>217</v>
      </c>
      <c r="D27" s="119" t="s">
        <v>41</v>
      </c>
      <c r="E27" s="393">
        <f t="shared" si="3"/>
        <v>0</v>
      </c>
      <c r="F27" s="350"/>
      <c r="G27" s="350"/>
      <c r="H27" s="350"/>
      <c r="I27" s="350"/>
      <c r="J27" s="393">
        <f t="shared" si="4"/>
        <v>57672.000000000233</v>
      </c>
      <c r="K27" s="350">
        <f>(1000000)+1591587.2-1591587.2-942328</f>
        <v>57672.000000000233</v>
      </c>
      <c r="L27" s="350"/>
      <c r="M27" s="350"/>
      <c r="N27" s="350"/>
      <c r="O27" s="351">
        <f t="shared" si="5"/>
        <v>57672.000000000233</v>
      </c>
      <c r="P27" s="393">
        <f>+J27+E27</f>
        <v>57672.000000000233</v>
      </c>
      <c r="Q27" s="155"/>
      <c r="R27" s="34"/>
    </row>
    <row r="28" spans="1:18" ht="48" thickTop="1" thickBot="1" x14ac:dyDescent="0.25">
      <c r="A28" s="119" t="s">
        <v>303</v>
      </c>
      <c r="B28" s="119" t="s">
        <v>304</v>
      </c>
      <c r="C28" s="119" t="s">
        <v>170</v>
      </c>
      <c r="D28" s="119" t="s">
        <v>446</v>
      </c>
      <c r="E28" s="393">
        <f t="shared" si="3"/>
        <v>341770.5</v>
      </c>
      <c r="F28" s="350">
        <f>(292900)+48870.5</f>
        <v>341770.5</v>
      </c>
      <c r="G28" s="350"/>
      <c r="H28" s="350"/>
      <c r="I28" s="350"/>
      <c r="J28" s="393">
        <f t="shared" si="4"/>
        <v>0</v>
      </c>
      <c r="K28" s="350"/>
      <c r="L28" s="350"/>
      <c r="M28" s="350"/>
      <c r="N28" s="350"/>
      <c r="O28" s="351">
        <f t="shared" si="5"/>
        <v>0</v>
      </c>
      <c r="P28" s="393">
        <f>+J28+E28</f>
        <v>341770.5</v>
      </c>
      <c r="Q28" s="149"/>
      <c r="R28" s="30"/>
    </row>
    <row r="29" spans="1:18" ht="48" thickTop="1" thickBot="1" x14ac:dyDescent="0.25">
      <c r="A29" s="399" t="s">
        <v>699</v>
      </c>
      <c r="B29" s="399" t="s">
        <v>700</v>
      </c>
      <c r="C29" s="399"/>
      <c r="D29" s="400" t="s">
        <v>698</v>
      </c>
      <c r="E29" s="388">
        <f>SUM(E30:E32)</f>
        <v>2207674</v>
      </c>
      <c r="F29" s="388">
        <f t="shared" ref="F29:O29" si="9">SUM(F30:F32)</f>
        <v>2207674</v>
      </c>
      <c r="G29" s="388">
        <f t="shared" si="9"/>
        <v>0</v>
      </c>
      <c r="H29" s="388">
        <f t="shared" si="9"/>
        <v>0</v>
      </c>
      <c r="I29" s="388">
        <f t="shared" si="9"/>
        <v>0</v>
      </c>
      <c r="J29" s="388">
        <f t="shared" si="9"/>
        <v>4754696.21</v>
      </c>
      <c r="K29" s="388">
        <f t="shared" si="9"/>
        <v>0</v>
      </c>
      <c r="L29" s="388">
        <f t="shared" si="9"/>
        <v>3957638.21</v>
      </c>
      <c r="M29" s="388">
        <f t="shared" si="9"/>
        <v>0</v>
      </c>
      <c r="N29" s="388">
        <f t="shared" si="9"/>
        <v>0</v>
      </c>
      <c r="O29" s="388">
        <f t="shared" si="9"/>
        <v>797058</v>
      </c>
      <c r="P29" s="388">
        <f>E29+J29</f>
        <v>6962370.21</v>
      </c>
      <c r="Q29" s="155"/>
      <c r="R29" s="35"/>
    </row>
    <row r="30" spans="1:18" s="33" customFormat="1" ht="247.5" customHeight="1" thickTop="1" thickBot="1" x14ac:dyDescent="0.7">
      <c r="A30" s="702" t="s">
        <v>343</v>
      </c>
      <c r="B30" s="702" t="s">
        <v>342</v>
      </c>
      <c r="C30" s="702" t="s">
        <v>170</v>
      </c>
      <c r="D30" s="81" t="s">
        <v>444</v>
      </c>
      <c r="E30" s="707">
        <f t="shared" si="3"/>
        <v>0</v>
      </c>
      <c r="F30" s="708"/>
      <c r="G30" s="708"/>
      <c r="H30" s="708"/>
      <c r="I30" s="708"/>
      <c r="J30" s="682">
        <f>L30+O30</f>
        <v>4754696.21</v>
      </c>
      <c r="K30" s="708"/>
      <c r="L30" s="708">
        <f>((919800+166000+357900+1407000)+6360+500578.21)+600000</f>
        <v>3957638.21</v>
      </c>
      <c r="M30" s="708"/>
      <c r="N30" s="708"/>
      <c r="O30" s="732">
        <f>((100000)+300000)+397058</f>
        <v>797058</v>
      </c>
      <c r="P30" s="734">
        <f>E30+J30</f>
        <v>4754696.21</v>
      </c>
      <c r="Q30" s="158"/>
      <c r="R30" s="36"/>
    </row>
    <row r="31" spans="1:18" s="33" customFormat="1" ht="130.5" customHeight="1" thickTop="1" thickBot="1" x14ac:dyDescent="0.25">
      <c r="A31" s="711"/>
      <c r="B31" s="710"/>
      <c r="C31" s="711"/>
      <c r="D31" s="82" t="s">
        <v>445</v>
      </c>
      <c r="E31" s="711"/>
      <c r="F31" s="709"/>
      <c r="G31" s="709"/>
      <c r="H31" s="709"/>
      <c r="I31" s="709"/>
      <c r="J31" s="736"/>
      <c r="K31" s="709"/>
      <c r="L31" s="709"/>
      <c r="M31" s="709"/>
      <c r="N31" s="709"/>
      <c r="O31" s="733"/>
      <c r="P31" s="735"/>
      <c r="Q31" s="36"/>
      <c r="R31" s="36"/>
    </row>
    <row r="32" spans="1:18" s="33" customFormat="1" ht="48" thickTop="1" thickBot="1" x14ac:dyDescent="0.25">
      <c r="A32" s="119" t="s">
        <v>923</v>
      </c>
      <c r="B32" s="119" t="s">
        <v>261</v>
      </c>
      <c r="C32" s="119" t="s">
        <v>170</v>
      </c>
      <c r="D32" s="119" t="s">
        <v>259</v>
      </c>
      <c r="E32" s="393">
        <f>F32</f>
        <v>2207674</v>
      </c>
      <c r="F32" s="350">
        <f>((2207674)+200000)-200000</f>
        <v>2207674</v>
      </c>
      <c r="G32" s="350"/>
      <c r="H32" s="350"/>
      <c r="I32" s="350"/>
      <c r="J32" s="393">
        <f>L32+O32</f>
        <v>0</v>
      </c>
      <c r="K32" s="350"/>
      <c r="L32" s="350"/>
      <c r="M32" s="350"/>
      <c r="N32" s="350"/>
      <c r="O32" s="351"/>
      <c r="P32" s="393">
        <f>E32+J32</f>
        <v>2207674</v>
      </c>
      <c r="Q32" s="36"/>
      <c r="R32" s="36"/>
    </row>
    <row r="33" spans="1:18" s="33" customFormat="1" ht="46.5" customHeight="1" thickTop="1" thickBot="1" x14ac:dyDescent="0.25">
      <c r="A33" s="346" t="s">
        <v>701</v>
      </c>
      <c r="B33" s="346" t="s">
        <v>702</v>
      </c>
      <c r="C33" s="346"/>
      <c r="D33" s="346" t="s">
        <v>703</v>
      </c>
      <c r="E33" s="393">
        <f t="shared" ref="E33:P33" si="10">E37+E34</f>
        <v>27571746</v>
      </c>
      <c r="F33" s="393">
        <f t="shared" si="10"/>
        <v>27571746</v>
      </c>
      <c r="G33" s="393">
        <f t="shared" si="10"/>
        <v>0</v>
      </c>
      <c r="H33" s="393">
        <f t="shared" si="10"/>
        <v>0</v>
      </c>
      <c r="I33" s="393">
        <f t="shared" si="10"/>
        <v>0</v>
      </c>
      <c r="J33" s="393">
        <f t="shared" si="10"/>
        <v>51434800</v>
      </c>
      <c r="K33" s="393">
        <f t="shared" si="10"/>
        <v>51434800</v>
      </c>
      <c r="L33" s="393">
        <f t="shared" si="10"/>
        <v>0</v>
      </c>
      <c r="M33" s="393">
        <f t="shared" si="10"/>
        <v>0</v>
      </c>
      <c r="N33" s="393">
        <f t="shared" si="10"/>
        <v>0</v>
      </c>
      <c r="O33" s="393">
        <f t="shared" si="10"/>
        <v>51434800</v>
      </c>
      <c r="P33" s="393">
        <f t="shared" si="10"/>
        <v>79006546</v>
      </c>
      <c r="Q33" s="36"/>
      <c r="R33" s="36"/>
    </row>
    <row r="34" spans="1:18" s="33" customFormat="1" ht="103.5" customHeight="1" thickTop="1" thickBot="1" x14ac:dyDescent="0.25">
      <c r="A34" s="348" t="s">
        <v>1209</v>
      </c>
      <c r="B34" s="348" t="s">
        <v>1210</v>
      </c>
      <c r="C34" s="348"/>
      <c r="D34" s="348" t="s">
        <v>1208</v>
      </c>
      <c r="E34" s="352">
        <f t="shared" ref="E34:P34" si="11">SUM(E35:E36)</f>
        <v>17691746</v>
      </c>
      <c r="F34" s="352">
        <f t="shared" si="11"/>
        <v>17691746</v>
      </c>
      <c r="G34" s="352">
        <f t="shared" si="11"/>
        <v>0</v>
      </c>
      <c r="H34" s="352">
        <f t="shared" si="11"/>
        <v>0</v>
      </c>
      <c r="I34" s="352">
        <f t="shared" si="11"/>
        <v>0</v>
      </c>
      <c r="J34" s="352">
        <f t="shared" si="11"/>
        <v>50519800</v>
      </c>
      <c r="K34" s="352">
        <f t="shared" si="11"/>
        <v>50519800</v>
      </c>
      <c r="L34" s="352">
        <f t="shared" si="11"/>
        <v>0</v>
      </c>
      <c r="M34" s="352">
        <f t="shared" si="11"/>
        <v>0</v>
      </c>
      <c r="N34" s="352">
        <f t="shared" si="11"/>
        <v>0</v>
      </c>
      <c r="O34" s="352">
        <f t="shared" si="11"/>
        <v>50519800</v>
      </c>
      <c r="P34" s="352">
        <f t="shared" si="11"/>
        <v>68211546</v>
      </c>
      <c r="Q34" s="36"/>
      <c r="R34" s="36"/>
    </row>
    <row r="35" spans="1:18" s="33" customFormat="1" ht="103.5" customHeight="1" thickTop="1" thickBot="1" x14ac:dyDescent="0.25">
      <c r="A35" s="119" t="s">
        <v>1237</v>
      </c>
      <c r="B35" s="119" t="s">
        <v>1238</v>
      </c>
      <c r="C35" s="119" t="s">
        <v>1212</v>
      </c>
      <c r="D35" s="119" t="s">
        <v>1239</v>
      </c>
      <c r="E35" s="393">
        <f>F35</f>
        <v>9220200</v>
      </c>
      <c r="F35" s="350">
        <f>(((600000)+500000)+500000)+2013000-392800+6000000</f>
        <v>9220200</v>
      </c>
      <c r="G35" s="350"/>
      <c r="H35" s="350"/>
      <c r="I35" s="350"/>
      <c r="J35" s="393">
        <f>L35+O35</f>
        <v>45279800</v>
      </c>
      <c r="K35" s="350">
        <f>((((400000)+6000000)+6500000)+7000000)+14987000+392800+16000000+2533915.2+4028130-6562045.2-6000000</f>
        <v>45279800</v>
      </c>
      <c r="L35" s="350"/>
      <c r="M35" s="350"/>
      <c r="N35" s="350"/>
      <c r="O35" s="351">
        <f>K35</f>
        <v>45279800</v>
      </c>
      <c r="P35" s="393">
        <f>E35+J35</f>
        <v>54500000</v>
      </c>
      <c r="Q35" s="36"/>
      <c r="R35" s="36"/>
    </row>
    <row r="36" spans="1:18" s="33" customFormat="1" ht="48" thickTop="1" thickBot="1" x14ac:dyDescent="0.25">
      <c r="A36" s="119" t="s">
        <v>1213</v>
      </c>
      <c r="B36" s="119" t="s">
        <v>1214</v>
      </c>
      <c r="C36" s="119" t="s">
        <v>1212</v>
      </c>
      <c r="D36" s="119" t="s">
        <v>1211</v>
      </c>
      <c r="E36" s="393">
        <f>F36</f>
        <v>8471546</v>
      </c>
      <c r="F36" s="350">
        <v>8471546</v>
      </c>
      <c r="G36" s="350"/>
      <c r="H36" s="350"/>
      <c r="I36" s="350"/>
      <c r="J36" s="393">
        <f>L36+O36</f>
        <v>5240000</v>
      </c>
      <c r="K36" s="350">
        <f>((100000)+2500000+500000)+150000+120000+1870000</f>
        <v>5240000</v>
      </c>
      <c r="L36" s="350"/>
      <c r="M36" s="350"/>
      <c r="N36" s="350"/>
      <c r="O36" s="351">
        <f>K36</f>
        <v>5240000</v>
      </c>
      <c r="P36" s="393">
        <f>E36+J36</f>
        <v>13711546</v>
      </c>
      <c r="Q36" s="36"/>
      <c r="R36" s="36"/>
    </row>
    <row r="37" spans="1:18" s="33" customFormat="1" ht="47.25" thickTop="1" thickBot="1" x14ac:dyDescent="0.25">
      <c r="A37" s="348" t="s">
        <v>704</v>
      </c>
      <c r="B37" s="348" t="s">
        <v>705</v>
      </c>
      <c r="C37" s="348"/>
      <c r="D37" s="348" t="s">
        <v>706</v>
      </c>
      <c r="E37" s="352">
        <f>SUM(E38)</f>
        <v>9880000</v>
      </c>
      <c r="F37" s="352">
        <f t="shared" ref="F37:P37" si="12">SUM(F38)</f>
        <v>9880000</v>
      </c>
      <c r="G37" s="352">
        <f t="shared" si="12"/>
        <v>0</v>
      </c>
      <c r="H37" s="352">
        <f t="shared" si="12"/>
        <v>0</v>
      </c>
      <c r="I37" s="352">
        <f t="shared" si="12"/>
        <v>0</v>
      </c>
      <c r="J37" s="352">
        <f t="shared" si="12"/>
        <v>915000</v>
      </c>
      <c r="K37" s="352">
        <f t="shared" si="12"/>
        <v>915000</v>
      </c>
      <c r="L37" s="352">
        <f t="shared" si="12"/>
        <v>0</v>
      </c>
      <c r="M37" s="352">
        <f t="shared" si="12"/>
        <v>0</v>
      </c>
      <c r="N37" s="352">
        <f t="shared" si="12"/>
        <v>0</v>
      </c>
      <c r="O37" s="352">
        <f t="shared" si="12"/>
        <v>915000</v>
      </c>
      <c r="P37" s="352">
        <f t="shared" si="12"/>
        <v>10795000</v>
      </c>
      <c r="Q37" s="36"/>
    </row>
    <row r="38" spans="1:18" ht="48" thickTop="1" thickBot="1" x14ac:dyDescent="0.25">
      <c r="A38" s="119" t="s">
        <v>245</v>
      </c>
      <c r="B38" s="119" t="s">
        <v>246</v>
      </c>
      <c r="C38" s="119" t="s">
        <v>247</v>
      </c>
      <c r="D38" s="119" t="s">
        <v>248</v>
      </c>
      <c r="E38" s="393">
        <f>F38</f>
        <v>9880000</v>
      </c>
      <c r="F38" s="350">
        <f>((7500000)+1000000+220000+150000+340000+120000+360000-360000)+250000+300000</f>
        <v>9880000</v>
      </c>
      <c r="G38" s="350"/>
      <c r="H38" s="350"/>
      <c r="I38" s="350"/>
      <c r="J38" s="393">
        <f>L38+O38</f>
        <v>915000</v>
      </c>
      <c r="K38" s="350">
        <f>0+964000+125000+790000-964000</f>
        <v>915000</v>
      </c>
      <c r="L38" s="350"/>
      <c r="M38" s="350"/>
      <c r="N38" s="350"/>
      <c r="O38" s="351">
        <f>K38</f>
        <v>915000</v>
      </c>
      <c r="P38" s="393">
        <f>E38+J38</f>
        <v>10795000</v>
      </c>
      <c r="Q38" s="20"/>
    </row>
    <row r="39" spans="1:18" ht="47.25" thickTop="1" thickBot="1" x14ac:dyDescent="0.25">
      <c r="A39" s="346" t="s">
        <v>707</v>
      </c>
      <c r="B39" s="346" t="s">
        <v>708</v>
      </c>
      <c r="C39" s="346"/>
      <c r="D39" s="346" t="s">
        <v>709</v>
      </c>
      <c r="E39" s="393">
        <f>E40+E43+E44</f>
        <v>160972520.47</v>
      </c>
      <c r="F39" s="393">
        <f>F40+F43+F44</f>
        <v>160972520.47</v>
      </c>
      <c r="G39" s="393">
        <f t="shared" ref="G39:P39" si="13">G40+G43+G44</f>
        <v>0</v>
      </c>
      <c r="H39" s="393">
        <f t="shared" si="13"/>
        <v>0</v>
      </c>
      <c r="I39" s="393">
        <f t="shared" si="13"/>
        <v>0</v>
      </c>
      <c r="J39" s="393">
        <f t="shared" si="13"/>
        <v>189486698.36000001</v>
      </c>
      <c r="K39" s="393">
        <f t="shared" si="13"/>
        <v>189486698.36000001</v>
      </c>
      <c r="L39" s="393">
        <f t="shared" si="13"/>
        <v>0</v>
      </c>
      <c r="M39" s="393">
        <f t="shared" si="13"/>
        <v>0</v>
      </c>
      <c r="N39" s="393">
        <f t="shared" si="13"/>
        <v>0</v>
      </c>
      <c r="O39" s="393">
        <f t="shared" si="13"/>
        <v>189486698.36000001</v>
      </c>
      <c r="P39" s="393">
        <f t="shared" si="13"/>
        <v>350459218.83000004</v>
      </c>
      <c r="Q39" s="20"/>
    </row>
    <row r="40" spans="1:18" s="33" customFormat="1" ht="91.5" thickTop="1" thickBot="1" x14ac:dyDescent="0.25">
      <c r="A40" s="348" t="s">
        <v>710</v>
      </c>
      <c r="B40" s="348" t="s">
        <v>711</v>
      </c>
      <c r="C40" s="348"/>
      <c r="D40" s="348" t="s">
        <v>712</v>
      </c>
      <c r="E40" s="352">
        <f>SUM(E41:E42)</f>
        <v>1312400</v>
      </c>
      <c r="F40" s="352">
        <f t="shared" ref="F40:P40" si="14">SUM(F41:F42)</f>
        <v>1312400</v>
      </c>
      <c r="G40" s="352">
        <f t="shared" si="14"/>
        <v>0</v>
      </c>
      <c r="H40" s="352">
        <f t="shared" si="14"/>
        <v>0</v>
      </c>
      <c r="I40" s="352">
        <f t="shared" si="14"/>
        <v>0</v>
      </c>
      <c r="J40" s="352">
        <f t="shared" si="14"/>
        <v>0</v>
      </c>
      <c r="K40" s="352">
        <f t="shared" si="14"/>
        <v>0</v>
      </c>
      <c r="L40" s="352">
        <f t="shared" si="14"/>
        <v>0</v>
      </c>
      <c r="M40" s="352">
        <f t="shared" si="14"/>
        <v>0</v>
      </c>
      <c r="N40" s="352">
        <f t="shared" si="14"/>
        <v>0</v>
      </c>
      <c r="O40" s="352">
        <f t="shared" si="14"/>
        <v>0</v>
      </c>
      <c r="P40" s="352">
        <f t="shared" si="14"/>
        <v>1312400</v>
      </c>
      <c r="Q40" s="36"/>
      <c r="R40" s="36"/>
    </row>
    <row r="41" spans="1:18" ht="138.75" thickTop="1" thickBot="1" x14ac:dyDescent="0.25">
      <c r="A41" s="119" t="s">
        <v>249</v>
      </c>
      <c r="B41" s="119" t="s">
        <v>250</v>
      </c>
      <c r="C41" s="119" t="s">
        <v>43</v>
      </c>
      <c r="D41" s="119" t="s">
        <v>447</v>
      </c>
      <c r="E41" s="393">
        <f t="shared" si="3"/>
        <v>1163700</v>
      </c>
      <c r="F41" s="350">
        <v>1163700</v>
      </c>
      <c r="G41" s="350"/>
      <c r="H41" s="350"/>
      <c r="I41" s="350"/>
      <c r="J41" s="393">
        <f>L41+O41</f>
        <v>0</v>
      </c>
      <c r="K41" s="350"/>
      <c r="L41" s="350"/>
      <c r="M41" s="350"/>
      <c r="N41" s="350"/>
      <c r="O41" s="351">
        <f>K41</f>
        <v>0</v>
      </c>
      <c r="P41" s="393">
        <f>E41+J41</f>
        <v>1163700</v>
      </c>
      <c r="Q41" s="20"/>
    </row>
    <row r="42" spans="1:18" ht="48" thickTop="1" thickBot="1" x14ac:dyDescent="0.25">
      <c r="A42" s="119" t="s">
        <v>580</v>
      </c>
      <c r="B42" s="119" t="s">
        <v>367</v>
      </c>
      <c r="C42" s="119" t="s">
        <v>43</v>
      </c>
      <c r="D42" s="119" t="s">
        <v>368</v>
      </c>
      <c r="E42" s="393">
        <f t="shared" si="3"/>
        <v>148700</v>
      </c>
      <c r="F42" s="350">
        <v>148700</v>
      </c>
      <c r="G42" s="350"/>
      <c r="H42" s="350"/>
      <c r="I42" s="350"/>
      <c r="J42" s="393">
        <f>L42+O42</f>
        <v>0</v>
      </c>
      <c r="K42" s="350">
        <f>(1000000)-1000000</f>
        <v>0</v>
      </c>
      <c r="L42" s="350"/>
      <c r="M42" s="350"/>
      <c r="N42" s="350"/>
      <c r="O42" s="351">
        <f>K42</f>
        <v>0</v>
      </c>
      <c r="P42" s="393">
        <f>E42+J42</f>
        <v>148700</v>
      </c>
      <c r="Q42" s="20"/>
    </row>
    <row r="43" spans="1:18" ht="91.5" thickTop="1" thickBot="1" x14ac:dyDescent="0.25">
      <c r="A43" s="348" t="s">
        <v>517</v>
      </c>
      <c r="B43" s="348" t="s">
        <v>518</v>
      </c>
      <c r="C43" s="348" t="s">
        <v>43</v>
      </c>
      <c r="D43" s="348" t="s">
        <v>519</v>
      </c>
      <c r="E43" s="352">
        <f t="shared" si="3"/>
        <v>159660120.47</v>
      </c>
      <c r="F43" s="352">
        <f>(((((10831000+415230+969000)+10811682+300000+1000000-86000+505900+115000+3805614)+19381401.33-410000+5800000)+450000+1000000+200000+781571.38+2000000+198000+421109+445122+175351+24984+8269+183792+83800+62040+17127467+1000000+170000-546000)+47584626.76+234000+20997+1210000)+33386164</f>
        <v>159660120.47</v>
      </c>
      <c r="G43" s="352"/>
      <c r="H43" s="352"/>
      <c r="I43" s="352"/>
      <c r="J43" s="352">
        <f>L43+O43</f>
        <v>189486698.36000001</v>
      </c>
      <c r="K43" s="350">
        <f>(((((12286000+1300000+150000+4895000)+25598520+1400000+86000+75000+1100000+2158000)+33049720.46+500000)+798000+230000-781571.38+163000+350000+4860000+51025755-798000-1000000-170000+546000)+38510438.28-20997)+13175833</f>
        <v>189486698.36000001</v>
      </c>
      <c r="L43" s="352"/>
      <c r="M43" s="352"/>
      <c r="N43" s="352"/>
      <c r="O43" s="352">
        <f>K43</f>
        <v>189486698.36000001</v>
      </c>
      <c r="P43" s="352">
        <f>E43+J43</f>
        <v>349146818.83000004</v>
      </c>
      <c r="Q43" s="20"/>
      <c r="R43" s="26"/>
    </row>
    <row r="44" spans="1:18" ht="192.75" hidden="1" thickTop="1" thickBot="1" x14ac:dyDescent="0.25">
      <c r="A44" s="119" t="s">
        <v>1480</v>
      </c>
      <c r="B44" s="119" t="s">
        <v>1481</v>
      </c>
      <c r="C44" s="119" t="s">
        <v>43</v>
      </c>
      <c r="D44" s="625" t="s">
        <v>1479</v>
      </c>
      <c r="E44" s="393">
        <f t="shared" si="3"/>
        <v>0</v>
      </c>
      <c r="F44" s="350">
        <f>(2000000)-2000000</f>
        <v>0</v>
      </c>
      <c r="G44" s="350"/>
      <c r="H44" s="350"/>
      <c r="I44" s="350"/>
      <c r="J44" s="393">
        <f>L44+O44</f>
        <v>0</v>
      </c>
      <c r="K44" s="350"/>
      <c r="L44" s="350"/>
      <c r="M44" s="350"/>
      <c r="N44" s="350"/>
      <c r="O44" s="351">
        <f>K44</f>
        <v>0</v>
      </c>
      <c r="P44" s="393">
        <f>E44+J44</f>
        <v>0</v>
      </c>
      <c r="Q44" s="20"/>
      <c r="R44" s="26"/>
    </row>
    <row r="45" spans="1:18" ht="177.75" customHeight="1" thickTop="1" thickBot="1" x14ac:dyDescent="0.25">
      <c r="A45" s="403" t="s">
        <v>152</v>
      </c>
      <c r="B45" s="403"/>
      <c r="C45" s="403"/>
      <c r="D45" s="404" t="s">
        <v>0</v>
      </c>
      <c r="E45" s="406">
        <f>E46</f>
        <v>1997974669.77</v>
      </c>
      <c r="F45" s="405">
        <f t="shared" ref="F45" si="15">F46</f>
        <v>1997974669.77</v>
      </c>
      <c r="G45" s="405">
        <f>G46</f>
        <v>1249477792</v>
      </c>
      <c r="H45" s="405">
        <f>H46</f>
        <v>151784823.66</v>
      </c>
      <c r="I45" s="405">
        <f t="shared" ref="I45" si="16">I46</f>
        <v>0</v>
      </c>
      <c r="J45" s="406">
        <f>J46</f>
        <v>374605388.13</v>
      </c>
      <c r="K45" s="405">
        <f>K46</f>
        <v>196646107.13</v>
      </c>
      <c r="L45" s="405">
        <f>L46</f>
        <v>173304733</v>
      </c>
      <c r="M45" s="405">
        <f t="shared" ref="M45" si="17">M46</f>
        <v>39544820</v>
      </c>
      <c r="N45" s="405">
        <f>N46</f>
        <v>15551110</v>
      </c>
      <c r="O45" s="406">
        <f>O46</f>
        <v>201300655.13000003</v>
      </c>
      <c r="P45" s="405">
        <f t="shared" ref="P45" si="18">P46</f>
        <v>2372580057.9000001</v>
      </c>
      <c r="Q45" s="20"/>
    </row>
    <row r="46" spans="1:18" ht="159" customHeight="1" thickTop="1" thickBot="1" x14ac:dyDescent="0.25">
      <c r="A46" s="407" t="s">
        <v>153</v>
      </c>
      <c r="B46" s="407"/>
      <c r="C46" s="407"/>
      <c r="D46" s="408" t="s">
        <v>1</v>
      </c>
      <c r="E46" s="409">
        <f>E47+E88+E100+E91+E97</f>
        <v>1997974669.77</v>
      </c>
      <c r="F46" s="409">
        <f>F47+F88+F100+F91+F97</f>
        <v>1997974669.77</v>
      </c>
      <c r="G46" s="409">
        <f>G47+G88+G100+G91+G97</f>
        <v>1249477792</v>
      </c>
      <c r="H46" s="409">
        <f>H47+H88+H100+H91+H97</f>
        <v>151784823.66</v>
      </c>
      <c r="I46" s="409">
        <f>I47+I88+I100+I91+I97</f>
        <v>0</v>
      </c>
      <c r="J46" s="409">
        <f>L46+O46</f>
        <v>374605388.13</v>
      </c>
      <c r="K46" s="409">
        <f>K47+K88+K100+K91+K97</f>
        <v>196646107.13</v>
      </c>
      <c r="L46" s="409">
        <f>L47+L88+L100+L91+L97</f>
        <v>173304733</v>
      </c>
      <c r="M46" s="409">
        <f>M47+M88+M100+M91+M97</f>
        <v>39544820</v>
      </c>
      <c r="N46" s="409">
        <f>N47+N88+N100+N91+N97</f>
        <v>15551110</v>
      </c>
      <c r="O46" s="409">
        <f>O47+O88+O100+O91+O97</f>
        <v>201300655.13000003</v>
      </c>
      <c r="P46" s="409">
        <f>E46+J46</f>
        <v>2372580057.9000001</v>
      </c>
      <c r="Q46" s="402" t="b">
        <f>P46=P48+P50+P51+P52+P59+P61+P64+P65+P67+P69+P80+P90+P94+P99+P54+P55+P62+P77+P68+P96+P84+P83+P89+P78+P86+P87</f>
        <v>1</v>
      </c>
      <c r="R46" s="26"/>
    </row>
    <row r="47" spans="1:18" ht="47.25" thickTop="1" thickBot="1" x14ac:dyDescent="0.25">
      <c r="A47" s="346" t="s">
        <v>713</v>
      </c>
      <c r="B47" s="346" t="s">
        <v>714</v>
      </c>
      <c r="C47" s="346"/>
      <c r="D47" s="346" t="s">
        <v>715</v>
      </c>
      <c r="E47" s="393">
        <f>E48+E49+E53+E59+E60+E63+E66+E69+E70+E77+E56+E78+E73+E79+E82+E85</f>
        <v>1994895519.77</v>
      </c>
      <c r="F47" s="393">
        <f t="shared" ref="F47:P47" si="19">F48+F49+F53+F59+F60+F63+F66+F69+F70+F77+F56+F78+F73+F79+F82+F85</f>
        <v>1994895519.77</v>
      </c>
      <c r="G47" s="393">
        <f t="shared" si="19"/>
        <v>1249477792</v>
      </c>
      <c r="H47" s="393">
        <f t="shared" si="19"/>
        <v>150414924.66</v>
      </c>
      <c r="I47" s="393">
        <f t="shared" si="19"/>
        <v>0</v>
      </c>
      <c r="J47" s="393">
        <f t="shared" si="19"/>
        <v>308862659.78999996</v>
      </c>
      <c r="K47" s="393">
        <f t="shared" si="19"/>
        <v>130903378.79000001</v>
      </c>
      <c r="L47" s="393">
        <f t="shared" si="19"/>
        <v>173304733</v>
      </c>
      <c r="M47" s="393">
        <f t="shared" si="19"/>
        <v>39544820</v>
      </c>
      <c r="N47" s="393">
        <f t="shared" si="19"/>
        <v>15551110</v>
      </c>
      <c r="O47" s="393">
        <f t="shared" si="19"/>
        <v>135557926.79000002</v>
      </c>
      <c r="P47" s="393">
        <f t="shared" si="19"/>
        <v>2303758179.5599999</v>
      </c>
      <c r="Q47" s="30"/>
      <c r="R47" s="26"/>
    </row>
    <row r="48" spans="1:18" ht="99" customHeight="1" thickTop="1" thickBot="1" x14ac:dyDescent="0.6">
      <c r="A48" s="119" t="s">
        <v>202</v>
      </c>
      <c r="B48" s="119" t="s">
        <v>203</v>
      </c>
      <c r="C48" s="119" t="s">
        <v>205</v>
      </c>
      <c r="D48" s="119" t="s">
        <v>206</v>
      </c>
      <c r="E48" s="393">
        <f>F48</f>
        <v>553700848.41999984</v>
      </c>
      <c r="F48" s="350">
        <f>(((((400040240+6826450+124590+53766100+4976300+32989243+2983694+26550438+1371161+1730057+724954+69630+3560+1548795+200000+410000+22000+1000000+500000+875000)+1082161+4198058+61993.56+3565000)+504026-40000)+10037.05+2039944+199618+108144+332495+160289+1000000+200000+118630+33758+39691+195834+133962+23921+1950000+155000+155000+189540+187731+199981+187965+95303+81390+117112+198249+93207+52627+495153+825000)+100000-1548795+340300+148151+52026+99839+1327225+89328+88473+187549+93329)+19226100-14677000-8095098-290000+18914+84955-84955-130406.19+32050+99097+413559+117485+22071+255798+199620+43892+15381+181865+79432+99339-551707</f>
        <v>553700848.41999984</v>
      </c>
      <c r="G48" s="350">
        <f>(327901836)+16803000</f>
        <v>344704836</v>
      </c>
      <c r="H48" s="350">
        <f>((32989243+2983694+26550438+1371161+1730057+724954)+10037.05)-14677000</f>
        <v>51682584.049999997</v>
      </c>
      <c r="I48" s="350"/>
      <c r="J48" s="393">
        <f t="shared" ref="J48:J72" si="20">L48+O48</f>
        <v>94179909</v>
      </c>
      <c r="K48" s="350">
        <f>(((((80000+800000+4500000)+1000000+179520+5000000+500000)+40000)-80000+1812317+100000+3500000-3500000)+800000)-4400000-100000-3761338</f>
        <v>6470499</v>
      </c>
      <c r="L48" s="350">
        <f>(((85884000)-22999+30000)+80000)+19110</f>
        <v>85990111</v>
      </c>
      <c r="M48" s="350">
        <v>15449160</v>
      </c>
      <c r="N48" s="350">
        <v>4392000</v>
      </c>
      <c r="O48" s="351">
        <f>(((K48+1825410)+22999-30000)-80000)-19110</f>
        <v>8189798</v>
      </c>
      <c r="P48" s="393">
        <f t="shared" ref="P48:P62" si="21">E48+J48</f>
        <v>647880757.41999984</v>
      </c>
      <c r="Q48" s="159"/>
      <c r="R48" s="26"/>
    </row>
    <row r="49" spans="1:20" ht="48" thickTop="1" thickBot="1" x14ac:dyDescent="0.6">
      <c r="A49" s="399" t="s">
        <v>207</v>
      </c>
      <c r="B49" s="399" t="s">
        <v>204</v>
      </c>
      <c r="C49" s="399"/>
      <c r="D49" s="399" t="s">
        <v>649</v>
      </c>
      <c r="E49" s="388">
        <f>E50+E51+E52</f>
        <v>579233552.71999991</v>
      </c>
      <c r="F49" s="388">
        <f>F50+F51+F52</f>
        <v>579233552.71999991</v>
      </c>
      <c r="G49" s="388">
        <f t="shared" ref="G49:O49" si="22">G50+G51+G52</f>
        <v>272137550</v>
      </c>
      <c r="H49" s="388">
        <f t="shared" si="22"/>
        <v>74310406.609999999</v>
      </c>
      <c r="I49" s="388">
        <f t="shared" si="22"/>
        <v>0</v>
      </c>
      <c r="J49" s="388">
        <f t="shared" si="22"/>
        <v>129563574.39000002</v>
      </c>
      <c r="K49" s="388">
        <f t="shared" si="22"/>
        <v>74129354.390000015</v>
      </c>
      <c r="L49" s="388">
        <f t="shared" si="22"/>
        <v>54213500</v>
      </c>
      <c r="M49" s="388">
        <f t="shared" si="22"/>
        <v>15085870</v>
      </c>
      <c r="N49" s="388">
        <f t="shared" si="22"/>
        <v>1403040</v>
      </c>
      <c r="O49" s="388">
        <f t="shared" si="22"/>
        <v>75350074.390000015</v>
      </c>
      <c r="P49" s="388">
        <f>E49+J49</f>
        <v>708797127.1099999</v>
      </c>
      <c r="Q49" s="159"/>
      <c r="R49" s="37"/>
    </row>
    <row r="50" spans="1:20" ht="93" thickTop="1" thickBot="1" x14ac:dyDescent="0.6">
      <c r="A50" s="119" t="s">
        <v>647</v>
      </c>
      <c r="B50" s="119" t="s">
        <v>648</v>
      </c>
      <c r="C50" s="119" t="s">
        <v>208</v>
      </c>
      <c r="D50" s="119" t="s">
        <v>1336</v>
      </c>
      <c r="E50" s="393">
        <f t="shared" ref="E50:E62" si="23">F50</f>
        <v>528816586.21999991</v>
      </c>
      <c r="F50" s="350">
        <f>(((((278478740+14949120+232788+68902488.28+6324200+49423800+1957040+28032408+2824915+6227487+147250+17044+402147+7030+1000000+620800+1258600+2000000+1300000+1505000+4601586)+428761+335283+40000+384864+79778+28689487.61+58752.45+1154067+3430000-1543567+396762)+853015+300000+364381+23946+66470+79400+122699)+605767+84568+179993+96661+147840+118497+97809+200000+196866+196000+698760+500000+100000+167208+1820000+111476+132797+94987+175728+199618+183597+394617+1749112+99707+248989+108976+364959+215252+196764+115344+841000+350223+189388+199928+189055+97860+199669+8280+499226+110000-73198+89862+710000+710000+430000+67992+12629950)+56400+65620+289050+100000+323700+42857+38193+479400+19831+1099650+290030+32000+1427352+650923+83898.88)+14543000-23420600+926219-210000+75848-851215-140000-918360+47777+40000+586881+200000+444000+186608+421825+26000+201984+240708+119557+80877-1111097</f>
        <v>528816586.21999991</v>
      </c>
      <c r="G50" s="350">
        <f>(228261262)+14708900</f>
        <v>242970162</v>
      </c>
      <c r="H50" s="350">
        <f>((49423800+1957040+28032408+2824915+6227487+4601586)+45699.61)-23420600</f>
        <v>69692335.609999999</v>
      </c>
      <c r="I50" s="350"/>
      <c r="J50" s="393">
        <f t="shared" si="20"/>
        <v>128773848.70000002</v>
      </c>
      <c r="K50" s="350">
        <f>(((((300000+800000+2064862.22+1330068.27+500000+450000+300000+300000+300000+300000+300000+3000000+1000000+1200000+7740000)+545838+746697.15+30878+185905+57151+53047+47077+4393825+108378.06+500000+10500000+500000)+1749105+121900+125620+83060+70400)+750000+1363128+320045+885514+434432+526202+490023+3096760-92696.47+96393.95-59096.4-15002.9-38302+2386312+2249222.72+2133480.56+4175264+761098.73+135642+396000+1600000+797745+73198+9000000+2964799+1447886+1053439+2270000+2500000-2249222.72)-6269222+1000000+3860000-83898.88)+300000-167680.59-457990.04-115778.6-2065982.8+260000+71000+483000-6194505+3719610.44</f>
        <v>73494628.700000018</v>
      </c>
      <c r="L50" s="350">
        <v>54058500</v>
      </c>
      <c r="M50" s="350">
        <v>15085870</v>
      </c>
      <c r="N50" s="350">
        <v>1329840</v>
      </c>
      <c r="O50" s="351">
        <f>(K50+1220720)</f>
        <v>74715348.700000018</v>
      </c>
      <c r="P50" s="393">
        <f t="shared" si="21"/>
        <v>657590434.91999996</v>
      </c>
      <c r="Q50" s="159"/>
      <c r="R50" s="26"/>
      <c r="T50" s="38"/>
    </row>
    <row r="51" spans="1:20" ht="138.75" thickTop="1" thickBot="1" x14ac:dyDescent="0.25">
      <c r="A51" s="119" t="s">
        <v>656</v>
      </c>
      <c r="B51" s="119" t="s">
        <v>657</v>
      </c>
      <c r="C51" s="119" t="s">
        <v>211</v>
      </c>
      <c r="D51" s="119" t="s">
        <v>1337</v>
      </c>
      <c r="E51" s="393">
        <f t="shared" si="23"/>
        <v>26943141</v>
      </c>
      <c r="F51" s="350">
        <f>((((25431320+268386+7230+657580+216630+2600+1606499+33482+292578+12894+4700+5400+20000+70000)+405237)+224100+74385+19921+22718+62247+91531+16998)+16600)-2328200-295000+70005-66700</f>
        <v>26943141</v>
      </c>
      <c r="G51" s="350">
        <f>(20845344)-1605100</f>
        <v>19240244</v>
      </c>
      <c r="H51" s="350">
        <f>(1606499+33482+292578+12894)-295000</f>
        <v>1650453</v>
      </c>
      <c r="I51" s="350"/>
      <c r="J51" s="393">
        <f t="shared" si="20"/>
        <v>474640</v>
      </c>
      <c r="K51" s="350">
        <f>(((360000)+200000)+25000+50000)+44640-360000</f>
        <v>319640</v>
      </c>
      <c r="L51" s="350">
        <v>155000</v>
      </c>
      <c r="M51" s="350"/>
      <c r="N51" s="350">
        <v>73200</v>
      </c>
      <c r="O51" s="351">
        <f>K51</f>
        <v>319640</v>
      </c>
      <c r="P51" s="393">
        <f t="shared" si="21"/>
        <v>27417781</v>
      </c>
      <c r="Q51" s="20"/>
      <c r="R51" s="27"/>
    </row>
    <row r="52" spans="1:20" ht="93" thickTop="1" thickBot="1" x14ac:dyDescent="0.25">
      <c r="A52" s="119" t="s">
        <v>1010</v>
      </c>
      <c r="B52" s="119" t="s">
        <v>1011</v>
      </c>
      <c r="C52" s="119" t="s">
        <v>211</v>
      </c>
      <c r="D52" s="119" t="s">
        <v>1338</v>
      </c>
      <c r="E52" s="393">
        <f t="shared" si="23"/>
        <v>23473825.5</v>
      </c>
      <c r="F52" s="350">
        <f>(((13126400+398670+13800+5375100+417390+199390+2311854+120372+1153100+20392+3310+2700+170000+200000+21700+150000+35000)+2619663)+8300)-1111300-638100-1000000-123915.5</f>
        <v>23473825.5</v>
      </c>
      <c r="G52" s="350">
        <f>(10759344)-832200</f>
        <v>9927144</v>
      </c>
      <c r="H52" s="350">
        <f>(2311854+120372+1153100+20392)-638100</f>
        <v>2967618</v>
      </c>
      <c r="I52" s="350"/>
      <c r="J52" s="393">
        <f t="shared" si="20"/>
        <v>315085.69</v>
      </c>
      <c r="K52" s="350">
        <f>((50000+65000+180000)-9914.31)+30000</f>
        <v>315085.69</v>
      </c>
      <c r="L52" s="350"/>
      <c r="M52" s="350"/>
      <c r="N52" s="350"/>
      <c r="O52" s="351">
        <f>K52</f>
        <v>315085.69</v>
      </c>
      <c r="P52" s="393">
        <f t="shared" si="21"/>
        <v>23788911.190000001</v>
      </c>
      <c r="Q52" s="20"/>
      <c r="R52" s="27"/>
    </row>
    <row r="53" spans="1:20" ht="48" thickTop="1" thickBot="1" x14ac:dyDescent="0.25">
      <c r="A53" s="399" t="s">
        <v>502</v>
      </c>
      <c r="B53" s="399" t="s">
        <v>209</v>
      </c>
      <c r="C53" s="399"/>
      <c r="D53" s="399" t="s">
        <v>664</v>
      </c>
      <c r="E53" s="388">
        <f>SUM(E54:E55)</f>
        <v>606356586</v>
      </c>
      <c r="F53" s="388">
        <f>SUM(F54:F55)</f>
        <v>606356586</v>
      </c>
      <c r="G53" s="388">
        <f>SUM(G54:G55)</f>
        <v>493394860</v>
      </c>
      <c r="H53" s="388">
        <f>SUM(H54:H55)</f>
        <v>0</v>
      </c>
      <c r="I53" s="388">
        <f>SUM(I54:I55)</f>
        <v>0</v>
      </c>
      <c r="J53" s="388">
        <f t="shared" ref="J53:P53" si="24">SUM(J54:J55)</f>
        <v>0</v>
      </c>
      <c r="K53" s="388">
        <f t="shared" si="24"/>
        <v>0</v>
      </c>
      <c r="L53" s="388">
        <f t="shared" si="24"/>
        <v>0</v>
      </c>
      <c r="M53" s="388">
        <f t="shared" si="24"/>
        <v>0</v>
      </c>
      <c r="N53" s="388">
        <f t="shared" si="24"/>
        <v>0</v>
      </c>
      <c r="O53" s="388">
        <f t="shared" si="24"/>
        <v>0</v>
      </c>
      <c r="P53" s="388">
        <f t="shared" si="24"/>
        <v>606356586</v>
      </c>
      <c r="Q53" s="20"/>
      <c r="R53" s="35"/>
    </row>
    <row r="54" spans="1:20" ht="93" thickTop="1" thickBot="1" x14ac:dyDescent="0.25">
      <c r="A54" s="119" t="s">
        <v>665</v>
      </c>
      <c r="B54" s="119" t="s">
        <v>666</v>
      </c>
      <c r="C54" s="119" t="s">
        <v>208</v>
      </c>
      <c r="D54" s="119" t="s">
        <v>1339</v>
      </c>
      <c r="E54" s="393">
        <f t="shared" ref="E54:E55" si="25">F54</f>
        <v>603286486</v>
      </c>
      <c r="F54" s="350">
        <f>((595757900+4544686)+16400)+2967500</f>
        <v>603286486</v>
      </c>
      <c r="G54" s="350">
        <f>((488326150)+13450)+2523800</f>
        <v>490863400</v>
      </c>
      <c r="H54" s="350"/>
      <c r="I54" s="350"/>
      <c r="J54" s="393">
        <f t="shared" ref="J54:J55" si="26">L54+O54</f>
        <v>0</v>
      </c>
      <c r="K54" s="350"/>
      <c r="L54" s="350"/>
      <c r="M54" s="350"/>
      <c r="N54" s="350"/>
      <c r="O54" s="351">
        <f>K54</f>
        <v>0</v>
      </c>
      <c r="P54" s="393">
        <f t="shared" ref="P54:P58" si="27">E54+J54</f>
        <v>603286486</v>
      </c>
      <c r="Q54" s="20"/>
      <c r="R54" s="30"/>
    </row>
    <row r="55" spans="1:20" ht="93" thickTop="1" thickBot="1" x14ac:dyDescent="0.25">
      <c r="A55" s="119" t="s">
        <v>1151</v>
      </c>
      <c r="B55" s="427" t="s">
        <v>1152</v>
      </c>
      <c r="C55" s="119" t="s">
        <v>211</v>
      </c>
      <c r="D55" s="119" t="s">
        <v>1340</v>
      </c>
      <c r="E55" s="393">
        <f t="shared" si="25"/>
        <v>3070100</v>
      </c>
      <c r="F55" s="410">
        <f>(2286600)+783500</f>
        <v>3070100</v>
      </c>
      <c r="G55" s="410">
        <f>(1874260)+657200</f>
        <v>2531460</v>
      </c>
      <c r="H55" s="410"/>
      <c r="I55" s="410"/>
      <c r="J55" s="393">
        <f t="shared" si="26"/>
        <v>0</v>
      </c>
      <c r="K55" s="410"/>
      <c r="L55" s="410"/>
      <c r="M55" s="410"/>
      <c r="N55" s="410"/>
      <c r="O55" s="392"/>
      <c r="P55" s="393">
        <f t="shared" si="27"/>
        <v>3070100</v>
      </c>
      <c r="Q55" s="20"/>
      <c r="R55" s="30"/>
    </row>
    <row r="56" spans="1:20" ht="184.5" hidden="1" thickTop="1" thickBot="1" x14ac:dyDescent="0.7">
      <c r="A56" s="715" t="s">
        <v>939</v>
      </c>
      <c r="B56" s="715" t="s">
        <v>50</v>
      </c>
      <c r="C56" s="715"/>
      <c r="D56" s="428" t="s">
        <v>942</v>
      </c>
      <c r="E56" s="704">
        <f t="shared" ref="E56:O56" si="28">E58</f>
        <v>0</v>
      </c>
      <c r="F56" s="704">
        <f t="shared" si="28"/>
        <v>0</v>
      </c>
      <c r="G56" s="704">
        <f t="shared" si="28"/>
        <v>0</v>
      </c>
      <c r="H56" s="704">
        <f t="shared" si="28"/>
        <v>0</v>
      </c>
      <c r="I56" s="704">
        <f t="shared" si="28"/>
        <v>0</v>
      </c>
      <c r="J56" s="704">
        <f t="shared" si="28"/>
        <v>0</v>
      </c>
      <c r="K56" s="704">
        <f t="shared" si="28"/>
        <v>0</v>
      </c>
      <c r="L56" s="704">
        <f t="shared" si="28"/>
        <v>0</v>
      </c>
      <c r="M56" s="704">
        <f t="shared" si="28"/>
        <v>0</v>
      </c>
      <c r="N56" s="704">
        <f t="shared" si="28"/>
        <v>0</v>
      </c>
      <c r="O56" s="704">
        <f t="shared" si="28"/>
        <v>0</v>
      </c>
      <c r="P56" s="704">
        <f>E56+J56</f>
        <v>0</v>
      </c>
      <c r="Q56" s="20"/>
      <c r="R56" s="30"/>
    </row>
    <row r="57" spans="1:20" ht="93" hidden="1" thickTop="1" thickBot="1" x14ac:dyDescent="0.25">
      <c r="A57" s="677"/>
      <c r="B57" s="677"/>
      <c r="C57" s="677"/>
      <c r="D57" s="429" t="s">
        <v>943</v>
      </c>
      <c r="E57" s="677"/>
      <c r="F57" s="677"/>
      <c r="G57" s="677"/>
      <c r="H57" s="677"/>
      <c r="I57" s="677"/>
      <c r="J57" s="677"/>
      <c r="K57" s="677"/>
      <c r="L57" s="677"/>
      <c r="M57" s="677"/>
      <c r="N57" s="677"/>
      <c r="O57" s="677"/>
      <c r="P57" s="677"/>
      <c r="Q57" s="20"/>
      <c r="R57" s="30"/>
    </row>
    <row r="58" spans="1:20" ht="48" hidden="1" thickTop="1" thickBot="1" x14ac:dyDescent="0.25">
      <c r="A58" s="396" t="s">
        <v>940</v>
      </c>
      <c r="B58" s="396" t="s">
        <v>941</v>
      </c>
      <c r="C58" s="396" t="s">
        <v>208</v>
      </c>
      <c r="D58" s="396" t="s">
        <v>944</v>
      </c>
      <c r="E58" s="430">
        <f t="shared" ref="E58" si="29">F58</f>
        <v>0</v>
      </c>
      <c r="F58" s="411"/>
      <c r="G58" s="411"/>
      <c r="H58" s="411"/>
      <c r="I58" s="411"/>
      <c r="J58" s="430">
        <f t="shared" ref="J58" si="30">L58+O58</f>
        <v>0</v>
      </c>
      <c r="K58" s="411"/>
      <c r="L58" s="411"/>
      <c r="M58" s="411"/>
      <c r="N58" s="411"/>
      <c r="O58" s="431">
        <f>K58</f>
        <v>0</v>
      </c>
      <c r="P58" s="430">
        <f t="shared" si="27"/>
        <v>0</v>
      </c>
      <c r="Q58" s="20"/>
      <c r="R58" s="26"/>
    </row>
    <row r="59" spans="1:20" ht="93" thickTop="1" thickBot="1" x14ac:dyDescent="0.25">
      <c r="A59" s="119" t="s">
        <v>667</v>
      </c>
      <c r="B59" s="119" t="s">
        <v>210</v>
      </c>
      <c r="C59" s="119" t="s">
        <v>185</v>
      </c>
      <c r="D59" s="119" t="s">
        <v>503</v>
      </c>
      <c r="E59" s="393">
        <f t="shared" si="23"/>
        <v>33617673.450000003</v>
      </c>
      <c r="F59" s="350">
        <f>((((25963460+430050+14000+475600+159020+3164837+73186+907670+79855+39033+3510+237440+310+250000)+188000)+66250+1720500)-11730)+964000-1326500+219182.45</f>
        <v>33617673.450000003</v>
      </c>
      <c r="G59" s="350">
        <f>(21281525)+988800</f>
        <v>22270325</v>
      </c>
      <c r="H59" s="350">
        <f>(3164837+73186+907670+79855+39033)-1326500</f>
        <v>2938081</v>
      </c>
      <c r="I59" s="350"/>
      <c r="J59" s="393">
        <f t="shared" si="20"/>
        <v>11766782.6</v>
      </c>
      <c r="K59" s="350">
        <f>(10000000)+674352.6</f>
        <v>10674352.6</v>
      </c>
      <c r="L59" s="350">
        <v>872930</v>
      </c>
      <c r="M59" s="350">
        <v>15440</v>
      </c>
      <c r="N59" s="350">
        <v>111310</v>
      </c>
      <c r="O59" s="351">
        <f>(K59+219500)</f>
        <v>10893852.6</v>
      </c>
      <c r="P59" s="393">
        <f t="shared" si="21"/>
        <v>45384456.050000004</v>
      </c>
      <c r="Q59" s="20"/>
      <c r="R59" s="26"/>
    </row>
    <row r="60" spans="1:20" ht="93" thickTop="1" thickBot="1" x14ac:dyDescent="0.25">
      <c r="A60" s="399" t="s">
        <v>212</v>
      </c>
      <c r="B60" s="399" t="s">
        <v>195</v>
      </c>
      <c r="C60" s="399"/>
      <c r="D60" s="399" t="s">
        <v>504</v>
      </c>
      <c r="E60" s="388">
        <f>E61+E62</f>
        <v>175721462.68000001</v>
      </c>
      <c r="F60" s="388">
        <f t="shared" ref="F60:O60" si="31">F61+F62</f>
        <v>175721462.68000001</v>
      </c>
      <c r="G60" s="388">
        <f t="shared" si="31"/>
        <v>87143352</v>
      </c>
      <c r="H60" s="388">
        <f t="shared" si="31"/>
        <v>19631464</v>
      </c>
      <c r="I60" s="388">
        <f t="shared" si="31"/>
        <v>0</v>
      </c>
      <c r="J60" s="388">
        <f t="shared" si="31"/>
        <v>47111704.829999998</v>
      </c>
      <c r="K60" s="388">
        <f t="shared" si="31"/>
        <v>16721704.83</v>
      </c>
      <c r="L60" s="388">
        <f t="shared" si="31"/>
        <v>30160000</v>
      </c>
      <c r="M60" s="388">
        <f t="shared" si="31"/>
        <v>8894270</v>
      </c>
      <c r="N60" s="388">
        <f t="shared" si="31"/>
        <v>9529290</v>
      </c>
      <c r="O60" s="388">
        <f t="shared" si="31"/>
        <v>16951704.829999998</v>
      </c>
      <c r="P60" s="388">
        <f t="shared" si="21"/>
        <v>222833167.50999999</v>
      </c>
      <c r="Q60" s="20"/>
      <c r="R60" s="35"/>
    </row>
    <row r="61" spans="1:20" ht="93" thickTop="1" thickBot="1" x14ac:dyDescent="0.25">
      <c r="A61" s="119" t="s">
        <v>668</v>
      </c>
      <c r="B61" s="119" t="s">
        <v>669</v>
      </c>
      <c r="C61" s="119" t="s">
        <v>213</v>
      </c>
      <c r="D61" s="119" t="s">
        <v>670</v>
      </c>
      <c r="E61" s="393">
        <f t="shared" si="23"/>
        <v>155098862.68000001</v>
      </c>
      <c r="F61" s="350">
        <f>(((((84519260+111000+22600+5254600+433200+14205640+1588100+11939030+21300+186500+15360+33077300+1043800+500000+250000)+5454565.87-99000)+930229)+98204.81+201528+395500+290660+424175+2103243+456425+124580+495860+543124+360473+125623+66400-898850+40150+858700)+135272)+1064200-6670380-1800000-2420000+196280.8-196280.8+86756.4-86756.4+321945.48-321945.48+25490-375000</f>
        <v>155098862.68000001</v>
      </c>
      <c r="G61" s="350">
        <f>(69278082)+902800</f>
        <v>70180882</v>
      </c>
      <c r="H61" s="350">
        <f>(((((14205640+1588100+11939030+21300+186500)+6629.87)+98204.81)-898850)+135272)-6670380-196280.8-86756.4-321945.48-375000</f>
        <v>19631464</v>
      </c>
      <c r="I61" s="350"/>
      <c r="J61" s="393">
        <f>L61+O61</f>
        <v>47111704.829999998</v>
      </c>
      <c r="K61" s="350">
        <f>((((101468.23+800000)+99000+200000)+82825+15665)+6948195+32811+1200000+194000+1575310+1770793+2998616+266421.6)-2914551.33+410186+1031057+1473308.33+61600+375000</f>
        <v>16721704.83</v>
      </c>
      <c r="L61" s="350">
        <f>(30210000)-50000</f>
        <v>30160000</v>
      </c>
      <c r="M61" s="350">
        <v>8894270</v>
      </c>
      <c r="N61" s="350">
        <v>9529290</v>
      </c>
      <c r="O61" s="351">
        <f>(K61+180000)+50000</f>
        <v>16951704.829999998</v>
      </c>
      <c r="P61" s="393">
        <f t="shared" si="21"/>
        <v>202210567.50999999</v>
      </c>
      <c r="Q61" s="20"/>
      <c r="R61" s="26"/>
    </row>
    <row r="62" spans="1:20" ht="93" thickTop="1" thickBot="1" x14ac:dyDescent="0.25">
      <c r="A62" s="119" t="s">
        <v>672</v>
      </c>
      <c r="B62" s="119" t="s">
        <v>671</v>
      </c>
      <c r="C62" s="119" t="s">
        <v>213</v>
      </c>
      <c r="D62" s="119" t="s">
        <v>673</v>
      </c>
      <c r="E62" s="393">
        <f t="shared" si="23"/>
        <v>20622600</v>
      </c>
      <c r="F62" s="350">
        <f>(24373600)-3751000</f>
        <v>20622600</v>
      </c>
      <c r="G62" s="350">
        <f>(20143470)-3181000</f>
        <v>16962470</v>
      </c>
      <c r="H62" s="350"/>
      <c r="I62" s="350"/>
      <c r="J62" s="393">
        <f>L62+O62</f>
        <v>0</v>
      </c>
      <c r="K62" s="350"/>
      <c r="L62" s="350"/>
      <c r="M62" s="350"/>
      <c r="N62" s="350"/>
      <c r="O62" s="351"/>
      <c r="P62" s="393">
        <f t="shared" si="21"/>
        <v>20622600</v>
      </c>
      <c r="Q62" s="20"/>
      <c r="R62" s="30"/>
    </row>
    <row r="63" spans="1:20" ht="48" thickTop="1" thickBot="1" x14ac:dyDescent="0.25">
      <c r="A63" s="399" t="s">
        <v>675</v>
      </c>
      <c r="B63" s="399" t="s">
        <v>674</v>
      </c>
      <c r="C63" s="399"/>
      <c r="D63" s="399" t="s">
        <v>676</v>
      </c>
      <c r="E63" s="388">
        <f>E64+E65</f>
        <v>30597210</v>
      </c>
      <c r="F63" s="388">
        <f t="shared" ref="F63:O63" si="32">F64+F65</f>
        <v>30597210</v>
      </c>
      <c r="G63" s="388">
        <f t="shared" si="32"/>
        <v>18286741</v>
      </c>
      <c r="H63" s="388">
        <f t="shared" si="32"/>
        <v>1658842</v>
      </c>
      <c r="I63" s="388">
        <f t="shared" si="32"/>
        <v>0</v>
      </c>
      <c r="J63" s="388">
        <f t="shared" si="32"/>
        <v>6463440.9000000004</v>
      </c>
      <c r="K63" s="388">
        <f t="shared" si="32"/>
        <v>5958740.9000000004</v>
      </c>
      <c r="L63" s="388">
        <f t="shared" si="32"/>
        <v>504700</v>
      </c>
      <c r="M63" s="388">
        <f t="shared" si="32"/>
        <v>100080</v>
      </c>
      <c r="N63" s="388">
        <f t="shared" si="32"/>
        <v>115470</v>
      </c>
      <c r="O63" s="388">
        <f t="shared" si="32"/>
        <v>5958740.9000000004</v>
      </c>
      <c r="P63" s="388">
        <f>E63+J63</f>
        <v>37060650.899999999</v>
      </c>
      <c r="Q63" s="20"/>
      <c r="R63" s="35"/>
    </row>
    <row r="64" spans="1:20" ht="48" thickTop="1" thickBot="1" x14ac:dyDescent="0.25">
      <c r="A64" s="119" t="s">
        <v>677</v>
      </c>
      <c r="B64" s="119" t="s">
        <v>678</v>
      </c>
      <c r="C64" s="119" t="s">
        <v>214</v>
      </c>
      <c r="D64" s="119" t="s">
        <v>505</v>
      </c>
      <c r="E64" s="393">
        <f>F64</f>
        <v>30077390</v>
      </c>
      <c r="F64" s="350">
        <f>(((((23305100+814015+1855+882100+1246141+24736+912211+25654+6060+2700+200000)+742713+2700)+100000+556514+7000+147600+57500+92200+1000000+50004+7500+7500+96825+34800+175962)+8300+8000+700000)-1089500-549900+140000+361100)</f>
        <v>30077390</v>
      </c>
      <c r="G64" s="350">
        <f>(19102541)-815800</f>
        <v>18286741</v>
      </c>
      <c r="H64" s="350">
        <f>(1246141+24736+912211+25654)-549900</f>
        <v>1658842</v>
      </c>
      <c r="I64" s="350"/>
      <c r="J64" s="393">
        <f>L64+O64</f>
        <v>6463440.9000000004</v>
      </c>
      <c r="K64" s="350">
        <f>((500000+100000)+5603701)-244960.1</f>
        <v>5958740.9000000004</v>
      </c>
      <c r="L64" s="350">
        <v>504700</v>
      </c>
      <c r="M64" s="350">
        <v>100080</v>
      </c>
      <c r="N64" s="350">
        <v>115470</v>
      </c>
      <c r="O64" s="351">
        <f>K64</f>
        <v>5958740.9000000004</v>
      </c>
      <c r="P64" s="393">
        <f>E64+J64</f>
        <v>36540830.899999999</v>
      </c>
      <c r="Q64" s="20"/>
      <c r="R64" s="30"/>
    </row>
    <row r="65" spans="1:18" ht="48" thickTop="1" thickBot="1" x14ac:dyDescent="0.25">
      <c r="A65" s="119" t="s">
        <v>679</v>
      </c>
      <c r="B65" s="119" t="s">
        <v>680</v>
      </c>
      <c r="C65" s="119" t="s">
        <v>214</v>
      </c>
      <c r="D65" s="119" t="s">
        <v>341</v>
      </c>
      <c r="E65" s="393">
        <f>F65</f>
        <v>519820</v>
      </c>
      <c r="F65" s="350">
        <f>(219820)+300000</f>
        <v>519820</v>
      </c>
      <c r="G65" s="350"/>
      <c r="H65" s="350"/>
      <c r="I65" s="350"/>
      <c r="J65" s="393">
        <f>L65+O65</f>
        <v>0</v>
      </c>
      <c r="K65" s="350"/>
      <c r="L65" s="350"/>
      <c r="M65" s="350"/>
      <c r="N65" s="350"/>
      <c r="O65" s="351">
        <f>K65</f>
        <v>0</v>
      </c>
      <c r="P65" s="393">
        <f>E65+J65</f>
        <v>519820</v>
      </c>
      <c r="Q65" s="20"/>
      <c r="R65" s="30"/>
    </row>
    <row r="66" spans="1:18" ht="48" thickTop="1" thickBot="1" x14ac:dyDescent="0.25">
      <c r="A66" s="399" t="s">
        <v>681</v>
      </c>
      <c r="B66" s="399" t="s">
        <v>682</v>
      </c>
      <c r="C66" s="399"/>
      <c r="D66" s="399" t="s">
        <v>433</v>
      </c>
      <c r="E66" s="388">
        <f>E67+E68</f>
        <v>4747921.5</v>
      </c>
      <c r="F66" s="388">
        <f>F67+F68</f>
        <v>4747921.5</v>
      </c>
      <c r="G66" s="388">
        <f t="shared" ref="G66:O66" si="33">G67+G68</f>
        <v>3546172</v>
      </c>
      <c r="H66" s="388">
        <f t="shared" si="33"/>
        <v>92665</v>
      </c>
      <c r="I66" s="388">
        <f t="shared" si="33"/>
        <v>0</v>
      </c>
      <c r="J66" s="388">
        <f t="shared" si="33"/>
        <v>219300</v>
      </c>
      <c r="K66" s="388">
        <f t="shared" si="33"/>
        <v>219300</v>
      </c>
      <c r="L66" s="388">
        <f t="shared" si="33"/>
        <v>0</v>
      </c>
      <c r="M66" s="388">
        <f t="shared" si="33"/>
        <v>0</v>
      </c>
      <c r="N66" s="388">
        <f t="shared" si="33"/>
        <v>0</v>
      </c>
      <c r="O66" s="388">
        <f t="shared" si="33"/>
        <v>219300</v>
      </c>
      <c r="P66" s="388">
        <f>E66+J66</f>
        <v>4967221.5</v>
      </c>
      <c r="Q66" s="20"/>
      <c r="R66" s="35"/>
    </row>
    <row r="67" spans="1:18" ht="93" thickTop="1" thickBot="1" x14ac:dyDescent="0.25">
      <c r="A67" s="119" t="s">
        <v>683</v>
      </c>
      <c r="B67" s="119" t="s">
        <v>684</v>
      </c>
      <c r="C67" s="119" t="s">
        <v>214</v>
      </c>
      <c r="D67" s="119" t="s">
        <v>685</v>
      </c>
      <c r="E67" s="393">
        <f>F67</f>
        <v>1032521.5</v>
      </c>
      <c r="F67" s="350">
        <f>((((736700+167810+59750+5000+125493+10551+31952+2569+900)+1489.5)+76907)+16600)-125300-77900</f>
        <v>1032521.5</v>
      </c>
      <c r="G67" s="350">
        <f>(603852)-103100</f>
        <v>500752</v>
      </c>
      <c r="H67" s="350">
        <f>(125493+10551+31952+2569)-77900</f>
        <v>92665</v>
      </c>
      <c r="I67" s="350"/>
      <c r="J67" s="393">
        <f>L67+O67</f>
        <v>219300</v>
      </c>
      <c r="K67" s="350">
        <f>219300</f>
        <v>219300</v>
      </c>
      <c r="L67" s="350"/>
      <c r="M67" s="350"/>
      <c r="N67" s="350"/>
      <c r="O67" s="351">
        <f>K67</f>
        <v>219300</v>
      </c>
      <c r="P67" s="393">
        <f>E67+J67</f>
        <v>1251821.5</v>
      </c>
      <c r="Q67" s="20"/>
      <c r="R67" s="26"/>
    </row>
    <row r="68" spans="1:18" ht="93" thickTop="1" thickBot="1" x14ac:dyDescent="0.25">
      <c r="A68" s="119" t="s">
        <v>686</v>
      </c>
      <c r="B68" s="119" t="s">
        <v>687</v>
      </c>
      <c r="C68" s="119" t="s">
        <v>214</v>
      </c>
      <c r="D68" s="119" t="s">
        <v>688</v>
      </c>
      <c r="E68" s="393">
        <f>F68</f>
        <v>3715400</v>
      </c>
      <c r="F68" s="350">
        <v>3715400</v>
      </c>
      <c r="G68" s="350">
        <v>3045420</v>
      </c>
      <c r="H68" s="350"/>
      <c r="I68" s="350"/>
      <c r="J68" s="393">
        <f t="shared" ref="J68:J69" si="34">L68+O68</f>
        <v>0</v>
      </c>
      <c r="K68" s="350"/>
      <c r="L68" s="350"/>
      <c r="M68" s="350"/>
      <c r="N68" s="350"/>
      <c r="O68" s="351">
        <f t="shared" ref="O68:O69" si="35">K68</f>
        <v>0</v>
      </c>
      <c r="P68" s="393">
        <f t="shared" ref="P68:P75" si="36">E68+J68</f>
        <v>3715400</v>
      </c>
      <c r="Q68" s="20"/>
      <c r="R68" s="30"/>
    </row>
    <row r="69" spans="1:18" ht="93" thickTop="1" thickBot="1" x14ac:dyDescent="0.25">
      <c r="A69" s="119" t="s">
        <v>653</v>
      </c>
      <c r="B69" s="119" t="s">
        <v>654</v>
      </c>
      <c r="C69" s="119" t="s">
        <v>214</v>
      </c>
      <c r="D69" s="119" t="s">
        <v>655</v>
      </c>
      <c r="E69" s="393">
        <f t="shared" ref="E69:E90" si="37">F69</f>
        <v>3526880</v>
      </c>
      <c r="F69" s="350">
        <f>((2939060+224488+42150+10000+60964+6421+28228+5269)+42000)+93300+75000</f>
        <v>3526880</v>
      </c>
      <c r="G69" s="350">
        <f>(2409066)+74000</f>
        <v>2483066</v>
      </c>
      <c r="H69" s="350">
        <f>60964+6421+28228+5269</f>
        <v>100882</v>
      </c>
      <c r="I69" s="350"/>
      <c r="J69" s="393">
        <f t="shared" si="34"/>
        <v>400000</v>
      </c>
      <c r="K69" s="350">
        <f>(200000)+200000</f>
        <v>400000</v>
      </c>
      <c r="L69" s="350"/>
      <c r="M69" s="350"/>
      <c r="N69" s="350"/>
      <c r="O69" s="351">
        <f t="shared" si="35"/>
        <v>400000</v>
      </c>
      <c r="P69" s="393">
        <f t="shared" si="36"/>
        <v>3926880</v>
      </c>
      <c r="Q69" s="20"/>
      <c r="R69" s="26"/>
    </row>
    <row r="70" spans="1:18" s="33" customFormat="1" ht="93" hidden="1" thickTop="1" thickBot="1" x14ac:dyDescent="0.25">
      <c r="A70" s="432" t="s">
        <v>658</v>
      </c>
      <c r="B70" s="432" t="s">
        <v>659</v>
      </c>
      <c r="C70" s="432"/>
      <c r="D70" s="432" t="s">
        <v>660</v>
      </c>
      <c r="E70" s="412">
        <f t="shared" si="37"/>
        <v>0</v>
      </c>
      <c r="F70" s="412">
        <f>SUM(F71:F72)</f>
        <v>0</v>
      </c>
      <c r="G70" s="412">
        <f t="shared" ref="G70:I70" si="38">SUM(G71:G72)</f>
        <v>0</v>
      </c>
      <c r="H70" s="412">
        <f t="shared" si="38"/>
        <v>0</v>
      </c>
      <c r="I70" s="412">
        <f t="shared" si="38"/>
        <v>0</v>
      </c>
      <c r="J70" s="412">
        <f t="shared" si="20"/>
        <v>0</v>
      </c>
      <c r="K70" s="388">
        <f>SUM(K71:K72)</f>
        <v>0</v>
      </c>
      <c r="L70" s="412">
        <f t="shared" ref="L70:N70" si="39">SUM(L71:L72)</f>
        <v>0</v>
      </c>
      <c r="M70" s="412">
        <f t="shared" si="39"/>
        <v>0</v>
      </c>
      <c r="N70" s="412">
        <f t="shared" si="39"/>
        <v>0</v>
      </c>
      <c r="O70" s="412">
        <f>SUM(O71:O72)</f>
        <v>0</v>
      </c>
      <c r="P70" s="412">
        <f t="shared" si="36"/>
        <v>0</v>
      </c>
      <c r="Q70" s="36"/>
      <c r="R70" s="37"/>
    </row>
    <row r="71" spans="1:18" s="33" customFormat="1" ht="138.75" hidden="1" thickTop="1" thickBot="1" x14ac:dyDescent="0.25">
      <c r="A71" s="396" t="s">
        <v>661</v>
      </c>
      <c r="B71" s="396" t="s">
        <v>662</v>
      </c>
      <c r="C71" s="396" t="s">
        <v>214</v>
      </c>
      <c r="D71" s="396" t="s">
        <v>663</v>
      </c>
      <c r="E71" s="430">
        <f t="shared" si="37"/>
        <v>0</v>
      </c>
      <c r="F71" s="411"/>
      <c r="G71" s="411"/>
      <c r="H71" s="411"/>
      <c r="I71" s="411"/>
      <c r="J71" s="430">
        <f t="shared" si="20"/>
        <v>0</v>
      </c>
      <c r="K71" s="350"/>
      <c r="L71" s="411"/>
      <c r="M71" s="411"/>
      <c r="N71" s="411"/>
      <c r="O71" s="431">
        <f t="shared" ref="O71:O72" si="40">K71</f>
        <v>0</v>
      </c>
      <c r="P71" s="430">
        <f t="shared" si="36"/>
        <v>0</v>
      </c>
      <c r="Q71" s="36"/>
      <c r="R71" s="26"/>
    </row>
    <row r="72" spans="1:18" s="33" customFormat="1" ht="138.75" hidden="1" thickTop="1" thickBot="1" x14ac:dyDescent="0.25">
      <c r="A72" s="396" t="s">
        <v>993</v>
      </c>
      <c r="B72" s="396" t="s">
        <v>994</v>
      </c>
      <c r="C72" s="396" t="s">
        <v>214</v>
      </c>
      <c r="D72" s="396" t="s">
        <v>995</v>
      </c>
      <c r="E72" s="430">
        <f t="shared" si="37"/>
        <v>0</v>
      </c>
      <c r="F72" s="411"/>
      <c r="G72" s="411"/>
      <c r="H72" s="411"/>
      <c r="I72" s="411"/>
      <c r="J72" s="430">
        <f t="shared" si="20"/>
        <v>0</v>
      </c>
      <c r="K72" s="350"/>
      <c r="L72" s="411"/>
      <c r="M72" s="411"/>
      <c r="N72" s="411"/>
      <c r="O72" s="431">
        <f t="shared" si="40"/>
        <v>0</v>
      </c>
      <c r="P72" s="430">
        <f t="shared" si="36"/>
        <v>0</v>
      </c>
      <c r="Q72" s="36"/>
      <c r="R72" s="26"/>
    </row>
    <row r="73" spans="1:18" s="33" customFormat="1" ht="184.5" hidden="1" thickTop="1" thickBot="1" x14ac:dyDescent="0.25">
      <c r="A73" s="432" t="s">
        <v>1012</v>
      </c>
      <c r="B73" s="432" t="s">
        <v>1014</v>
      </c>
      <c r="C73" s="432"/>
      <c r="D73" s="432" t="s">
        <v>1016</v>
      </c>
      <c r="E73" s="412">
        <f>E74+E75</f>
        <v>0</v>
      </c>
      <c r="F73" s="412">
        <f>F74+F75</f>
        <v>0</v>
      </c>
      <c r="G73" s="412">
        <f t="shared" ref="G73:I73" si="41">G74+G75</f>
        <v>0</v>
      </c>
      <c r="H73" s="412">
        <f t="shared" si="41"/>
        <v>0</v>
      </c>
      <c r="I73" s="412">
        <f t="shared" si="41"/>
        <v>0</v>
      </c>
      <c r="J73" s="412">
        <f>L73+O73</f>
        <v>0</v>
      </c>
      <c r="K73" s="388">
        <f t="shared" ref="K73:O73" si="42">K74+K75</f>
        <v>0</v>
      </c>
      <c r="L73" s="412">
        <f t="shared" si="42"/>
        <v>0</v>
      </c>
      <c r="M73" s="412">
        <f t="shared" si="42"/>
        <v>0</v>
      </c>
      <c r="N73" s="412">
        <f t="shared" si="42"/>
        <v>0</v>
      </c>
      <c r="O73" s="412">
        <f t="shared" si="42"/>
        <v>0</v>
      </c>
      <c r="P73" s="412">
        <f t="shared" si="36"/>
        <v>0</v>
      </c>
      <c r="Q73" s="36"/>
      <c r="R73" s="26"/>
    </row>
    <row r="74" spans="1:18" s="33" customFormat="1" ht="230.25" hidden="1" thickTop="1" thickBot="1" x14ac:dyDescent="0.25">
      <c r="A74" s="396" t="s">
        <v>1013</v>
      </c>
      <c r="B74" s="396" t="s">
        <v>1015</v>
      </c>
      <c r="C74" s="396" t="s">
        <v>214</v>
      </c>
      <c r="D74" s="396" t="s">
        <v>1017</v>
      </c>
      <c r="E74" s="430">
        <f t="shared" ref="E74:E75" si="43">F74</f>
        <v>0</v>
      </c>
      <c r="F74" s="411"/>
      <c r="G74" s="411"/>
      <c r="H74" s="411"/>
      <c r="I74" s="411"/>
      <c r="J74" s="430">
        <f t="shared" ref="J74:J75" si="44">L74+O74</f>
        <v>0</v>
      </c>
      <c r="K74" s="350">
        <f>4547046.18-4547046.18</f>
        <v>0</v>
      </c>
      <c r="L74" s="411"/>
      <c r="M74" s="411"/>
      <c r="N74" s="411"/>
      <c r="O74" s="431">
        <f t="shared" ref="O74:O75" si="45">K74</f>
        <v>0</v>
      </c>
      <c r="P74" s="430">
        <f t="shared" si="36"/>
        <v>0</v>
      </c>
      <c r="Q74" s="36"/>
      <c r="R74" s="26"/>
    </row>
    <row r="75" spans="1:18" s="33" customFormat="1" ht="46.5" hidden="1" thickTop="1" thickBot="1" x14ac:dyDescent="0.25">
      <c r="A75" s="681" t="s">
        <v>1032</v>
      </c>
      <c r="B75" s="681" t="s">
        <v>1033</v>
      </c>
      <c r="C75" s="681" t="s">
        <v>214</v>
      </c>
      <c r="D75" s="681" t="s">
        <v>1034</v>
      </c>
      <c r="E75" s="675">
        <f t="shared" si="43"/>
        <v>0</v>
      </c>
      <c r="F75" s="675"/>
      <c r="G75" s="675"/>
      <c r="H75" s="675"/>
      <c r="I75" s="675"/>
      <c r="J75" s="675">
        <f t="shared" si="44"/>
        <v>0</v>
      </c>
      <c r="K75" s="695">
        <f>10623233.82-10623233.82</f>
        <v>0</v>
      </c>
      <c r="L75" s="675"/>
      <c r="M75" s="675"/>
      <c r="N75" s="675"/>
      <c r="O75" s="678">
        <f t="shared" si="45"/>
        <v>0</v>
      </c>
      <c r="P75" s="675">
        <f t="shared" si="36"/>
        <v>0</v>
      </c>
      <c r="Q75" s="36"/>
      <c r="R75" s="26"/>
    </row>
    <row r="76" spans="1:18" s="33" customFormat="1" ht="46.5" hidden="1" thickTop="1" thickBot="1" x14ac:dyDescent="0.25">
      <c r="A76" s="677"/>
      <c r="B76" s="677"/>
      <c r="C76" s="677"/>
      <c r="D76" s="677"/>
      <c r="E76" s="677"/>
      <c r="F76" s="677"/>
      <c r="G76" s="677"/>
      <c r="H76" s="677"/>
      <c r="I76" s="677"/>
      <c r="J76" s="677"/>
      <c r="K76" s="684"/>
      <c r="L76" s="677"/>
      <c r="M76" s="677"/>
      <c r="N76" s="677"/>
      <c r="O76" s="677"/>
      <c r="P76" s="677"/>
      <c r="Q76" s="36"/>
      <c r="R76" s="26"/>
    </row>
    <row r="77" spans="1:18" s="33" customFormat="1" ht="138.75" thickTop="1" thickBot="1" x14ac:dyDescent="0.25">
      <c r="A77" s="119" t="s">
        <v>650</v>
      </c>
      <c r="B77" s="119" t="s">
        <v>651</v>
      </c>
      <c r="C77" s="119" t="s">
        <v>214</v>
      </c>
      <c r="D77" s="119" t="s">
        <v>652</v>
      </c>
      <c r="E77" s="393">
        <f t="shared" si="37"/>
        <v>4309689</v>
      </c>
      <c r="F77" s="350">
        <v>4309689</v>
      </c>
      <c r="G77" s="350">
        <v>3532532</v>
      </c>
      <c r="H77" s="350"/>
      <c r="I77" s="350"/>
      <c r="J77" s="393">
        <f t="shared" ref="J77:J78" si="46">L77+O77</f>
        <v>0</v>
      </c>
      <c r="K77" s="350"/>
      <c r="L77" s="350"/>
      <c r="M77" s="350"/>
      <c r="N77" s="350"/>
      <c r="O77" s="351">
        <f t="shared" ref="O77:O78" si="47">K77</f>
        <v>0</v>
      </c>
      <c r="P77" s="393">
        <f t="shared" ref="P77:P78" si="48">E77+J77</f>
        <v>4309689</v>
      </c>
      <c r="Q77" s="36"/>
      <c r="R77" s="26"/>
    </row>
    <row r="78" spans="1:18" s="33" customFormat="1" ht="138.75" thickTop="1" thickBot="1" x14ac:dyDescent="0.25">
      <c r="A78" s="119" t="s">
        <v>953</v>
      </c>
      <c r="B78" s="119" t="s">
        <v>954</v>
      </c>
      <c r="C78" s="119" t="s">
        <v>214</v>
      </c>
      <c r="D78" s="119" t="s">
        <v>1552</v>
      </c>
      <c r="E78" s="393">
        <f t="shared" si="37"/>
        <v>2413596</v>
      </c>
      <c r="F78" s="350">
        <v>2413596</v>
      </c>
      <c r="G78" s="350">
        <v>1978358</v>
      </c>
      <c r="H78" s="350"/>
      <c r="I78" s="350"/>
      <c r="J78" s="393">
        <f t="shared" si="46"/>
        <v>0</v>
      </c>
      <c r="K78" s="350">
        <v>0</v>
      </c>
      <c r="L78" s="350"/>
      <c r="M78" s="350"/>
      <c r="N78" s="350"/>
      <c r="O78" s="351">
        <f t="shared" si="47"/>
        <v>0</v>
      </c>
      <c r="P78" s="393">
        <f t="shared" si="48"/>
        <v>2413596</v>
      </c>
      <c r="Q78" s="36"/>
      <c r="R78" s="26"/>
    </row>
    <row r="79" spans="1:18" s="33" customFormat="1" ht="93" thickTop="1" thickBot="1" x14ac:dyDescent="0.25">
      <c r="A79" s="399" t="s">
        <v>1018</v>
      </c>
      <c r="B79" s="399" t="s">
        <v>1020</v>
      </c>
      <c r="C79" s="399"/>
      <c r="D79" s="399" t="s">
        <v>1543</v>
      </c>
      <c r="E79" s="388">
        <f>F79</f>
        <v>0</v>
      </c>
      <c r="F79" s="388">
        <f>SUM(F80:F81)</f>
        <v>0</v>
      </c>
      <c r="G79" s="388">
        <f>SUM(G80:G81)</f>
        <v>0</v>
      </c>
      <c r="H79" s="388">
        <f>SUM(H80:H81)</f>
        <v>0</v>
      </c>
      <c r="I79" s="388">
        <f>SUM(I80:I81)</f>
        <v>0</v>
      </c>
      <c r="J79" s="388">
        <f>L79+O79</f>
        <v>1780336.07</v>
      </c>
      <c r="K79" s="388">
        <f>SUM(K80:K81)</f>
        <v>1780336.07</v>
      </c>
      <c r="L79" s="388">
        <f>SUM(L80:L81)</f>
        <v>0</v>
      </c>
      <c r="M79" s="388">
        <f>SUM(M80:M81)</f>
        <v>0</v>
      </c>
      <c r="N79" s="388">
        <f>SUM(N80:N81)</f>
        <v>0</v>
      </c>
      <c r="O79" s="388">
        <f>SUM(O80:O81)</f>
        <v>1780336.07</v>
      </c>
      <c r="P79" s="388">
        <f>E79+J79</f>
        <v>1780336.07</v>
      </c>
      <c r="Q79" s="36"/>
      <c r="R79" s="26"/>
    </row>
    <row r="80" spans="1:18" s="33" customFormat="1" ht="138.75" thickTop="1" thickBot="1" x14ac:dyDescent="0.25">
      <c r="A80" s="119" t="s">
        <v>1019</v>
      </c>
      <c r="B80" s="119" t="s">
        <v>1021</v>
      </c>
      <c r="C80" s="119" t="s">
        <v>214</v>
      </c>
      <c r="D80" s="119" t="s">
        <v>1294</v>
      </c>
      <c r="E80" s="393">
        <f>F80</f>
        <v>0</v>
      </c>
      <c r="F80" s="350"/>
      <c r="G80" s="350"/>
      <c r="H80" s="350"/>
      <c r="I80" s="350"/>
      <c r="J80" s="393">
        <f t="shared" ref="J80:J81" si="49">L80+O80</f>
        <v>1780336.07</v>
      </c>
      <c r="K80" s="350">
        <f>(1611703)+168633.07</f>
        <v>1780336.07</v>
      </c>
      <c r="L80" s="350"/>
      <c r="M80" s="350"/>
      <c r="N80" s="350"/>
      <c r="O80" s="351">
        <f t="shared" ref="O80:O81" si="50">K80</f>
        <v>1780336.07</v>
      </c>
      <c r="P80" s="393">
        <f>E80+J80</f>
        <v>1780336.07</v>
      </c>
      <c r="Q80" s="36"/>
      <c r="R80" s="26"/>
    </row>
    <row r="81" spans="1:18" s="33" customFormat="1" ht="138.75" hidden="1" thickTop="1" thickBot="1" x14ac:dyDescent="0.25">
      <c r="A81" s="396" t="s">
        <v>1068</v>
      </c>
      <c r="B81" s="396" t="s">
        <v>1069</v>
      </c>
      <c r="C81" s="396" t="s">
        <v>214</v>
      </c>
      <c r="D81" s="396" t="s">
        <v>1067</v>
      </c>
      <c r="E81" s="393">
        <f>F81</f>
        <v>0</v>
      </c>
      <c r="F81" s="350">
        <f>(553900)-553900</f>
        <v>0</v>
      </c>
      <c r="G81" s="350"/>
      <c r="H81" s="350"/>
      <c r="I81" s="350"/>
      <c r="J81" s="393">
        <f t="shared" si="49"/>
        <v>0</v>
      </c>
      <c r="K81" s="350"/>
      <c r="L81" s="411"/>
      <c r="M81" s="411"/>
      <c r="N81" s="411"/>
      <c r="O81" s="431">
        <f t="shared" si="50"/>
        <v>0</v>
      </c>
      <c r="P81" s="430">
        <f>E81+J81</f>
        <v>0</v>
      </c>
      <c r="Q81" s="36"/>
      <c r="R81" s="26"/>
    </row>
    <row r="82" spans="1:18" s="33" customFormat="1" ht="93" thickTop="1" thickBot="1" x14ac:dyDescent="0.25">
      <c r="A82" s="399" t="s">
        <v>1484</v>
      </c>
      <c r="B82" s="399" t="s">
        <v>1485</v>
      </c>
      <c r="C82" s="399"/>
      <c r="D82" s="399" t="s">
        <v>1483</v>
      </c>
      <c r="E82" s="388">
        <f>SUM(E83:E84)</f>
        <v>0</v>
      </c>
      <c r="F82" s="388">
        <f t="shared" ref="F82:P82" si="51">SUM(F83:F84)</f>
        <v>0</v>
      </c>
      <c r="G82" s="388">
        <f t="shared" si="51"/>
        <v>0</v>
      </c>
      <c r="H82" s="388">
        <f t="shared" si="51"/>
        <v>0</v>
      </c>
      <c r="I82" s="388">
        <f t="shared" si="51"/>
        <v>0</v>
      </c>
      <c r="J82" s="388">
        <f t="shared" si="51"/>
        <v>14200000</v>
      </c>
      <c r="K82" s="388">
        <f t="shared" si="51"/>
        <v>14200000</v>
      </c>
      <c r="L82" s="388">
        <f t="shared" si="51"/>
        <v>0</v>
      </c>
      <c r="M82" s="388">
        <f t="shared" si="51"/>
        <v>0</v>
      </c>
      <c r="N82" s="388">
        <f t="shared" si="51"/>
        <v>0</v>
      </c>
      <c r="O82" s="388">
        <f t="shared" si="51"/>
        <v>14200000</v>
      </c>
      <c r="P82" s="388">
        <f t="shared" si="51"/>
        <v>14200000</v>
      </c>
      <c r="Q82" s="36"/>
      <c r="R82" s="26"/>
    </row>
    <row r="83" spans="1:18" s="33" customFormat="1" ht="138.75" thickTop="1" thickBot="1" x14ac:dyDescent="0.25">
      <c r="A83" s="119" t="s">
        <v>1486</v>
      </c>
      <c r="B83" s="119" t="s">
        <v>1487</v>
      </c>
      <c r="C83" s="119" t="s">
        <v>214</v>
      </c>
      <c r="D83" s="119" t="s">
        <v>1488</v>
      </c>
      <c r="E83" s="393">
        <f>F83</f>
        <v>0</v>
      </c>
      <c r="F83" s="350"/>
      <c r="G83" s="350"/>
      <c r="H83" s="350"/>
      <c r="I83" s="350"/>
      <c r="J83" s="393">
        <f t="shared" ref="J83:J84" si="52">L83+O83</f>
        <v>7000000</v>
      </c>
      <c r="K83" s="350">
        <v>7000000</v>
      </c>
      <c r="L83" s="350"/>
      <c r="M83" s="350"/>
      <c r="N83" s="350"/>
      <c r="O83" s="351">
        <f t="shared" ref="O83:O84" si="53">K83</f>
        <v>7000000</v>
      </c>
      <c r="P83" s="393">
        <f>E83+J83</f>
        <v>7000000</v>
      </c>
      <c r="Q83" s="36"/>
      <c r="R83" s="26"/>
    </row>
    <row r="84" spans="1:18" s="33" customFormat="1" ht="138.75" thickTop="1" thickBot="1" x14ac:dyDescent="0.25">
      <c r="A84" s="119" t="s">
        <v>1489</v>
      </c>
      <c r="B84" s="119" t="s">
        <v>1490</v>
      </c>
      <c r="C84" s="119" t="s">
        <v>214</v>
      </c>
      <c r="D84" s="119" t="s">
        <v>1491</v>
      </c>
      <c r="E84" s="393">
        <f>F84</f>
        <v>0</v>
      </c>
      <c r="F84" s="350"/>
      <c r="G84" s="350"/>
      <c r="H84" s="350"/>
      <c r="I84" s="350"/>
      <c r="J84" s="393">
        <f t="shared" si="52"/>
        <v>7200000</v>
      </c>
      <c r="K84" s="350">
        <v>7200000</v>
      </c>
      <c r="L84" s="350"/>
      <c r="M84" s="350"/>
      <c r="N84" s="350"/>
      <c r="O84" s="351">
        <f t="shared" si="53"/>
        <v>7200000</v>
      </c>
      <c r="P84" s="393">
        <f>E84+J84</f>
        <v>7200000</v>
      </c>
      <c r="Q84" s="36"/>
      <c r="R84" s="26"/>
    </row>
    <row r="85" spans="1:18" s="33" customFormat="1" ht="138.75" thickTop="1" thickBot="1" x14ac:dyDescent="0.25">
      <c r="A85" s="399" t="s">
        <v>1568</v>
      </c>
      <c r="B85" s="399" t="s">
        <v>1567</v>
      </c>
      <c r="C85" s="399"/>
      <c r="D85" s="399" t="s">
        <v>1569</v>
      </c>
      <c r="E85" s="388">
        <f>SUM(E86:E87)</f>
        <v>670100</v>
      </c>
      <c r="F85" s="388">
        <f t="shared" ref="F85:O85" si="54">SUM(F86:F87)</f>
        <v>670100</v>
      </c>
      <c r="G85" s="388">
        <f t="shared" si="54"/>
        <v>0</v>
      </c>
      <c r="H85" s="388">
        <f t="shared" si="54"/>
        <v>0</v>
      </c>
      <c r="I85" s="388">
        <f t="shared" si="54"/>
        <v>0</v>
      </c>
      <c r="J85" s="388">
        <f t="shared" si="54"/>
        <v>3177612</v>
      </c>
      <c r="K85" s="388">
        <f t="shared" si="54"/>
        <v>349091</v>
      </c>
      <c r="L85" s="388">
        <f t="shared" si="54"/>
        <v>1563492</v>
      </c>
      <c r="M85" s="388">
        <f t="shared" si="54"/>
        <v>0</v>
      </c>
      <c r="N85" s="388">
        <f t="shared" si="54"/>
        <v>0</v>
      </c>
      <c r="O85" s="388">
        <f t="shared" si="54"/>
        <v>1614120</v>
      </c>
      <c r="P85" s="388">
        <f>SUM(P86:P87)</f>
        <v>3847712</v>
      </c>
      <c r="Q85" s="36"/>
      <c r="R85" s="26"/>
    </row>
    <row r="86" spans="1:18" s="33" customFormat="1" ht="93" thickTop="1" thickBot="1" x14ac:dyDescent="0.25">
      <c r="A86" s="119" t="s">
        <v>1570</v>
      </c>
      <c r="B86" s="119" t="s">
        <v>1571</v>
      </c>
      <c r="C86" s="119" t="s">
        <v>214</v>
      </c>
      <c r="D86" s="119" t="s">
        <v>1575</v>
      </c>
      <c r="E86" s="393">
        <f t="shared" ref="E86:E87" si="55">F86</f>
        <v>670100</v>
      </c>
      <c r="F86" s="350">
        <v>670100</v>
      </c>
      <c r="G86" s="350"/>
      <c r="H86" s="350"/>
      <c r="I86" s="350"/>
      <c r="J86" s="393">
        <f t="shared" ref="J86:J87" si="56">L86+O86</f>
        <v>349091</v>
      </c>
      <c r="K86" s="350">
        <f>349091</f>
        <v>349091</v>
      </c>
      <c r="L86" s="350"/>
      <c r="M86" s="350"/>
      <c r="N86" s="350"/>
      <c r="O86" s="351">
        <f t="shared" ref="O86" si="57">K86</f>
        <v>349091</v>
      </c>
      <c r="P86" s="393">
        <f t="shared" ref="P86:P87" si="58">E86+J86</f>
        <v>1019191</v>
      </c>
      <c r="Q86" s="36"/>
      <c r="R86" s="26"/>
    </row>
    <row r="87" spans="1:18" s="33" customFormat="1" ht="138.75" thickTop="1" thickBot="1" x14ac:dyDescent="0.25">
      <c r="A87" s="119" t="s">
        <v>1572</v>
      </c>
      <c r="B87" s="119" t="s">
        <v>1573</v>
      </c>
      <c r="C87" s="119" t="s">
        <v>214</v>
      </c>
      <c r="D87" s="119" t="s">
        <v>1574</v>
      </c>
      <c r="E87" s="393">
        <f t="shared" si="55"/>
        <v>0</v>
      </c>
      <c r="F87" s="350"/>
      <c r="G87" s="350"/>
      <c r="H87" s="350"/>
      <c r="I87" s="350"/>
      <c r="J87" s="393">
        <f t="shared" si="56"/>
        <v>2828521</v>
      </c>
      <c r="K87" s="350"/>
      <c r="L87" s="350">
        <v>1563492</v>
      </c>
      <c r="M87" s="350"/>
      <c r="N87" s="350"/>
      <c r="O87" s="351">
        <f>K87+814545+450484</f>
        <v>1265029</v>
      </c>
      <c r="P87" s="393">
        <f t="shared" si="58"/>
        <v>2828521</v>
      </c>
      <c r="Q87" s="36"/>
      <c r="R87" s="26"/>
    </row>
    <row r="88" spans="1:18" s="33" customFormat="1" ht="47.25" thickTop="1" thickBot="1" x14ac:dyDescent="0.25">
      <c r="A88" s="346" t="s">
        <v>716</v>
      </c>
      <c r="B88" s="346" t="s">
        <v>717</v>
      </c>
      <c r="C88" s="346"/>
      <c r="D88" s="346" t="s">
        <v>718</v>
      </c>
      <c r="E88" s="393">
        <f>SUM(E89:E90)</f>
        <v>3079150</v>
      </c>
      <c r="F88" s="393">
        <f t="shared" ref="F88:P88" si="59">SUM(F89:F90)</f>
        <v>3079150</v>
      </c>
      <c r="G88" s="393">
        <f t="shared" si="59"/>
        <v>0</v>
      </c>
      <c r="H88" s="393">
        <f t="shared" si="59"/>
        <v>1369899</v>
      </c>
      <c r="I88" s="393">
        <f t="shared" si="59"/>
        <v>0</v>
      </c>
      <c r="J88" s="393">
        <f t="shared" si="59"/>
        <v>0</v>
      </c>
      <c r="K88" s="393">
        <f t="shared" si="59"/>
        <v>0</v>
      </c>
      <c r="L88" s="393">
        <f t="shared" si="59"/>
        <v>0</v>
      </c>
      <c r="M88" s="393">
        <f t="shared" si="59"/>
        <v>0</v>
      </c>
      <c r="N88" s="393">
        <f t="shared" si="59"/>
        <v>0</v>
      </c>
      <c r="O88" s="393">
        <f t="shared" si="59"/>
        <v>0</v>
      </c>
      <c r="P88" s="393">
        <f t="shared" si="59"/>
        <v>3079150</v>
      </c>
      <c r="Q88" s="36"/>
      <c r="R88" s="26"/>
    </row>
    <row r="89" spans="1:18" s="33" customFormat="1" ht="138.75" thickTop="1" thickBot="1" x14ac:dyDescent="0.25">
      <c r="A89" s="119" t="s">
        <v>435</v>
      </c>
      <c r="B89" s="119" t="s">
        <v>436</v>
      </c>
      <c r="C89" s="119" t="s">
        <v>189</v>
      </c>
      <c r="D89" s="119" t="s">
        <v>434</v>
      </c>
      <c r="E89" s="393">
        <f t="shared" si="37"/>
        <v>715000</v>
      </c>
      <c r="F89" s="350">
        <v>715000</v>
      </c>
      <c r="G89" s="350"/>
      <c r="H89" s="350"/>
      <c r="I89" s="350"/>
      <c r="J89" s="393">
        <f>L89+O89</f>
        <v>0</v>
      </c>
      <c r="K89" s="350"/>
      <c r="L89" s="350"/>
      <c r="M89" s="350"/>
      <c r="N89" s="350"/>
      <c r="O89" s="351">
        <f>K89</f>
        <v>0</v>
      </c>
      <c r="P89" s="393">
        <f>E89+J89</f>
        <v>715000</v>
      </c>
      <c r="Q89" s="36"/>
      <c r="R89" s="39"/>
    </row>
    <row r="90" spans="1:18" s="33" customFormat="1" ht="93" thickTop="1" thickBot="1" x14ac:dyDescent="0.25">
      <c r="A90" s="119" t="s">
        <v>1259</v>
      </c>
      <c r="B90" s="119" t="s">
        <v>1225</v>
      </c>
      <c r="C90" s="119" t="s">
        <v>210</v>
      </c>
      <c r="D90" s="413" t="s">
        <v>1226</v>
      </c>
      <c r="E90" s="393">
        <f t="shared" si="37"/>
        <v>2364150</v>
      </c>
      <c r="F90" s="350">
        <f>(1518300)+845850</f>
        <v>2364150</v>
      </c>
      <c r="G90" s="350"/>
      <c r="H90" s="350">
        <f>((561600)+96000+7500+136200+6150)+265601+9633+287215</f>
        <v>1369899</v>
      </c>
      <c r="I90" s="350"/>
      <c r="J90" s="393">
        <f>L90+O90</f>
        <v>0</v>
      </c>
      <c r="K90" s="350"/>
      <c r="L90" s="350"/>
      <c r="M90" s="350"/>
      <c r="N90" s="350"/>
      <c r="O90" s="351">
        <f>K90</f>
        <v>0</v>
      </c>
      <c r="P90" s="393">
        <f>E90+J90</f>
        <v>2364150</v>
      </c>
      <c r="Q90" s="36"/>
      <c r="R90" s="39"/>
    </row>
    <row r="91" spans="1:18" s="33" customFormat="1" ht="47.25" thickTop="1" thickBot="1" x14ac:dyDescent="0.25">
      <c r="A91" s="346" t="s">
        <v>1108</v>
      </c>
      <c r="B91" s="346" t="s">
        <v>754</v>
      </c>
      <c r="C91" s="346"/>
      <c r="D91" s="346" t="s">
        <v>1107</v>
      </c>
      <c r="E91" s="393">
        <f>E92+E95</f>
        <v>0</v>
      </c>
      <c r="F91" s="393">
        <f t="shared" ref="F91:P91" si="60">F92+F95</f>
        <v>0</v>
      </c>
      <c r="G91" s="393">
        <f t="shared" si="60"/>
        <v>0</v>
      </c>
      <c r="H91" s="393">
        <f t="shared" si="60"/>
        <v>0</v>
      </c>
      <c r="I91" s="393">
        <f t="shared" si="60"/>
        <v>0</v>
      </c>
      <c r="J91" s="393">
        <f t="shared" si="60"/>
        <v>61972728.339999996</v>
      </c>
      <c r="K91" s="393">
        <f t="shared" si="60"/>
        <v>61972728.339999996</v>
      </c>
      <c r="L91" s="393">
        <f t="shared" si="60"/>
        <v>0</v>
      </c>
      <c r="M91" s="393">
        <f t="shared" si="60"/>
        <v>0</v>
      </c>
      <c r="N91" s="393">
        <f t="shared" si="60"/>
        <v>0</v>
      </c>
      <c r="O91" s="393">
        <f t="shared" si="60"/>
        <v>61972728.339999996</v>
      </c>
      <c r="P91" s="393">
        <f t="shared" si="60"/>
        <v>61972728.339999996</v>
      </c>
      <c r="Q91" s="36"/>
      <c r="R91" s="26"/>
    </row>
    <row r="92" spans="1:18" s="33" customFormat="1" ht="47.25" thickTop="1" thickBot="1" x14ac:dyDescent="0.25">
      <c r="A92" s="348" t="s">
        <v>1106</v>
      </c>
      <c r="B92" s="348" t="s">
        <v>810</v>
      </c>
      <c r="C92" s="348"/>
      <c r="D92" s="348" t="s">
        <v>811</v>
      </c>
      <c r="E92" s="352">
        <f>E93</f>
        <v>0</v>
      </c>
      <c r="F92" s="352">
        <f t="shared" ref="F92:P93" si="61">F93</f>
        <v>0</v>
      </c>
      <c r="G92" s="352">
        <f t="shared" si="61"/>
        <v>0</v>
      </c>
      <c r="H92" s="352">
        <f t="shared" si="61"/>
        <v>0</v>
      </c>
      <c r="I92" s="352">
        <f t="shared" si="61"/>
        <v>0</v>
      </c>
      <c r="J92" s="352">
        <f t="shared" si="61"/>
        <v>32498395.659999996</v>
      </c>
      <c r="K92" s="352">
        <f t="shared" si="61"/>
        <v>32498395.659999996</v>
      </c>
      <c r="L92" s="352">
        <f t="shared" si="61"/>
        <v>0</v>
      </c>
      <c r="M92" s="352">
        <f t="shared" si="61"/>
        <v>0</v>
      </c>
      <c r="N92" s="352">
        <f t="shared" si="61"/>
        <v>0</v>
      </c>
      <c r="O92" s="352">
        <f t="shared" si="61"/>
        <v>32498395.659999996</v>
      </c>
      <c r="P92" s="352">
        <f t="shared" si="61"/>
        <v>32498395.659999996</v>
      </c>
      <c r="Q92" s="36"/>
      <c r="R92" s="26"/>
    </row>
    <row r="93" spans="1:18" s="33" customFormat="1" ht="54" thickTop="1" thickBot="1" x14ac:dyDescent="0.25">
      <c r="A93" s="399" t="s">
        <v>1109</v>
      </c>
      <c r="B93" s="399" t="s">
        <v>828</v>
      </c>
      <c r="C93" s="399"/>
      <c r="D93" s="399" t="s">
        <v>1292</v>
      </c>
      <c r="E93" s="388">
        <f>E94</f>
        <v>0</v>
      </c>
      <c r="F93" s="388">
        <f t="shared" si="61"/>
        <v>0</v>
      </c>
      <c r="G93" s="388">
        <f t="shared" si="61"/>
        <v>0</v>
      </c>
      <c r="H93" s="388">
        <f t="shared" si="61"/>
        <v>0</v>
      </c>
      <c r="I93" s="388">
        <f t="shared" si="61"/>
        <v>0</v>
      </c>
      <c r="J93" s="388">
        <f t="shared" si="61"/>
        <v>32498395.659999996</v>
      </c>
      <c r="K93" s="388">
        <f t="shared" si="61"/>
        <v>32498395.659999996</v>
      </c>
      <c r="L93" s="388">
        <f t="shared" si="61"/>
        <v>0</v>
      </c>
      <c r="M93" s="388">
        <f t="shared" si="61"/>
        <v>0</v>
      </c>
      <c r="N93" s="388">
        <f t="shared" si="61"/>
        <v>0</v>
      </c>
      <c r="O93" s="388">
        <f t="shared" si="61"/>
        <v>32498395.659999996</v>
      </c>
      <c r="P93" s="388">
        <f t="shared" si="61"/>
        <v>32498395.659999996</v>
      </c>
      <c r="Q93" s="36"/>
      <c r="R93" s="26"/>
    </row>
    <row r="94" spans="1:18" s="33" customFormat="1" ht="54" thickTop="1" thickBot="1" x14ac:dyDescent="0.25">
      <c r="A94" s="119" t="s">
        <v>1121</v>
      </c>
      <c r="B94" s="119" t="s">
        <v>315</v>
      </c>
      <c r="C94" s="119" t="s">
        <v>308</v>
      </c>
      <c r="D94" s="119" t="s">
        <v>1293</v>
      </c>
      <c r="E94" s="393">
        <f t="shared" ref="E94" si="62">F94</f>
        <v>0</v>
      </c>
      <c r="F94" s="350"/>
      <c r="G94" s="350"/>
      <c r="H94" s="350"/>
      <c r="I94" s="350"/>
      <c r="J94" s="393">
        <f t="shared" ref="J94" si="63">L94+O94</f>
        <v>32498395.659999996</v>
      </c>
      <c r="K94" s="350">
        <f>(((10000000+200000+2597000)+60228541+5550.6)-7000000+2983231+1000000+420000)-37935926.94</f>
        <v>32498395.659999996</v>
      </c>
      <c r="L94" s="350"/>
      <c r="M94" s="350"/>
      <c r="N94" s="350"/>
      <c r="O94" s="351">
        <f t="shared" ref="O94" si="64">K94</f>
        <v>32498395.659999996</v>
      </c>
      <c r="P94" s="393">
        <f>E94+J94</f>
        <v>32498395.659999996</v>
      </c>
      <c r="Q94" s="30"/>
      <c r="R94" s="26"/>
    </row>
    <row r="95" spans="1:18" s="33" customFormat="1" ht="47.25" thickTop="1" thickBot="1" x14ac:dyDescent="0.25">
      <c r="A95" s="348" t="s">
        <v>1110</v>
      </c>
      <c r="B95" s="348" t="s">
        <v>697</v>
      </c>
      <c r="C95" s="348"/>
      <c r="D95" s="348" t="s">
        <v>695</v>
      </c>
      <c r="E95" s="352">
        <f>E96</f>
        <v>0</v>
      </c>
      <c r="F95" s="352">
        <f t="shared" ref="F95:P95" si="65">F96</f>
        <v>0</v>
      </c>
      <c r="G95" s="352">
        <f t="shared" si="65"/>
        <v>0</v>
      </c>
      <c r="H95" s="352">
        <f t="shared" si="65"/>
        <v>0</v>
      </c>
      <c r="I95" s="352">
        <f t="shared" si="65"/>
        <v>0</v>
      </c>
      <c r="J95" s="352">
        <f t="shared" si="65"/>
        <v>29474332.68</v>
      </c>
      <c r="K95" s="352">
        <f t="shared" si="65"/>
        <v>29474332.68</v>
      </c>
      <c r="L95" s="352">
        <f t="shared" si="65"/>
        <v>0</v>
      </c>
      <c r="M95" s="352">
        <f t="shared" si="65"/>
        <v>0</v>
      </c>
      <c r="N95" s="352">
        <f t="shared" si="65"/>
        <v>0</v>
      </c>
      <c r="O95" s="352">
        <f t="shared" si="65"/>
        <v>29474332.68</v>
      </c>
      <c r="P95" s="352">
        <f t="shared" si="65"/>
        <v>29474332.68</v>
      </c>
      <c r="Q95" s="30"/>
      <c r="R95" s="26"/>
    </row>
    <row r="96" spans="1:18" s="33" customFormat="1" ht="48" thickTop="1" thickBot="1" x14ac:dyDescent="0.25">
      <c r="A96" s="119" t="s">
        <v>1111</v>
      </c>
      <c r="B96" s="119" t="s">
        <v>216</v>
      </c>
      <c r="C96" s="119" t="s">
        <v>217</v>
      </c>
      <c r="D96" s="119" t="s">
        <v>41</v>
      </c>
      <c r="E96" s="393">
        <f t="shared" ref="E96" si="66">F96</f>
        <v>0</v>
      </c>
      <c r="F96" s="350"/>
      <c r="G96" s="350"/>
      <c r="H96" s="350"/>
      <c r="I96" s="350"/>
      <c r="J96" s="393">
        <f t="shared" ref="J96" si="67">L96+O96</f>
        <v>29474332.68</v>
      </c>
      <c r="K96" s="350">
        <f>(((45000000)+400000)+455977.12)-16381644.44</f>
        <v>29474332.68</v>
      </c>
      <c r="L96" s="350"/>
      <c r="M96" s="350"/>
      <c r="N96" s="350"/>
      <c r="O96" s="351">
        <f t="shared" ref="O96" si="68">K96</f>
        <v>29474332.68</v>
      </c>
      <c r="P96" s="393">
        <f>E96+J96</f>
        <v>29474332.68</v>
      </c>
      <c r="Q96" s="30"/>
      <c r="R96" s="26"/>
    </row>
    <row r="97" spans="1:18" s="33" customFormat="1" ht="47.25" thickTop="1" thickBot="1" x14ac:dyDescent="0.25">
      <c r="A97" s="346" t="s">
        <v>1249</v>
      </c>
      <c r="B97" s="346" t="s">
        <v>702</v>
      </c>
      <c r="C97" s="346"/>
      <c r="D97" s="346" t="s">
        <v>703</v>
      </c>
      <c r="E97" s="393">
        <f t="shared" ref="E97:P98" si="69">E98</f>
        <v>0</v>
      </c>
      <c r="F97" s="393">
        <f t="shared" si="69"/>
        <v>0</v>
      </c>
      <c r="G97" s="393">
        <f t="shared" si="69"/>
        <v>0</v>
      </c>
      <c r="H97" s="393">
        <f t="shared" si="69"/>
        <v>0</v>
      </c>
      <c r="I97" s="393">
        <f t="shared" si="69"/>
        <v>0</v>
      </c>
      <c r="J97" s="393">
        <f t="shared" si="69"/>
        <v>3770000</v>
      </c>
      <c r="K97" s="393">
        <f t="shared" si="69"/>
        <v>3770000</v>
      </c>
      <c r="L97" s="393">
        <f t="shared" si="69"/>
        <v>0</v>
      </c>
      <c r="M97" s="393">
        <f t="shared" si="69"/>
        <v>0</v>
      </c>
      <c r="N97" s="393">
        <f t="shared" si="69"/>
        <v>0</v>
      </c>
      <c r="O97" s="393">
        <f t="shared" si="69"/>
        <v>3770000</v>
      </c>
      <c r="P97" s="393">
        <f t="shared" si="69"/>
        <v>3770000</v>
      </c>
      <c r="Q97" s="30"/>
      <c r="R97" s="26"/>
    </row>
    <row r="98" spans="1:18" s="33" customFormat="1" ht="47.25" thickTop="1" thickBot="1" x14ac:dyDescent="0.25">
      <c r="A98" s="348" t="s">
        <v>1250</v>
      </c>
      <c r="B98" s="348" t="s">
        <v>1210</v>
      </c>
      <c r="C98" s="348"/>
      <c r="D98" s="348" t="s">
        <v>1208</v>
      </c>
      <c r="E98" s="352">
        <f t="shared" si="69"/>
        <v>0</v>
      </c>
      <c r="F98" s="352">
        <f t="shared" si="69"/>
        <v>0</v>
      </c>
      <c r="G98" s="352">
        <f t="shared" si="69"/>
        <v>0</v>
      </c>
      <c r="H98" s="352">
        <f t="shared" si="69"/>
        <v>0</v>
      </c>
      <c r="I98" s="352">
        <f t="shared" si="69"/>
        <v>0</v>
      </c>
      <c r="J98" s="352">
        <f t="shared" si="69"/>
        <v>3770000</v>
      </c>
      <c r="K98" s="352">
        <f t="shared" si="69"/>
        <v>3770000</v>
      </c>
      <c r="L98" s="352">
        <f t="shared" si="69"/>
        <v>0</v>
      </c>
      <c r="M98" s="352">
        <f t="shared" si="69"/>
        <v>0</v>
      </c>
      <c r="N98" s="352">
        <f t="shared" si="69"/>
        <v>0</v>
      </c>
      <c r="O98" s="352">
        <f t="shared" si="69"/>
        <v>3770000</v>
      </c>
      <c r="P98" s="352">
        <f t="shared" si="69"/>
        <v>3770000</v>
      </c>
      <c r="Q98" s="30"/>
      <c r="R98" s="26"/>
    </row>
    <row r="99" spans="1:18" s="33" customFormat="1" ht="48" thickTop="1" thickBot="1" x14ac:dyDescent="0.25">
      <c r="A99" s="119" t="s">
        <v>1251</v>
      </c>
      <c r="B99" s="119" t="s">
        <v>1214</v>
      </c>
      <c r="C99" s="119" t="s">
        <v>1212</v>
      </c>
      <c r="D99" s="119" t="s">
        <v>1211</v>
      </c>
      <c r="E99" s="393">
        <f>F99</f>
        <v>0</v>
      </c>
      <c r="F99" s="350"/>
      <c r="G99" s="350"/>
      <c r="H99" s="350"/>
      <c r="I99" s="350"/>
      <c r="J99" s="393">
        <f>L99+O99</f>
        <v>3770000</v>
      </c>
      <c r="K99" s="350">
        <v>3770000</v>
      </c>
      <c r="L99" s="350"/>
      <c r="M99" s="350"/>
      <c r="N99" s="350"/>
      <c r="O99" s="351">
        <f>K99</f>
        <v>3770000</v>
      </c>
      <c r="P99" s="393">
        <f>E99+J99</f>
        <v>3770000</v>
      </c>
      <c r="Q99" s="30"/>
      <c r="R99" s="26"/>
    </row>
    <row r="100" spans="1:18" s="33" customFormat="1" ht="47.25" hidden="1" customHeight="1" thickTop="1" thickBot="1" x14ac:dyDescent="0.25">
      <c r="A100" s="162" t="s">
        <v>1044</v>
      </c>
      <c r="B100" s="162" t="s">
        <v>708</v>
      </c>
      <c r="C100" s="162"/>
      <c r="D100" s="162" t="s">
        <v>709</v>
      </c>
      <c r="E100" s="42">
        <f>E101</f>
        <v>0</v>
      </c>
      <c r="F100" s="42">
        <f t="shared" ref="F100:P101" si="70">F101</f>
        <v>0</v>
      </c>
      <c r="G100" s="42">
        <f t="shared" si="70"/>
        <v>0</v>
      </c>
      <c r="H100" s="42">
        <f t="shared" si="70"/>
        <v>0</v>
      </c>
      <c r="I100" s="42">
        <f t="shared" si="70"/>
        <v>0</v>
      </c>
      <c r="J100" s="42">
        <f t="shared" si="70"/>
        <v>0</v>
      </c>
      <c r="K100" s="42">
        <f t="shared" si="70"/>
        <v>0</v>
      </c>
      <c r="L100" s="42">
        <f t="shared" si="70"/>
        <v>0</v>
      </c>
      <c r="M100" s="42">
        <f t="shared" si="70"/>
        <v>0</v>
      </c>
      <c r="N100" s="42">
        <f t="shared" si="70"/>
        <v>0</v>
      </c>
      <c r="O100" s="42">
        <f t="shared" si="70"/>
        <v>0</v>
      </c>
      <c r="P100" s="42">
        <f t="shared" si="70"/>
        <v>0</v>
      </c>
      <c r="Q100" s="36"/>
      <c r="R100" s="26"/>
    </row>
    <row r="101" spans="1:18" s="33" customFormat="1" ht="91.5" hidden="1" thickTop="1" thickBot="1" x14ac:dyDescent="0.25">
      <c r="A101" s="163" t="s">
        <v>1045</v>
      </c>
      <c r="B101" s="163" t="s">
        <v>711</v>
      </c>
      <c r="C101" s="163"/>
      <c r="D101" s="163" t="s">
        <v>712</v>
      </c>
      <c r="E101" s="164">
        <f>E102</f>
        <v>0</v>
      </c>
      <c r="F101" s="164">
        <f t="shared" si="70"/>
        <v>0</v>
      </c>
      <c r="G101" s="164">
        <f t="shared" si="70"/>
        <v>0</v>
      </c>
      <c r="H101" s="164">
        <f t="shared" si="70"/>
        <v>0</v>
      </c>
      <c r="I101" s="164">
        <f t="shared" si="70"/>
        <v>0</v>
      </c>
      <c r="J101" s="164">
        <f t="shared" si="70"/>
        <v>0</v>
      </c>
      <c r="K101" s="164">
        <f t="shared" si="70"/>
        <v>0</v>
      </c>
      <c r="L101" s="164">
        <f t="shared" si="70"/>
        <v>0</v>
      </c>
      <c r="M101" s="164">
        <f t="shared" si="70"/>
        <v>0</v>
      </c>
      <c r="N101" s="164">
        <f t="shared" si="70"/>
        <v>0</v>
      </c>
      <c r="O101" s="164">
        <f t="shared" si="70"/>
        <v>0</v>
      </c>
      <c r="P101" s="164">
        <f t="shared" si="70"/>
        <v>0</v>
      </c>
      <c r="Q101" s="36"/>
      <c r="R101" s="26"/>
    </row>
    <row r="102" spans="1:18" s="33" customFormat="1" ht="48" hidden="1" thickTop="1" thickBot="1" x14ac:dyDescent="0.25">
      <c r="A102" s="41" t="s">
        <v>1046</v>
      </c>
      <c r="B102" s="41" t="s">
        <v>367</v>
      </c>
      <c r="C102" s="41" t="s">
        <v>43</v>
      </c>
      <c r="D102" s="41" t="s">
        <v>368</v>
      </c>
      <c r="E102" s="42">
        <f t="shared" ref="E102" si="71">F102</f>
        <v>0</v>
      </c>
      <c r="F102" s="43"/>
      <c r="G102" s="43"/>
      <c r="H102" s="43"/>
      <c r="I102" s="43"/>
      <c r="J102" s="42">
        <f>L102+O102</f>
        <v>0</v>
      </c>
      <c r="K102" s="43"/>
      <c r="L102" s="43"/>
      <c r="M102" s="43"/>
      <c r="N102" s="43"/>
      <c r="O102" s="44">
        <f>K102</f>
        <v>0</v>
      </c>
      <c r="P102" s="42">
        <f>E102+J102</f>
        <v>0</v>
      </c>
      <c r="Q102" s="36"/>
      <c r="R102" s="26"/>
    </row>
    <row r="103" spans="1:18" ht="91.5" thickTop="1" thickBot="1" x14ac:dyDescent="0.25">
      <c r="A103" s="403" t="s">
        <v>154</v>
      </c>
      <c r="B103" s="403"/>
      <c r="C103" s="403"/>
      <c r="D103" s="404" t="s">
        <v>18</v>
      </c>
      <c r="E103" s="406">
        <f>E104</f>
        <v>161701012</v>
      </c>
      <c r="F103" s="405">
        <f t="shared" ref="F103:G103" si="72">F104</f>
        <v>161701012</v>
      </c>
      <c r="G103" s="405">
        <f t="shared" si="72"/>
        <v>4896310</v>
      </c>
      <c r="H103" s="405">
        <f>H104</f>
        <v>438898</v>
      </c>
      <c r="I103" s="405">
        <f t="shared" ref="I103" si="73">I104</f>
        <v>0</v>
      </c>
      <c r="J103" s="406">
        <f>J104</f>
        <v>121323515.23999999</v>
      </c>
      <c r="K103" s="405">
        <f>K104</f>
        <v>121323515.23999999</v>
      </c>
      <c r="L103" s="405">
        <f>L104</f>
        <v>0</v>
      </c>
      <c r="M103" s="405">
        <f t="shared" ref="M103" si="74">M104</f>
        <v>0</v>
      </c>
      <c r="N103" s="405">
        <f>N104</f>
        <v>0</v>
      </c>
      <c r="O103" s="406">
        <f>O104</f>
        <v>121323515.23999999</v>
      </c>
      <c r="P103" s="405">
        <f>P104</f>
        <v>283024527.24000001</v>
      </c>
      <c r="Q103" s="20"/>
    </row>
    <row r="104" spans="1:18" ht="91.5" thickTop="1" thickBot="1" x14ac:dyDescent="0.25">
      <c r="A104" s="407" t="s">
        <v>155</v>
      </c>
      <c r="B104" s="407"/>
      <c r="C104" s="407"/>
      <c r="D104" s="408" t="s">
        <v>36</v>
      </c>
      <c r="E104" s="409">
        <f>E105+E108+E123+E121</f>
        <v>161701012</v>
      </c>
      <c r="F104" s="409">
        <f t="shared" ref="F104:P104" si="75">F105+F108+F123+F121</f>
        <v>161701012</v>
      </c>
      <c r="G104" s="409">
        <f t="shared" si="75"/>
        <v>4896310</v>
      </c>
      <c r="H104" s="409">
        <f t="shared" si="75"/>
        <v>438898</v>
      </c>
      <c r="I104" s="409">
        <f t="shared" si="75"/>
        <v>0</v>
      </c>
      <c r="J104" s="409">
        <f t="shared" si="75"/>
        <v>121323515.23999999</v>
      </c>
      <c r="K104" s="409">
        <f t="shared" si="75"/>
        <v>121323515.23999999</v>
      </c>
      <c r="L104" s="409">
        <f t="shared" si="75"/>
        <v>0</v>
      </c>
      <c r="M104" s="409">
        <f t="shared" si="75"/>
        <v>0</v>
      </c>
      <c r="N104" s="409">
        <f t="shared" si="75"/>
        <v>0</v>
      </c>
      <c r="O104" s="409">
        <f t="shared" si="75"/>
        <v>121323515.23999999</v>
      </c>
      <c r="P104" s="409">
        <f t="shared" si="75"/>
        <v>283024527.24000001</v>
      </c>
      <c r="Q104" s="402" t="b">
        <f>P104=P106+P109+P110+P111+P112+P115+P119+P120+P122+P130+P107+P126</f>
        <v>1</v>
      </c>
      <c r="R104" s="26"/>
    </row>
    <row r="105" spans="1:18" ht="47.25" thickTop="1" thickBot="1" x14ac:dyDescent="0.25">
      <c r="A105" s="346" t="s">
        <v>719</v>
      </c>
      <c r="B105" s="346" t="s">
        <v>690</v>
      </c>
      <c r="C105" s="346"/>
      <c r="D105" s="346" t="s">
        <v>691</v>
      </c>
      <c r="E105" s="393">
        <f>SUM(E106:E107)</f>
        <v>3147800</v>
      </c>
      <c r="F105" s="393">
        <f t="shared" ref="F105:P105" si="76">SUM(F106:F107)</f>
        <v>3147800</v>
      </c>
      <c r="G105" s="393">
        <f t="shared" si="76"/>
        <v>2259700</v>
      </c>
      <c r="H105" s="393">
        <f t="shared" si="76"/>
        <v>222800</v>
      </c>
      <c r="I105" s="393">
        <f t="shared" si="76"/>
        <v>0</v>
      </c>
      <c r="J105" s="393">
        <f t="shared" si="76"/>
        <v>80000</v>
      </c>
      <c r="K105" s="393">
        <f t="shared" si="76"/>
        <v>80000</v>
      </c>
      <c r="L105" s="393">
        <f t="shared" si="76"/>
        <v>0</v>
      </c>
      <c r="M105" s="393">
        <f t="shared" si="76"/>
        <v>0</v>
      </c>
      <c r="N105" s="393">
        <f t="shared" si="76"/>
        <v>0</v>
      </c>
      <c r="O105" s="393">
        <f t="shared" si="76"/>
        <v>80000</v>
      </c>
      <c r="P105" s="393">
        <f t="shared" si="76"/>
        <v>3227800</v>
      </c>
      <c r="Q105" s="30"/>
      <c r="R105" s="26"/>
    </row>
    <row r="106" spans="1:18" ht="93" thickTop="1" thickBot="1" x14ac:dyDescent="0.25">
      <c r="A106" s="119" t="s">
        <v>420</v>
      </c>
      <c r="B106" s="119" t="s">
        <v>240</v>
      </c>
      <c r="C106" s="119" t="s">
        <v>238</v>
      </c>
      <c r="D106" s="119" t="s">
        <v>239</v>
      </c>
      <c r="E106" s="393">
        <f>F106</f>
        <v>3140800</v>
      </c>
      <c r="F106" s="350">
        <v>3140800</v>
      </c>
      <c r="G106" s="350">
        <v>2259700</v>
      </c>
      <c r="H106" s="350">
        <f>3700+90000+129100</f>
        <v>222800</v>
      </c>
      <c r="I106" s="350"/>
      <c r="J106" s="393">
        <f t="shared" ref="J106:J132" si="77">L106+O106</f>
        <v>80000</v>
      </c>
      <c r="K106" s="350">
        <f>(60000)+1386951-1386951+20000</f>
        <v>80000</v>
      </c>
      <c r="L106" s="350"/>
      <c r="M106" s="350"/>
      <c r="N106" s="350"/>
      <c r="O106" s="351">
        <f>K106</f>
        <v>80000</v>
      </c>
      <c r="P106" s="393">
        <f t="shared" ref="P106:P132" si="78">E106+J106</f>
        <v>3220800</v>
      </c>
      <c r="Q106" s="39"/>
      <c r="R106" s="26"/>
    </row>
    <row r="107" spans="1:18" ht="93" thickTop="1" thickBot="1" x14ac:dyDescent="0.25">
      <c r="A107" s="119" t="s">
        <v>1305</v>
      </c>
      <c r="B107" s="119" t="s">
        <v>366</v>
      </c>
      <c r="C107" s="119" t="s">
        <v>631</v>
      </c>
      <c r="D107" s="119" t="s">
        <v>632</v>
      </c>
      <c r="E107" s="393">
        <f>F107</f>
        <v>7000</v>
      </c>
      <c r="F107" s="350">
        <v>7000</v>
      </c>
      <c r="G107" s="350"/>
      <c r="H107" s="350"/>
      <c r="I107" s="350"/>
      <c r="J107" s="393">
        <f t="shared" si="77"/>
        <v>0</v>
      </c>
      <c r="K107" s="350"/>
      <c r="L107" s="350"/>
      <c r="M107" s="350"/>
      <c r="N107" s="350"/>
      <c r="O107" s="351">
        <f>K107</f>
        <v>0</v>
      </c>
      <c r="P107" s="393">
        <f t="shared" si="78"/>
        <v>7000</v>
      </c>
      <c r="Q107" s="39"/>
      <c r="R107" s="26"/>
    </row>
    <row r="108" spans="1:18" ht="47.25" thickTop="1" thickBot="1" x14ac:dyDescent="0.25">
      <c r="A108" s="346" t="s">
        <v>720</v>
      </c>
      <c r="B108" s="346" t="s">
        <v>721</v>
      </c>
      <c r="C108" s="346"/>
      <c r="D108" s="346" t="s">
        <v>722</v>
      </c>
      <c r="E108" s="393">
        <f>SUM(E109:E120)-E114-E116-E118</f>
        <v>158453212</v>
      </c>
      <c r="F108" s="393">
        <f t="shared" ref="F108:P108" si="79">SUM(F109:F120)-F114-F116-F118</f>
        <v>158453212</v>
      </c>
      <c r="G108" s="393">
        <f t="shared" si="79"/>
        <v>2636610</v>
      </c>
      <c r="H108" s="393">
        <f t="shared" si="79"/>
        <v>216098</v>
      </c>
      <c r="I108" s="393">
        <f t="shared" si="79"/>
        <v>0</v>
      </c>
      <c r="J108" s="393">
        <f t="shared" si="79"/>
        <v>72172354</v>
      </c>
      <c r="K108" s="393">
        <f t="shared" si="79"/>
        <v>72172354</v>
      </c>
      <c r="L108" s="393">
        <f t="shared" si="79"/>
        <v>0</v>
      </c>
      <c r="M108" s="393">
        <f t="shared" si="79"/>
        <v>0</v>
      </c>
      <c r="N108" s="393">
        <f t="shared" si="79"/>
        <v>0</v>
      </c>
      <c r="O108" s="393">
        <f t="shared" si="79"/>
        <v>72172354</v>
      </c>
      <c r="P108" s="393">
        <f t="shared" si="79"/>
        <v>230625566</v>
      </c>
      <c r="Q108" s="39"/>
      <c r="R108" s="39"/>
    </row>
    <row r="109" spans="1:18" ht="48" thickTop="1" thickBot="1" x14ac:dyDescent="0.25">
      <c r="A109" s="119" t="s">
        <v>218</v>
      </c>
      <c r="B109" s="119" t="s">
        <v>215</v>
      </c>
      <c r="C109" s="119" t="s">
        <v>219</v>
      </c>
      <c r="D109" s="119" t="s">
        <v>19</v>
      </c>
      <c r="E109" s="393">
        <f>F109</f>
        <v>70365435</v>
      </c>
      <c r="F109" s="350">
        <f>((((32850105+1231068)+17889080+11808500+575000-1100000-99000)+61200)+500000)+9073482-2430000+6000</f>
        <v>70365435</v>
      </c>
      <c r="G109" s="350"/>
      <c r="H109" s="350"/>
      <c r="I109" s="350"/>
      <c r="J109" s="393">
        <f t="shared" si="77"/>
        <v>55886703</v>
      </c>
      <c r="K109" s="350">
        <f>((((((2200000+490000)+18809407+11200000-1800000)+150000+88800)+2576822+1500000+500000+1000000+6700000+1000000+2600000+3429000)+1725674+500000-500000)-6000)+3723000</f>
        <v>55886703</v>
      </c>
      <c r="L109" s="350"/>
      <c r="M109" s="350"/>
      <c r="N109" s="350"/>
      <c r="O109" s="351">
        <f>K109</f>
        <v>55886703</v>
      </c>
      <c r="P109" s="393">
        <f t="shared" si="78"/>
        <v>126252138</v>
      </c>
      <c r="Q109" s="20"/>
      <c r="R109" s="30"/>
    </row>
    <row r="110" spans="1:18" ht="48" thickTop="1" thickBot="1" x14ac:dyDescent="0.25">
      <c r="A110" s="119" t="s">
        <v>509</v>
      </c>
      <c r="B110" s="119" t="s">
        <v>512</v>
      </c>
      <c r="C110" s="119" t="s">
        <v>511</v>
      </c>
      <c r="D110" s="119" t="s">
        <v>510</v>
      </c>
      <c r="E110" s="393">
        <f>F110</f>
        <v>18020999</v>
      </c>
      <c r="F110" s="350">
        <f>(((11450199+1590500)+2200000)+2980300)-200000</f>
        <v>18020999</v>
      </c>
      <c r="G110" s="350"/>
      <c r="H110" s="350"/>
      <c r="I110" s="350"/>
      <c r="J110" s="393">
        <f t="shared" si="77"/>
        <v>0</v>
      </c>
      <c r="K110" s="350"/>
      <c r="L110" s="350"/>
      <c r="M110" s="350"/>
      <c r="N110" s="350"/>
      <c r="O110" s="351">
        <f>K110</f>
        <v>0</v>
      </c>
      <c r="P110" s="393">
        <f t="shared" si="78"/>
        <v>18020999</v>
      </c>
      <c r="Q110" s="20"/>
      <c r="R110" s="39"/>
    </row>
    <row r="111" spans="1:18" ht="48" thickTop="1" thickBot="1" x14ac:dyDescent="0.25">
      <c r="A111" s="119" t="s">
        <v>220</v>
      </c>
      <c r="B111" s="119" t="s">
        <v>221</v>
      </c>
      <c r="C111" s="119" t="s">
        <v>222</v>
      </c>
      <c r="D111" s="119" t="s">
        <v>223</v>
      </c>
      <c r="E111" s="393">
        <f t="shared" ref="E111:E132" si="80">F111</f>
        <v>17507732</v>
      </c>
      <c r="F111" s="350">
        <f>((10157732)+3800000+5000000)-1450000</f>
        <v>17507732</v>
      </c>
      <c r="G111" s="350"/>
      <c r="H111" s="350"/>
      <c r="I111" s="350"/>
      <c r="J111" s="393">
        <f t="shared" si="77"/>
        <v>11986984</v>
      </c>
      <c r="K111" s="350">
        <f>((920000+4900000)+2304837+1568410+678566)+1615171</f>
        <v>11986984</v>
      </c>
      <c r="L111" s="350"/>
      <c r="M111" s="350"/>
      <c r="N111" s="350"/>
      <c r="O111" s="351">
        <f>K111</f>
        <v>11986984</v>
      </c>
      <c r="P111" s="393">
        <f t="shared" si="78"/>
        <v>29494716</v>
      </c>
      <c r="Q111" s="20"/>
      <c r="R111" s="39"/>
    </row>
    <row r="112" spans="1:18" ht="93" thickTop="1" thickBot="1" x14ac:dyDescent="0.25">
      <c r="A112" s="119" t="s">
        <v>224</v>
      </c>
      <c r="B112" s="119" t="s">
        <v>225</v>
      </c>
      <c r="C112" s="119" t="s">
        <v>226</v>
      </c>
      <c r="D112" s="119" t="s">
        <v>349</v>
      </c>
      <c r="E112" s="393">
        <f t="shared" si="80"/>
        <v>24545495</v>
      </c>
      <c r="F112" s="350">
        <f>(((25043595)+51900)+1500000)-2050000</f>
        <v>24545495</v>
      </c>
      <c r="G112" s="350"/>
      <c r="H112" s="350"/>
      <c r="I112" s="350"/>
      <c r="J112" s="393">
        <f t="shared" si="77"/>
        <v>1298667</v>
      </c>
      <c r="K112" s="350">
        <f>(94300)+1204367</f>
        <v>1298667</v>
      </c>
      <c r="L112" s="350"/>
      <c r="M112" s="350"/>
      <c r="N112" s="350"/>
      <c r="O112" s="351">
        <f>K112</f>
        <v>1298667</v>
      </c>
      <c r="P112" s="393">
        <f t="shared" si="78"/>
        <v>25844162</v>
      </c>
      <c r="Q112" s="20"/>
      <c r="R112" s="39"/>
    </row>
    <row r="113" spans="1:18" ht="48" hidden="1" thickTop="1" thickBot="1" x14ac:dyDescent="0.25">
      <c r="A113" s="144" t="s">
        <v>227</v>
      </c>
      <c r="B113" s="144" t="s">
        <v>228</v>
      </c>
      <c r="C113" s="144" t="s">
        <v>229</v>
      </c>
      <c r="D113" s="144" t="s">
        <v>230</v>
      </c>
      <c r="E113" s="393">
        <f t="shared" si="80"/>
        <v>0</v>
      </c>
      <c r="F113" s="350">
        <f>(7556300)-7556300</f>
        <v>0</v>
      </c>
      <c r="G113" s="350"/>
      <c r="H113" s="350"/>
      <c r="I113" s="350"/>
      <c r="J113" s="393">
        <f t="shared" si="77"/>
        <v>0</v>
      </c>
      <c r="K113" s="350">
        <f>(200000)-200000</f>
        <v>0</v>
      </c>
      <c r="L113" s="350"/>
      <c r="M113" s="350"/>
      <c r="N113" s="350"/>
      <c r="O113" s="351">
        <f>K113</f>
        <v>0</v>
      </c>
      <c r="P113" s="393">
        <f t="shared" si="78"/>
        <v>0</v>
      </c>
      <c r="Q113" s="20"/>
      <c r="R113" s="39"/>
    </row>
    <row r="114" spans="1:18" ht="48" thickTop="1" thickBot="1" x14ac:dyDescent="0.25">
      <c r="A114" s="399" t="s">
        <v>723</v>
      </c>
      <c r="B114" s="399" t="s">
        <v>724</v>
      </c>
      <c r="C114" s="399"/>
      <c r="D114" s="399" t="s">
        <v>725</v>
      </c>
      <c r="E114" s="388">
        <f>E115</f>
        <v>17571325</v>
      </c>
      <c r="F114" s="388">
        <f t="shared" ref="F114:P114" si="81">F115</f>
        <v>17571325</v>
      </c>
      <c r="G114" s="388">
        <f t="shared" si="81"/>
        <v>0</v>
      </c>
      <c r="H114" s="388">
        <f t="shared" si="81"/>
        <v>0</v>
      </c>
      <c r="I114" s="388">
        <f t="shared" si="81"/>
        <v>0</v>
      </c>
      <c r="J114" s="388">
        <f t="shared" si="81"/>
        <v>3000000</v>
      </c>
      <c r="K114" s="388">
        <f t="shared" si="81"/>
        <v>3000000</v>
      </c>
      <c r="L114" s="388">
        <f t="shared" si="81"/>
        <v>0</v>
      </c>
      <c r="M114" s="388">
        <f t="shared" si="81"/>
        <v>0</v>
      </c>
      <c r="N114" s="388">
        <f t="shared" si="81"/>
        <v>0</v>
      </c>
      <c r="O114" s="388">
        <f t="shared" si="81"/>
        <v>3000000</v>
      </c>
      <c r="P114" s="388">
        <f t="shared" si="81"/>
        <v>20571325</v>
      </c>
      <c r="Q114" s="20"/>
      <c r="R114" s="39"/>
    </row>
    <row r="115" spans="1:18" ht="93" thickTop="1" thickBot="1" x14ac:dyDescent="0.25">
      <c r="A115" s="119" t="s">
        <v>231</v>
      </c>
      <c r="B115" s="119" t="s">
        <v>232</v>
      </c>
      <c r="C115" s="119" t="s">
        <v>350</v>
      </c>
      <c r="D115" s="119" t="s">
        <v>233</v>
      </c>
      <c r="E115" s="393">
        <f t="shared" si="80"/>
        <v>17571325</v>
      </c>
      <c r="F115" s="350">
        <f>(18156325)-585000</f>
        <v>17571325</v>
      </c>
      <c r="G115" s="350"/>
      <c r="H115" s="350"/>
      <c r="I115" s="350"/>
      <c r="J115" s="393">
        <f t="shared" si="77"/>
        <v>3000000</v>
      </c>
      <c r="K115" s="350">
        <f>0+3000000</f>
        <v>3000000</v>
      </c>
      <c r="L115" s="350"/>
      <c r="M115" s="350"/>
      <c r="N115" s="350"/>
      <c r="O115" s="351">
        <f t="shared" ref="O115:O132" si="82">K115</f>
        <v>3000000</v>
      </c>
      <c r="P115" s="393">
        <f t="shared" si="78"/>
        <v>20571325</v>
      </c>
      <c r="Q115" s="20"/>
      <c r="R115" s="39"/>
    </row>
    <row r="116" spans="1:18" ht="48" hidden="1" thickTop="1" thickBot="1" x14ac:dyDescent="0.25">
      <c r="A116" s="156" t="s">
        <v>726</v>
      </c>
      <c r="B116" s="156" t="s">
        <v>727</v>
      </c>
      <c r="C116" s="156"/>
      <c r="D116" s="156" t="s">
        <v>728</v>
      </c>
      <c r="E116" s="157">
        <f>E117</f>
        <v>0</v>
      </c>
      <c r="F116" s="157">
        <f t="shared" ref="F116:P116" si="83">F117</f>
        <v>0</v>
      </c>
      <c r="G116" s="388">
        <f t="shared" si="83"/>
        <v>0</v>
      </c>
      <c r="H116" s="388">
        <f t="shared" si="83"/>
        <v>0</v>
      </c>
      <c r="I116" s="388">
        <f t="shared" si="83"/>
        <v>0</v>
      </c>
      <c r="J116" s="412">
        <f t="shared" si="83"/>
        <v>0</v>
      </c>
      <c r="K116" s="412">
        <f t="shared" si="83"/>
        <v>0</v>
      </c>
      <c r="L116" s="412">
        <f t="shared" si="83"/>
        <v>0</v>
      </c>
      <c r="M116" s="412">
        <f t="shared" si="83"/>
        <v>0</v>
      </c>
      <c r="N116" s="412">
        <f t="shared" si="83"/>
        <v>0</v>
      </c>
      <c r="O116" s="412">
        <f t="shared" si="83"/>
        <v>0</v>
      </c>
      <c r="P116" s="412">
        <f t="shared" si="83"/>
        <v>0</v>
      </c>
      <c r="Q116" s="20"/>
      <c r="R116" s="39"/>
    </row>
    <row r="117" spans="1:18" ht="48" hidden="1" thickTop="1" thickBot="1" x14ac:dyDescent="0.25">
      <c r="A117" s="144" t="s">
        <v>479</v>
      </c>
      <c r="B117" s="144" t="s">
        <v>480</v>
      </c>
      <c r="C117" s="144" t="s">
        <v>234</v>
      </c>
      <c r="D117" s="144" t="s">
        <v>481</v>
      </c>
      <c r="E117" s="143">
        <f t="shared" si="80"/>
        <v>0</v>
      </c>
      <c r="F117" s="150">
        <v>0</v>
      </c>
      <c r="G117" s="350"/>
      <c r="H117" s="350"/>
      <c r="I117" s="350"/>
      <c r="J117" s="430">
        <f t="shared" si="77"/>
        <v>0</v>
      </c>
      <c r="K117" s="411"/>
      <c r="L117" s="411"/>
      <c r="M117" s="411"/>
      <c r="N117" s="411"/>
      <c r="O117" s="431">
        <f t="shared" si="82"/>
        <v>0</v>
      </c>
      <c r="P117" s="430">
        <f t="shared" si="78"/>
        <v>0</v>
      </c>
      <c r="Q117" s="20"/>
      <c r="R117" s="39"/>
    </row>
    <row r="118" spans="1:18" ht="48" thickTop="1" thickBot="1" x14ac:dyDescent="0.25">
      <c r="A118" s="399" t="s">
        <v>729</v>
      </c>
      <c r="B118" s="399" t="s">
        <v>730</v>
      </c>
      <c r="C118" s="399"/>
      <c r="D118" s="399" t="s">
        <v>731</v>
      </c>
      <c r="E118" s="388">
        <f>SUM(E119:E120)</f>
        <v>10442226</v>
      </c>
      <c r="F118" s="388">
        <f t="shared" ref="F118:P118" si="84">SUM(F119:F120)</f>
        <v>10442226</v>
      </c>
      <c r="G118" s="388">
        <f t="shared" si="84"/>
        <v>2636610</v>
      </c>
      <c r="H118" s="388">
        <f t="shared" si="84"/>
        <v>216098</v>
      </c>
      <c r="I118" s="388">
        <f t="shared" si="84"/>
        <v>0</v>
      </c>
      <c r="J118" s="388">
        <f t="shared" si="84"/>
        <v>0</v>
      </c>
      <c r="K118" s="388">
        <f t="shared" si="84"/>
        <v>0</v>
      </c>
      <c r="L118" s="388">
        <f t="shared" si="84"/>
        <v>0</v>
      </c>
      <c r="M118" s="388">
        <f t="shared" si="84"/>
        <v>0</v>
      </c>
      <c r="N118" s="388">
        <f t="shared" si="84"/>
        <v>0</v>
      </c>
      <c r="O118" s="388">
        <f t="shared" si="84"/>
        <v>0</v>
      </c>
      <c r="P118" s="388">
        <f t="shared" si="84"/>
        <v>10442226</v>
      </c>
      <c r="Q118" s="20"/>
      <c r="R118" s="39"/>
    </row>
    <row r="119" spans="1:18" s="33" customFormat="1" ht="48" thickTop="1" thickBot="1" x14ac:dyDescent="0.25">
      <c r="A119" s="119" t="s">
        <v>325</v>
      </c>
      <c r="B119" s="119" t="s">
        <v>327</v>
      </c>
      <c r="C119" s="119" t="s">
        <v>234</v>
      </c>
      <c r="D119" s="413" t="s">
        <v>323</v>
      </c>
      <c r="E119" s="393">
        <f t="shared" si="80"/>
        <v>3648776</v>
      </c>
      <c r="F119" s="350">
        <v>3648776</v>
      </c>
      <c r="G119" s="350">
        <v>2636610</v>
      </c>
      <c r="H119" s="350">
        <v>216098</v>
      </c>
      <c r="I119" s="350"/>
      <c r="J119" s="393">
        <f t="shared" si="77"/>
        <v>0</v>
      </c>
      <c r="K119" s="350"/>
      <c r="L119" s="350"/>
      <c r="M119" s="350"/>
      <c r="N119" s="350"/>
      <c r="O119" s="351">
        <f t="shared" si="82"/>
        <v>0</v>
      </c>
      <c r="P119" s="393">
        <f t="shared" si="78"/>
        <v>3648776</v>
      </c>
      <c r="Q119" s="36"/>
      <c r="R119" s="26"/>
    </row>
    <row r="120" spans="1:18" s="33" customFormat="1" ht="48" thickTop="1" thickBot="1" x14ac:dyDescent="0.25">
      <c r="A120" s="119" t="s">
        <v>326</v>
      </c>
      <c r="B120" s="119" t="s">
        <v>328</v>
      </c>
      <c r="C120" s="119" t="s">
        <v>234</v>
      </c>
      <c r="D120" s="413" t="s">
        <v>324</v>
      </c>
      <c r="E120" s="393">
        <f t="shared" si="80"/>
        <v>6793450</v>
      </c>
      <c r="F120" s="350">
        <f>((5434200)+859250)+500000</f>
        <v>6793450</v>
      </c>
      <c r="G120" s="350"/>
      <c r="H120" s="350"/>
      <c r="I120" s="350"/>
      <c r="J120" s="393">
        <f t="shared" si="77"/>
        <v>0</v>
      </c>
      <c r="K120" s="350"/>
      <c r="L120" s="350"/>
      <c r="M120" s="350"/>
      <c r="N120" s="350"/>
      <c r="O120" s="351">
        <f t="shared" si="82"/>
        <v>0</v>
      </c>
      <c r="P120" s="393">
        <f t="shared" si="78"/>
        <v>6793450</v>
      </c>
      <c r="Q120" s="36"/>
      <c r="R120" s="39"/>
    </row>
    <row r="121" spans="1:18" s="33" customFormat="1" ht="47.25" thickTop="1" thickBot="1" x14ac:dyDescent="0.25">
      <c r="A121" s="346" t="s">
        <v>1223</v>
      </c>
      <c r="B121" s="346" t="s">
        <v>717</v>
      </c>
      <c r="C121" s="346"/>
      <c r="D121" s="346" t="s">
        <v>718</v>
      </c>
      <c r="E121" s="393">
        <f>E122</f>
        <v>100000</v>
      </c>
      <c r="F121" s="393">
        <f t="shared" ref="F121:P121" si="85">F122</f>
        <v>100000</v>
      </c>
      <c r="G121" s="393">
        <f t="shared" si="85"/>
        <v>0</v>
      </c>
      <c r="H121" s="393">
        <f t="shared" si="85"/>
        <v>0</v>
      </c>
      <c r="I121" s="393">
        <f t="shared" si="85"/>
        <v>0</v>
      </c>
      <c r="J121" s="393">
        <f t="shared" si="85"/>
        <v>0</v>
      </c>
      <c r="K121" s="393">
        <f t="shared" si="85"/>
        <v>0</v>
      </c>
      <c r="L121" s="393">
        <f t="shared" si="85"/>
        <v>0</v>
      </c>
      <c r="M121" s="393">
        <f t="shared" si="85"/>
        <v>0</v>
      </c>
      <c r="N121" s="393">
        <f t="shared" si="85"/>
        <v>0</v>
      </c>
      <c r="O121" s="393">
        <f t="shared" si="85"/>
        <v>0</v>
      </c>
      <c r="P121" s="393">
        <f t="shared" si="85"/>
        <v>100000</v>
      </c>
      <c r="Q121" s="36"/>
      <c r="R121" s="39"/>
    </row>
    <row r="122" spans="1:18" s="33" customFormat="1" ht="93" thickTop="1" thickBot="1" x14ac:dyDescent="0.25">
      <c r="A122" s="119" t="s">
        <v>1224</v>
      </c>
      <c r="B122" s="119" t="s">
        <v>1225</v>
      </c>
      <c r="C122" s="119" t="s">
        <v>210</v>
      </c>
      <c r="D122" s="413" t="s">
        <v>1226</v>
      </c>
      <c r="E122" s="393">
        <f t="shared" ref="E122" si="86">F122</f>
        <v>100000</v>
      </c>
      <c r="F122" s="350">
        <v>100000</v>
      </c>
      <c r="G122" s="350"/>
      <c r="H122" s="350"/>
      <c r="I122" s="350"/>
      <c r="J122" s="393">
        <f t="shared" ref="J122" si="87">L122+O122</f>
        <v>0</v>
      </c>
      <c r="K122" s="350"/>
      <c r="L122" s="350"/>
      <c r="M122" s="350"/>
      <c r="N122" s="350"/>
      <c r="O122" s="351">
        <f t="shared" ref="O122" si="88">K122</f>
        <v>0</v>
      </c>
      <c r="P122" s="393">
        <f t="shared" ref="P122" si="89">E122+J122</f>
        <v>100000</v>
      </c>
      <c r="Q122" s="36"/>
      <c r="R122" s="39"/>
    </row>
    <row r="123" spans="1:18" s="33" customFormat="1" ht="47.25" thickTop="1" thickBot="1" x14ac:dyDescent="0.25">
      <c r="A123" s="346" t="s">
        <v>756</v>
      </c>
      <c r="B123" s="346" t="s">
        <v>754</v>
      </c>
      <c r="C123" s="346"/>
      <c r="D123" s="346" t="s">
        <v>755</v>
      </c>
      <c r="E123" s="393">
        <f>SUM(E129)+E124</f>
        <v>0</v>
      </c>
      <c r="F123" s="393">
        <f t="shared" ref="F123:P123" si="90">SUM(F129)+F124</f>
        <v>0</v>
      </c>
      <c r="G123" s="393">
        <f t="shared" si="90"/>
        <v>0</v>
      </c>
      <c r="H123" s="393">
        <f t="shared" si="90"/>
        <v>0</v>
      </c>
      <c r="I123" s="393">
        <f t="shared" si="90"/>
        <v>0</v>
      </c>
      <c r="J123" s="393">
        <f t="shared" si="90"/>
        <v>49071161.239999995</v>
      </c>
      <c r="K123" s="393">
        <f t="shared" si="90"/>
        <v>49071161.239999995</v>
      </c>
      <c r="L123" s="393">
        <f t="shared" si="90"/>
        <v>0</v>
      </c>
      <c r="M123" s="393">
        <f t="shared" si="90"/>
        <v>0</v>
      </c>
      <c r="N123" s="393">
        <f t="shared" si="90"/>
        <v>0</v>
      </c>
      <c r="O123" s="393">
        <f t="shared" si="90"/>
        <v>49071161.239999995</v>
      </c>
      <c r="P123" s="393">
        <f t="shared" si="90"/>
        <v>49071161.239999995</v>
      </c>
      <c r="Q123" s="36"/>
      <c r="R123" s="39"/>
    </row>
    <row r="124" spans="1:18" s="33" customFormat="1" ht="47.25" thickTop="1" thickBot="1" x14ac:dyDescent="0.25">
      <c r="A124" s="348" t="s">
        <v>1072</v>
      </c>
      <c r="B124" s="348" t="s">
        <v>810</v>
      </c>
      <c r="C124" s="348"/>
      <c r="D124" s="348" t="s">
        <v>811</v>
      </c>
      <c r="E124" s="352">
        <f>E127+E125</f>
        <v>0</v>
      </c>
      <c r="F124" s="352">
        <f t="shared" ref="F124:P124" si="91">F127+F125</f>
        <v>0</v>
      </c>
      <c r="G124" s="352">
        <f t="shared" si="91"/>
        <v>0</v>
      </c>
      <c r="H124" s="352">
        <f t="shared" si="91"/>
        <v>0</v>
      </c>
      <c r="I124" s="352">
        <f t="shared" si="91"/>
        <v>0</v>
      </c>
      <c r="J124" s="352">
        <f t="shared" si="91"/>
        <v>24670053</v>
      </c>
      <c r="K124" s="352">
        <f t="shared" si="91"/>
        <v>24670053</v>
      </c>
      <c r="L124" s="352">
        <f t="shared" si="91"/>
        <v>0</v>
      </c>
      <c r="M124" s="352">
        <f t="shared" si="91"/>
        <v>0</v>
      </c>
      <c r="N124" s="352">
        <f t="shared" si="91"/>
        <v>0</v>
      </c>
      <c r="O124" s="352">
        <f t="shared" si="91"/>
        <v>24670053</v>
      </c>
      <c r="P124" s="352">
        <f t="shared" si="91"/>
        <v>24670053</v>
      </c>
      <c r="Q124" s="36"/>
      <c r="R124" s="39"/>
    </row>
    <row r="125" spans="1:18" s="33" customFormat="1" ht="54.75" thickTop="1" thickBot="1" x14ac:dyDescent="0.25">
      <c r="A125" s="399" t="s">
        <v>1204</v>
      </c>
      <c r="B125" s="399" t="s">
        <v>828</v>
      </c>
      <c r="C125" s="399"/>
      <c r="D125" s="399" t="s">
        <v>1308</v>
      </c>
      <c r="E125" s="388">
        <f>E126</f>
        <v>0</v>
      </c>
      <c r="F125" s="388">
        <f t="shared" ref="F125:P125" si="92">F126</f>
        <v>0</v>
      </c>
      <c r="G125" s="388">
        <f t="shared" si="92"/>
        <v>0</v>
      </c>
      <c r="H125" s="388">
        <f t="shared" si="92"/>
        <v>0</v>
      </c>
      <c r="I125" s="388">
        <f t="shared" si="92"/>
        <v>0</v>
      </c>
      <c r="J125" s="388">
        <f t="shared" si="92"/>
        <v>24670053</v>
      </c>
      <c r="K125" s="388">
        <f t="shared" si="92"/>
        <v>24670053</v>
      </c>
      <c r="L125" s="388">
        <f t="shared" si="92"/>
        <v>0</v>
      </c>
      <c r="M125" s="388">
        <f t="shared" si="92"/>
        <v>0</v>
      </c>
      <c r="N125" s="388">
        <f t="shared" si="92"/>
        <v>0</v>
      </c>
      <c r="O125" s="388">
        <f t="shared" si="92"/>
        <v>24670053</v>
      </c>
      <c r="P125" s="388">
        <f t="shared" si="92"/>
        <v>24670053</v>
      </c>
      <c r="Q125" s="36"/>
      <c r="R125" s="39"/>
    </row>
    <row r="126" spans="1:18" s="33" customFormat="1" ht="54" thickTop="1" thickBot="1" x14ac:dyDescent="0.25">
      <c r="A126" s="119" t="s">
        <v>1203</v>
      </c>
      <c r="B126" s="119" t="s">
        <v>1205</v>
      </c>
      <c r="C126" s="119" t="s">
        <v>308</v>
      </c>
      <c r="D126" s="119" t="s">
        <v>1307</v>
      </c>
      <c r="E126" s="393">
        <f t="shared" ref="E126" si="93">F126</f>
        <v>0</v>
      </c>
      <c r="F126" s="350"/>
      <c r="G126" s="350"/>
      <c r="H126" s="350"/>
      <c r="I126" s="350"/>
      <c r="J126" s="393">
        <f t="shared" ref="J126" si="94">L126+O126</f>
        <v>24670053</v>
      </c>
      <c r="K126" s="350">
        <f>(11239495)+5841803+7588755</f>
        <v>24670053</v>
      </c>
      <c r="L126" s="350"/>
      <c r="M126" s="350"/>
      <c r="N126" s="350"/>
      <c r="O126" s="351">
        <f>K126</f>
        <v>24670053</v>
      </c>
      <c r="P126" s="393">
        <f t="shared" ref="P126" si="95">E126+J126</f>
        <v>24670053</v>
      </c>
      <c r="Q126" s="36"/>
      <c r="R126" s="39"/>
    </row>
    <row r="127" spans="1:18" s="33" customFormat="1" ht="48" hidden="1" thickTop="1" thickBot="1" x14ac:dyDescent="0.25">
      <c r="A127" s="160" t="s">
        <v>1073</v>
      </c>
      <c r="B127" s="160" t="s">
        <v>1071</v>
      </c>
      <c r="C127" s="160"/>
      <c r="D127" s="160" t="s">
        <v>1070</v>
      </c>
      <c r="E127" s="161">
        <f>E128</f>
        <v>0</v>
      </c>
      <c r="F127" s="161">
        <f t="shared" ref="F127:P127" si="96">F128</f>
        <v>0</v>
      </c>
      <c r="G127" s="161">
        <f t="shared" si="96"/>
        <v>0</v>
      </c>
      <c r="H127" s="161">
        <f t="shared" si="96"/>
        <v>0</v>
      </c>
      <c r="I127" s="161">
        <f t="shared" si="96"/>
        <v>0</v>
      </c>
      <c r="J127" s="161">
        <f t="shared" si="96"/>
        <v>0</v>
      </c>
      <c r="K127" s="161">
        <f t="shared" si="96"/>
        <v>0</v>
      </c>
      <c r="L127" s="161">
        <f t="shared" si="96"/>
        <v>0</v>
      </c>
      <c r="M127" s="161">
        <f t="shared" si="96"/>
        <v>0</v>
      </c>
      <c r="N127" s="161">
        <f t="shared" si="96"/>
        <v>0</v>
      </c>
      <c r="O127" s="161">
        <f t="shared" si="96"/>
        <v>0</v>
      </c>
      <c r="P127" s="161">
        <f t="shared" si="96"/>
        <v>0</v>
      </c>
      <c r="Q127" s="36"/>
      <c r="R127" s="39"/>
    </row>
    <row r="128" spans="1:18" s="33" customFormat="1" ht="93" hidden="1" thickTop="1" thickBot="1" x14ac:dyDescent="0.25">
      <c r="A128" s="41" t="s">
        <v>1074</v>
      </c>
      <c r="B128" s="41" t="s">
        <v>1075</v>
      </c>
      <c r="C128" s="41" t="s">
        <v>170</v>
      </c>
      <c r="D128" s="41" t="s">
        <v>1076</v>
      </c>
      <c r="E128" s="42">
        <f t="shared" si="80"/>
        <v>0</v>
      </c>
      <c r="F128" s="43"/>
      <c r="G128" s="43"/>
      <c r="H128" s="43"/>
      <c r="I128" s="43"/>
      <c r="J128" s="42">
        <f t="shared" si="77"/>
        <v>0</v>
      </c>
      <c r="K128" s="43"/>
      <c r="L128" s="43"/>
      <c r="M128" s="43"/>
      <c r="N128" s="43"/>
      <c r="O128" s="44">
        <f>K128</f>
        <v>0</v>
      </c>
      <c r="P128" s="42">
        <f t="shared" si="78"/>
        <v>0</v>
      </c>
      <c r="Q128" s="36"/>
      <c r="R128" s="26"/>
    </row>
    <row r="129" spans="1:20" s="28" customFormat="1" ht="47.25" thickTop="1" thickBot="1" x14ac:dyDescent="0.25">
      <c r="A129" s="348" t="s">
        <v>732</v>
      </c>
      <c r="B129" s="348" t="s">
        <v>697</v>
      </c>
      <c r="C129" s="348"/>
      <c r="D129" s="348" t="s">
        <v>695</v>
      </c>
      <c r="E129" s="352">
        <f>E130</f>
        <v>0</v>
      </c>
      <c r="F129" s="352">
        <f t="shared" ref="F129:P129" si="97">F130</f>
        <v>0</v>
      </c>
      <c r="G129" s="352">
        <f t="shared" si="97"/>
        <v>0</v>
      </c>
      <c r="H129" s="352">
        <f t="shared" si="97"/>
        <v>0</v>
      </c>
      <c r="I129" s="352">
        <f t="shared" si="97"/>
        <v>0</v>
      </c>
      <c r="J129" s="352">
        <f t="shared" si="97"/>
        <v>24401108.239999998</v>
      </c>
      <c r="K129" s="352">
        <f t="shared" si="97"/>
        <v>24401108.239999998</v>
      </c>
      <c r="L129" s="352">
        <f t="shared" si="97"/>
        <v>0</v>
      </c>
      <c r="M129" s="352">
        <f t="shared" si="97"/>
        <v>0</v>
      </c>
      <c r="N129" s="352">
        <f t="shared" si="97"/>
        <v>0</v>
      </c>
      <c r="O129" s="352">
        <f t="shared" si="97"/>
        <v>24401108.239999998</v>
      </c>
      <c r="P129" s="352">
        <f t="shared" si="97"/>
        <v>24401108.239999998</v>
      </c>
      <c r="Q129" s="165"/>
      <c r="R129" s="40"/>
    </row>
    <row r="130" spans="1:20" s="28" customFormat="1" ht="48" thickTop="1" thickBot="1" x14ac:dyDescent="0.25">
      <c r="A130" s="119" t="s">
        <v>1303</v>
      </c>
      <c r="B130" s="119" t="s">
        <v>216</v>
      </c>
      <c r="C130" s="119" t="s">
        <v>217</v>
      </c>
      <c r="D130" s="119" t="s">
        <v>41</v>
      </c>
      <c r="E130" s="393">
        <f t="shared" si="80"/>
        <v>0</v>
      </c>
      <c r="F130" s="350"/>
      <c r="G130" s="350"/>
      <c r="H130" s="350"/>
      <c r="I130" s="350"/>
      <c r="J130" s="393">
        <f t="shared" ref="J130" si="98">L130+O130</f>
        <v>24401108.239999998</v>
      </c>
      <c r="K130" s="350">
        <f>((8590009+2371500-60000)+907081+9009016+2252258)+1331244.24</f>
        <v>24401108.239999998</v>
      </c>
      <c r="L130" s="350"/>
      <c r="M130" s="350"/>
      <c r="N130" s="350"/>
      <c r="O130" s="351">
        <f t="shared" ref="O130" si="99">K130</f>
        <v>24401108.239999998</v>
      </c>
      <c r="P130" s="393">
        <f t="shared" si="78"/>
        <v>24401108.239999998</v>
      </c>
      <c r="Q130" s="165"/>
      <c r="R130" s="40"/>
    </row>
    <row r="131" spans="1:20" s="33" customFormat="1" ht="48" hidden="1" thickTop="1" thickBot="1" x14ac:dyDescent="0.25">
      <c r="A131" s="41" t="s">
        <v>439</v>
      </c>
      <c r="B131" s="41" t="s">
        <v>201</v>
      </c>
      <c r="C131" s="41" t="s">
        <v>170</v>
      </c>
      <c r="D131" s="41" t="s">
        <v>34</v>
      </c>
      <c r="E131" s="42">
        <f t="shared" si="80"/>
        <v>0</v>
      </c>
      <c r="F131" s="43"/>
      <c r="G131" s="43"/>
      <c r="H131" s="43"/>
      <c r="I131" s="43"/>
      <c r="J131" s="42">
        <f t="shared" si="77"/>
        <v>0</v>
      </c>
      <c r="K131" s="43"/>
      <c r="L131" s="43"/>
      <c r="M131" s="43"/>
      <c r="N131" s="43"/>
      <c r="O131" s="44">
        <f t="shared" si="82"/>
        <v>0</v>
      </c>
      <c r="P131" s="42">
        <f t="shared" si="78"/>
        <v>0</v>
      </c>
      <c r="Q131" s="36"/>
      <c r="R131" s="26"/>
    </row>
    <row r="132" spans="1:20" s="33" customFormat="1" ht="48" hidden="1" thickTop="1" thickBot="1" x14ac:dyDescent="0.25">
      <c r="A132" s="41" t="s">
        <v>513</v>
      </c>
      <c r="B132" s="41" t="s">
        <v>367</v>
      </c>
      <c r="C132" s="41" t="s">
        <v>43</v>
      </c>
      <c r="D132" s="41" t="s">
        <v>368</v>
      </c>
      <c r="E132" s="42">
        <f t="shared" si="80"/>
        <v>0</v>
      </c>
      <c r="F132" s="43"/>
      <c r="G132" s="43"/>
      <c r="H132" s="43"/>
      <c r="I132" s="43"/>
      <c r="J132" s="42">
        <f t="shared" si="77"/>
        <v>0</v>
      </c>
      <c r="K132" s="43"/>
      <c r="L132" s="43"/>
      <c r="M132" s="43"/>
      <c r="N132" s="43"/>
      <c r="O132" s="44">
        <f t="shared" si="82"/>
        <v>0</v>
      </c>
      <c r="P132" s="42">
        <f t="shared" si="78"/>
        <v>0</v>
      </c>
      <c r="Q132" s="36"/>
      <c r="R132" s="30"/>
    </row>
    <row r="133" spans="1:20" ht="91.5" thickTop="1" thickBot="1" x14ac:dyDescent="0.25">
      <c r="A133" s="403" t="s">
        <v>156</v>
      </c>
      <c r="B133" s="403"/>
      <c r="C133" s="403"/>
      <c r="D133" s="404" t="s">
        <v>37</v>
      </c>
      <c r="E133" s="406">
        <f>E134</f>
        <v>279298948.87</v>
      </c>
      <c r="F133" s="405">
        <f t="shared" ref="F133:G133" si="100">F134</f>
        <v>279298948.87</v>
      </c>
      <c r="G133" s="405">
        <f t="shared" si="100"/>
        <v>82494695</v>
      </c>
      <c r="H133" s="405">
        <f>H134</f>
        <v>5671600.8700000001</v>
      </c>
      <c r="I133" s="405">
        <f t="shared" ref="I133" si="101">I134</f>
        <v>0</v>
      </c>
      <c r="J133" s="406">
        <f>J134</f>
        <v>239682304.14000005</v>
      </c>
      <c r="K133" s="405">
        <f>K134</f>
        <v>231390775.14000005</v>
      </c>
      <c r="L133" s="405">
        <f>L134</f>
        <v>8126529</v>
      </c>
      <c r="M133" s="405">
        <f t="shared" ref="M133" si="102">M134</f>
        <v>2772020</v>
      </c>
      <c r="N133" s="405">
        <f>N134</f>
        <v>778110</v>
      </c>
      <c r="O133" s="406">
        <f>O134</f>
        <v>231555775.14000005</v>
      </c>
      <c r="P133" s="405">
        <f>P134</f>
        <v>518981253.01000005</v>
      </c>
      <c r="Q133" s="20"/>
    </row>
    <row r="134" spans="1:20" ht="91.5" thickTop="1" thickBot="1" x14ac:dyDescent="0.25">
      <c r="A134" s="407" t="s">
        <v>157</v>
      </c>
      <c r="B134" s="407"/>
      <c r="C134" s="407"/>
      <c r="D134" s="408" t="s">
        <v>38</v>
      </c>
      <c r="E134" s="409">
        <f>E135+E139+E180+E184</f>
        <v>279298948.87</v>
      </c>
      <c r="F134" s="409">
        <f>F135+F139+F180+F184</f>
        <v>279298948.87</v>
      </c>
      <c r="G134" s="409">
        <f>G135+G139+G180+G184</f>
        <v>82494695</v>
      </c>
      <c r="H134" s="409">
        <f>H135+H139+H180+H184</f>
        <v>5671600.8700000001</v>
      </c>
      <c r="I134" s="409">
        <f>I135+I139+I180+I184</f>
        <v>0</v>
      </c>
      <c r="J134" s="409">
        <f t="shared" ref="J134:J160" si="103">L134+O134</f>
        <v>239682304.14000005</v>
      </c>
      <c r="K134" s="409">
        <f>K135+K139+K180+K184</f>
        <v>231390775.14000005</v>
      </c>
      <c r="L134" s="409">
        <f>L135+L139+L180+L184</f>
        <v>8126529</v>
      </c>
      <c r="M134" s="409">
        <f>M135+M139+M180+M184</f>
        <v>2772020</v>
      </c>
      <c r="N134" s="409">
        <f>N135+N139+N180+N184</f>
        <v>778110</v>
      </c>
      <c r="O134" s="409">
        <f>O135+O139+O180+O184</f>
        <v>231555775.14000005</v>
      </c>
      <c r="P134" s="409">
        <f>E134+J134</f>
        <v>518981253.01000005</v>
      </c>
      <c r="Q134" s="353" t="b">
        <f>P134=P136+P137+P138+P141+P142+P143+P144+P145+P147+P150+P151+P153+P154+P157+P159+P176+P178+P179+P182+P160+P146+P148+P156+P189+P162+P166+P170+P187</f>
        <v>1</v>
      </c>
      <c r="R134" s="46"/>
      <c r="S134" s="46"/>
      <c r="T134" s="45"/>
    </row>
    <row r="135" spans="1:20" ht="47.25" thickTop="1" thickBot="1" x14ac:dyDescent="0.25">
      <c r="A135" s="346" t="s">
        <v>733</v>
      </c>
      <c r="B135" s="346" t="s">
        <v>690</v>
      </c>
      <c r="C135" s="346"/>
      <c r="D135" s="346" t="s">
        <v>691</v>
      </c>
      <c r="E135" s="393">
        <f t="shared" ref="E135:P135" si="104">SUM(E136:E138)</f>
        <v>53544585</v>
      </c>
      <c r="F135" s="393">
        <f t="shared" si="104"/>
        <v>53544585</v>
      </c>
      <c r="G135" s="393">
        <f t="shared" si="104"/>
        <v>38000000</v>
      </c>
      <c r="H135" s="393">
        <f t="shared" si="104"/>
        <v>2160585</v>
      </c>
      <c r="I135" s="393">
        <f t="shared" si="104"/>
        <v>0</v>
      </c>
      <c r="J135" s="393">
        <f t="shared" si="104"/>
        <v>1319000</v>
      </c>
      <c r="K135" s="393">
        <f t="shared" si="104"/>
        <v>1319000</v>
      </c>
      <c r="L135" s="393">
        <f t="shared" si="104"/>
        <v>0</v>
      </c>
      <c r="M135" s="393">
        <f t="shared" si="104"/>
        <v>0</v>
      </c>
      <c r="N135" s="393">
        <f t="shared" si="104"/>
        <v>0</v>
      </c>
      <c r="O135" s="393">
        <f t="shared" si="104"/>
        <v>1319000</v>
      </c>
      <c r="P135" s="393">
        <f t="shared" si="104"/>
        <v>54863585</v>
      </c>
      <c r="Q135" s="47"/>
      <c r="R135" s="46"/>
      <c r="T135" s="45"/>
    </row>
    <row r="136" spans="1:20" ht="93" thickTop="1" thickBot="1" x14ac:dyDescent="0.25">
      <c r="A136" s="119" t="s">
        <v>419</v>
      </c>
      <c r="B136" s="119" t="s">
        <v>240</v>
      </c>
      <c r="C136" s="119" t="s">
        <v>238</v>
      </c>
      <c r="D136" s="119" t="s">
        <v>239</v>
      </c>
      <c r="E136" s="393">
        <f t="shared" ref="E136:E138" si="105">F136</f>
        <v>53457585</v>
      </c>
      <c r="F136" s="350">
        <f>(52715585)+298000+444000</f>
        <v>53457585</v>
      </c>
      <c r="G136" s="350">
        <v>38000000</v>
      </c>
      <c r="H136" s="350">
        <f>1250000+59135+812450+39000</f>
        <v>2160585</v>
      </c>
      <c r="I136" s="350"/>
      <c r="J136" s="393">
        <f t="shared" si="103"/>
        <v>1319000</v>
      </c>
      <c r="K136" s="350">
        <f>(300000)+1019000</f>
        <v>1319000</v>
      </c>
      <c r="L136" s="350"/>
      <c r="M136" s="350"/>
      <c r="N136" s="350"/>
      <c r="O136" s="351">
        <f>K136</f>
        <v>1319000</v>
      </c>
      <c r="P136" s="393">
        <f t="shared" ref="P136:P151" si="106">E136+J136</f>
        <v>54776585</v>
      </c>
      <c r="Q136" s="47"/>
      <c r="R136" s="46"/>
      <c r="T136" s="45"/>
    </row>
    <row r="137" spans="1:20" ht="93" thickTop="1" thickBot="1" x14ac:dyDescent="0.25">
      <c r="A137" s="119" t="s">
        <v>634</v>
      </c>
      <c r="B137" s="119" t="s">
        <v>366</v>
      </c>
      <c r="C137" s="119" t="s">
        <v>631</v>
      </c>
      <c r="D137" s="119" t="s">
        <v>632</v>
      </c>
      <c r="E137" s="393">
        <f t="shared" si="105"/>
        <v>57000</v>
      </c>
      <c r="F137" s="350">
        <v>57000</v>
      </c>
      <c r="G137" s="350"/>
      <c r="H137" s="350"/>
      <c r="I137" s="350"/>
      <c r="J137" s="393">
        <f t="shared" si="103"/>
        <v>0</v>
      </c>
      <c r="K137" s="350"/>
      <c r="L137" s="350"/>
      <c r="M137" s="350"/>
      <c r="N137" s="350"/>
      <c r="O137" s="351">
        <f>K137</f>
        <v>0</v>
      </c>
      <c r="P137" s="393">
        <f t="shared" si="106"/>
        <v>57000</v>
      </c>
      <c r="Q137" s="47"/>
      <c r="R137" s="46"/>
      <c r="T137" s="45"/>
    </row>
    <row r="138" spans="1:20" ht="48" thickTop="1" thickBot="1" x14ac:dyDescent="0.25">
      <c r="A138" s="119" t="s">
        <v>928</v>
      </c>
      <c r="B138" s="119" t="s">
        <v>43</v>
      </c>
      <c r="C138" s="119" t="s">
        <v>42</v>
      </c>
      <c r="D138" s="119" t="s">
        <v>252</v>
      </c>
      <c r="E138" s="393">
        <f t="shared" si="105"/>
        <v>30000</v>
      </c>
      <c r="F138" s="350">
        <v>30000</v>
      </c>
      <c r="G138" s="350"/>
      <c r="H138" s="350"/>
      <c r="I138" s="350"/>
      <c r="J138" s="393">
        <f t="shared" si="103"/>
        <v>0</v>
      </c>
      <c r="K138" s="350"/>
      <c r="L138" s="350"/>
      <c r="M138" s="350"/>
      <c r="N138" s="350"/>
      <c r="O138" s="351"/>
      <c r="P138" s="393">
        <f t="shared" si="106"/>
        <v>30000</v>
      </c>
      <c r="Q138" s="47"/>
      <c r="R138" s="46"/>
      <c r="T138" s="45"/>
    </row>
    <row r="139" spans="1:20" ht="47.25" thickTop="1" thickBot="1" x14ac:dyDescent="0.25">
      <c r="A139" s="346" t="s">
        <v>734</v>
      </c>
      <c r="B139" s="346" t="s">
        <v>717</v>
      </c>
      <c r="C139" s="346"/>
      <c r="D139" s="346" t="s">
        <v>718</v>
      </c>
      <c r="E139" s="393">
        <f t="shared" ref="E139:P139" si="107">SUM(E140:E179)-E140-E149-E158-E161-E177-E155-E152</f>
        <v>225734363.86999997</v>
      </c>
      <c r="F139" s="393">
        <f t="shared" si="107"/>
        <v>225734363.86999997</v>
      </c>
      <c r="G139" s="393">
        <f t="shared" si="107"/>
        <v>44494695</v>
      </c>
      <c r="H139" s="393">
        <f t="shared" si="107"/>
        <v>3511015.87</v>
      </c>
      <c r="I139" s="393">
        <f t="shared" si="107"/>
        <v>0</v>
      </c>
      <c r="J139" s="393">
        <f t="shared" si="107"/>
        <v>219534304.14000005</v>
      </c>
      <c r="K139" s="393">
        <f t="shared" si="107"/>
        <v>211242775.14000005</v>
      </c>
      <c r="L139" s="393">
        <f t="shared" si="107"/>
        <v>8126529</v>
      </c>
      <c r="M139" s="393">
        <f t="shared" si="107"/>
        <v>2772020</v>
      </c>
      <c r="N139" s="393">
        <f t="shared" si="107"/>
        <v>778110</v>
      </c>
      <c r="O139" s="393">
        <f t="shared" si="107"/>
        <v>211407775.14000005</v>
      </c>
      <c r="P139" s="393">
        <f t="shared" si="107"/>
        <v>445268668.00999993</v>
      </c>
      <c r="Q139" s="47"/>
      <c r="R139" s="46"/>
      <c r="T139" s="45"/>
    </row>
    <row r="140" spans="1:20" ht="138.75" thickTop="1" thickBot="1" x14ac:dyDescent="0.25">
      <c r="A140" s="399" t="s">
        <v>735</v>
      </c>
      <c r="B140" s="399" t="s">
        <v>736</v>
      </c>
      <c r="C140" s="399"/>
      <c r="D140" s="399" t="s">
        <v>737</v>
      </c>
      <c r="E140" s="388">
        <f>SUM(E141:E145)</f>
        <v>66355000</v>
      </c>
      <c r="F140" s="388">
        <f t="shared" ref="F140:P140" si="108">SUM(F141:F145)</f>
        <v>66355000</v>
      </c>
      <c r="G140" s="388">
        <f t="shared" si="108"/>
        <v>0</v>
      </c>
      <c r="H140" s="388">
        <f t="shared" si="108"/>
        <v>0</v>
      </c>
      <c r="I140" s="388">
        <f t="shared" si="108"/>
        <v>0</v>
      </c>
      <c r="J140" s="388">
        <f t="shared" si="108"/>
        <v>150000</v>
      </c>
      <c r="K140" s="388">
        <f t="shared" si="108"/>
        <v>150000</v>
      </c>
      <c r="L140" s="388">
        <f t="shared" si="108"/>
        <v>0</v>
      </c>
      <c r="M140" s="388">
        <f t="shared" si="108"/>
        <v>0</v>
      </c>
      <c r="N140" s="388">
        <f t="shared" si="108"/>
        <v>0</v>
      </c>
      <c r="O140" s="388">
        <f t="shared" si="108"/>
        <v>150000</v>
      </c>
      <c r="P140" s="388">
        <f t="shared" si="108"/>
        <v>66505000</v>
      </c>
      <c r="Q140" s="166"/>
      <c r="R140" s="48"/>
      <c r="T140" s="49"/>
    </row>
    <row r="141" spans="1:20" s="33" customFormat="1" ht="93" thickTop="1" thickBot="1" x14ac:dyDescent="0.25">
      <c r="A141" s="119" t="s">
        <v>273</v>
      </c>
      <c r="B141" s="119" t="s">
        <v>274</v>
      </c>
      <c r="C141" s="119" t="s">
        <v>209</v>
      </c>
      <c r="D141" s="401" t="s">
        <v>275</v>
      </c>
      <c r="E141" s="393">
        <f>F141</f>
        <v>755000</v>
      </c>
      <c r="F141" s="350">
        <f>(360000)+395000</f>
        <v>755000</v>
      </c>
      <c r="G141" s="350"/>
      <c r="H141" s="350"/>
      <c r="I141" s="350"/>
      <c r="J141" s="393">
        <f t="shared" si="103"/>
        <v>150000</v>
      </c>
      <c r="K141" s="350">
        <v>150000</v>
      </c>
      <c r="L141" s="350"/>
      <c r="M141" s="350"/>
      <c r="N141" s="350"/>
      <c r="O141" s="351">
        <f t="shared" ref="O141:O160" si="109">K141</f>
        <v>150000</v>
      </c>
      <c r="P141" s="393">
        <f t="shared" si="106"/>
        <v>905000</v>
      </c>
      <c r="Q141" s="36"/>
      <c r="R141" s="46"/>
    </row>
    <row r="142" spans="1:20" s="33" customFormat="1" ht="48" thickTop="1" thickBot="1" x14ac:dyDescent="0.25">
      <c r="A142" s="119" t="s">
        <v>276</v>
      </c>
      <c r="B142" s="119" t="s">
        <v>277</v>
      </c>
      <c r="C142" s="119" t="s">
        <v>210</v>
      </c>
      <c r="D142" s="119" t="s">
        <v>6</v>
      </c>
      <c r="E142" s="393">
        <f t="shared" ref="E142:E191" si="110">F142</f>
        <v>700000</v>
      </c>
      <c r="F142" s="350">
        <v>700000</v>
      </c>
      <c r="G142" s="350"/>
      <c r="H142" s="350"/>
      <c r="I142" s="350"/>
      <c r="J142" s="393">
        <f t="shared" si="103"/>
        <v>0</v>
      </c>
      <c r="K142" s="350"/>
      <c r="L142" s="350"/>
      <c r="M142" s="350"/>
      <c r="N142" s="350"/>
      <c r="O142" s="351">
        <f t="shared" si="109"/>
        <v>0</v>
      </c>
      <c r="P142" s="393">
        <f t="shared" si="106"/>
        <v>700000</v>
      </c>
      <c r="Q142" s="36"/>
      <c r="R142" s="50"/>
    </row>
    <row r="143" spans="1:20" s="33" customFormat="1" ht="93" thickTop="1" thickBot="1" x14ac:dyDescent="0.25">
      <c r="A143" s="119" t="s">
        <v>279</v>
      </c>
      <c r="B143" s="119" t="s">
        <v>280</v>
      </c>
      <c r="C143" s="119" t="s">
        <v>210</v>
      </c>
      <c r="D143" s="119" t="s">
        <v>7</v>
      </c>
      <c r="E143" s="393">
        <f t="shared" si="110"/>
        <v>19200000</v>
      </c>
      <c r="F143" s="350">
        <v>19200000</v>
      </c>
      <c r="G143" s="350"/>
      <c r="H143" s="350"/>
      <c r="I143" s="350"/>
      <c r="J143" s="393">
        <f t="shared" si="103"/>
        <v>0</v>
      </c>
      <c r="K143" s="350"/>
      <c r="L143" s="350"/>
      <c r="M143" s="350"/>
      <c r="N143" s="350"/>
      <c r="O143" s="351">
        <f t="shared" si="109"/>
        <v>0</v>
      </c>
      <c r="P143" s="393">
        <f t="shared" si="106"/>
        <v>19200000</v>
      </c>
      <c r="Q143" s="36"/>
      <c r="R143" s="50"/>
    </row>
    <row r="144" spans="1:20" s="33" customFormat="1" ht="93" thickTop="1" thickBot="1" x14ac:dyDescent="0.25">
      <c r="A144" s="119" t="s">
        <v>281</v>
      </c>
      <c r="B144" s="119" t="s">
        <v>278</v>
      </c>
      <c r="C144" s="119" t="s">
        <v>210</v>
      </c>
      <c r="D144" s="119" t="s">
        <v>8</v>
      </c>
      <c r="E144" s="393">
        <f t="shared" si="110"/>
        <v>700000</v>
      </c>
      <c r="F144" s="350">
        <v>700000</v>
      </c>
      <c r="G144" s="350"/>
      <c r="H144" s="350"/>
      <c r="I144" s="350"/>
      <c r="J144" s="393">
        <f t="shared" si="103"/>
        <v>0</v>
      </c>
      <c r="K144" s="350"/>
      <c r="L144" s="350"/>
      <c r="M144" s="350"/>
      <c r="N144" s="350"/>
      <c r="O144" s="351">
        <f t="shared" si="109"/>
        <v>0</v>
      </c>
      <c r="P144" s="393">
        <f t="shared" si="106"/>
        <v>700000</v>
      </c>
      <c r="Q144" s="36"/>
      <c r="R144" s="50"/>
    </row>
    <row r="145" spans="1:18" s="33" customFormat="1" ht="93" thickTop="1" thickBot="1" x14ac:dyDescent="0.25">
      <c r="A145" s="119" t="s">
        <v>282</v>
      </c>
      <c r="B145" s="119" t="s">
        <v>283</v>
      </c>
      <c r="C145" s="119" t="s">
        <v>210</v>
      </c>
      <c r="D145" s="119" t="s">
        <v>9</v>
      </c>
      <c r="E145" s="393">
        <f t="shared" si="110"/>
        <v>45000000</v>
      </c>
      <c r="F145" s="350">
        <v>45000000</v>
      </c>
      <c r="G145" s="350"/>
      <c r="H145" s="350"/>
      <c r="I145" s="350"/>
      <c r="J145" s="393">
        <f t="shared" si="103"/>
        <v>0</v>
      </c>
      <c r="K145" s="350"/>
      <c r="L145" s="350"/>
      <c r="M145" s="350"/>
      <c r="N145" s="350"/>
      <c r="O145" s="351">
        <f t="shared" si="109"/>
        <v>0</v>
      </c>
      <c r="P145" s="393">
        <f t="shared" si="106"/>
        <v>45000000</v>
      </c>
      <c r="Q145" s="36"/>
      <c r="R145" s="50"/>
    </row>
    <row r="146" spans="1:18" s="33" customFormat="1" ht="93" thickTop="1" thickBot="1" x14ac:dyDescent="0.25">
      <c r="A146" s="119" t="s">
        <v>482</v>
      </c>
      <c r="B146" s="119" t="s">
        <v>483</v>
      </c>
      <c r="C146" s="119" t="s">
        <v>210</v>
      </c>
      <c r="D146" s="119" t="s">
        <v>484</v>
      </c>
      <c r="E146" s="393">
        <f t="shared" si="110"/>
        <v>272462</v>
      </c>
      <c r="F146" s="350">
        <v>272462</v>
      </c>
      <c r="G146" s="350"/>
      <c r="H146" s="350"/>
      <c r="I146" s="350"/>
      <c r="J146" s="393">
        <f t="shared" si="103"/>
        <v>0</v>
      </c>
      <c r="K146" s="350"/>
      <c r="L146" s="350"/>
      <c r="M146" s="350"/>
      <c r="N146" s="350"/>
      <c r="O146" s="351">
        <f t="shared" si="109"/>
        <v>0</v>
      </c>
      <c r="P146" s="393">
        <f t="shared" si="106"/>
        <v>272462</v>
      </c>
      <c r="Q146" s="36"/>
      <c r="R146" s="50"/>
    </row>
    <row r="147" spans="1:18" s="33" customFormat="1" ht="93" thickTop="1" thickBot="1" x14ac:dyDescent="0.25">
      <c r="A147" s="119" t="s">
        <v>929</v>
      </c>
      <c r="B147" s="119" t="s">
        <v>930</v>
      </c>
      <c r="C147" s="119" t="s">
        <v>210</v>
      </c>
      <c r="D147" s="119" t="s">
        <v>931</v>
      </c>
      <c r="E147" s="393">
        <f t="shared" si="110"/>
        <v>2213890</v>
      </c>
      <c r="F147" s="350">
        <f>((180000)+2133890)-100000</f>
        <v>2213890</v>
      </c>
      <c r="G147" s="350"/>
      <c r="H147" s="350"/>
      <c r="I147" s="350"/>
      <c r="J147" s="393">
        <f t="shared" si="103"/>
        <v>0</v>
      </c>
      <c r="K147" s="350"/>
      <c r="L147" s="350"/>
      <c r="M147" s="350"/>
      <c r="N147" s="350"/>
      <c r="O147" s="351">
        <f t="shared" si="109"/>
        <v>0</v>
      </c>
      <c r="P147" s="393">
        <f t="shared" si="106"/>
        <v>2213890</v>
      </c>
      <c r="Q147" s="36"/>
      <c r="R147" s="50"/>
    </row>
    <row r="148" spans="1:18" ht="93" thickTop="1" thickBot="1" x14ac:dyDescent="0.25">
      <c r="A148" s="119" t="s">
        <v>485</v>
      </c>
      <c r="B148" s="119" t="s">
        <v>486</v>
      </c>
      <c r="C148" s="119" t="s">
        <v>209</v>
      </c>
      <c r="D148" s="119" t="s">
        <v>487</v>
      </c>
      <c r="E148" s="393">
        <f t="shared" si="110"/>
        <v>546559</v>
      </c>
      <c r="F148" s="350">
        <v>546559</v>
      </c>
      <c r="G148" s="350"/>
      <c r="H148" s="350"/>
      <c r="I148" s="350"/>
      <c r="J148" s="393">
        <f t="shared" si="103"/>
        <v>0</v>
      </c>
      <c r="K148" s="350"/>
      <c r="L148" s="350"/>
      <c r="M148" s="350"/>
      <c r="N148" s="350"/>
      <c r="O148" s="351">
        <f>K148</f>
        <v>0</v>
      </c>
      <c r="P148" s="393">
        <f t="shared" si="106"/>
        <v>546559</v>
      </c>
      <c r="Q148" s="20"/>
      <c r="R148" s="50"/>
    </row>
    <row r="149" spans="1:18" s="33" customFormat="1" ht="138.75" thickTop="1" thickBot="1" x14ac:dyDescent="0.25">
      <c r="A149" s="399" t="s">
        <v>738</v>
      </c>
      <c r="B149" s="399" t="s">
        <v>739</v>
      </c>
      <c r="C149" s="399"/>
      <c r="D149" s="399" t="s">
        <v>740</v>
      </c>
      <c r="E149" s="388">
        <f>SUM(E150:E151)</f>
        <v>59831944.700000003</v>
      </c>
      <c r="F149" s="388">
        <f t="shared" ref="F149:P149" si="111">SUM(F150:F151)</f>
        <v>59831944.700000003</v>
      </c>
      <c r="G149" s="388">
        <f t="shared" si="111"/>
        <v>29257100</v>
      </c>
      <c r="H149" s="388">
        <f t="shared" si="111"/>
        <v>1371962.7</v>
      </c>
      <c r="I149" s="388">
        <f t="shared" si="111"/>
        <v>0</v>
      </c>
      <c r="J149" s="388">
        <f t="shared" si="111"/>
        <v>1398799</v>
      </c>
      <c r="K149" s="388">
        <f t="shared" si="111"/>
        <v>668799</v>
      </c>
      <c r="L149" s="388">
        <f t="shared" si="111"/>
        <v>640000</v>
      </c>
      <c r="M149" s="388">
        <f t="shared" si="111"/>
        <v>361000</v>
      </c>
      <c r="N149" s="388">
        <f t="shared" si="111"/>
        <v>55000</v>
      </c>
      <c r="O149" s="388">
        <f t="shared" si="111"/>
        <v>758799</v>
      </c>
      <c r="P149" s="388">
        <f t="shared" si="111"/>
        <v>61230743.700000003</v>
      </c>
      <c r="Q149" s="36"/>
      <c r="R149" s="51"/>
    </row>
    <row r="150" spans="1:18" ht="138.75" thickTop="1" thickBot="1" x14ac:dyDescent="0.25">
      <c r="A150" s="119" t="s">
        <v>271</v>
      </c>
      <c r="B150" s="119" t="s">
        <v>269</v>
      </c>
      <c r="C150" s="119" t="s">
        <v>204</v>
      </c>
      <c r="D150" s="119" t="s">
        <v>17</v>
      </c>
      <c r="E150" s="393">
        <f t="shared" si="110"/>
        <v>50203552.700000003</v>
      </c>
      <c r="F150" s="350">
        <f>((((42897540)+2880256.09)+4208.61)+3361703+1009845)+50000</f>
        <v>50203552.700000003</v>
      </c>
      <c r="G150" s="350">
        <v>23147377</v>
      </c>
      <c r="H150" s="350">
        <f>((460000+20896+240000+9600)+13680.09)+4208.61</f>
        <v>748384.7</v>
      </c>
      <c r="I150" s="350"/>
      <c r="J150" s="393">
        <f t="shared" si="103"/>
        <v>874200</v>
      </c>
      <c r="K150" s="350">
        <f>(144200)+764000-764000</f>
        <v>144200</v>
      </c>
      <c r="L150" s="350">
        <v>640000</v>
      </c>
      <c r="M150" s="350">
        <v>361000</v>
      </c>
      <c r="N150" s="350">
        <v>55000</v>
      </c>
      <c r="O150" s="351">
        <f>K150+90000</f>
        <v>234200</v>
      </c>
      <c r="P150" s="393">
        <f t="shared" si="106"/>
        <v>51077752.700000003</v>
      </c>
      <c r="Q150" s="20"/>
      <c r="R150" s="46"/>
    </row>
    <row r="151" spans="1:18" ht="93" thickTop="1" thickBot="1" x14ac:dyDescent="0.25">
      <c r="A151" s="119" t="s">
        <v>272</v>
      </c>
      <c r="B151" s="119" t="s">
        <v>270</v>
      </c>
      <c r="C151" s="119" t="s">
        <v>203</v>
      </c>
      <c r="D151" s="119" t="s">
        <v>459</v>
      </c>
      <c r="E151" s="393">
        <f t="shared" si="110"/>
        <v>9628392</v>
      </c>
      <c r="F151" s="350">
        <f>(((((9450798)+330342)+62546)+12400+63526+199000))-490220</f>
        <v>9628392</v>
      </c>
      <c r="G151" s="350">
        <f>(3615752+2834191)-340220</f>
        <v>6109723</v>
      </c>
      <c r="H151" s="350">
        <f>(309600+8200+75000+750+258003+8750+63000+275)-100000</f>
        <v>623578</v>
      </c>
      <c r="I151" s="350"/>
      <c r="J151" s="393">
        <f t="shared" si="103"/>
        <v>524599</v>
      </c>
      <c r="K151" s="350">
        <f>((406000)+95000)+23599</f>
        <v>524599</v>
      </c>
      <c r="L151" s="350"/>
      <c r="M151" s="350"/>
      <c r="N151" s="350"/>
      <c r="O151" s="351">
        <f t="shared" si="109"/>
        <v>524599</v>
      </c>
      <c r="P151" s="393">
        <f t="shared" si="106"/>
        <v>10152991</v>
      </c>
      <c r="Q151" s="20"/>
      <c r="R151" s="46"/>
    </row>
    <row r="152" spans="1:18" ht="48" thickTop="1" thickBot="1" x14ac:dyDescent="0.25">
      <c r="A152" s="399" t="s">
        <v>1035</v>
      </c>
      <c r="B152" s="399" t="s">
        <v>771</v>
      </c>
      <c r="C152" s="399"/>
      <c r="D152" s="399" t="s">
        <v>772</v>
      </c>
      <c r="E152" s="388">
        <f>E153</f>
        <v>9218834.1699999999</v>
      </c>
      <c r="F152" s="388">
        <f t="shared" ref="F152:P152" si="112">F153</f>
        <v>9218834.1699999999</v>
      </c>
      <c r="G152" s="388">
        <f t="shared" si="112"/>
        <v>6439226</v>
      </c>
      <c r="H152" s="388">
        <f t="shared" si="112"/>
        <v>434076.17</v>
      </c>
      <c r="I152" s="388">
        <f t="shared" si="112"/>
        <v>0</v>
      </c>
      <c r="J152" s="388">
        <f t="shared" si="112"/>
        <v>64800</v>
      </c>
      <c r="K152" s="388">
        <f t="shared" si="112"/>
        <v>64800</v>
      </c>
      <c r="L152" s="388">
        <f t="shared" si="112"/>
        <v>0</v>
      </c>
      <c r="M152" s="388">
        <f t="shared" si="112"/>
        <v>0</v>
      </c>
      <c r="N152" s="388">
        <f t="shared" si="112"/>
        <v>0</v>
      </c>
      <c r="O152" s="388">
        <f t="shared" si="112"/>
        <v>64800</v>
      </c>
      <c r="P152" s="388">
        <f t="shared" si="112"/>
        <v>9283634.1699999999</v>
      </c>
      <c r="Q152" s="20"/>
      <c r="R152" s="46"/>
    </row>
    <row r="153" spans="1:18" ht="48" thickTop="1" thickBot="1" x14ac:dyDescent="0.25">
      <c r="A153" s="119" t="s">
        <v>1240</v>
      </c>
      <c r="B153" s="119" t="s">
        <v>188</v>
      </c>
      <c r="C153" s="119" t="s">
        <v>189</v>
      </c>
      <c r="D153" s="119" t="s">
        <v>644</v>
      </c>
      <c r="E153" s="347">
        <f t="shared" ref="E153" si="113">F153</f>
        <v>9218834.1699999999</v>
      </c>
      <c r="F153" s="389">
        <f>((((((8857655)+115170)+22314.17)+16700)+12480)+33557)+160958</f>
        <v>9218834.1699999999</v>
      </c>
      <c r="G153" s="389">
        <v>6439226</v>
      </c>
      <c r="H153" s="389">
        <f>((132665+22900+161200+61440)+22314.17)+33557</f>
        <v>434076.17</v>
      </c>
      <c r="I153" s="389"/>
      <c r="J153" s="393">
        <f t="shared" ref="J153" si="114">L153+O153</f>
        <v>64800</v>
      </c>
      <c r="K153" s="389">
        <f>(25000)+39800</f>
        <v>64800</v>
      </c>
      <c r="L153" s="390"/>
      <c r="M153" s="390"/>
      <c r="N153" s="390"/>
      <c r="O153" s="351">
        <f t="shared" ref="O153" si="115">K153</f>
        <v>64800</v>
      </c>
      <c r="P153" s="393">
        <f>+J153+E153</f>
        <v>9283634.1699999999</v>
      </c>
      <c r="Q153" s="20"/>
      <c r="R153" s="46"/>
    </row>
    <row r="154" spans="1:18" ht="184.5" thickTop="1" thickBot="1" x14ac:dyDescent="0.25">
      <c r="A154" s="119" t="s">
        <v>267</v>
      </c>
      <c r="B154" s="119" t="s">
        <v>268</v>
      </c>
      <c r="C154" s="119" t="s">
        <v>203</v>
      </c>
      <c r="D154" s="119" t="s">
        <v>457</v>
      </c>
      <c r="E154" s="393">
        <f t="shared" si="110"/>
        <v>4173200</v>
      </c>
      <c r="F154" s="350">
        <f>(4673200)-500000</f>
        <v>4173200</v>
      </c>
      <c r="G154" s="350"/>
      <c r="H154" s="350"/>
      <c r="I154" s="350"/>
      <c r="J154" s="393">
        <f t="shared" si="103"/>
        <v>0</v>
      </c>
      <c r="K154" s="393"/>
      <c r="L154" s="350"/>
      <c r="M154" s="350"/>
      <c r="N154" s="350"/>
      <c r="O154" s="351">
        <f t="shared" si="109"/>
        <v>0</v>
      </c>
      <c r="P154" s="393">
        <f>+J154+E154</f>
        <v>4173200</v>
      </c>
      <c r="Q154" s="20"/>
      <c r="R154" s="50"/>
    </row>
    <row r="155" spans="1:18" ht="48" thickTop="1" thickBot="1" x14ac:dyDescent="0.25">
      <c r="A155" s="399" t="s">
        <v>889</v>
      </c>
      <c r="B155" s="399" t="s">
        <v>890</v>
      </c>
      <c r="C155" s="399"/>
      <c r="D155" s="399" t="s">
        <v>891</v>
      </c>
      <c r="E155" s="388">
        <f t="shared" si="110"/>
        <v>142618</v>
      </c>
      <c r="F155" s="388">
        <f>F156</f>
        <v>142618</v>
      </c>
      <c r="G155" s="388">
        <f t="shared" ref="G155:I155" si="116">G156</f>
        <v>0</v>
      </c>
      <c r="H155" s="388">
        <f t="shared" si="116"/>
        <v>0</v>
      </c>
      <c r="I155" s="388">
        <f t="shared" si="116"/>
        <v>0</v>
      </c>
      <c r="J155" s="388">
        <f t="shared" si="103"/>
        <v>0</v>
      </c>
      <c r="K155" s="388">
        <f t="shared" ref="K155:N155" si="117">K156</f>
        <v>0</v>
      </c>
      <c r="L155" s="388">
        <f t="shared" si="117"/>
        <v>0</v>
      </c>
      <c r="M155" s="388">
        <f t="shared" si="117"/>
        <v>0</v>
      </c>
      <c r="N155" s="388">
        <f t="shared" si="117"/>
        <v>0</v>
      </c>
      <c r="O155" s="388">
        <f t="shared" si="109"/>
        <v>0</v>
      </c>
      <c r="P155" s="388">
        <f>+J155+E155</f>
        <v>142618</v>
      </c>
      <c r="Q155" s="20"/>
      <c r="R155" s="50"/>
    </row>
    <row r="156" spans="1:18" ht="93" thickTop="1" thickBot="1" x14ac:dyDescent="0.25">
      <c r="A156" s="119" t="s">
        <v>488</v>
      </c>
      <c r="B156" s="119" t="s">
        <v>489</v>
      </c>
      <c r="C156" s="119" t="s">
        <v>203</v>
      </c>
      <c r="D156" s="119" t="s">
        <v>490</v>
      </c>
      <c r="E156" s="393">
        <f t="shared" si="110"/>
        <v>142618</v>
      </c>
      <c r="F156" s="350">
        <v>142618</v>
      </c>
      <c r="G156" s="350"/>
      <c r="H156" s="350"/>
      <c r="I156" s="350"/>
      <c r="J156" s="393">
        <f t="shared" si="103"/>
        <v>0</v>
      </c>
      <c r="K156" s="393"/>
      <c r="L156" s="350"/>
      <c r="M156" s="350"/>
      <c r="N156" s="350"/>
      <c r="O156" s="351">
        <f t="shared" si="109"/>
        <v>0</v>
      </c>
      <c r="P156" s="393">
        <f>+J156+E156</f>
        <v>142618</v>
      </c>
      <c r="Q156" s="20"/>
      <c r="R156" s="50"/>
    </row>
    <row r="157" spans="1:18" ht="138.75" thickTop="1" thickBot="1" x14ac:dyDescent="0.25">
      <c r="A157" s="119" t="s">
        <v>352</v>
      </c>
      <c r="B157" s="119" t="s">
        <v>351</v>
      </c>
      <c r="C157" s="119" t="s">
        <v>50</v>
      </c>
      <c r="D157" s="119" t="s">
        <v>458</v>
      </c>
      <c r="E157" s="393">
        <f t="shared" si="110"/>
        <v>2722500</v>
      </c>
      <c r="F157" s="350">
        <f>(3222500)-500000</f>
        <v>2722500</v>
      </c>
      <c r="G157" s="350"/>
      <c r="H157" s="350"/>
      <c r="I157" s="350"/>
      <c r="J157" s="393">
        <f t="shared" si="103"/>
        <v>0</v>
      </c>
      <c r="K157" s="393"/>
      <c r="L157" s="350"/>
      <c r="M157" s="350"/>
      <c r="N157" s="350"/>
      <c r="O157" s="351">
        <f t="shared" si="109"/>
        <v>0</v>
      </c>
      <c r="P157" s="393">
        <f>E157+J157</f>
        <v>2722500</v>
      </c>
      <c r="Q157" s="20"/>
      <c r="R157" s="50"/>
    </row>
    <row r="158" spans="1:18" s="33" customFormat="1" ht="48" thickTop="1" thickBot="1" x14ac:dyDescent="0.25">
      <c r="A158" s="399" t="s">
        <v>741</v>
      </c>
      <c r="B158" s="399" t="s">
        <v>742</v>
      </c>
      <c r="C158" s="399"/>
      <c r="D158" s="399" t="s">
        <v>743</v>
      </c>
      <c r="E158" s="388">
        <f>E159</f>
        <v>1110000</v>
      </c>
      <c r="F158" s="388">
        <f t="shared" ref="F158:P158" si="118">F159</f>
        <v>1110000</v>
      </c>
      <c r="G158" s="388">
        <f t="shared" si="118"/>
        <v>0</v>
      </c>
      <c r="H158" s="388">
        <f t="shared" si="118"/>
        <v>0</v>
      </c>
      <c r="I158" s="388">
        <f t="shared" si="118"/>
        <v>0</v>
      </c>
      <c r="J158" s="388">
        <f t="shared" si="118"/>
        <v>0</v>
      </c>
      <c r="K158" s="388">
        <f t="shared" si="118"/>
        <v>0</v>
      </c>
      <c r="L158" s="388">
        <f t="shared" si="118"/>
        <v>0</v>
      </c>
      <c r="M158" s="388">
        <f t="shared" si="118"/>
        <v>0</v>
      </c>
      <c r="N158" s="388">
        <f t="shared" si="118"/>
        <v>0</v>
      </c>
      <c r="O158" s="388">
        <f t="shared" si="118"/>
        <v>0</v>
      </c>
      <c r="P158" s="388">
        <f t="shared" si="118"/>
        <v>1110000</v>
      </c>
      <c r="Q158" s="36"/>
      <c r="R158" s="51"/>
    </row>
    <row r="159" spans="1:18" ht="93" thickTop="1" thickBot="1" x14ac:dyDescent="0.25">
      <c r="A159" s="119" t="s">
        <v>329</v>
      </c>
      <c r="B159" s="119" t="s">
        <v>330</v>
      </c>
      <c r="C159" s="119" t="s">
        <v>209</v>
      </c>
      <c r="D159" s="119" t="s">
        <v>641</v>
      </c>
      <c r="E159" s="393">
        <f t="shared" si="110"/>
        <v>1110000</v>
      </c>
      <c r="F159" s="350">
        <f>(600000+110000)+400000</f>
        <v>1110000</v>
      </c>
      <c r="G159" s="350"/>
      <c r="H159" s="350"/>
      <c r="I159" s="350"/>
      <c r="J159" s="393">
        <f t="shared" si="103"/>
        <v>0</v>
      </c>
      <c r="K159" s="350"/>
      <c r="L159" s="350"/>
      <c r="M159" s="350"/>
      <c r="N159" s="350"/>
      <c r="O159" s="351">
        <f t="shared" si="109"/>
        <v>0</v>
      </c>
      <c r="P159" s="393">
        <f>E159+J159</f>
        <v>1110000</v>
      </c>
      <c r="Q159" s="20"/>
      <c r="R159" s="50"/>
    </row>
    <row r="160" spans="1:18" ht="48" thickTop="1" thickBot="1" x14ac:dyDescent="0.25">
      <c r="A160" s="119" t="s">
        <v>432</v>
      </c>
      <c r="B160" s="119" t="s">
        <v>376</v>
      </c>
      <c r="C160" s="119" t="s">
        <v>377</v>
      </c>
      <c r="D160" s="119" t="s">
        <v>375</v>
      </c>
      <c r="E160" s="586">
        <f t="shared" si="110"/>
        <v>117000</v>
      </c>
      <c r="F160" s="350">
        <v>117000</v>
      </c>
      <c r="G160" s="350">
        <v>90000</v>
      </c>
      <c r="H160" s="350"/>
      <c r="I160" s="350"/>
      <c r="J160" s="393">
        <f t="shared" si="103"/>
        <v>0</v>
      </c>
      <c r="K160" s="350"/>
      <c r="L160" s="350"/>
      <c r="M160" s="350"/>
      <c r="N160" s="350"/>
      <c r="O160" s="351">
        <f t="shared" si="109"/>
        <v>0</v>
      </c>
      <c r="P160" s="393">
        <f>E160+J160</f>
        <v>117000</v>
      </c>
      <c r="Q160" s="20"/>
      <c r="R160" s="50"/>
    </row>
    <row r="161" spans="1:18" ht="93" thickTop="1" thickBot="1" x14ac:dyDescent="0.25">
      <c r="A161" s="399" t="s">
        <v>1078</v>
      </c>
      <c r="B161" s="399" t="s">
        <v>1079</v>
      </c>
      <c r="C161" s="399"/>
      <c r="D161" s="399" t="s">
        <v>1077</v>
      </c>
      <c r="E161" s="388">
        <f>E162+E166+E170+E173</f>
        <v>0</v>
      </c>
      <c r="F161" s="388">
        <f t="shared" ref="F161:P161" si="119">F162+F166+F170+F173</f>
        <v>0</v>
      </c>
      <c r="G161" s="388">
        <f t="shared" si="119"/>
        <v>0</v>
      </c>
      <c r="H161" s="388">
        <f t="shared" si="119"/>
        <v>0</v>
      </c>
      <c r="I161" s="388">
        <f t="shared" si="119"/>
        <v>0</v>
      </c>
      <c r="J161" s="388">
        <f t="shared" si="119"/>
        <v>112845054.14</v>
      </c>
      <c r="K161" s="388">
        <f t="shared" si="119"/>
        <v>112845054.14</v>
      </c>
      <c r="L161" s="388">
        <f t="shared" si="119"/>
        <v>0</v>
      </c>
      <c r="M161" s="388">
        <f t="shared" si="119"/>
        <v>0</v>
      </c>
      <c r="N161" s="388">
        <f t="shared" si="119"/>
        <v>0</v>
      </c>
      <c r="O161" s="388">
        <f t="shared" si="119"/>
        <v>112845054.14</v>
      </c>
      <c r="P161" s="388">
        <f t="shared" si="119"/>
        <v>112845054.14</v>
      </c>
      <c r="Q161" s="20"/>
      <c r="R161" s="50"/>
    </row>
    <row r="162" spans="1:18" ht="256.5" customHeight="1" thickTop="1" x14ac:dyDescent="0.65">
      <c r="A162" s="694" t="s">
        <v>1080</v>
      </c>
      <c r="B162" s="694" t="s">
        <v>1081</v>
      </c>
      <c r="C162" s="694" t="s">
        <v>50</v>
      </c>
      <c r="D162" s="631" t="s">
        <v>1533</v>
      </c>
      <c r="E162" s="682">
        <f t="shared" ref="E162:E166" si="120">F162</f>
        <v>0</v>
      </c>
      <c r="F162" s="682"/>
      <c r="G162" s="682"/>
      <c r="H162" s="682"/>
      <c r="I162" s="682"/>
      <c r="J162" s="682">
        <f t="shared" ref="J162:J166" si="121">L162+O162</f>
        <v>60048682.840000004</v>
      </c>
      <c r="K162" s="695">
        <v>60048682.840000004</v>
      </c>
      <c r="L162" s="682"/>
      <c r="M162" s="682"/>
      <c r="N162" s="682"/>
      <c r="O162" s="695">
        <f t="shared" ref="O162:O166" si="122">K162</f>
        <v>60048682.840000004</v>
      </c>
      <c r="P162" s="682">
        <f t="shared" ref="P162:P166" si="123">E162+J162</f>
        <v>60048682.840000004</v>
      </c>
      <c r="Q162" s="697"/>
      <c r="R162" s="679"/>
    </row>
    <row r="163" spans="1:18" ht="238.5" customHeight="1" x14ac:dyDescent="0.2">
      <c r="A163" s="683"/>
      <c r="B163" s="683"/>
      <c r="C163" s="683"/>
      <c r="D163" s="632" t="s">
        <v>1534</v>
      </c>
      <c r="E163" s="683"/>
      <c r="F163" s="683"/>
      <c r="G163" s="683"/>
      <c r="H163" s="683"/>
      <c r="I163" s="683"/>
      <c r="J163" s="683"/>
      <c r="K163" s="683"/>
      <c r="L163" s="683"/>
      <c r="M163" s="683"/>
      <c r="N163" s="683"/>
      <c r="O163" s="683"/>
      <c r="P163" s="683"/>
      <c r="Q163" s="697"/>
      <c r="R163" s="680"/>
    </row>
    <row r="164" spans="1:18" ht="220.5" customHeight="1" x14ac:dyDescent="0.2">
      <c r="A164" s="683"/>
      <c r="B164" s="683"/>
      <c r="C164" s="683"/>
      <c r="D164" s="632" t="s">
        <v>1535</v>
      </c>
      <c r="E164" s="683"/>
      <c r="F164" s="683"/>
      <c r="G164" s="683"/>
      <c r="H164" s="683"/>
      <c r="I164" s="683"/>
      <c r="J164" s="683"/>
      <c r="K164" s="683"/>
      <c r="L164" s="683"/>
      <c r="M164" s="683"/>
      <c r="N164" s="683"/>
      <c r="O164" s="683"/>
      <c r="P164" s="683"/>
      <c r="Q164" s="697"/>
      <c r="R164" s="680"/>
    </row>
    <row r="165" spans="1:18" ht="166.5" customHeight="1" thickBot="1" x14ac:dyDescent="0.25">
      <c r="A165" s="684"/>
      <c r="B165" s="684"/>
      <c r="C165" s="684"/>
      <c r="D165" s="633" t="s">
        <v>1536</v>
      </c>
      <c r="E165" s="684"/>
      <c r="F165" s="684"/>
      <c r="G165" s="684"/>
      <c r="H165" s="684"/>
      <c r="I165" s="684"/>
      <c r="J165" s="684"/>
      <c r="K165" s="684"/>
      <c r="L165" s="684"/>
      <c r="M165" s="684"/>
      <c r="N165" s="684"/>
      <c r="O165" s="684"/>
      <c r="P165" s="684"/>
      <c r="Q165" s="697"/>
      <c r="R165" s="680"/>
    </row>
    <row r="166" spans="1:18" ht="277.5" customHeight="1" thickTop="1" x14ac:dyDescent="0.65">
      <c r="A166" s="694" t="s">
        <v>1083</v>
      </c>
      <c r="B166" s="694" t="s">
        <v>1084</v>
      </c>
      <c r="C166" s="694" t="s">
        <v>50</v>
      </c>
      <c r="D166" s="631" t="s">
        <v>1082</v>
      </c>
      <c r="E166" s="682">
        <f t="shared" si="120"/>
        <v>0</v>
      </c>
      <c r="F166" s="682"/>
      <c r="G166" s="682"/>
      <c r="H166" s="682"/>
      <c r="I166" s="682"/>
      <c r="J166" s="682">
        <f t="shared" si="121"/>
        <v>34451671.970000006</v>
      </c>
      <c r="K166" s="695">
        <f>((25469713.26)+9382915)-400956.29</f>
        <v>34451671.970000006</v>
      </c>
      <c r="L166" s="682"/>
      <c r="M166" s="682"/>
      <c r="N166" s="682"/>
      <c r="O166" s="682">
        <f t="shared" si="122"/>
        <v>34451671.970000006</v>
      </c>
      <c r="P166" s="682">
        <f t="shared" si="123"/>
        <v>34451671.970000006</v>
      </c>
      <c r="Q166" s="20"/>
      <c r="R166" s="679"/>
    </row>
    <row r="167" spans="1:18" ht="298.5" customHeight="1" x14ac:dyDescent="0.2">
      <c r="A167" s="683"/>
      <c r="B167" s="683"/>
      <c r="C167" s="683"/>
      <c r="D167" s="632" t="s">
        <v>1537</v>
      </c>
      <c r="E167" s="683"/>
      <c r="F167" s="683"/>
      <c r="G167" s="683"/>
      <c r="H167" s="683"/>
      <c r="I167" s="683"/>
      <c r="J167" s="683"/>
      <c r="K167" s="683"/>
      <c r="L167" s="683"/>
      <c r="M167" s="683"/>
      <c r="N167" s="683"/>
      <c r="O167" s="683"/>
      <c r="P167" s="683"/>
      <c r="Q167" s="20"/>
      <c r="R167" s="696"/>
    </row>
    <row r="168" spans="1:18" ht="283.5" customHeight="1" x14ac:dyDescent="0.2">
      <c r="A168" s="683"/>
      <c r="B168" s="683"/>
      <c r="C168" s="683"/>
      <c r="D168" s="632" t="s">
        <v>1538</v>
      </c>
      <c r="E168" s="683"/>
      <c r="F168" s="683"/>
      <c r="G168" s="683"/>
      <c r="H168" s="683"/>
      <c r="I168" s="683"/>
      <c r="J168" s="683"/>
      <c r="K168" s="683"/>
      <c r="L168" s="683"/>
      <c r="M168" s="683"/>
      <c r="N168" s="683"/>
      <c r="O168" s="683"/>
      <c r="P168" s="683"/>
      <c r="Q168" s="20"/>
      <c r="R168" s="696"/>
    </row>
    <row r="169" spans="1:18" ht="92.25" thickBot="1" x14ac:dyDescent="0.25">
      <c r="A169" s="684"/>
      <c r="B169" s="684"/>
      <c r="C169" s="684"/>
      <c r="D169" s="633" t="s">
        <v>1539</v>
      </c>
      <c r="E169" s="684"/>
      <c r="F169" s="684"/>
      <c r="G169" s="684"/>
      <c r="H169" s="684"/>
      <c r="I169" s="684"/>
      <c r="J169" s="684"/>
      <c r="K169" s="684"/>
      <c r="L169" s="684"/>
      <c r="M169" s="684"/>
      <c r="N169" s="684"/>
      <c r="O169" s="684"/>
      <c r="P169" s="684"/>
      <c r="Q169" s="20"/>
      <c r="R169" s="696"/>
    </row>
    <row r="170" spans="1:18" ht="310.5" customHeight="1" thickTop="1" x14ac:dyDescent="0.65">
      <c r="A170" s="694" t="s">
        <v>1085</v>
      </c>
      <c r="B170" s="694" t="s">
        <v>1086</v>
      </c>
      <c r="C170" s="694" t="s">
        <v>50</v>
      </c>
      <c r="D170" s="631" t="s">
        <v>1540</v>
      </c>
      <c r="E170" s="682">
        <f t="shared" ref="E170" si="124">F170</f>
        <v>0</v>
      </c>
      <c r="F170" s="682"/>
      <c r="G170" s="682"/>
      <c r="H170" s="682"/>
      <c r="I170" s="682"/>
      <c r="J170" s="682">
        <f t="shared" ref="J170" si="125">L170+O170</f>
        <v>18344699.329999998</v>
      </c>
      <c r="K170" s="695">
        <f>(16166689.19)+2178010.14</f>
        <v>18344699.329999998</v>
      </c>
      <c r="L170" s="682"/>
      <c r="M170" s="682"/>
      <c r="N170" s="682"/>
      <c r="O170" s="695">
        <f t="shared" ref="O170" si="126">K170</f>
        <v>18344699.329999998</v>
      </c>
      <c r="P170" s="682">
        <f t="shared" ref="P170" si="127">E170+J170</f>
        <v>18344699.329999998</v>
      </c>
      <c r="Q170" s="20"/>
      <c r="R170" s="679"/>
    </row>
    <row r="171" spans="1:18" ht="268.5" customHeight="1" x14ac:dyDescent="0.2">
      <c r="A171" s="683"/>
      <c r="B171" s="683"/>
      <c r="C171" s="683"/>
      <c r="D171" s="632" t="s">
        <v>1541</v>
      </c>
      <c r="E171" s="683"/>
      <c r="F171" s="683"/>
      <c r="G171" s="683"/>
      <c r="H171" s="683"/>
      <c r="I171" s="683"/>
      <c r="J171" s="683"/>
      <c r="K171" s="683"/>
      <c r="L171" s="683"/>
      <c r="M171" s="683"/>
      <c r="N171" s="683"/>
      <c r="O171" s="683"/>
      <c r="P171" s="683"/>
      <c r="Q171" s="20"/>
      <c r="R171" s="680"/>
    </row>
    <row r="172" spans="1:18" ht="92.25" thickBot="1" x14ac:dyDescent="0.25">
      <c r="A172" s="684"/>
      <c r="B172" s="684"/>
      <c r="C172" s="684"/>
      <c r="D172" s="633" t="s">
        <v>1087</v>
      </c>
      <c r="E172" s="684"/>
      <c r="F172" s="684"/>
      <c r="G172" s="684"/>
      <c r="H172" s="684"/>
      <c r="I172" s="684"/>
      <c r="J172" s="684"/>
      <c r="K172" s="684"/>
      <c r="L172" s="684"/>
      <c r="M172" s="684"/>
      <c r="N172" s="684"/>
      <c r="O172" s="684"/>
      <c r="P172" s="684"/>
      <c r="Q172" s="20"/>
      <c r="R172" s="680"/>
    </row>
    <row r="173" spans="1:18" ht="184.5" hidden="1" thickTop="1" thickBot="1" x14ac:dyDescent="0.7">
      <c r="A173" s="681" t="s">
        <v>1091</v>
      </c>
      <c r="B173" s="681" t="s">
        <v>1092</v>
      </c>
      <c r="C173" s="681" t="s">
        <v>50</v>
      </c>
      <c r="D173" s="484" t="s">
        <v>1088</v>
      </c>
      <c r="E173" s="682">
        <f t="shared" ref="E173" si="128">F173</f>
        <v>0</v>
      </c>
      <c r="F173" s="682"/>
      <c r="G173" s="682"/>
      <c r="H173" s="682"/>
      <c r="I173" s="682"/>
      <c r="J173" s="682">
        <f t="shared" ref="J173" si="129">L173+O173</f>
        <v>0</v>
      </c>
      <c r="K173" s="678">
        <v>0</v>
      </c>
      <c r="L173" s="675"/>
      <c r="M173" s="675"/>
      <c r="N173" s="675"/>
      <c r="O173" s="678">
        <f t="shared" ref="O173" si="130">K173</f>
        <v>0</v>
      </c>
      <c r="P173" s="675">
        <f t="shared" ref="P173" si="131">E173+J173</f>
        <v>0</v>
      </c>
      <c r="Q173" s="20"/>
      <c r="R173" s="679"/>
    </row>
    <row r="174" spans="1:18" ht="184.5" hidden="1" thickTop="1" thickBot="1" x14ac:dyDescent="0.25">
      <c r="A174" s="676"/>
      <c r="B174" s="676"/>
      <c r="C174" s="676"/>
      <c r="D174" s="485" t="s">
        <v>1089</v>
      </c>
      <c r="E174" s="683"/>
      <c r="F174" s="683"/>
      <c r="G174" s="683"/>
      <c r="H174" s="683"/>
      <c r="I174" s="683"/>
      <c r="J174" s="683"/>
      <c r="K174" s="676"/>
      <c r="L174" s="676"/>
      <c r="M174" s="676"/>
      <c r="N174" s="676"/>
      <c r="O174" s="676"/>
      <c r="P174" s="676"/>
      <c r="Q174" s="20"/>
      <c r="R174" s="680"/>
    </row>
    <row r="175" spans="1:18" ht="47.25" hidden="1" thickTop="1" thickBot="1" x14ac:dyDescent="0.25">
      <c r="A175" s="677"/>
      <c r="B175" s="677"/>
      <c r="C175" s="677"/>
      <c r="D175" s="486" t="s">
        <v>1090</v>
      </c>
      <c r="E175" s="684"/>
      <c r="F175" s="684"/>
      <c r="G175" s="684"/>
      <c r="H175" s="684"/>
      <c r="I175" s="684"/>
      <c r="J175" s="684"/>
      <c r="K175" s="677"/>
      <c r="L175" s="677"/>
      <c r="M175" s="677"/>
      <c r="N175" s="677"/>
      <c r="O175" s="677"/>
      <c r="P175" s="677"/>
      <c r="Q175" s="20"/>
      <c r="R175" s="680"/>
    </row>
    <row r="176" spans="1:18" ht="93" thickTop="1" thickBot="1" x14ac:dyDescent="0.25">
      <c r="A176" s="119" t="s">
        <v>1228</v>
      </c>
      <c r="B176" s="119" t="s">
        <v>1225</v>
      </c>
      <c r="C176" s="119" t="s">
        <v>210</v>
      </c>
      <c r="D176" s="413" t="s">
        <v>1226</v>
      </c>
      <c r="E176" s="586">
        <f t="shared" ref="E176" si="132">F176</f>
        <v>9322150</v>
      </c>
      <c r="F176" s="350">
        <f>((5000000)+107700+50000+199000+1089450+400000+1310000-525000)+1901000-400000+190000</f>
        <v>9322150</v>
      </c>
      <c r="G176" s="350"/>
      <c r="H176" s="350"/>
      <c r="I176" s="350"/>
      <c r="J176" s="393">
        <f t="shared" ref="J176" si="133">L176+O176</f>
        <v>76981912</v>
      </c>
      <c r="K176" s="350">
        <f>(((5000000)+(40318548-107700-400000+9300000)+1000000+350000+98000+1450000)+599937+490238+10000000+5000000+1490000)-850000+3242889</f>
        <v>76981912</v>
      </c>
      <c r="L176" s="350"/>
      <c r="M176" s="350"/>
      <c r="N176" s="350"/>
      <c r="O176" s="351">
        <f t="shared" ref="O176" si="134">K176</f>
        <v>76981912</v>
      </c>
      <c r="P176" s="393">
        <f>E176+J176</f>
        <v>86304062</v>
      </c>
      <c r="Q176" s="20"/>
      <c r="R176" s="21"/>
    </row>
    <row r="177" spans="1:18" s="33" customFormat="1" ht="48" thickTop="1" thickBot="1" x14ac:dyDescent="0.25">
      <c r="A177" s="399" t="s">
        <v>744</v>
      </c>
      <c r="B177" s="399" t="s">
        <v>745</v>
      </c>
      <c r="C177" s="399"/>
      <c r="D177" s="399" t="s">
        <v>746</v>
      </c>
      <c r="E177" s="388">
        <f>SUM(E178:E179)</f>
        <v>69708206</v>
      </c>
      <c r="F177" s="388">
        <f t="shared" ref="F177:P177" si="135">SUM(F178:F179)</f>
        <v>69708206</v>
      </c>
      <c r="G177" s="388">
        <f t="shared" si="135"/>
        <v>8708369</v>
      </c>
      <c r="H177" s="388">
        <f t="shared" si="135"/>
        <v>1704977</v>
      </c>
      <c r="I177" s="388">
        <f t="shared" si="135"/>
        <v>0</v>
      </c>
      <c r="J177" s="388">
        <f t="shared" si="135"/>
        <v>28093739</v>
      </c>
      <c r="K177" s="388">
        <f t="shared" si="135"/>
        <v>20532210</v>
      </c>
      <c r="L177" s="388">
        <f t="shared" si="135"/>
        <v>7486529</v>
      </c>
      <c r="M177" s="388">
        <f t="shared" si="135"/>
        <v>2411020</v>
      </c>
      <c r="N177" s="388">
        <f t="shared" si="135"/>
        <v>723110</v>
      </c>
      <c r="O177" s="388">
        <f t="shared" si="135"/>
        <v>20607210</v>
      </c>
      <c r="P177" s="388">
        <f t="shared" si="135"/>
        <v>97801945</v>
      </c>
      <c r="Q177" s="36"/>
      <c r="R177" s="51"/>
    </row>
    <row r="178" spans="1:18" ht="93" thickTop="1" thickBot="1" x14ac:dyDescent="0.25">
      <c r="A178" s="119" t="s">
        <v>331</v>
      </c>
      <c r="B178" s="119" t="s">
        <v>333</v>
      </c>
      <c r="C178" s="119" t="s">
        <v>195</v>
      </c>
      <c r="D178" s="413" t="s">
        <v>335</v>
      </c>
      <c r="E178" s="393">
        <f t="shared" si="110"/>
        <v>24396477</v>
      </c>
      <c r="F178" s="350">
        <f>(((((14017567)+840600+184900+2193237+128340+53992+40000+248684+133000+37300)+46670)+137100+200000+428800+95066+20000+720474+158504+40000+85962+12000+40340+15000+11000+19000+300600+49534+35000+1000000+43030-222575-49000+437622+1200000+573287+20000+11000+33000+75581+131577+150000+199000)+60000+10000+36000+12000+5300+11547)+46226+320212</f>
        <v>24396477</v>
      </c>
      <c r="G178" s="389">
        <f>(((2640302+2693831+1937331)+840600)+720474-222575)+98406</f>
        <v>8708369</v>
      </c>
      <c r="H178" s="389">
        <f>((31650+235100+40550+93360+440000+207240+260480+25227)+128340)+200000+43030</f>
        <v>1704977</v>
      </c>
      <c r="I178" s="350"/>
      <c r="J178" s="393">
        <f t="shared" ref="J178:J191" si="136">L178+O178</f>
        <v>12535739</v>
      </c>
      <c r="K178" s="350">
        <f>((((496940)+451590)+595000+46400+25000+332000+410000+610000+250000+401150+63000+149500+198000+94000+570000+20000+25000+137000+55930)+198000)-154300</f>
        <v>4974210</v>
      </c>
      <c r="L178" s="350">
        <f>(1000000+211210)+1468040+322969+220000+57650+3663660+190000+350000+3000</f>
        <v>7486529</v>
      </c>
      <c r="M178" s="350">
        <f>((350000+5000)+1468040)+587980</f>
        <v>2411020</v>
      </c>
      <c r="N178" s="350">
        <f>((158000+195110)+350000)+20000</f>
        <v>723110</v>
      </c>
      <c r="O178" s="351">
        <f>(K178)+75000</f>
        <v>5049210</v>
      </c>
      <c r="P178" s="393">
        <f t="shared" ref="P178:P191" si="137">E178+J178</f>
        <v>36932216</v>
      </c>
      <c r="Q178" s="20"/>
      <c r="R178" s="46"/>
    </row>
    <row r="179" spans="1:18" ht="48" thickTop="1" thickBot="1" x14ac:dyDescent="0.25">
      <c r="A179" s="119" t="s">
        <v>332</v>
      </c>
      <c r="B179" s="119" t="s">
        <v>334</v>
      </c>
      <c r="C179" s="119" t="s">
        <v>195</v>
      </c>
      <c r="D179" s="413" t="s">
        <v>336</v>
      </c>
      <c r="E179" s="393">
        <f t="shared" si="110"/>
        <v>45311729</v>
      </c>
      <c r="F179" s="350">
        <f>(((((27546299)-1800000+5000000+14400+50400+500000+598500+250000+11500)+6000000)+5132995)+132000+22500+50000)-3500000+4500000+803135</f>
        <v>45311729</v>
      </c>
      <c r="G179" s="350"/>
      <c r="H179" s="350"/>
      <c r="I179" s="350"/>
      <c r="J179" s="393">
        <f t="shared" si="136"/>
        <v>15558000</v>
      </c>
      <c r="K179" s="350">
        <f>(((18038400)+415600)+200000)-3096000</f>
        <v>15558000</v>
      </c>
      <c r="L179" s="350"/>
      <c r="M179" s="350"/>
      <c r="N179" s="350"/>
      <c r="O179" s="351">
        <f t="shared" ref="O179:O191" si="138">K179</f>
        <v>15558000</v>
      </c>
      <c r="P179" s="393">
        <f t="shared" si="137"/>
        <v>60869729</v>
      </c>
      <c r="Q179" s="20"/>
      <c r="R179" s="46"/>
    </row>
    <row r="180" spans="1:18" ht="47.25" thickTop="1" thickBot="1" x14ac:dyDescent="0.25">
      <c r="A180" s="346" t="s">
        <v>747</v>
      </c>
      <c r="B180" s="346" t="s">
        <v>748</v>
      </c>
      <c r="C180" s="346"/>
      <c r="D180" s="476" t="s">
        <v>749</v>
      </c>
      <c r="E180" s="393">
        <f>SUM(E181)</f>
        <v>0</v>
      </c>
      <c r="F180" s="393">
        <f t="shared" ref="F180:P180" si="139">SUM(F181)</f>
        <v>0</v>
      </c>
      <c r="G180" s="393">
        <f t="shared" si="139"/>
        <v>0</v>
      </c>
      <c r="H180" s="393">
        <f t="shared" si="139"/>
        <v>0</v>
      </c>
      <c r="I180" s="393">
        <f t="shared" si="139"/>
        <v>0</v>
      </c>
      <c r="J180" s="393">
        <f>SUM(J181)</f>
        <v>10000000</v>
      </c>
      <c r="K180" s="393">
        <f t="shared" si="139"/>
        <v>10000000</v>
      </c>
      <c r="L180" s="393">
        <f t="shared" si="139"/>
        <v>0</v>
      </c>
      <c r="M180" s="393">
        <f t="shared" si="139"/>
        <v>0</v>
      </c>
      <c r="N180" s="393">
        <f t="shared" si="139"/>
        <v>0</v>
      </c>
      <c r="O180" s="393">
        <f t="shared" si="139"/>
        <v>10000000</v>
      </c>
      <c r="P180" s="393">
        <f t="shared" si="139"/>
        <v>10000000</v>
      </c>
      <c r="Q180" s="20"/>
      <c r="R180" s="46"/>
    </row>
    <row r="181" spans="1:18" s="33" customFormat="1" ht="48" thickTop="1" thickBot="1" x14ac:dyDescent="0.25">
      <c r="A181" s="399" t="s">
        <v>750</v>
      </c>
      <c r="B181" s="399" t="s">
        <v>751</v>
      </c>
      <c r="C181" s="399"/>
      <c r="D181" s="487" t="s">
        <v>752</v>
      </c>
      <c r="E181" s="388">
        <f>SUM(E182:E183)</f>
        <v>0</v>
      </c>
      <c r="F181" s="388">
        <f>SUM(F182:F183)</f>
        <v>0</v>
      </c>
      <c r="G181" s="388">
        <f>SUM(G182:G183)</f>
        <v>0</v>
      </c>
      <c r="H181" s="388">
        <f>SUM(H182:H183)</f>
        <v>0</v>
      </c>
      <c r="I181" s="388">
        <f>SUM(I182:I183)</f>
        <v>0</v>
      </c>
      <c r="J181" s="388">
        <f t="shared" ref="J181:O181" si="140">SUM(J182:J183)</f>
        <v>10000000</v>
      </c>
      <c r="K181" s="388">
        <f t="shared" si="140"/>
        <v>10000000</v>
      </c>
      <c r="L181" s="388">
        <f t="shared" si="140"/>
        <v>0</v>
      </c>
      <c r="M181" s="388">
        <f t="shared" si="140"/>
        <v>0</v>
      </c>
      <c r="N181" s="388">
        <f t="shared" si="140"/>
        <v>0</v>
      </c>
      <c r="O181" s="388">
        <f t="shared" si="140"/>
        <v>10000000</v>
      </c>
      <c r="P181" s="388">
        <f>SUM(P182:P183)</f>
        <v>10000000</v>
      </c>
      <c r="Q181" s="36"/>
      <c r="R181" s="52"/>
    </row>
    <row r="182" spans="1:18" ht="93" thickTop="1" thickBot="1" x14ac:dyDescent="0.25">
      <c r="A182" s="119" t="s">
        <v>371</v>
      </c>
      <c r="B182" s="119" t="s">
        <v>369</v>
      </c>
      <c r="C182" s="119" t="s">
        <v>344</v>
      </c>
      <c r="D182" s="413" t="s">
        <v>370</v>
      </c>
      <c r="E182" s="393">
        <f t="shared" si="110"/>
        <v>0</v>
      </c>
      <c r="F182" s="350"/>
      <c r="G182" s="350"/>
      <c r="H182" s="350"/>
      <c r="I182" s="350"/>
      <c r="J182" s="393">
        <f t="shared" si="136"/>
        <v>10000000</v>
      </c>
      <c r="K182" s="350">
        <v>10000000</v>
      </c>
      <c r="L182" s="350"/>
      <c r="M182" s="350"/>
      <c r="N182" s="350"/>
      <c r="O182" s="351">
        <f t="shared" si="138"/>
        <v>10000000</v>
      </c>
      <c r="P182" s="393">
        <f t="shared" si="137"/>
        <v>10000000</v>
      </c>
      <c r="Q182" s="20"/>
      <c r="R182" s="46"/>
    </row>
    <row r="183" spans="1:18" ht="184.5" hidden="1" thickTop="1" thickBot="1" x14ac:dyDescent="0.25">
      <c r="A183" s="41" t="s">
        <v>1093</v>
      </c>
      <c r="B183" s="41" t="s">
        <v>1094</v>
      </c>
      <c r="C183" s="41" t="s">
        <v>344</v>
      </c>
      <c r="D183" s="170" t="s">
        <v>1095</v>
      </c>
      <c r="E183" s="42">
        <f t="shared" si="110"/>
        <v>0</v>
      </c>
      <c r="F183" s="43"/>
      <c r="G183" s="43"/>
      <c r="H183" s="43"/>
      <c r="I183" s="43"/>
      <c r="J183" s="42">
        <f t="shared" si="136"/>
        <v>0</v>
      </c>
      <c r="K183" s="43">
        <v>0</v>
      </c>
      <c r="L183" s="43"/>
      <c r="M183" s="43"/>
      <c r="N183" s="43"/>
      <c r="O183" s="44">
        <f t="shared" si="138"/>
        <v>0</v>
      </c>
      <c r="P183" s="42">
        <f t="shared" si="137"/>
        <v>0</v>
      </c>
      <c r="Q183" s="20"/>
      <c r="R183" s="46"/>
    </row>
    <row r="184" spans="1:18" ht="47.25" thickTop="1" thickBot="1" x14ac:dyDescent="0.25">
      <c r="A184" s="346" t="s">
        <v>757</v>
      </c>
      <c r="B184" s="346" t="s">
        <v>754</v>
      </c>
      <c r="C184" s="346"/>
      <c r="D184" s="346" t="s">
        <v>755</v>
      </c>
      <c r="E184" s="393">
        <f>E188+E185</f>
        <v>20000</v>
      </c>
      <c r="F184" s="393">
        <f t="shared" ref="F184:P184" si="141">F188+F185</f>
        <v>20000</v>
      </c>
      <c r="G184" s="393">
        <f t="shared" si="141"/>
        <v>0</v>
      </c>
      <c r="H184" s="393">
        <f t="shared" si="141"/>
        <v>0</v>
      </c>
      <c r="I184" s="393">
        <f t="shared" si="141"/>
        <v>0</v>
      </c>
      <c r="J184" s="393">
        <f t="shared" si="141"/>
        <v>8829000</v>
      </c>
      <c r="K184" s="393">
        <f t="shared" si="141"/>
        <v>8829000</v>
      </c>
      <c r="L184" s="393">
        <f t="shared" si="141"/>
        <v>0</v>
      </c>
      <c r="M184" s="393">
        <f t="shared" si="141"/>
        <v>0</v>
      </c>
      <c r="N184" s="393">
        <f t="shared" si="141"/>
        <v>0</v>
      </c>
      <c r="O184" s="393">
        <f t="shared" si="141"/>
        <v>8829000</v>
      </c>
      <c r="P184" s="393">
        <f t="shared" si="141"/>
        <v>8849000</v>
      </c>
      <c r="Q184" s="20"/>
      <c r="R184" s="46"/>
    </row>
    <row r="185" spans="1:18" ht="47.25" thickTop="1" thickBot="1" x14ac:dyDescent="0.25">
      <c r="A185" s="348" t="s">
        <v>935</v>
      </c>
      <c r="B185" s="348" t="s">
        <v>810</v>
      </c>
      <c r="C185" s="348"/>
      <c r="D185" s="348" t="s">
        <v>811</v>
      </c>
      <c r="E185" s="352">
        <f>E186</f>
        <v>0</v>
      </c>
      <c r="F185" s="352">
        <f t="shared" ref="F185:P190" si="142">F186</f>
        <v>0</v>
      </c>
      <c r="G185" s="352">
        <f t="shared" si="142"/>
        <v>0</v>
      </c>
      <c r="H185" s="352">
        <f t="shared" si="142"/>
        <v>0</v>
      </c>
      <c r="I185" s="352">
        <f t="shared" si="142"/>
        <v>0</v>
      </c>
      <c r="J185" s="352">
        <f t="shared" si="142"/>
        <v>29000</v>
      </c>
      <c r="K185" s="352">
        <f t="shared" si="142"/>
        <v>29000</v>
      </c>
      <c r="L185" s="352">
        <f t="shared" si="142"/>
        <v>0</v>
      </c>
      <c r="M185" s="352">
        <f t="shared" si="142"/>
        <v>0</v>
      </c>
      <c r="N185" s="352">
        <f t="shared" si="142"/>
        <v>0</v>
      </c>
      <c r="O185" s="352">
        <f t="shared" si="142"/>
        <v>29000</v>
      </c>
      <c r="P185" s="352">
        <f t="shared" si="142"/>
        <v>29000</v>
      </c>
      <c r="Q185" s="20"/>
      <c r="R185" s="46"/>
    </row>
    <row r="186" spans="1:18" ht="54.75" thickTop="1" thickBot="1" x14ac:dyDescent="0.25">
      <c r="A186" s="399" t="s">
        <v>932</v>
      </c>
      <c r="B186" s="399" t="s">
        <v>828</v>
      </c>
      <c r="C186" s="399"/>
      <c r="D186" s="399" t="s">
        <v>1308</v>
      </c>
      <c r="E186" s="388">
        <f>E187</f>
        <v>0</v>
      </c>
      <c r="F186" s="388">
        <f t="shared" si="142"/>
        <v>0</v>
      </c>
      <c r="G186" s="388">
        <f t="shared" si="142"/>
        <v>0</v>
      </c>
      <c r="H186" s="388">
        <f t="shared" si="142"/>
        <v>0</v>
      </c>
      <c r="I186" s="388">
        <f t="shared" si="142"/>
        <v>0</v>
      </c>
      <c r="J186" s="388">
        <f t="shared" si="142"/>
        <v>29000</v>
      </c>
      <c r="K186" s="388">
        <f t="shared" si="142"/>
        <v>29000</v>
      </c>
      <c r="L186" s="388">
        <f t="shared" si="142"/>
        <v>0</v>
      </c>
      <c r="M186" s="388">
        <f t="shared" si="142"/>
        <v>0</v>
      </c>
      <c r="N186" s="388">
        <f t="shared" si="142"/>
        <v>0</v>
      </c>
      <c r="O186" s="388">
        <f t="shared" si="142"/>
        <v>29000</v>
      </c>
      <c r="P186" s="388">
        <f t="shared" si="142"/>
        <v>29000</v>
      </c>
      <c r="Q186" s="20"/>
      <c r="R186" s="46"/>
    </row>
    <row r="187" spans="1:18" ht="54" thickTop="1" thickBot="1" x14ac:dyDescent="0.25">
      <c r="A187" s="119" t="s">
        <v>933</v>
      </c>
      <c r="B187" s="119" t="s">
        <v>934</v>
      </c>
      <c r="C187" s="119" t="s">
        <v>308</v>
      </c>
      <c r="D187" s="119" t="s">
        <v>1561</v>
      </c>
      <c r="E187" s="393"/>
      <c r="F187" s="350"/>
      <c r="G187" s="350"/>
      <c r="H187" s="350"/>
      <c r="I187" s="350"/>
      <c r="J187" s="393">
        <f>L187+O187</f>
        <v>29000</v>
      </c>
      <c r="K187" s="350">
        <f>29000</f>
        <v>29000</v>
      </c>
      <c r="L187" s="350"/>
      <c r="M187" s="350"/>
      <c r="N187" s="350"/>
      <c r="O187" s="351">
        <f>K187</f>
        <v>29000</v>
      </c>
      <c r="P187" s="393">
        <f>E187+J187</f>
        <v>29000</v>
      </c>
      <c r="Q187" s="20"/>
      <c r="R187" s="46"/>
    </row>
    <row r="188" spans="1:18" ht="47.25" thickTop="1" thickBot="1" x14ac:dyDescent="0.25">
      <c r="A188" s="348" t="s">
        <v>759</v>
      </c>
      <c r="B188" s="348" t="s">
        <v>697</v>
      </c>
      <c r="C188" s="348"/>
      <c r="D188" s="348" t="s">
        <v>695</v>
      </c>
      <c r="E188" s="352">
        <f>E190+E189</f>
        <v>20000</v>
      </c>
      <c r="F188" s="352">
        <f t="shared" ref="F188:I188" si="143">F190+F189</f>
        <v>20000</v>
      </c>
      <c r="G188" s="352">
        <f t="shared" si="143"/>
        <v>0</v>
      </c>
      <c r="H188" s="352">
        <f t="shared" si="143"/>
        <v>0</v>
      </c>
      <c r="I188" s="352">
        <f t="shared" si="143"/>
        <v>0</v>
      </c>
      <c r="J188" s="352">
        <f>J190+J189</f>
        <v>8800000</v>
      </c>
      <c r="K188" s="352">
        <f t="shared" ref="K188:O188" si="144">K190+K189</f>
        <v>8800000</v>
      </c>
      <c r="L188" s="352">
        <f t="shared" si="144"/>
        <v>0</v>
      </c>
      <c r="M188" s="352">
        <f t="shared" si="144"/>
        <v>0</v>
      </c>
      <c r="N188" s="352">
        <f t="shared" si="144"/>
        <v>0</v>
      </c>
      <c r="O188" s="352">
        <f t="shared" si="144"/>
        <v>8800000</v>
      </c>
      <c r="P188" s="352">
        <f>P190+P189</f>
        <v>8820000</v>
      </c>
      <c r="Q188" s="20"/>
      <c r="R188" s="46"/>
    </row>
    <row r="189" spans="1:18" ht="48" thickTop="1" thickBot="1" x14ac:dyDescent="0.25">
      <c r="A189" s="119" t="s">
        <v>1386</v>
      </c>
      <c r="B189" s="119" t="s">
        <v>216</v>
      </c>
      <c r="C189" s="119" t="s">
        <v>217</v>
      </c>
      <c r="D189" s="119" t="s">
        <v>41</v>
      </c>
      <c r="E189" s="393">
        <f t="shared" ref="E189" si="145">F189</f>
        <v>20000</v>
      </c>
      <c r="F189" s="350">
        <v>20000</v>
      </c>
      <c r="G189" s="350"/>
      <c r="H189" s="350"/>
      <c r="I189" s="350"/>
      <c r="J189" s="393">
        <f t="shared" ref="J189" si="146">L189+O189</f>
        <v>8800000</v>
      </c>
      <c r="K189" s="350">
        <f>((300000+700000)+6800000)+1000000</f>
        <v>8800000</v>
      </c>
      <c r="L189" s="350"/>
      <c r="M189" s="350"/>
      <c r="N189" s="350"/>
      <c r="O189" s="351">
        <f t="shared" ref="O189" si="147">K189</f>
        <v>8800000</v>
      </c>
      <c r="P189" s="393">
        <f t="shared" ref="P189" si="148">E189+J189</f>
        <v>8820000</v>
      </c>
      <c r="Q189" s="20"/>
      <c r="R189" s="46"/>
    </row>
    <row r="190" spans="1:18" ht="48" hidden="1" thickTop="1" thickBot="1" x14ac:dyDescent="0.25">
      <c r="A190" s="156" t="s">
        <v>758</v>
      </c>
      <c r="B190" s="156" t="s">
        <v>700</v>
      </c>
      <c r="C190" s="156"/>
      <c r="D190" s="169" t="s">
        <v>698</v>
      </c>
      <c r="E190" s="157">
        <f>E191</f>
        <v>0</v>
      </c>
      <c r="F190" s="157">
        <f t="shared" si="142"/>
        <v>0</v>
      </c>
      <c r="G190" s="157">
        <f t="shared" si="142"/>
        <v>0</v>
      </c>
      <c r="H190" s="157">
        <f t="shared" si="142"/>
        <v>0</v>
      </c>
      <c r="I190" s="157">
        <f t="shared" si="142"/>
        <v>0</v>
      </c>
      <c r="J190" s="157">
        <f t="shared" si="142"/>
        <v>0</v>
      </c>
      <c r="K190" s="157">
        <f t="shared" si="142"/>
        <v>0</v>
      </c>
      <c r="L190" s="157">
        <f t="shared" si="142"/>
        <v>0</v>
      </c>
      <c r="M190" s="157">
        <f t="shared" si="142"/>
        <v>0</v>
      </c>
      <c r="N190" s="157">
        <f t="shared" si="142"/>
        <v>0</v>
      </c>
      <c r="O190" s="157">
        <f t="shared" si="142"/>
        <v>0</v>
      </c>
      <c r="P190" s="157">
        <f t="shared" si="142"/>
        <v>0</v>
      </c>
      <c r="Q190" s="20"/>
      <c r="R190" s="46"/>
    </row>
    <row r="191" spans="1:18" ht="184.5" hidden="1" thickTop="1" thickBot="1" x14ac:dyDescent="0.7">
      <c r="A191" s="713" t="s">
        <v>427</v>
      </c>
      <c r="B191" s="713" t="s">
        <v>342</v>
      </c>
      <c r="C191" s="713" t="s">
        <v>170</v>
      </c>
      <c r="D191" s="171" t="s">
        <v>444</v>
      </c>
      <c r="E191" s="712">
        <f t="shared" si="110"/>
        <v>0</v>
      </c>
      <c r="F191" s="687"/>
      <c r="G191" s="687"/>
      <c r="H191" s="687"/>
      <c r="I191" s="687"/>
      <c r="J191" s="712">
        <f t="shared" si="136"/>
        <v>0</v>
      </c>
      <c r="K191" s="687"/>
      <c r="L191" s="687"/>
      <c r="M191" s="687"/>
      <c r="N191" s="687"/>
      <c r="O191" s="690">
        <f t="shared" si="138"/>
        <v>0</v>
      </c>
      <c r="P191" s="692">
        <f t="shared" si="137"/>
        <v>0</v>
      </c>
      <c r="Q191" s="20"/>
      <c r="R191" s="50"/>
    </row>
    <row r="192" spans="1:18" ht="93" hidden="1" thickTop="1" thickBot="1" x14ac:dyDescent="0.25">
      <c r="A192" s="688"/>
      <c r="B192" s="714"/>
      <c r="C192" s="688"/>
      <c r="D192" s="172" t="s">
        <v>445</v>
      </c>
      <c r="E192" s="688"/>
      <c r="F192" s="689"/>
      <c r="G192" s="689"/>
      <c r="H192" s="689"/>
      <c r="I192" s="689"/>
      <c r="J192" s="688"/>
      <c r="K192" s="688"/>
      <c r="L192" s="689"/>
      <c r="M192" s="689"/>
      <c r="N192" s="689"/>
      <c r="O192" s="691"/>
      <c r="P192" s="693"/>
      <c r="Q192" s="20"/>
      <c r="R192" s="50"/>
    </row>
    <row r="193" spans="1:18" ht="91.5" thickTop="1" thickBot="1" x14ac:dyDescent="0.25">
      <c r="A193" s="403">
        <v>1000000</v>
      </c>
      <c r="B193" s="403"/>
      <c r="C193" s="403"/>
      <c r="D193" s="404" t="s">
        <v>24</v>
      </c>
      <c r="E193" s="406">
        <f>E194</f>
        <v>157054779</v>
      </c>
      <c r="F193" s="405">
        <f t="shared" ref="F193:G193" si="149">F194</f>
        <v>157054779</v>
      </c>
      <c r="G193" s="405">
        <f t="shared" si="149"/>
        <v>109906660</v>
      </c>
      <c r="H193" s="405">
        <f>H194</f>
        <v>8134910</v>
      </c>
      <c r="I193" s="405">
        <f>I194</f>
        <v>0</v>
      </c>
      <c r="J193" s="406">
        <f>J194</f>
        <v>16681922</v>
      </c>
      <c r="K193" s="405">
        <f>K194</f>
        <v>7370467</v>
      </c>
      <c r="L193" s="405">
        <f>L194</f>
        <v>9125775</v>
      </c>
      <c r="M193" s="405">
        <f t="shared" ref="M193" si="150">M194</f>
        <v>6635445</v>
      </c>
      <c r="N193" s="405">
        <f>N194</f>
        <v>290560</v>
      </c>
      <c r="O193" s="406">
        <f>O194</f>
        <v>7556147</v>
      </c>
      <c r="P193" s="405">
        <f t="shared" ref="P193" si="151">P194</f>
        <v>173736701</v>
      </c>
      <c r="Q193" s="20"/>
    </row>
    <row r="194" spans="1:18" ht="91.5" thickTop="1" thickBot="1" x14ac:dyDescent="0.25">
      <c r="A194" s="407">
        <v>1010000</v>
      </c>
      <c r="B194" s="407"/>
      <c r="C194" s="407"/>
      <c r="D194" s="408" t="s">
        <v>39</v>
      </c>
      <c r="E194" s="409">
        <f>E195+E197+E212+E206</f>
        <v>157054779</v>
      </c>
      <c r="F194" s="409">
        <f>F195+F197+F212+F206</f>
        <v>157054779</v>
      </c>
      <c r="G194" s="409">
        <f>G195+G197+G212+G206</f>
        <v>109906660</v>
      </c>
      <c r="H194" s="409">
        <f>H195+H197+H212+H206</f>
        <v>8134910</v>
      </c>
      <c r="I194" s="409">
        <f>I195+I197+I212+I206</f>
        <v>0</v>
      </c>
      <c r="J194" s="409">
        <f t="shared" ref="J194:J205" si="152">L194+O194</f>
        <v>16681922</v>
      </c>
      <c r="K194" s="409">
        <f>K195+K197+K212+K206</f>
        <v>7370467</v>
      </c>
      <c r="L194" s="409">
        <f>L195+L197+L212+L206</f>
        <v>9125775</v>
      </c>
      <c r="M194" s="409">
        <f>M195+M197+M212+M206</f>
        <v>6635445</v>
      </c>
      <c r="N194" s="409">
        <f>N195+N197+N212+N206</f>
        <v>290560</v>
      </c>
      <c r="O194" s="409">
        <f>O195+O197+O212+O206</f>
        <v>7556147</v>
      </c>
      <c r="P194" s="409">
        <f t="shared" ref="P194:P205" si="153">E194+J194</f>
        <v>173736701</v>
      </c>
      <c r="Q194" s="353" t="b">
        <f>P194=P196+P198+P199+P200+P201+P204+P205+P209+P210+P202+P211</f>
        <v>1</v>
      </c>
      <c r="R194" s="46"/>
    </row>
    <row r="195" spans="1:18" ht="47.25" thickTop="1" thickBot="1" x14ac:dyDescent="0.25">
      <c r="A195" s="346" t="s">
        <v>760</v>
      </c>
      <c r="B195" s="346" t="s">
        <v>714</v>
      </c>
      <c r="C195" s="346"/>
      <c r="D195" s="346" t="s">
        <v>715</v>
      </c>
      <c r="E195" s="393">
        <f>E196</f>
        <v>84640160</v>
      </c>
      <c r="F195" s="393">
        <f t="shared" ref="F195:P195" si="154">F196</f>
        <v>84640160</v>
      </c>
      <c r="G195" s="393">
        <f t="shared" si="154"/>
        <v>64285530</v>
      </c>
      <c r="H195" s="393">
        <f t="shared" si="154"/>
        <v>4457890</v>
      </c>
      <c r="I195" s="393">
        <f t="shared" si="154"/>
        <v>0</v>
      </c>
      <c r="J195" s="393">
        <f t="shared" si="154"/>
        <v>10197617</v>
      </c>
      <c r="K195" s="393">
        <f t="shared" si="154"/>
        <v>1816762</v>
      </c>
      <c r="L195" s="393">
        <f t="shared" si="154"/>
        <v>8300355</v>
      </c>
      <c r="M195" s="393">
        <f t="shared" si="154"/>
        <v>6236945</v>
      </c>
      <c r="N195" s="393">
        <f t="shared" si="154"/>
        <v>219760</v>
      </c>
      <c r="O195" s="393">
        <f t="shared" si="154"/>
        <v>1897262</v>
      </c>
      <c r="P195" s="393">
        <f t="shared" si="154"/>
        <v>94837777</v>
      </c>
      <c r="Q195" s="47"/>
      <c r="R195" s="46"/>
    </row>
    <row r="196" spans="1:18" ht="48" thickTop="1" thickBot="1" x14ac:dyDescent="0.25">
      <c r="A196" s="119" t="s">
        <v>642</v>
      </c>
      <c r="B196" s="119" t="s">
        <v>643</v>
      </c>
      <c r="C196" s="119" t="s">
        <v>185</v>
      </c>
      <c r="D196" s="119" t="s">
        <v>1140</v>
      </c>
      <c r="E196" s="393">
        <f>F196</f>
        <v>84640160</v>
      </c>
      <c r="F196" s="350">
        <f>(((((84107362)+75000+70050+117335+30000+84500+24640+18420+26600+18490)+12927)+199758+19010+5140+31368+61900)+20560+20000)-302900</f>
        <v>84640160</v>
      </c>
      <c r="G196" s="350">
        <v>64285530</v>
      </c>
      <c r="H196" s="350">
        <f>(3908750+56010+676580+140800+35750)-360000</f>
        <v>4457890</v>
      </c>
      <c r="I196" s="350"/>
      <c r="J196" s="393">
        <f t="shared" si="152"/>
        <v>10197617</v>
      </c>
      <c r="K196" s="350">
        <f>(((108181+51007+290368)+127161+533145)+823525+269000+1007235+139560-269000-1007235-139560)-823525+550000+78000+78900</f>
        <v>1816762</v>
      </c>
      <c r="L196" s="350">
        <v>8300355</v>
      </c>
      <c r="M196" s="350">
        <v>6236945</v>
      </c>
      <c r="N196" s="350">
        <v>219760</v>
      </c>
      <c r="O196" s="351">
        <f>(K196+80500)</f>
        <v>1897262</v>
      </c>
      <c r="P196" s="393">
        <f t="shared" si="153"/>
        <v>94837777</v>
      </c>
      <c r="Q196" s="20"/>
      <c r="R196" s="46"/>
    </row>
    <row r="197" spans="1:18" s="24" customFormat="1" ht="47.25" thickTop="1" thickBot="1" x14ac:dyDescent="0.25">
      <c r="A197" s="346" t="s">
        <v>761</v>
      </c>
      <c r="B197" s="346" t="s">
        <v>762</v>
      </c>
      <c r="C197" s="346"/>
      <c r="D197" s="346" t="s">
        <v>763</v>
      </c>
      <c r="E197" s="393">
        <f>SUM(E198:E205)-E203</f>
        <v>71351994</v>
      </c>
      <c r="F197" s="393">
        <f t="shared" ref="F197:P197" si="155">SUM(F198:F205)-F203</f>
        <v>71351994</v>
      </c>
      <c r="G197" s="393">
        <f t="shared" si="155"/>
        <v>45621130</v>
      </c>
      <c r="H197" s="393">
        <f t="shared" si="155"/>
        <v>3677020</v>
      </c>
      <c r="I197" s="393">
        <f t="shared" si="155"/>
        <v>0</v>
      </c>
      <c r="J197" s="393">
        <f t="shared" si="155"/>
        <v>3599770</v>
      </c>
      <c r="K197" s="393">
        <f t="shared" si="155"/>
        <v>2669170</v>
      </c>
      <c r="L197" s="393">
        <f t="shared" si="155"/>
        <v>825420</v>
      </c>
      <c r="M197" s="393">
        <f t="shared" si="155"/>
        <v>398500</v>
      </c>
      <c r="N197" s="393">
        <f t="shared" si="155"/>
        <v>70800</v>
      </c>
      <c r="O197" s="393">
        <f t="shared" si="155"/>
        <v>2774350</v>
      </c>
      <c r="P197" s="393">
        <f t="shared" si="155"/>
        <v>74951764</v>
      </c>
      <c r="Q197" s="25"/>
      <c r="R197" s="50"/>
    </row>
    <row r="198" spans="1:18" ht="48" thickTop="1" thickBot="1" x14ac:dyDescent="0.25">
      <c r="A198" s="119" t="s">
        <v>171</v>
      </c>
      <c r="B198" s="119" t="s">
        <v>172</v>
      </c>
      <c r="C198" s="119" t="s">
        <v>174</v>
      </c>
      <c r="D198" s="119" t="s">
        <v>175</v>
      </c>
      <c r="E198" s="393">
        <f t="shared" ref="E198:E202" si="156">F198</f>
        <v>522229.91000000003</v>
      </c>
      <c r="F198" s="350">
        <f>(1156300)-634070.09</f>
        <v>522229.91000000003</v>
      </c>
      <c r="G198" s="350"/>
      <c r="H198" s="350"/>
      <c r="I198" s="350"/>
      <c r="J198" s="393">
        <f t="shared" si="152"/>
        <v>0</v>
      </c>
      <c r="K198" s="350"/>
      <c r="L198" s="350"/>
      <c r="M198" s="350"/>
      <c r="N198" s="350"/>
      <c r="O198" s="351">
        <f t="shared" ref="O198:O205" si="157">K198</f>
        <v>0</v>
      </c>
      <c r="P198" s="393">
        <f t="shared" si="153"/>
        <v>522229.91000000003</v>
      </c>
      <c r="Q198" s="20"/>
      <c r="R198" s="50"/>
    </row>
    <row r="199" spans="1:18" ht="48" thickTop="1" thickBot="1" x14ac:dyDescent="0.25">
      <c r="A199" s="119" t="s">
        <v>176</v>
      </c>
      <c r="B199" s="119" t="s">
        <v>177</v>
      </c>
      <c r="C199" s="119" t="s">
        <v>178</v>
      </c>
      <c r="D199" s="119" t="s">
        <v>179</v>
      </c>
      <c r="E199" s="393">
        <f t="shared" si="156"/>
        <v>16592119</v>
      </c>
      <c r="F199" s="350">
        <f>(((16118413)+250574+47500)+115750+8740+42520)+8622</f>
        <v>16592119</v>
      </c>
      <c r="G199" s="350">
        <v>11788315</v>
      </c>
      <c r="H199" s="350">
        <f>893700+15910+218600+34700+26500</f>
        <v>1189410</v>
      </c>
      <c r="I199" s="350"/>
      <c r="J199" s="393">
        <f t="shared" si="152"/>
        <v>569753</v>
      </c>
      <c r="K199" s="350">
        <f>(0+99000+99000+83500)+45000+35828+73425</f>
        <v>435753</v>
      </c>
      <c r="L199" s="350">
        <v>134000</v>
      </c>
      <c r="M199" s="350">
        <v>20500</v>
      </c>
      <c r="N199" s="350">
        <v>21000</v>
      </c>
      <c r="O199" s="351">
        <f t="shared" si="157"/>
        <v>435753</v>
      </c>
      <c r="P199" s="393">
        <f t="shared" si="153"/>
        <v>17161872</v>
      </c>
      <c r="Q199" s="20"/>
      <c r="R199" s="46"/>
    </row>
    <row r="200" spans="1:18" ht="48" thickTop="1" thickBot="1" x14ac:dyDescent="0.25">
      <c r="A200" s="119" t="s">
        <v>180</v>
      </c>
      <c r="B200" s="119" t="s">
        <v>181</v>
      </c>
      <c r="C200" s="119" t="s">
        <v>178</v>
      </c>
      <c r="D200" s="119" t="s">
        <v>467</v>
      </c>
      <c r="E200" s="393">
        <f t="shared" si="156"/>
        <v>2531546</v>
      </c>
      <c r="F200" s="350">
        <f>((2464930)+50420)+7448+8748</f>
        <v>2531546</v>
      </c>
      <c r="G200" s="350">
        <f>1555565</f>
        <v>1555565</v>
      </c>
      <c r="H200" s="350">
        <f>335800+7790+159800+4800</f>
        <v>508190</v>
      </c>
      <c r="I200" s="350"/>
      <c r="J200" s="393">
        <f t="shared" si="152"/>
        <v>222012</v>
      </c>
      <c r="K200" s="350">
        <f>(99580)+20832</f>
        <v>120412</v>
      </c>
      <c r="L200" s="350">
        <v>101600</v>
      </c>
      <c r="M200" s="350">
        <v>14100</v>
      </c>
      <c r="N200" s="350">
        <v>5700</v>
      </c>
      <c r="O200" s="351">
        <f t="shared" si="157"/>
        <v>120412</v>
      </c>
      <c r="P200" s="393">
        <f t="shared" si="153"/>
        <v>2753558</v>
      </c>
      <c r="Q200" s="20"/>
      <c r="R200" s="46"/>
    </row>
    <row r="201" spans="1:18" ht="93" thickTop="1" thickBot="1" x14ac:dyDescent="0.25">
      <c r="A201" s="119" t="s">
        <v>182</v>
      </c>
      <c r="B201" s="119" t="s">
        <v>173</v>
      </c>
      <c r="C201" s="119" t="s">
        <v>183</v>
      </c>
      <c r="D201" s="119" t="s">
        <v>184</v>
      </c>
      <c r="E201" s="393">
        <f t="shared" si="156"/>
        <v>20532932.09</v>
      </c>
      <c r="F201" s="350">
        <f>((((18010605)+14500+7000+271173+567382+380+104000+35690+20000)+87500+20000-567382+145835+8572+7359+2750+173061+8691+28250+4197+31470+180395+178628+8000+55215+175864)+54300+1199+69500+2150+11468+104976+76134)+634070.09</f>
        <v>20532932.09</v>
      </c>
      <c r="G201" s="350">
        <f>(12568760)+270000</f>
        <v>12838760</v>
      </c>
      <c r="H201" s="350">
        <f>946300+17820+790800+99600+41200</f>
        <v>1895720</v>
      </c>
      <c r="I201" s="350"/>
      <c r="J201" s="393">
        <f t="shared" si="152"/>
        <v>2661005</v>
      </c>
      <c r="K201" s="350">
        <f>((72000+50000+50000+251400)+1524643+40900-40900-15931)+8499+18999+15706+8160+8800+16900+86999+10830+6000</f>
        <v>2113005</v>
      </c>
      <c r="L201" s="350">
        <v>511620</v>
      </c>
      <c r="M201" s="350">
        <v>353500</v>
      </c>
      <c r="N201" s="350">
        <v>44100</v>
      </c>
      <c r="O201" s="351">
        <f>(K201+36380)</f>
        <v>2149385</v>
      </c>
      <c r="P201" s="393">
        <f t="shared" si="153"/>
        <v>23193937.09</v>
      </c>
      <c r="Q201" s="20"/>
      <c r="R201" s="46"/>
    </row>
    <row r="202" spans="1:18" ht="48" thickTop="1" thickBot="1" x14ac:dyDescent="0.25">
      <c r="A202" s="119" t="s">
        <v>1219</v>
      </c>
      <c r="B202" s="119" t="s">
        <v>1220</v>
      </c>
      <c r="C202" s="119" t="s">
        <v>1222</v>
      </c>
      <c r="D202" s="119" t="s">
        <v>1221</v>
      </c>
      <c r="E202" s="393">
        <f t="shared" si="156"/>
        <v>197759</v>
      </c>
      <c r="F202" s="350">
        <f>(45500)+152259</f>
        <v>197759</v>
      </c>
      <c r="G202" s="350"/>
      <c r="H202" s="350"/>
      <c r="I202" s="350"/>
      <c r="J202" s="393">
        <f t="shared" si="152"/>
        <v>0</v>
      </c>
      <c r="K202" s="350"/>
      <c r="L202" s="350"/>
      <c r="M202" s="350"/>
      <c r="N202" s="350"/>
      <c r="O202" s="351">
        <f>(K202)</f>
        <v>0</v>
      </c>
      <c r="P202" s="393">
        <f t="shared" si="153"/>
        <v>197759</v>
      </c>
      <c r="Q202" s="20"/>
      <c r="R202" s="46"/>
    </row>
    <row r="203" spans="1:18" ht="48" thickTop="1" thickBot="1" x14ac:dyDescent="0.25">
      <c r="A203" s="399" t="s">
        <v>764</v>
      </c>
      <c r="B203" s="399" t="s">
        <v>765</v>
      </c>
      <c r="C203" s="399"/>
      <c r="D203" s="399" t="s">
        <v>766</v>
      </c>
      <c r="E203" s="388">
        <f>SUM(E204:E205)</f>
        <v>30975408</v>
      </c>
      <c r="F203" s="388">
        <f t="shared" ref="F203:P203" si="158">SUM(F204:F205)</f>
        <v>30975408</v>
      </c>
      <c r="G203" s="388">
        <f t="shared" si="158"/>
        <v>19438490</v>
      </c>
      <c r="H203" s="388">
        <f t="shared" si="158"/>
        <v>83700</v>
      </c>
      <c r="I203" s="388">
        <f t="shared" si="158"/>
        <v>0</v>
      </c>
      <c r="J203" s="388">
        <f t="shared" si="158"/>
        <v>147000</v>
      </c>
      <c r="K203" s="388">
        <f t="shared" si="158"/>
        <v>0</v>
      </c>
      <c r="L203" s="388">
        <f t="shared" si="158"/>
        <v>78200</v>
      </c>
      <c r="M203" s="388">
        <f t="shared" si="158"/>
        <v>10400</v>
      </c>
      <c r="N203" s="388">
        <f t="shared" si="158"/>
        <v>0</v>
      </c>
      <c r="O203" s="388">
        <f t="shared" si="158"/>
        <v>68800</v>
      </c>
      <c r="P203" s="388">
        <f t="shared" si="158"/>
        <v>31122408</v>
      </c>
      <c r="Q203" s="20"/>
      <c r="R203" s="46"/>
    </row>
    <row r="204" spans="1:18" ht="48" thickTop="1" thickBot="1" x14ac:dyDescent="0.25">
      <c r="A204" s="119" t="s">
        <v>337</v>
      </c>
      <c r="B204" s="119" t="s">
        <v>338</v>
      </c>
      <c r="C204" s="119" t="s">
        <v>186</v>
      </c>
      <c r="D204" s="119" t="s">
        <v>468</v>
      </c>
      <c r="E204" s="393">
        <f>F204</f>
        <v>25361387</v>
      </c>
      <c r="F204" s="350">
        <f>(24992887)+368500</f>
        <v>25361387</v>
      </c>
      <c r="G204" s="350">
        <v>19438490</v>
      </c>
      <c r="H204" s="350">
        <f>70300+13000+400</f>
        <v>83700</v>
      </c>
      <c r="I204" s="350"/>
      <c r="J204" s="393">
        <f t="shared" si="152"/>
        <v>147000</v>
      </c>
      <c r="K204" s="350"/>
      <c r="L204" s="350">
        <v>78200</v>
      </c>
      <c r="M204" s="350">
        <v>10400</v>
      </c>
      <c r="N204" s="350"/>
      <c r="O204" s="351">
        <f>(K204)+68800</f>
        <v>68800</v>
      </c>
      <c r="P204" s="393">
        <f t="shared" si="153"/>
        <v>25508387</v>
      </c>
      <c r="Q204" s="20"/>
      <c r="R204" s="46"/>
    </row>
    <row r="205" spans="1:18" ht="48" thickTop="1" thickBot="1" x14ac:dyDescent="0.25">
      <c r="A205" s="119" t="s">
        <v>339</v>
      </c>
      <c r="B205" s="119" t="s">
        <v>340</v>
      </c>
      <c r="C205" s="119" t="s">
        <v>186</v>
      </c>
      <c r="D205" s="119" t="s">
        <v>469</v>
      </c>
      <c r="E205" s="393">
        <f>F205</f>
        <v>5614021</v>
      </c>
      <c r="F205" s="350">
        <f>(5345661)+268360</f>
        <v>5614021</v>
      </c>
      <c r="G205" s="350"/>
      <c r="H205" s="350"/>
      <c r="I205" s="350"/>
      <c r="J205" s="393">
        <f t="shared" si="152"/>
        <v>0</v>
      </c>
      <c r="K205" s="350"/>
      <c r="L205" s="350"/>
      <c r="M205" s="350"/>
      <c r="N205" s="350"/>
      <c r="O205" s="351">
        <f t="shared" si="157"/>
        <v>0</v>
      </c>
      <c r="P205" s="393">
        <f t="shared" si="153"/>
        <v>5614021</v>
      </c>
      <c r="Q205" s="20"/>
      <c r="R205" s="50"/>
    </row>
    <row r="206" spans="1:18" ht="47.25" thickTop="1" thickBot="1" x14ac:dyDescent="0.25">
      <c r="A206" s="346" t="s">
        <v>924</v>
      </c>
      <c r="B206" s="346" t="s">
        <v>754</v>
      </c>
      <c r="C206" s="346"/>
      <c r="D206" s="346" t="s">
        <v>755</v>
      </c>
      <c r="E206" s="393">
        <f>SUM(E207)</f>
        <v>1062625</v>
      </c>
      <c r="F206" s="393">
        <f t="shared" ref="F206:P206" si="159">SUM(F207)</f>
        <v>1062625</v>
      </c>
      <c r="G206" s="393">
        <f t="shared" si="159"/>
        <v>0</v>
      </c>
      <c r="H206" s="393">
        <f t="shared" si="159"/>
        <v>0</v>
      </c>
      <c r="I206" s="393">
        <f t="shared" si="159"/>
        <v>0</v>
      </c>
      <c r="J206" s="393">
        <f t="shared" si="159"/>
        <v>2884535</v>
      </c>
      <c r="K206" s="393">
        <f t="shared" si="159"/>
        <v>2884535</v>
      </c>
      <c r="L206" s="393">
        <f t="shared" si="159"/>
        <v>0</v>
      </c>
      <c r="M206" s="393">
        <f t="shared" si="159"/>
        <v>0</v>
      </c>
      <c r="N206" s="393">
        <f t="shared" si="159"/>
        <v>0</v>
      </c>
      <c r="O206" s="393">
        <f t="shared" si="159"/>
        <v>2884535</v>
      </c>
      <c r="P206" s="393">
        <f t="shared" si="159"/>
        <v>3947160</v>
      </c>
      <c r="Q206" s="20"/>
      <c r="R206" s="50"/>
    </row>
    <row r="207" spans="1:18" ht="47.25" thickTop="1" thickBot="1" x14ac:dyDescent="0.25">
      <c r="A207" s="348" t="s">
        <v>925</v>
      </c>
      <c r="B207" s="348" t="s">
        <v>697</v>
      </c>
      <c r="C207" s="348"/>
      <c r="D207" s="348" t="s">
        <v>695</v>
      </c>
      <c r="E207" s="352">
        <f>E208+E211+E210</f>
        <v>1062625</v>
      </c>
      <c r="F207" s="352">
        <f t="shared" ref="F207:P207" si="160">F208+F211+F210</f>
        <v>1062625</v>
      </c>
      <c r="G207" s="352">
        <f t="shared" si="160"/>
        <v>0</v>
      </c>
      <c r="H207" s="352">
        <f t="shared" si="160"/>
        <v>0</v>
      </c>
      <c r="I207" s="352">
        <f t="shared" si="160"/>
        <v>0</v>
      </c>
      <c r="J207" s="352">
        <f t="shared" si="160"/>
        <v>2884535</v>
      </c>
      <c r="K207" s="352">
        <f t="shared" si="160"/>
        <v>2884535</v>
      </c>
      <c r="L207" s="352">
        <f t="shared" si="160"/>
        <v>0</v>
      </c>
      <c r="M207" s="352">
        <f t="shared" si="160"/>
        <v>0</v>
      </c>
      <c r="N207" s="352">
        <f t="shared" si="160"/>
        <v>0</v>
      </c>
      <c r="O207" s="352">
        <f t="shared" si="160"/>
        <v>2884535</v>
      </c>
      <c r="P207" s="352">
        <f t="shared" si="160"/>
        <v>3947160</v>
      </c>
      <c r="Q207" s="20"/>
      <c r="R207" s="50"/>
    </row>
    <row r="208" spans="1:18" ht="48" thickTop="1" thickBot="1" x14ac:dyDescent="0.25">
      <c r="A208" s="399" t="s">
        <v>1048</v>
      </c>
      <c r="B208" s="399" t="s">
        <v>1049</v>
      </c>
      <c r="C208" s="399"/>
      <c r="D208" s="399" t="s">
        <v>1047</v>
      </c>
      <c r="E208" s="388">
        <f>E209</f>
        <v>1062625</v>
      </c>
      <c r="F208" s="388">
        <f t="shared" ref="F208:P208" si="161">F209</f>
        <v>1062625</v>
      </c>
      <c r="G208" s="388">
        <f t="shared" si="161"/>
        <v>0</v>
      </c>
      <c r="H208" s="388">
        <f t="shared" si="161"/>
        <v>0</v>
      </c>
      <c r="I208" s="388">
        <f t="shared" si="161"/>
        <v>0</v>
      </c>
      <c r="J208" s="388">
        <f t="shared" si="161"/>
        <v>0</v>
      </c>
      <c r="K208" s="388">
        <f t="shared" si="161"/>
        <v>0</v>
      </c>
      <c r="L208" s="388">
        <f t="shared" si="161"/>
        <v>0</v>
      </c>
      <c r="M208" s="388">
        <f t="shared" si="161"/>
        <v>0</v>
      </c>
      <c r="N208" s="388">
        <f t="shared" si="161"/>
        <v>0</v>
      </c>
      <c r="O208" s="388">
        <f t="shared" si="161"/>
        <v>0</v>
      </c>
      <c r="P208" s="388">
        <f t="shared" si="161"/>
        <v>1062625</v>
      </c>
      <c r="Q208" s="20"/>
      <c r="R208" s="50"/>
    </row>
    <row r="209" spans="1:18" ht="48" thickTop="1" thickBot="1" x14ac:dyDescent="0.25">
      <c r="A209" s="119" t="s">
        <v>1051</v>
      </c>
      <c r="B209" s="119" t="s">
        <v>1052</v>
      </c>
      <c r="C209" s="119" t="s">
        <v>217</v>
      </c>
      <c r="D209" s="119" t="s">
        <v>1050</v>
      </c>
      <c r="E209" s="393">
        <f>F209</f>
        <v>1062625</v>
      </c>
      <c r="F209" s="350">
        <v>1062625</v>
      </c>
      <c r="G209" s="350"/>
      <c r="H209" s="350"/>
      <c r="I209" s="350"/>
      <c r="J209" s="393">
        <f>L209+O209</f>
        <v>0</v>
      </c>
      <c r="K209" s="350"/>
      <c r="L209" s="350"/>
      <c r="M209" s="350"/>
      <c r="N209" s="350"/>
      <c r="O209" s="351">
        <f>K209</f>
        <v>0</v>
      </c>
      <c r="P209" s="393">
        <f>E209+J209</f>
        <v>1062625</v>
      </c>
      <c r="Q209" s="20"/>
      <c r="R209" s="50"/>
    </row>
    <row r="210" spans="1:18" ht="48" thickTop="1" thickBot="1" x14ac:dyDescent="0.25">
      <c r="A210" s="119" t="s">
        <v>1319</v>
      </c>
      <c r="B210" s="119" t="s">
        <v>216</v>
      </c>
      <c r="C210" s="119" t="s">
        <v>217</v>
      </c>
      <c r="D210" s="119" t="s">
        <v>41</v>
      </c>
      <c r="E210" s="393">
        <f t="shared" ref="E210:E211" si="162">F210</f>
        <v>0</v>
      </c>
      <c r="F210" s="350"/>
      <c r="G210" s="350"/>
      <c r="H210" s="350"/>
      <c r="I210" s="350"/>
      <c r="J210" s="393">
        <f>L210+O210</f>
        <v>2884535</v>
      </c>
      <c r="K210" s="350">
        <f>((800000+1205017)+762218)+117300</f>
        <v>2884535</v>
      </c>
      <c r="L210" s="350"/>
      <c r="M210" s="350"/>
      <c r="N210" s="350"/>
      <c r="O210" s="351">
        <f>K210</f>
        <v>2884535</v>
      </c>
      <c r="P210" s="393">
        <f>E210+J210</f>
        <v>2884535</v>
      </c>
      <c r="Q210" s="20"/>
      <c r="R210" s="50"/>
    </row>
    <row r="211" spans="1:18" ht="48" hidden="1" thickTop="1" thickBot="1" x14ac:dyDescent="0.25">
      <c r="A211" s="119" t="s">
        <v>926</v>
      </c>
      <c r="B211" s="119" t="s">
        <v>201</v>
      </c>
      <c r="C211" s="119" t="s">
        <v>170</v>
      </c>
      <c r="D211" s="119" t="s">
        <v>34</v>
      </c>
      <c r="E211" s="393">
        <f t="shared" si="162"/>
        <v>0</v>
      </c>
      <c r="F211" s="350"/>
      <c r="G211" s="350"/>
      <c r="H211" s="350"/>
      <c r="I211" s="350"/>
      <c r="J211" s="393">
        <f t="shared" ref="J211" si="163">L211+O211</f>
        <v>0</v>
      </c>
      <c r="K211" s="350">
        <f>940242-455475-484767</f>
        <v>0</v>
      </c>
      <c r="L211" s="350"/>
      <c r="M211" s="350"/>
      <c r="N211" s="350"/>
      <c r="O211" s="351">
        <f t="shared" ref="O211" si="164">K211</f>
        <v>0</v>
      </c>
      <c r="P211" s="393">
        <f t="shared" ref="P211" si="165">E211+J211</f>
        <v>0</v>
      </c>
      <c r="Q211" s="20"/>
      <c r="R211" s="46"/>
    </row>
    <row r="212" spans="1:18" ht="47.25" hidden="1" thickTop="1" thickBot="1" x14ac:dyDescent="0.25">
      <c r="A212" s="162" t="s">
        <v>767</v>
      </c>
      <c r="B212" s="162" t="s">
        <v>708</v>
      </c>
      <c r="C212" s="162"/>
      <c r="D212" s="162" t="s">
        <v>709</v>
      </c>
      <c r="E212" s="42">
        <f>E213</f>
        <v>0</v>
      </c>
      <c r="F212" s="42">
        <f t="shared" ref="F212:P213" si="166">F213</f>
        <v>0</v>
      </c>
      <c r="G212" s="42">
        <f t="shared" si="166"/>
        <v>0</v>
      </c>
      <c r="H212" s="42">
        <f t="shared" si="166"/>
        <v>0</v>
      </c>
      <c r="I212" s="42">
        <f t="shared" si="166"/>
        <v>0</v>
      </c>
      <c r="J212" s="42">
        <f t="shared" si="166"/>
        <v>0</v>
      </c>
      <c r="K212" s="42">
        <f t="shared" si="166"/>
        <v>0</v>
      </c>
      <c r="L212" s="42">
        <f t="shared" si="166"/>
        <v>0</v>
      </c>
      <c r="M212" s="42">
        <f t="shared" si="166"/>
        <v>0</v>
      </c>
      <c r="N212" s="42">
        <f t="shared" si="166"/>
        <v>0</v>
      </c>
      <c r="O212" s="42">
        <f t="shared" si="166"/>
        <v>0</v>
      </c>
      <c r="P212" s="42">
        <f t="shared" si="166"/>
        <v>0</v>
      </c>
      <c r="Q212" s="20"/>
      <c r="R212" s="50"/>
    </row>
    <row r="213" spans="1:18" ht="91.5" hidden="1" thickTop="1" thickBot="1" x14ac:dyDescent="0.25">
      <c r="A213" s="163" t="s">
        <v>768</v>
      </c>
      <c r="B213" s="163" t="s">
        <v>711</v>
      </c>
      <c r="C213" s="163"/>
      <c r="D213" s="163" t="s">
        <v>712</v>
      </c>
      <c r="E213" s="164">
        <f>E214</f>
        <v>0</v>
      </c>
      <c r="F213" s="164">
        <f t="shared" si="166"/>
        <v>0</v>
      </c>
      <c r="G213" s="164">
        <f t="shared" si="166"/>
        <v>0</v>
      </c>
      <c r="H213" s="164">
        <f t="shared" si="166"/>
        <v>0</v>
      </c>
      <c r="I213" s="164">
        <f t="shared" si="166"/>
        <v>0</v>
      </c>
      <c r="J213" s="164">
        <f t="shared" si="166"/>
        <v>0</v>
      </c>
      <c r="K213" s="164">
        <f t="shared" si="166"/>
        <v>0</v>
      </c>
      <c r="L213" s="164">
        <f t="shared" si="166"/>
        <v>0</v>
      </c>
      <c r="M213" s="164">
        <f t="shared" si="166"/>
        <v>0</v>
      </c>
      <c r="N213" s="164">
        <f t="shared" si="166"/>
        <v>0</v>
      </c>
      <c r="O213" s="164">
        <f t="shared" si="166"/>
        <v>0</v>
      </c>
      <c r="P213" s="164">
        <f t="shared" si="166"/>
        <v>0</v>
      </c>
      <c r="Q213" s="20"/>
      <c r="R213" s="50"/>
    </row>
    <row r="214" spans="1:18" ht="48" hidden="1" thickTop="1" thickBot="1" x14ac:dyDescent="0.25">
      <c r="A214" s="41" t="s">
        <v>591</v>
      </c>
      <c r="B214" s="41" t="s">
        <v>367</v>
      </c>
      <c r="C214" s="41" t="s">
        <v>43</v>
      </c>
      <c r="D214" s="41" t="s">
        <v>368</v>
      </c>
      <c r="E214" s="42">
        <f t="shared" ref="E214" si="167">F214</f>
        <v>0</v>
      </c>
      <c r="F214" s="43">
        <v>0</v>
      </c>
      <c r="G214" s="43"/>
      <c r="H214" s="43"/>
      <c r="I214" s="43"/>
      <c r="J214" s="42">
        <f>L214+O214</f>
        <v>0</v>
      </c>
      <c r="K214" s="43"/>
      <c r="L214" s="43"/>
      <c r="M214" s="43"/>
      <c r="N214" s="43"/>
      <c r="O214" s="44">
        <f>K214</f>
        <v>0</v>
      </c>
      <c r="P214" s="42">
        <f>E214+J214</f>
        <v>0</v>
      </c>
      <c r="Q214" s="20"/>
      <c r="R214" s="50"/>
    </row>
    <row r="215" spans="1:18" ht="91.5" thickTop="1" thickBot="1" x14ac:dyDescent="0.25">
      <c r="A215" s="403" t="s">
        <v>22</v>
      </c>
      <c r="B215" s="403"/>
      <c r="C215" s="403"/>
      <c r="D215" s="404" t="s">
        <v>23</v>
      </c>
      <c r="E215" s="406">
        <f>E216</f>
        <v>111387538</v>
      </c>
      <c r="F215" s="405">
        <f t="shared" ref="F215:G215" si="168">F216</f>
        <v>111387538</v>
      </c>
      <c r="G215" s="405">
        <f t="shared" si="168"/>
        <v>47787163.430000015</v>
      </c>
      <c r="H215" s="405">
        <f>H216</f>
        <v>4919781</v>
      </c>
      <c r="I215" s="405">
        <f t="shared" ref="I215" si="169">I216</f>
        <v>0</v>
      </c>
      <c r="J215" s="406">
        <f>J216</f>
        <v>31152425.479999997</v>
      </c>
      <c r="K215" s="405">
        <f>K216</f>
        <v>28911403.479999997</v>
      </c>
      <c r="L215" s="405">
        <f>L216</f>
        <v>2118642</v>
      </c>
      <c r="M215" s="405">
        <f t="shared" ref="M215" si="170">M216</f>
        <v>994780</v>
      </c>
      <c r="N215" s="405">
        <f>N216</f>
        <v>383875</v>
      </c>
      <c r="O215" s="406">
        <f>O216</f>
        <v>29033783.479999997</v>
      </c>
      <c r="P215" s="405">
        <f t="shared" ref="P215" si="171">P216</f>
        <v>142539963.47999999</v>
      </c>
      <c r="Q215" s="20"/>
    </row>
    <row r="216" spans="1:18" ht="178.5" customHeight="1" thickTop="1" thickBot="1" x14ac:dyDescent="0.25">
      <c r="A216" s="407" t="s">
        <v>21</v>
      </c>
      <c r="B216" s="407"/>
      <c r="C216" s="407"/>
      <c r="D216" s="408" t="s">
        <v>35</v>
      </c>
      <c r="E216" s="409">
        <f>E217+E223+E238+E241+E248</f>
        <v>111387538</v>
      </c>
      <c r="F216" s="409">
        <f t="shared" ref="F216:I216" si="172">F217+F223+F238+F241+F248</f>
        <v>111387538</v>
      </c>
      <c r="G216" s="409">
        <f t="shared" si="172"/>
        <v>47787163.430000015</v>
      </c>
      <c r="H216" s="409">
        <f t="shared" si="172"/>
        <v>4919781</v>
      </c>
      <c r="I216" s="409">
        <f t="shared" si="172"/>
        <v>0</v>
      </c>
      <c r="J216" s="409">
        <f>L216+O216</f>
        <v>31152425.479999997</v>
      </c>
      <c r="K216" s="409">
        <f t="shared" ref="K216:O216" si="173">K217+K223+K238+K241+K248</f>
        <v>28911403.479999997</v>
      </c>
      <c r="L216" s="409">
        <f t="shared" si="173"/>
        <v>2118642</v>
      </c>
      <c r="M216" s="409">
        <f t="shared" si="173"/>
        <v>994780</v>
      </c>
      <c r="N216" s="409">
        <f t="shared" si="173"/>
        <v>383875</v>
      </c>
      <c r="O216" s="409">
        <f t="shared" si="173"/>
        <v>29033783.479999997</v>
      </c>
      <c r="P216" s="409">
        <f>E216+J216</f>
        <v>142539963.47999999</v>
      </c>
      <c r="Q216" s="353" t="b">
        <f>P216=P221+P222+P225+P226+P228+P230+P231+P235+P236+P237+P240+P244+P246+P233+P247</f>
        <v>1</v>
      </c>
      <c r="R216" s="46"/>
    </row>
    <row r="217" spans="1:18" ht="47.25" thickTop="1" thickBot="1" x14ac:dyDescent="0.25">
      <c r="A217" s="346" t="s">
        <v>769</v>
      </c>
      <c r="B217" s="346" t="s">
        <v>717</v>
      </c>
      <c r="C217" s="346"/>
      <c r="D217" s="346" t="s">
        <v>718</v>
      </c>
      <c r="E217" s="479">
        <f>SUM(E218:E222)-E218-E220</f>
        <v>12200222</v>
      </c>
      <c r="F217" s="479">
        <f t="shared" ref="F217:P217" si="174">SUM(F218:F222)-F218-F220</f>
        <v>12200222</v>
      </c>
      <c r="G217" s="479">
        <f t="shared" si="174"/>
        <v>4574410</v>
      </c>
      <c r="H217" s="479">
        <f t="shared" si="174"/>
        <v>1073346</v>
      </c>
      <c r="I217" s="479">
        <f t="shared" si="174"/>
        <v>0</v>
      </c>
      <c r="J217" s="479">
        <f t="shared" si="174"/>
        <v>2155872.4</v>
      </c>
      <c r="K217" s="479">
        <f t="shared" si="174"/>
        <v>1758472.4</v>
      </c>
      <c r="L217" s="479">
        <f t="shared" si="174"/>
        <v>397400</v>
      </c>
      <c r="M217" s="479">
        <f t="shared" si="174"/>
        <v>210000</v>
      </c>
      <c r="N217" s="479">
        <f t="shared" si="174"/>
        <v>102595</v>
      </c>
      <c r="O217" s="479">
        <f t="shared" si="174"/>
        <v>1758472.4</v>
      </c>
      <c r="P217" s="479">
        <f t="shared" si="174"/>
        <v>14356094.4</v>
      </c>
      <c r="Q217" s="47"/>
      <c r="R217" s="46"/>
    </row>
    <row r="218" spans="1:18" s="33" customFormat="1" ht="48" hidden="1" thickTop="1" thickBot="1" x14ac:dyDescent="0.25">
      <c r="A218" s="399" t="s">
        <v>770</v>
      </c>
      <c r="B218" s="399" t="s">
        <v>771</v>
      </c>
      <c r="C218" s="399"/>
      <c r="D218" s="399" t="s">
        <v>772</v>
      </c>
      <c r="E218" s="480">
        <f>E219</f>
        <v>0</v>
      </c>
      <c r="F218" s="480">
        <f t="shared" ref="F218:P218" si="175">F219</f>
        <v>0</v>
      </c>
      <c r="G218" s="480">
        <f t="shared" si="175"/>
        <v>0</v>
      </c>
      <c r="H218" s="480">
        <f t="shared" si="175"/>
        <v>0</v>
      </c>
      <c r="I218" s="480">
        <f t="shared" si="175"/>
        <v>0</v>
      </c>
      <c r="J218" s="480">
        <f t="shared" si="175"/>
        <v>0</v>
      </c>
      <c r="K218" s="480">
        <f t="shared" si="175"/>
        <v>0</v>
      </c>
      <c r="L218" s="480">
        <f t="shared" si="175"/>
        <v>0</v>
      </c>
      <c r="M218" s="480">
        <f t="shared" si="175"/>
        <v>0</v>
      </c>
      <c r="N218" s="480">
        <f t="shared" si="175"/>
        <v>0</v>
      </c>
      <c r="O218" s="480">
        <f t="shared" si="175"/>
        <v>0</v>
      </c>
      <c r="P218" s="480">
        <f t="shared" si="175"/>
        <v>0</v>
      </c>
      <c r="Q218" s="173"/>
      <c r="R218" s="52"/>
    </row>
    <row r="219" spans="1:18" ht="48" hidden="1" thickTop="1" thickBot="1" x14ac:dyDescent="0.25">
      <c r="A219" s="119" t="s">
        <v>187</v>
      </c>
      <c r="B219" s="119" t="s">
        <v>188</v>
      </c>
      <c r="C219" s="119" t="s">
        <v>189</v>
      </c>
      <c r="D219" s="119" t="s">
        <v>644</v>
      </c>
      <c r="E219" s="347">
        <f t="shared" ref="E219:E236" si="176">F219</f>
        <v>0</v>
      </c>
      <c r="F219" s="389">
        <f>(6040461)-6040461</f>
        <v>0</v>
      </c>
      <c r="G219" s="389">
        <f>(4559615)-4559615</f>
        <v>0</v>
      </c>
      <c r="H219" s="389">
        <f>(96665+5295+31600+3840)-137400</f>
        <v>0</v>
      </c>
      <c r="I219" s="389"/>
      <c r="J219" s="393">
        <f t="shared" ref="J219:J247" si="177">L219+O219</f>
        <v>0</v>
      </c>
      <c r="K219" s="389"/>
      <c r="L219" s="390"/>
      <c r="M219" s="390"/>
      <c r="N219" s="390"/>
      <c r="O219" s="351">
        <f t="shared" ref="O219:O247" si="178">K219</f>
        <v>0</v>
      </c>
      <c r="P219" s="393">
        <f>+J219+E219</f>
        <v>0</v>
      </c>
      <c r="Q219" s="50"/>
      <c r="R219" s="50"/>
    </row>
    <row r="220" spans="1:18" s="33" customFormat="1" ht="48" thickTop="1" thickBot="1" x14ac:dyDescent="0.25">
      <c r="A220" s="399" t="s">
        <v>773</v>
      </c>
      <c r="B220" s="399" t="s">
        <v>774</v>
      </c>
      <c r="C220" s="399"/>
      <c r="D220" s="399" t="s">
        <v>775</v>
      </c>
      <c r="E220" s="444">
        <f>SUM(E221:E222)</f>
        <v>12200222</v>
      </c>
      <c r="F220" s="444">
        <f t="shared" ref="F220:P220" si="179">SUM(F221:F222)</f>
        <v>12200222</v>
      </c>
      <c r="G220" s="444">
        <f t="shared" si="179"/>
        <v>4574410</v>
      </c>
      <c r="H220" s="444">
        <f t="shared" si="179"/>
        <v>1073346</v>
      </c>
      <c r="I220" s="444">
        <f t="shared" si="179"/>
        <v>0</v>
      </c>
      <c r="J220" s="444">
        <f t="shared" si="179"/>
        <v>2155872.4</v>
      </c>
      <c r="K220" s="444">
        <f t="shared" si="179"/>
        <v>1758472.4</v>
      </c>
      <c r="L220" s="444">
        <f t="shared" si="179"/>
        <v>397400</v>
      </c>
      <c r="M220" s="444">
        <f t="shared" si="179"/>
        <v>210000</v>
      </c>
      <c r="N220" s="444">
        <f t="shared" si="179"/>
        <v>102595</v>
      </c>
      <c r="O220" s="444">
        <f t="shared" si="179"/>
        <v>1758472.4</v>
      </c>
      <c r="P220" s="444">
        <f t="shared" si="179"/>
        <v>14356094.4</v>
      </c>
      <c r="Q220" s="51"/>
      <c r="R220" s="51"/>
    </row>
    <row r="221" spans="1:18" ht="48" thickTop="1" thickBot="1" x14ac:dyDescent="0.25">
      <c r="A221" s="119" t="s">
        <v>193</v>
      </c>
      <c r="B221" s="119" t="s">
        <v>194</v>
      </c>
      <c r="C221" s="119" t="s">
        <v>189</v>
      </c>
      <c r="D221" s="119" t="s">
        <v>10</v>
      </c>
      <c r="E221" s="347">
        <f t="shared" si="176"/>
        <v>5445868</v>
      </c>
      <c r="F221" s="389">
        <f>((5368723)+1300)+75845</f>
        <v>5445868</v>
      </c>
      <c r="G221" s="389">
        <v>3105542</v>
      </c>
      <c r="H221" s="389">
        <f>628430+7726+230000+3090</f>
        <v>869246</v>
      </c>
      <c r="I221" s="389"/>
      <c r="J221" s="393">
        <f t="shared" si="177"/>
        <v>2100246.4</v>
      </c>
      <c r="K221" s="389">
        <f>((((21340)+24993.4)+74000)+388092+1445613)-388092+136900</f>
        <v>1702846.4</v>
      </c>
      <c r="L221" s="390">
        <v>397400</v>
      </c>
      <c r="M221" s="390">
        <v>210000</v>
      </c>
      <c r="N221" s="390">
        <v>102595</v>
      </c>
      <c r="O221" s="351">
        <f>K221</f>
        <v>1702846.4</v>
      </c>
      <c r="P221" s="393">
        <f t="shared" ref="P221:P247" si="180">E221+J221</f>
        <v>7546114.4000000004</v>
      </c>
      <c r="Q221" s="20"/>
      <c r="R221" s="46"/>
    </row>
    <row r="222" spans="1:18" ht="48" thickTop="1" thickBot="1" x14ac:dyDescent="0.25">
      <c r="A222" s="119" t="s">
        <v>355</v>
      </c>
      <c r="B222" s="119" t="s">
        <v>356</v>
      </c>
      <c r="C222" s="119" t="s">
        <v>189</v>
      </c>
      <c r="D222" s="119" t="s">
        <v>357</v>
      </c>
      <c r="E222" s="347">
        <f t="shared" si="176"/>
        <v>6754354</v>
      </c>
      <c r="F222" s="389">
        <f>((7675433)+78921)-1000000</f>
        <v>6754354</v>
      </c>
      <c r="G222" s="389">
        <v>1468868</v>
      </c>
      <c r="H222" s="389">
        <f>99760+6560+95860+1920</f>
        <v>204100</v>
      </c>
      <c r="I222" s="389"/>
      <c r="J222" s="393">
        <f t="shared" si="177"/>
        <v>55626</v>
      </c>
      <c r="K222" s="389">
        <v>55626</v>
      </c>
      <c r="L222" s="390"/>
      <c r="M222" s="390"/>
      <c r="N222" s="390"/>
      <c r="O222" s="351">
        <f t="shared" si="178"/>
        <v>55626</v>
      </c>
      <c r="P222" s="393">
        <f t="shared" si="180"/>
        <v>6809980</v>
      </c>
      <c r="Q222" s="20"/>
      <c r="R222" s="46"/>
    </row>
    <row r="223" spans="1:18" ht="47.25" thickTop="1" thickBot="1" x14ac:dyDescent="0.25">
      <c r="A223" s="346" t="s">
        <v>776</v>
      </c>
      <c r="B223" s="346" t="s">
        <v>777</v>
      </c>
      <c r="C223" s="119"/>
      <c r="D223" s="346" t="s">
        <v>778</v>
      </c>
      <c r="E223" s="347">
        <f t="shared" ref="E223:P223" si="181">SUM(E224:E237)-E224-E227-E229-E234-E232</f>
        <v>99124316</v>
      </c>
      <c r="F223" s="347">
        <f t="shared" si="181"/>
        <v>99124316</v>
      </c>
      <c r="G223" s="347">
        <f t="shared" si="181"/>
        <v>43212753.430000015</v>
      </c>
      <c r="H223" s="347">
        <f t="shared" si="181"/>
        <v>3846435</v>
      </c>
      <c r="I223" s="347">
        <f t="shared" si="181"/>
        <v>0</v>
      </c>
      <c r="J223" s="347">
        <f t="shared" si="181"/>
        <v>28188592.079999998</v>
      </c>
      <c r="K223" s="347">
        <f t="shared" si="181"/>
        <v>26344970.079999998</v>
      </c>
      <c r="L223" s="347">
        <f t="shared" si="181"/>
        <v>1721242</v>
      </c>
      <c r="M223" s="347">
        <f t="shared" si="181"/>
        <v>784780</v>
      </c>
      <c r="N223" s="347">
        <f t="shared" si="181"/>
        <v>281280</v>
      </c>
      <c r="O223" s="347">
        <f t="shared" si="181"/>
        <v>26467350.079999998</v>
      </c>
      <c r="P223" s="347">
        <f t="shared" si="181"/>
        <v>127312908.07999997</v>
      </c>
      <c r="Q223" s="20"/>
      <c r="R223" s="46"/>
    </row>
    <row r="224" spans="1:18" s="33" customFormat="1" ht="48" thickTop="1" thickBot="1" x14ac:dyDescent="0.25">
      <c r="A224" s="399" t="s">
        <v>779</v>
      </c>
      <c r="B224" s="399" t="s">
        <v>780</v>
      </c>
      <c r="C224" s="399"/>
      <c r="D224" s="399" t="s">
        <v>781</v>
      </c>
      <c r="E224" s="444">
        <f>SUM(E225:E226)</f>
        <v>24233742</v>
      </c>
      <c r="F224" s="444">
        <f t="shared" ref="F224:P224" si="182">SUM(F225:F226)</f>
        <v>24233742</v>
      </c>
      <c r="G224" s="444">
        <f t="shared" si="182"/>
        <v>0</v>
      </c>
      <c r="H224" s="444">
        <f t="shared" si="182"/>
        <v>0</v>
      </c>
      <c r="I224" s="444">
        <f t="shared" si="182"/>
        <v>0</v>
      </c>
      <c r="J224" s="444">
        <f t="shared" si="182"/>
        <v>0</v>
      </c>
      <c r="K224" s="444">
        <f t="shared" si="182"/>
        <v>0</v>
      </c>
      <c r="L224" s="444">
        <f t="shared" si="182"/>
        <v>0</v>
      </c>
      <c r="M224" s="444">
        <f t="shared" si="182"/>
        <v>0</v>
      </c>
      <c r="N224" s="444">
        <f t="shared" si="182"/>
        <v>0</v>
      </c>
      <c r="O224" s="444">
        <f t="shared" si="182"/>
        <v>0</v>
      </c>
      <c r="P224" s="444">
        <f t="shared" si="182"/>
        <v>24233742</v>
      </c>
      <c r="Q224" s="36"/>
      <c r="R224" s="52"/>
    </row>
    <row r="225" spans="1:18" ht="93" thickTop="1" thickBot="1" x14ac:dyDescent="0.25">
      <c r="A225" s="119" t="s">
        <v>44</v>
      </c>
      <c r="B225" s="119" t="s">
        <v>190</v>
      </c>
      <c r="C225" s="119" t="s">
        <v>199</v>
      </c>
      <c r="D225" s="119" t="s">
        <v>45</v>
      </c>
      <c r="E225" s="347">
        <f t="shared" si="176"/>
        <v>21132670</v>
      </c>
      <c r="F225" s="389">
        <f>((23981670)+1000+1150000)-4000000</f>
        <v>21132670</v>
      </c>
      <c r="G225" s="350"/>
      <c r="H225" s="350"/>
      <c r="I225" s="350"/>
      <c r="J225" s="393">
        <f t="shared" si="177"/>
        <v>0</v>
      </c>
      <c r="K225" s="350"/>
      <c r="L225" s="350"/>
      <c r="M225" s="350"/>
      <c r="N225" s="350"/>
      <c r="O225" s="351">
        <f t="shared" si="178"/>
        <v>0</v>
      </c>
      <c r="P225" s="393">
        <f t="shared" si="180"/>
        <v>21132670</v>
      </c>
      <c r="Q225" s="20"/>
      <c r="R225" s="46"/>
    </row>
    <row r="226" spans="1:18" ht="93" thickTop="1" thickBot="1" x14ac:dyDescent="0.25">
      <c r="A226" s="119" t="s">
        <v>46</v>
      </c>
      <c r="B226" s="119" t="s">
        <v>191</v>
      </c>
      <c r="C226" s="119" t="s">
        <v>199</v>
      </c>
      <c r="D226" s="119" t="s">
        <v>4</v>
      </c>
      <c r="E226" s="347">
        <f t="shared" si="176"/>
        <v>3101072</v>
      </c>
      <c r="F226" s="389">
        <f>((3798092)+2980+300000)-1000000</f>
        <v>3101072</v>
      </c>
      <c r="G226" s="350"/>
      <c r="H226" s="350"/>
      <c r="I226" s="350"/>
      <c r="J226" s="393">
        <f t="shared" si="177"/>
        <v>0</v>
      </c>
      <c r="K226" s="350"/>
      <c r="L226" s="350"/>
      <c r="M226" s="350"/>
      <c r="N226" s="350"/>
      <c r="O226" s="351">
        <f t="shared" si="178"/>
        <v>0</v>
      </c>
      <c r="P226" s="393">
        <f t="shared" si="180"/>
        <v>3101072</v>
      </c>
      <c r="Q226" s="20"/>
      <c r="R226" s="46"/>
    </row>
    <row r="227" spans="1:18" s="33" customFormat="1" ht="93" thickTop="1" thickBot="1" x14ac:dyDescent="0.25">
      <c r="A227" s="399" t="s">
        <v>782</v>
      </c>
      <c r="B227" s="399" t="s">
        <v>783</v>
      </c>
      <c r="C227" s="399"/>
      <c r="D227" s="399" t="s">
        <v>784</v>
      </c>
      <c r="E227" s="444">
        <f>E228</f>
        <v>53300</v>
      </c>
      <c r="F227" s="444">
        <f t="shared" ref="F227:P227" si="183">F228</f>
        <v>53300</v>
      </c>
      <c r="G227" s="444">
        <f t="shared" si="183"/>
        <v>0</v>
      </c>
      <c r="H227" s="444">
        <f t="shared" si="183"/>
        <v>0</v>
      </c>
      <c r="I227" s="444">
        <f t="shared" si="183"/>
        <v>0</v>
      </c>
      <c r="J227" s="444">
        <f t="shared" si="183"/>
        <v>0</v>
      </c>
      <c r="K227" s="444">
        <f t="shared" si="183"/>
        <v>0</v>
      </c>
      <c r="L227" s="444">
        <f t="shared" si="183"/>
        <v>0</v>
      </c>
      <c r="M227" s="444">
        <f t="shared" si="183"/>
        <v>0</v>
      </c>
      <c r="N227" s="444">
        <f t="shared" si="183"/>
        <v>0</v>
      </c>
      <c r="O227" s="444">
        <f t="shared" si="183"/>
        <v>0</v>
      </c>
      <c r="P227" s="444">
        <f t="shared" si="183"/>
        <v>53300</v>
      </c>
      <c r="Q227" s="36"/>
      <c r="R227" s="53"/>
    </row>
    <row r="228" spans="1:18" ht="93" thickTop="1" thickBot="1" x14ac:dyDescent="0.25">
      <c r="A228" s="119" t="s">
        <v>47</v>
      </c>
      <c r="B228" s="119" t="s">
        <v>192</v>
      </c>
      <c r="C228" s="119" t="s">
        <v>199</v>
      </c>
      <c r="D228" s="119" t="s">
        <v>353</v>
      </c>
      <c r="E228" s="347">
        <f>F228</f>
        <v>53300</v>
      </c>
      <c r="F228" s="389">
        <v>53300</v>
      </c>
      <c r="G228" s="389"/>
      <c r="H228" s="389"/>
      <c r="I228" s="350"/>
      <c r="J228" s="393">
        <f t="shared" si="177"/>
        <v>0</v>
      </c>
      <c r="K228" s="350"/>
      <c r="L228" s="389"/>
      <c r="M228" s="389"/>
      <c r="N228" s="389"/>
      <c r="O228" s="351">
        <f t="shared" si="178"/>
        <v>0</v>
      </c>
      <c r="P228" s="393">
        <f t="shared" si="180"/>
        <v>53300</v>
      </c>
      <c r="Q228" s="20"/>
      <c r="R228" s="46"/>
    </row>
    <row r="229" spans="1:18" ht="48" thickTop="1" thickBot="1" x14ac:dyDescent="0.25">
      <c r="A229" s="399" t="s">
        <v>785</v>
      </c>
      <c r="B229" s="399" t="s">
        <v>786</v>
      </c>
      <c r="C229" s="399"/>
      <c r="D229" s="399" t="s">
        <v>787</v>
      </c>
      <c r="E229" s="444">
        <f>SUM(E230:E231)</f>
        <v>68390758</v>
      </c>
      <c r="F229" s="444">
        <f t="shared" ref="F229:P229" si="184">SUM(F230:F231)</f>
        <v>68390758</v>
      </c>
      <c r="G229" s="444">
        <f t="shared" si="184"/>
        <v>41781765</v>
      </c>
      <c r="H229" s="444">
        <f t="shared" si="184"/>
        <v>3846435</v>
      </c>
      <c r="I229" s="444">
        <f t="shared" si="184"/>
        <v>0</v>
      </c>
      <c r="J229" s="444">
        <f t="shared" si="184"/>
        <v>28115914.079999998</v>
      </c>
      <c r="K229" s="444">
        <f t="shared" si="184"/>
        <v>26322292.079999998</v>
      </c>
      <c r="L229" s="444">
        <f t="shared" si="184"/>
        <v>1671242</v>
      </c>
      <c r="M229" s="444">
        <f t="shared" si="184"/>
        <v>784780</v>
      </c>
      <c r="N229" s="444">
        <f t="shared" si="184"/>
        <v>281280</v>
      </c>
      <c r="O229" s="444">
        <f t="shared" si="184"/>
        <v>26444672.079999998</v>
      </c>
      <c r="P229" s="444">
        <f t="shared" si="184"/>
        <v>96506672.079999998</v>
      </c>
      <c r="Q229" s="20"/>
      <c r="R229" s="46"/>
    </row>
    <row r="230" spans="1:18" ht="93" thickTop="1" thickBot="1" x14ac:dyDescent="0.25">
      <c r="A230" s="119" t="s">
        <v>28</v>
      </c>
      <c r="B230" s="119" t="s">
        <v>196</v>
      </c>
      <c r="C230" s="119" t="s">
        <v>199</v>
      </c>
      <c r="D230" s="119" t="s">
        <v>48</v>
      </c>
      <c r="E230" s="347">
        <f t="shared" si="176"/>
        <v>62135419</v>
      </c>
      <c r="F230" s="389">
        <f>((((59889005)+202668+42714+402374+130485+41184+2300+422)+75600+314625+384310+146800+52989)+171255+160700+104000+29036+11235+11627+20090)-58000</f>
        <v>62135419</v>
      </c>
      <c r="G230" s="389">
        <f>13877510+12442050+10977685+4484520</f>
        <v>41781765</v>
      </c>
      <c r="H230" s="389">
        <f>(568195+155692+669442+67080+521160+67546+679930+60730+9320+25800+25896+220200+368000+5930+411080+9064+153630+57590+1104)-230954</f>
        <v>3846435</v>
      </c>
      <c r="I230" s="389"/>
      <c r="J230" s="393">
        <f t="shared" si="177"/>
        <v>28115914.079999998</v>
      </c>
      <c r="K230" s="389">
        <f>((((947868)+99900+53954+29525+19619+129500+99900+10427935.08)+30143+10979381+2072733+240000+90190+300000+35600+3000000-2072733-240000)-1114000+340000+24500)+770277+58000</f>
        <v>26322292.079999998</v>
      </c>
      <c r="L230" s="389">
        <v>1671242</v>
      </c>
      <c r="M230" s="389">
        <f>(862780)-78000</f>
        <v>784780</v>
      </c>
      <c r="N230" s="389">
        <v>281280</v>
      </c>
      <c r="O230" s="351">
        <f>(K230+122380)</f>
        <v>26444672.079999998</v>
      </c>
      <c r="P230" s="393">
        <f t="shared" si="180"/>
        <v>90251333.079999998</v>
      </c>
      <c r="Q230" s="20"/>
      <c r="R230" s="46"/>
    </row>
    <row r="231" spans="1:18" ht="93" thickTop="1" thickBot="1" x14ac:dyDescent="0.25">
      <c r="A231" s="119" t="s">
        <v>29</v>
      </c>
      <c r="B231" s="119" t="s">
        <v>197</v>
      </c>
      <c r="C231" s="119" t="s">
        <v>199</v>
      </c>
      <c r="D231" s="119" t="s">
        <v>49</v>
      </c>
      <c r="E231" s="347">
        <f t="shared" si="176"/>
        <v>6255339</v>
      </c>
      <c r="F231" s="389">
        <f>(6424339)-153000-16000</f>
        <v>6255339</v>
      </c>
      <c r="G231" s="389"/>
      <c r="H231" s="389"/>
      <c r="I231" s="389"/>
      <c r="J231" s="393">
        <f t="shared" si="177"/>
        <v>0</v>
      </c>
      <c r="K231" s="389">
        <v>0</v>
      </c>
      <c r="L231" s="389"/>
      <c r="M231" s="389"/>
      <c r="N231" s="389"/>
      <c r="O231" s="351">
        <f t="shared" si="178"/>
        <v>0</v>
      </c>
      <c r="P231" s="393">
        <f t="shared" si="180"/>
        <v>6255339</v>
      </c>
      <c r="Q231" s="20"/>
      <c r="R231" s="46"/>
    </row>
    <row r="232" spans="1:18" ht="48" thickTop="1" thickBot="1" x14ac:dyDescent="0.25">
      <c r="A232" s="477" t="s">
        <v>1469</v>
      </c>
      <c r="B232" s="399" t="s">
        <v>823</v>
      </c>
      <c r="C232" s="399"/>
      <c r="D232" s="399" t="s">
        <v>824</v>
      </c>
      <c r="E232" s="444">
        <f>E233</f>
        <v>147135</v>
      </c>
      <c r="F232" s="444">
        <f t="shared" ref="F232:P232" si="185">F233</f>
        <v>147135</v>
      </c>
      <c r="G232" s="444">
        <f t="shared" si="185"/>
        <v>120602.43</v>
      </c>
      <c r="H232" s="444">
        <f t="shared" si="185"/>
        <v>0</v>
      </c>
      <c r="I232" s="444">
        <f t="shared" si="185"/>
        <v>0</v>
      </c>
      <c r="J232" s="444">
        <f t="shared" si="185"/>
        <v>0</v>
      </c>
      <c r="K232" s="444">
        <f t="shared" si="185"/>
        <v>0</v>
      </c>
      <c r="L232" s="444">
        <f t="shared" si="185"/>
        <v>0</v>
      </c>
      <c r="M232" s="444">
        <f t="shared" si="185"/>
        <v>0</v>
      </c>
      <c r="N232" s="444">
        <f t="shared" si="185"/>
        <v>0</v>
      </c>
      <c r="O232" s="444">
        <f t="shared" si="185"/>
        <v>0</v>
      </c>
      <c r="P232" s="444">
        <f t="shared" si="185"/>
        <v>147135</v>
      </c>
      <c r="Q232" s="20"/>
      <c r="R232" s="46"/>
    </row>
    <row r="233" spans="1:18" ht="93" thickTop="1" thickBot="1" x14ac:dyDescent="0.25">
      <c r="A233" s="119" t="s">
        <v>1470</v>
      </c>
      <c r="B233" s="119" t="s">
        <v>1471</v>
      </c>
      <c r="C233" s="119" t="s">
        <v>199</v>
      </c>
      <c r="D233" s="119" t="s">
        <v>1472</v>
      </c>
      <c r="E233" s="347">
        <f t="shared" ref="E233" si="186">F233</f>
        <v>147135</v>
      </c>
      <c r="F233" s="389">
        <f>(88281)+58854</f>
        <v>147135</v>
      </c>
      <c r="G233" s="389">
        <f>(72361.47)+48240.96</f>
        <v>120602.43</v>
      </c>
      <c r="H233" s="389"/>
      <c r="I233" s="389"/>
      <c r="J233" s="393">
        <f t="shared" ref="J233" si="187">L233+O233</f>
        <v>0</v>
      </c>
      <c r="K233" s="389">
        <v>0</v>
      </c>
      <c r="L233" s="389"/>
      <c r="M233" s="389"/>
      <c r="N233" s="389"/>
      <c r="O233" s="351">
        <f t="shared" ref="O233" si="188">K233</f>
        <v>0</v>
      </c>
      <c r="P233" s="393">
        <f t="shared" ref="P233" si="189">E233+J233</f>
        <v>147135</v>
      </c>
      <c r="Q233" s="20"/>
      <c r="R233" s="46"/>
    </row>
    <row r="234" spans="1:18" ht="48" thickTop="1" thickBot="1" x14ac:dyDescent="0.25">
      <c r="A234" s="477" t="s">
        <v>788</v>
      </c>
      <c r="B234" s="399" t="s">
        <v>789</v>
      </c>
      <c r="C234" s="399"/>
      <c r="D234" s="399" t="s">
        <v>790</v>
      </c>
      <c r="E234" s="444">
        <f>SUM(E235:E237)</f>
        <v>6299381</v>
      </c>
      <c r="F234" s="444">
        <f t="shared" ref="F234:P234" si="190">SUM(F235:F237)</f>
        <v>6299381</v>
      </c>
      <c r="G234" s="444">
        <f t="shared" si="190"/>
        <v>1310386</v>
      </c>
      <c r="H234" s="444">
        <f t="shared" si="190"/>
        <v>0</v>
      </c>
      <c r="I234" s="444">
        <f t="shared" si="190"/>
        <v>0</v>
      </c>
      <c r="J234" s="444">
        <f t="shared" si="190"/>
        <v>72678</v>
      </c>
      <c r="K234" s="444">
        <f t="shared" si="190"/>
        <v>22678</v>
      </c>
      <c r="L234" s="444">
        <f t="shared" si="190"/>
        <v>50000</v>
      </c>
      <c r="M234" s="444">
        <f t="shared" si="190"/>
        <v>0</v>
      </c>
      <c r="N234" s="444">
        <f t="shared" si="190"/>
        <v>0</v>
      </c>
      <c r="O234" s="444">
        <f t="shared" si="190"/>
        <v>22678</v>
      </c>
      <c r="P234" s="444">
        <f t="shared" si="190"/>
        <v>6372059</v>
      </c>
      <c r="Q234" s="20"/>
      <c r="R234" s="46"/>
    </row>
    <row r="235" spans="1:18" ht="138.75" thickTop="1" thickBot="1" x14ac:dyDescent="0.25">
      <c r="A235" s="445" t="s">
        <v>30</v>
      </c>
      <c r="B235" s="445" t="s">
        <v>198</v>
      </c>
      <c r="C235" s="445" t="s">
        <v>199</v>
      </c>
      <c r="D235" s="119" t="s">
        <v>31</v>
      </c>
      <c r="E235" s="347">
        <f t="shared" si="176"/>
        <v>570057</v>
      </c>
      <c r="F235" s="389">
        <f>(((1028095)+40000)-198038)-300000</f>
        <v>570057</v>
      </c>
      <c r="G235" s="350"/>
      <c r="H235" s="350"/>
      <c r="I235" s="350"/>
      <c r="J235" s="393">
        <f t="shared" si="177"/>
        <v>0</v>
      </c>
      <c r="K235" s="350"/>
      <c r="L235" s="350"/>
      <c r="M235" s="350"/>
      <c r="N235" s="350"/>
      <c r="O235" s="351">
        <f t="shared" si="178"/>
        <v>0</v>
      </c>
      <c r="P235" s="393">
        <f t="shared" si="180"/>
        <v>570057</v>
      </c>
      <c r="Q235" s="20"/>
      <c r="R235" s="46"/>
    </row>
    <row r="236" spans="1:18" ht="93" thickTop="1" thickBot="1" x14ac:dyDescent="0.25">
      <c r="A236" s="445" t="s">
        <v>516</v>
      </c>
      <c r="B236" s="445" t="s">
        <v>514</v>
      </c>
      <c r="C236" s="445" t="s">
        <v>199</v>
      </c>
      <c r="D236" s="119" t="s">
        <v>515</v>
      </c>
      <c r="E236" s="347">
        <f t="shared" si="176"/>
        <v>3791300</v>
      </c>
      <c r="F236" s="389">
        <f>(3710900)+80400</f>
        <v>3791300</v>
      </c>
      <c r="G236" s="350"/>
      <c r="H236" s="350"/>
      <c r="I236" s="350"/>
      <c r="J236" s="393">
        <f t="shared" si="177"/>
        <v>0</v>
      </c>
      <c r="K236" s="350"/>
      <c r="L236" s="350"/>
      <c r="M236" s="350"/>
      <c r="N236" s="350"/>
      <c r="O236" s="351">
        <f t="shared" si="178"/>
        <v>0</v>
      </c>
      <c r="P236" s="393">
        <f t="shared" si="180"/>
        <v>3791300</v>
      </c>
      <c r="Q236" s="20"/>
      <c r="R236" s="46"/>
    </row>
    <row r="237" spans="1:18" ht="48" thickTop="1" thickBot="1" x14ac:dyDescent="0.25">
      <c r="A237" s="445" t="s">
        <v>32</v>
      </c>
      <c r="B237" s="445" t="s">
        <v>200</v>
      </c>
      <c r="C237" s="445" t="s">
        <v>199</v>
      </c>
      <c r="D237" s="119" t="s">
        <v>33</v>
      </c>
      <c r="E237" s="347">
        <f>F237</f>
        <v>1938024</v>
      </c>
      <c r="F237" s="389">
        <f>(1873774)+64250</f>
        <v>1938024</v>
      </c>
      <c r="G237" s="350">
        <v>1310386</v>
      </c>
      <c r="H237" s="350"/>
      <c r="I237" s="350"/>
      <c r="J237" s="393">
        <f t="shared" si="177"/>
        <v>72678</v>
      </c>
      <c r="K237" s="350">
        <v>22678</v>
      </c>
      <c r="L237" s="350">
        <v>50000</v>
      </c>
      <c r="M237" s="350"/>
      <c r="N237" s="350"/>
      <c r="O237" s="351">
        <f t="shared" si="178"/>
        <v>22678</v>
      </c>
      <c r="P237" s="393">
        <f t="shared" si="180"/>
        <v>2010702</v>
      </c>
      <c r="Q237" s="20"/>
      <c r="R237" s="46"/>
    </row>
    <row r="238" spans="1:18" ht="47.25" thickTop="1" thickBot="1" x14ac:dyDescent="0.25">
      <c r="A238" s="346" t="s">
        <v>791</v>
      </c>
      <c r="B238" s="346" t="s">
        <v>748</v>
      </c>
      <c r="C238" s="346"/>
      <c r="D238" s="476" t="s">
        <v>749</v>
      </c>
      <c r="E238" s="347">
        <f>E239</f>
        <v>63000</v>
      </c>
      <c r="F238" s="347">
        <f t="shared" ref="F238:P239" si="191">F239</f>
        <v>63000</v>
      </c>
      <c r="G238" s="347">
        <f t="shared" si="191"/>
        <v>0</v>
      </c>
      <c r="H238" s="347">
        <f t="shared" si="191"/>
        <v>0</v>
      </c>
      <c r="I238" s="347">
        <f t="shared" si="191"/>
        <v>0</v>
      </c>
      <c r="J238" s="347">
        <f t="shared" si="191"/>
        <v>0</v>
      </c>
      <c r="K238" s="347">
        <f t="shared" si="191"/>
        <v>0</v>
      </c>
      <c r="L238" s="347">
        <f t="shared" si="191"/>
        <v>0</v>
      </c>
      <c r="M238" s="347">
        <f t="shared" si="191"/>
        <v>0</v>
      </c>
      <c r="N238" s="347">
        <f t="shared" si="191"/>
        <v>0</v>
      </c>
      <c r="O238" s="347">
        <f t="shared" si="191"/>
        <v>0</v>
      </c>
      <c r="P238" s="347">
        <f t="shared" si="191"/>
        <v>63000</v>
      </c>
      <c r="Q238" s="20"/>
      <c r="R238" s="46"/>
    </row>
    <row r="239" spans="1:18" ht="48" thickTop="1" thickBot="1" x14ac:dyDescent="0.25">
      <c r="A239" s="477" t="s">
        <v>792</v>
      </c>
      <c r="B239" s="477" t="s">
        <v>751</v>
      </c>
      <c r="C239" s="477"/>
      <c r="D239" s="399" t="s">
        <v>752</v>
      </c>
      <c r="E239" s="444">
        <f>E240</f>
        <v>63000</v>
      </c>
      <c r="F239" s="444">
        <f t="shared" si="191"/>
        <v>63000</v>
      </c>
      <c r="G239" s="444">
        <f t="shared" si="191"/>
        <v>0</v>
      </c>
      <c r="H239" s="444">
        <f t="shared" si="191"/>
        <v>0</v>
      </c>
      <c r="I239" s="444">
        <f t="shared" si="191"/>
        <v>0</v>
      </c>
      <c r="J239" s="444">
        <f t="shared" si="191"/>
        <v>0</v>
      </c>
      <c r="K239" s="444">
        <f t="shared" si="191"/>
        <v>0</v>
      </c>
      <c r="L239" s="444">
        <f t="shared" si="191"/>
        <v>0</v>
      </c>
      <c r="M239" s="444">
        <f t="shared" si="191"/>
        <v>0</v>
      </c>
      <c r="N239" s="444">
        <f t="shared" si="191"/>
        <v>0</v>
      </c>
      <c r="O239" s="444">
        <f t="shared" si="191"/>
        <v>0</v>
      </c>
      <c r="P239" s="444">
        <f t="shared" si="191"/>
        <v>63000</v>
      </c>
      <c r="Q239" s="20"/>
      <c r="R239" s="46"/>
    </row>
    <row r="240" spans="1:18" ht="138.75" thickTop="1" thickBot="1" x14ac:dyDescent="0.25">
      <c r="A240" s="445" t="s">
        <v>346</v>
      </c>
      <c r="B240" s="445" t="s">
        <v>345</v>
      </c>
      <c r="C240" s="445" t="s">
        <v>344</v>
      </c>
      <c r="D240" s="119" t="s">
        <v>645</v>
      </c>
      <c r="E240" s="347">
        <f>F240</f>
        <v>63000</v>
      </c>
      <c r="F240" s="389">
        <f>(39000)+24000</f>
        <v>63000</v>
      </c>
      <c r="G240" s="350"/>
      <c r="H240" s="350"/>
      <c r="I240" s="350"/>
      <c r="J240" s="393">
        <f t="shared" si="177"/>
        <v>0</v>
      </c>
      <c r="K240" s="350"/>
      <c r="L240" s="350"/>
      <c r="M240" s="350"/>
      <c r="N240" s="350"/>
      <c r="O240" s="351">
        <f t="shared" si="178"/>
        <v>0</v>
      </c>
      <c r="P240" s="393">
        <f t="shared" si="180"/>
        <v>63000</v>
      </c>
      <c r="Q240" s="20"/>
      <c r="R240" s="50"/>
    </row>
    <row r="241" spans="1:18" ht="47.25" thickTop="1" thickBot="1" x14ac:dyDescent="0.25">
      <c r="A241" s="346" t="s">
        <v>793</v>
      </c>
      <c r="B241" s="346" t="s">
        <v>754</v>
      </c>
      <c r="C241" s="346"/>
      <c r="D241" s="346" t="s">
        <v>755</v>
      </c>
      <c r="E241" s="347">
        <f>E245+E242</f>
        <v>0</v>
      </c>
      <c r="F241" s="347">
        <f t="shared" ref="F241:P241" si="192">F245+F242</f>
        <v>0</v>
      </c>
      <c r="G241" s="347">
        <f t="shared" si="192"/>
        <v>0</v>
      </c>
      <c r="H241" s="347">
        <f t="shared" si="192"/>
        <v>0</v>
      </c>
      <c r="I241" s="347">
        <f t="shared" si="192"/>
        <v>0</v>
      </c>
      <c r="J241" s="347">
        <f t="shared" si="192"/>
        <v>807961</v>
      </c>
      <c r="K241" s="347">
        <f t="shared" si="192"/>
        <v>807961</v>
      </c>
      <c r="L241" s="347">
        <f t="shared" si="192"/>
        <v>0</v>
      </c>
      <c r="M241" s="347">
        <f t="shared" si="192"/>
        <v>0</v>
      </c>
      <c r="N241" s="347">
        <f t="shared" si="192"/>
        <v>0</v>
      </c>
      <c r="O241" s="347">
        <f t="shared" si="192"/>
        <v>807961</v>
      </c>
      <c r="P241" s="347">
        <f t="shared" si="192"/>
        <v>807961</v>
      </c>
      <c r="Q241" s="20"/>
      <c r="R241" s="50"/>
    </row>
    <row r="242" spans="1:18" ht="47.25" hidden="1" thickTop="1" thickBot="1" x14ac:dyDescent="0.25">
      <c r="A242" s="348" t="s">
        <v>1118</v>
      </c>
      <c r="B242" s="348" t="s">
        <v>810</v>
      </c>
      <c r="C242" s="348"/>
      <c r="D242" s="348" t="s">
        <v>811</v>
      </c>
      <c r="E242" s="352">
        <f>E243</f>
        <v>0</v>
      </c>
      <c r="F242" s="352">
        <f t="shared" ref="F242:P243" si="193">F243</f>
        <v>0</v>
      </c>
      <c r="G242" s="352">
        <f t="shared" si="193"/>
        <v>0</v>
      </c>
      <c r="H242" s="352">
        <f t="shared" si="193"/>
        <v>0</v>
      </c>
      <c r="I242" s="352">
        <f t="shared" si="193"/>
        <v>0</v>
      </c>
      <c r="J242" s="352">
        <f t="shared" si="193"/>
        <v>0</v>
      </c>
      <c r="K242" s="352">
        <f t="shared" si="193"/>
        <v>0</v>
      </c>
      <c r="L242" s="352">
        <f t="shared" si="193"/>
        <v>0</v>
      </c>
      <c r="M242" s="352">
        <f t="shared" si="193"/>
        <v>0</v>
      </c>
      <c r="N242" s="352">
        <f t="shared" si="193"/>
        <v>0</v>
      </c>
      <c r="O242" s="352">
        <f t="shared" si="193"/>
        <v>0</v>
      </c>
      <c r="P242" s="352">
        <f t="shared" si="193"/>
        <v>0</v>
      </c>
      <c r="Q242" s="20"/>
      <c r="R242" s="50"/>
    </row>
    <row r="243" spans="1:18" ht="54" hidden="1" thickTop="1" thickBot="1" x14ac:dyDescent="0.25">
      <c r="A243" s="399" t="s">
        <v>1119</v>
      </c>
      <c r="B243" s="399" t="s">
        <v>828</v>
      </c>
      <c r="C243" s="399"/>
      <c r="D243" s="399" t="s">
        <v>1292</v>
      </c>
      <c r="E243" s="388">
        <f>E244</f>
        <v>0</v>
      </c>
      <c r="F243" s="388">
        <f t="shared" si="193"/>
        <v>0</v>
      </c>
      <c r="G243" s="388">
        <f t="shared" si="193"/>
        <v>0</v>
      </c>
      <c r="H243" s="388">
        <f t="shared" si="193"/>
        <v>0</v>
      </c>
      <c r="I243" s="388">
        <f t="shared" si="193"/>
        <v>0</v>
      </c>
      <c r="J243" s="388">
        <f t="shared" si="193"/>
        <v>0</v>
      </c>
      <c r="K243" s="388">
        <f t="shared" si="193"/>
        <v>0</v>
      </c>
      <c r="L243" s="388">
        <f t="shared" si="193"/>
        <v>0</v>
      </c>
      <c r="M243" s="388">
        <f t="shared" si="193"/>
        <v>0</v>
      </c>
      <c r="N243" s="388">
        <f t="shared" si="193"/>
        <v>0</v>
      </c>
      <c r="O243" s="388">
        <f t="shared" si="193"/>
        <v>0</v>
      </c>
      <c r="P243" s="388">
        <f t="shared" si="193"/>
        <v>0</v>
      </c>
      <c r="Q243" s="20"/>
      <c r="R243" s="50"/>
    </row>
    <row r="244" spans="1:18" ht="54" hidden="1" thickTop="1" thickBot="1" x14ac:dyDescent="0.25">
      <c r="A244" s="119" t="s">
        <v>1120</v>
      </c>
      <c r="B244" s="119" t="s">
        <v>317</v>
      </c>
      <c r="C244" s="119" t="s">
        <v>308</v>
      </c>
      <c r="D244" s="119" t="s">
        <v>1300</v>
      </c>
      <c r="E244" s="393">
        <f t="shared" ref="E244" si="194">F244</f>
        <v>0</v>
      </c>
      <c r="F244" s="350"/>
      <c r="G244" s="350"/>
      <c r="H244" s="350"/>
      <c r="I244" s="350"/>
      <c r="J244" s="393">
        <f t="shared" ref="J244" si="195">L244+O244</f>
        <v>0</v>
      </c>
      <c r="K244" s="350">
        <f>49500-49500</f>
        <v>0</v>
      </c>
      <c r="L244" s="350"/>
      <c r="M244" s="350"/>
      <c r="N244" s="350"/>
      <c r="O244" s="351">
        <f t="shared" ref="O244" si="196">K244</f>
        <v>0</v>
      </c>
      <c r="P244" s="393">
        <f>E244+J244</f>
        <v>0</v>
      </c>
      <c r="Q244" s="20"/>
      <c r="R244" s="50"/>
    </row>
    <row r="245" spans="1:18" ht="47.25" thickTop="1" thickBot="1" x14ac:dyDescent="0.25">
      <c r="A245" s="348" t="s">
        <v>794</v>
      </c>
      <c r="B245" s="348" t="s">
        <v>697</v>
      </c>
      <c r="C245" s="348"/>
      <c r="D245" s="348" t="s">
        <v>695</v>
      </c>
      <c r="E245" s="349">
        <f>E247+E246</f>
        <v>0</v>
      </c>
      <c r="F245" s="349">
        <f t="shared" ref="F245:H245" si="197">F247+F246</f>
        <v>0</v>
      </c>
      <c r="G245" s="349">
        <f t="shared" si="197"/>
        <v>0</v>
      </c>
      <c r="H245" s="349">
        <f t="shared" si="197"/>
        <v>0</v>
      </c>
      <c r="I245" s="349">
        <f>I247+I246</f>
        <v>0</v>
      </c>
      <c r="J245" s="349">
        <f>J247+J246</f>
        <v>807961</v>
      </c>
      <c r="K245" s="349">
        <f>K247+K246</f>
        <v>807961</v>
      </c>
      <c r="L245" s="349">
        <f t="shared" ref="L245:O245" si="198">L247+L246</f>
        <v>0</v>
      </c>
      <c r="M245" s="349">
        <f t="shared" si="198"/>
        <v>0</v>
      </c>
      <c r="N245" s="349">
        <f t="shared" si="198"/>
        <v>0</v>
      </c>
      <c r="O245" s="349">
        <f t="shared" si="198"/>
        <v>807961</v>
      </c>
      <c r="P245" s="349">
        <f>P247+P246</f>
        <v>807961</v>
      </c>
      <c r="Q245" s="20"/>
      <c r="R245" s="50"/>
    </row>
    <row r="246" spans="1:18" ht="48" thickTop="1" thickBot="1" x14ac:dyDescent="0.25">
      <c r="A246" s="445" t="s">
        <v>1425</v>
      </c>
      <c r="B246" s="445" t="s">
        <v>216</v>
      </c>
      <c r="C246" s="445"/>
      <c r="D246" s="119" t="s">
        <v>41</v>
      </c>
      <c r="E246" s="347">
        <f>F246</f>
        <v>0</v>
      </c>
      <c r="F246" s="389"/>
      <c r="G246" s="350"/>
      <c r="H246" s="350"/>
      <c r="I246" s="350"/>
      <c r="J246" s="393">
        <f t="shared" ref="J246" si="199">L246+O246</f>
        <v>200870</v>
      </c>
      <c r="K246" s="350">
        <f>((4229000)+900000-900000)-4028130</f>
        <v>200870</v>
      </c>
      <c r="L246" s="350"/>
      <c r="M246" s="350"/>
      <c r="N246" s="350"/>
      <c r="O246" s="351">
        <f t="shared" ref="O246" si="200">K246</f>
        <v>200870</v>
      </c>
      <c r="P246" s="393">
        <f t="shared" ref="P246" si="201">E246+J246</f>
        <v>200870</v>
      </c>
      <c r="Q246" s="20"/>
      <c r="R246" s="50"/>
    </row>
    <row r="247" spans="1:18" ht="48" thickTop="1" thickBot="1" x14ac:dyDescent="0.25">
      <c r="A247" s="119" t="s">
        <v>613</v>
      </c>
      <c r="B247" s="119" t="s">
        <v>201</v>
      </c>
      <c r="C247" s="119" t="s">
        <v>170</v>
      </c>
      <c r="D247" s="119" t="s">
        <v>34</v>
      </c>
      <c r="E247" s="393">
        <f t="shared" ref="E247" si="202">F247</f>
        <v>0</v>
      </c>
      <c r="F247" s="350"/>
      <c r="G247" s="350"/>
      <c r="H247" s="350"/>
      <c r="I247" s="350"/>
      <c r="J247" s="393">
        <f t="shared" si="177"/>
        <v>607091</v>
      </c>
      <c r="K247" s="350">
        <f>(207091)+400000</f>
        <v>607091</v>
      </c>
      <c r="L247" s="350"/>
      <c r="M247" s="350"/>
      <c r="N247" s="350"/>
      <c r="O247" s="351">
        <f t="shared" si="178"/>
        <v>607091</v>
      </c>
      <c r="P247" s="393">
        <f t="shared" si="180"/>
        <v>607091</v>
      </c>
      <c r="Q247" s="20"/>
      <c r="R247" s="46"/>
    </row>
    <row r="248" spans="1:18" ht="47.25" hidden="1" thickTop="1" thickBot="1" x14ac:dyDescent="0.25">
      <c r="A248" s="162" t="s">
        <v>1127</v>
      </c>
      <c r="B248" s="162" t="s">
        <v>708</v>
      </c>
      <c r="C248" s="162"/>
      <c r="D248" s="162" t="s">
        <v>709</v>
      </c>
      <c r="E248" s="42">
        <f>E249</f>
        <v>0</v>
      </c>
      <c r="F248" s="42">
        <f t="shared" ref="F248:P249" si="203">F249</f>
        <v>0</v>
      </c>
      <c r="G248" s="42">
        <f t="shared" si="203"/>
        <v>0</v>
      </c>
      <c r="H248" s="42">
        <f t="shared" si="203"/>
        <v>0</v>
      </c>
      <c r="I248" s="42">
        <f t="shared" si="203"/>
        <v>0</v>
      </c>
      <c r="J248" s="42">
        <f t="shared" si="203"/>
        <v>0</v>
      </c>
      <c r="K248" s="42">
        <f t="shared" si="203"/>
        <v>0</v>
      </c>
      <c r="L248" s="42">
        <f t="shared" si="203"/>
        <v>0</v>
      </c>
      <c r="M248" s="42">
        <f t="shared" si="203"/>
        <v>0</v>
      </c>
      <c r="N248" s="42">
        <f t="shared" si="203"/>
        <v>0</v>
      </c>
      <c r="O248" s="42">
        <f t="shared" si="203"/>
        <v>0</v>
      </c>
      <c r="P248" s="42">
        <f t="shared" si="203"/>
        <v>0</v>
      </c>
      <c r="Q248" s="20"/>
      <c r="R248" s="46"/>
    </row>
    <row r="249" spans="1:18" ht="91.5" hidden="1" thickTop="1" thickBot="1" x14ac:dyDescent="0.25">
      <c r="A249" s="163" t="s">
        <v>1128</v>
      </c>
      <c r="B249" s="163" t="s">
        <v>711</v>
      </c>
      <c r="C249" s="163"/>
      <c r="D249" s="163" t="s">
        <v>712</v>
      </c>
      <c r="E249" s="164">
        <f>E250</f>
        <v>0</v>
      </c>
      <c r="F249" s="164">
        <f t="shared" si="203"/>
        <v>0</v>
      </c>
      <c r="G249" s="164">
        <f t="shared" si="203"/>
        <v>0</v>
      </c>
      <c r="H249" s="164">
        <f t="shared" si="203"/>
        <v>0</v>
      </c>
      <c r="I249" s="164">
        <f t="shared" si="203"/>
        <v>0</v>
      </c>
      <c r="J249" s="164">
        <f t="shared" si="203"/>
        <v>0</v>
      </c>
      <c r="K249" s="164">
        <f t="shared" si="203"/>
        <v>0</v>
      </c>
      <c r="L249" s="164">
        <f t="shared" si="203"/>
        <v>0</v>
      </c>
      <c r="M249" s="164">
        <f t="shared" si="203"/>
        <v>0</v>
      </c>
      <c r="N249" s="164">
        <f t="shared" si="203"/>
        <v>0</v>
      </c>
      <c r="O249" s="164">
        <f t="shared" si="203"/>
        <v>0</v>
      </c>
      <c r="P249" s="164">
        <f t="shared" si="203"/>
        <v>0</v>
      </c>
      <c r="Q249" s="20"/>
      <c r="R249" s="46"/>
    </row>
    <row r="250" spans="1:18" ht="48" hidden="1" thickTop="1" thickBot="1" x14ac:dyDescent="0.25">
      <c r="A250" s="41" t="s">
        <v>1129</v>
      </c>
      <c r="B250" s="41" t="s">
        <v>367</v>
      </c>
      <c r="C250" s="41" t="s">
        <v>43</v>
      </c>
      <c r="D250" s="41" t="s">
        <v>368</v>
      </c>
      <c r="E250" s="42">
        <f t="shared" ref="E250" si="204">F250</f>
        <v>0</v>
      </c>
      <c r="F250" s="43">
        <v>0</v>
      </c>
      <c r="G250" s="43"/>
      <c r="H250" s="43"/>
      <c r="I250" s="43"/>
      <c r="J250" s="42">
        <f>L250+O250</f>
        <v>0</v>
      </c>
      <c r="K250" s="43">
        <v>0</v>
      </c>
      <c r="L250" s="43"/>
      <c r="M250" s="43"/>
      <c r="N250" s="43"/>
      <c r="O250" s="44">
        <f>K250</f>
        <v>0</v>
      </c>
      <c r="P250" s="42">
        <f>E250+J250</f>
        <v>0</v>
      </c>
      <c r="Q250" s="20"/>
      <c r="R250" s="46"/>
    </row>
    <row r="251" spans="1:18" ht="91.5" thickTop="1" thickBot="1" x14ac:dyDescent="0.25">
      <c r="A251" s="403" t="s">
        <v>158</v>
      </c>
      <c r="B251" s="403"/>
      <c r="C251" s="403"/>
      <c r="D251" s="404" t="s">
        <v>566</v>
      </c>
      <c r="E251" s="406">
        <f>E252</f>
        <v>44526230</v>
      </c>
      <c r="F251" s="405">
        <f t="shared" ref="F251:G251" si="205">F252</f>
        <v>44526230</v>
      </c>
      <c r="G251" s="405">
        <f t="shared" si="205"/>
        <v>6530800</v>
      </c>
      <c r="H251" s="405">
        <f>H252</f>
        <v>495475</v>
      </c>
      <c r="I251" s="405">
        <f t="shared" ref="I251" si="206">I252</f>
        <v>0</v>
      </c>
      <c r="J251" s="406">
        <f>J252</f>
        <v>35130098.869999997</v>
      </c>
      <c r="K251" s="405">
        <f>K252</f>
        <v>34650373</v>
      </c>
      <c r="L251" s="405">
        <f>L252</f>
        <v>479725.87</v>
      </c>
      <c r="M251" s="405">
        <f t="shared" ref="M251" si="207">M252</f>
        <v>0</v>
      </c>
      <c r="N251" s="405">
        <f>N252</f>
        <v>0</v>
      </c>
      <c r="O251" s="406">
        <f>O252</f>
        <v>34650373</v>
      </c>
      <c r="P251" s="405">
        <f>P252</f>
        <v>79656328.870000005</v>
      </c>
      <c r="Q251" s="20"/>
      <c r="R251" s="50"/>
    </row>
    <row r="252" spans="1:18" ht="91.5" thickTop="1" thickBot="1" x14ac:dyDescent="0.25">
      <c r="A252" s="407" t="s">
        <v>159</v>
      </c>
      <c r="B252" s="407"/>
      <c r="C252" s="407"/>
      <c r="D252" s="408" t="s">
        <v>567</v>
      </c>
      <c r="E252" s="409">
        <f>E253+E257+E265+E274</f>
        <v>44526230</v>
      </c>
      <c r="F252" s="409">
        <f>F253+F257+F265+F274</f>
        <v>44526230</v>
      </c>
      <c r="G252" s="409">
        <f>G253+G257+G265+G274</f>
        <v>6530800</v>
      </c>
      <c r="H252" s="409">
        <f>H253+H257+H265+H274</f>
        <v>495475</v>
      </c>
      <c r="I252" s="409">
        <f>I253+I257+I265+I274</f>
        <v>0</v>
      </c>
      <c r="J252" s="409">
        <f t="shared" ref="J252:J272" si="208">L252+O252</f>
        <v>35130098.869999997</v>
      </c>
      <c r="K252" s="409">
        <f>K253+K257+K265+K274</f>
        <v>34650373</v>
      </c>
      <c r="L252" s="409">
        <f>L253+L257+L265+L274</f>
        <v>479725.87</v>
      </c>
      <c r="M252" s="409">
        <f>M253+M257+M265+M274</f>
        <v>0</v>
      </c>
      <c r="N252" s="409">
        <f>N253+N257+N265+N274</f>
        <v>0</v>
      </c>
      <c r="O252" s="409">
        <f>O253+O257+O265+O274</f>
        <v>34650373</v>
      </c>
      <c r="P252" s="409">
        <f>E252+J252</f>
        <v>79656328.870000005</v>
      </c>
      <c r="Q252" s="353" t="b">
        <f>P252=P254+P255+P259+P260+P264+P270+P269+P272+P262+P267+P263+P261+P256</f>
        <v>1</v>
      </c>
      <c r="R252" s="54"/>
    </row>
    <row r="253" spans="1:18" ht="47.25" thickTop="1" thickBot="1" x14ac:dyDescent="0.25">
      <c r="A253" s="346" t="s">
        <v>795</v>
      </c>
      <c r="B253" s="346" t="s">
        <v>690</v>
      </c>
      <c r="C253" s="346"/>
      <c r="D253" s="346" t="s">
        <v>691</v>
      </c>
      <c r="E253" s="393">
        <f>SUM(E254:E256)</f>
        <v>9258160</v>
      </c>
      <c r="F253" s="393">
        <f t="shared" ref="F253:N253" si="209">SUM(F254:F256)</f>
        <v>9258160</v>
      </c>
      <c r="G253" s="393">
        <f t="shared" si="209"/>
        <v>6530800</v>
      </c>
      <c r="H253" s="393">
        <f t="shared" si="209"/>
        <v>495475</v>
      </c>
      <c r="I253" s="393">
        <f t="shared" si="209"/>
        <v>0</v>
      </c>
      <c r="J253" s="393">
        <f t="shared" si="209"/>
        <v>25000</v>
      </c>
      <c r="K253" s="393">
        <f t="shared" si="209"/>
        <v>25000</v>
      </c>
      <c r="L253" s="393">
        <f t="shared" si="209"/>
        <v>0</v>
      </c>
      <c r="M253" s="393">
        <f t="shared" si="209"/>
        <v>0</v>
      </c>
      <c r="N253" s="393">
        <f t="shared" si="209"/>
        <v>0</v>
      </c>
      <c r="O253" s="393">
        <f>SUM(O254:O256)</f>
        <v>25000</v>
      </c>
      <c r="P253" s="393">
        <f>SUM(P254:P256)</f>
        <v>9283160</v>
      </c>
      <c r="Q253" s="47"/>
      <c r="R253" s="54"/>
    </row>
    <row r="254" spans="1:18" ht="93" thickTop="1" thickBot="1" x14ac:dyDescent="0.25">
      <c r="A254" s="119" t="s">
        <v>425</v>
      </c>
      <c r="B254" s="119" t="s">
        <v>240</v>
      </c>
      <c r="C254" s="119" t="s">
        <v>238</v>
      </c>
      <c r="D254" s="119" t="s">
        <v>239</v>
      </c>
      <c r="E254" s="347">
        <f>F254</f>
        <v>9246160</v>
      </c>
      <c r="F254" s="389">
        <f>((9296960)+43200+500000)-594000</f>
        <v>9246160</v>
      </c>
      <c r="G254" s="389">
        <v>6530800</v>
      </c>
      <c r="H254" s="389">
        <f>372455+5642+112884+4494</f>
        <v>495475</v>
      </c>
      <c r="I254" s="389"/>
      <c r="J254" s="393">
        <f t="shared" si="208"/>
        <v>25000</v>
      </c>
      <c r="K254" s="389">
        <f>0+25000</f>
        <v>25000</v>
      </c>
      <c r="L254" s="390"/>
      <c r="M254" s="390"/>
      <c r="N254" s="390"/>
      <c r="O254" s="351">
        <f t="shared" ref="O254:O270" si="210">K254</f>
        <v>25000</v>
      </c>
      <c r="P254" s="393">
        <f t="shared" ref="P254:P262" si="211">+J254+E254</f>
        <v>9271160</v>
      </c>
      <c r="Q254" s="20"/>
      <c r="R254" s="54"/>
    </row>
    <row r="255" spans="1:18" ht="93" thickTop="1" thickBot="1" x14ac:dyDescent="0.25">
      <c r="A255" s="119" t="s">
        <v>633</v>
      </c>
      <c r="B255" s="119" t="s">
        <v>366</v>
      </c>
      <c r="C255" s="119" t="s">
        <v>631</v>
      </c>
      <c r="D255" s="119" t="s">
        <v>632</v>
      </c>
      <c r="E255" s="393">
        <f t="shared" ref="E255:E256" si="212">F255</f>
        <v>12000</v>
      </c>
      <c r="F255" s="389">
        <v>12000</v>
      </c>
      <c r="G255" s="389"/>
      <c r="H255" s="389"/>
      <c r="I255" s="389"/>
      <c r="J255" s="393">
        <f t="shared" si="208"/>
        <v>0</v>
      </c>
      <c r="K255" s="389"/>
      <c r="L255" s="390"/>
      <c r="M255" s="395"/>
      <c r="N255" s="395"/>
      <c r="O255" s="351">
        <f t="shared" si="210"/>
        <v>0</v>
      </c>
      <c r="P255" s="393">
        <f>+J255+E255</f>
        <v>12000</v>
      </c>
      <c r="Q255" s="20"/>
      <c r="R255" s="54"/>
    </row>
    <row r="256" spans="1:18" ht="48" hidden="1" thickTop="1" thickBot="1" x14ac:dyDescent="0.25">
      <c r="A256" s="119" t="s">
        <v>1164</v>
      </c>
      <c r="B256" s="119" t="s">
        <v>43</v>
      </c>
      <c r="C256" s="119" t="s">
        <v>42</v>
      </c>
      <c r="D256" s="119" t="s">
        <v>252</v>
      </c>
      <c r="E256" s="393">
        <f t="shared" si="212"/>
        <v>0</v>
      </c>
      <c r="F256" s="389"/>
      <c r="G256" s="389"/>
      <c r="H256" s="389"/>
      <c r="I256" s="389"/>
      <c r="J256" s="393">
        <f t="shared" si="208"/>
        <v>0</v>
      </c>
      <c r="K256" s="389"/>
      <c r="L256" s="390"/>
      <c r="M256" s="395"/>
      <c r="N256" s="395"/>
      <c r="O256" s="351"/>
      <c r="P256" s="393">
        <f>+J256+E256</f>
        <v>0</v>
      </c>
      <c r="Q256" s="20"/>
      <c r="R256" s="54"/>
    </row>
    <row r="257" spans="1:18" ht="47.25" thickTop="1" thickBot="1" x14ac:dyDescent="0.25">
      <c r="A257" s="346" t="s">
        <v>796</v>
      </c>
      <c r="B257" s="346" t="s">
        <v>748</v>
      </c>
      <c r="C257" s="346"/>
      <c r="D257" s="476" t="s">
        <v>749</v>
      </c>
      <c r="E257" s="393">
        <f>SUM(E258:E264)-E258</f>
        <v>26716700</v>
      </c>
      <c r="F257" s="393">
        <f t="shared" ref="F257:P257" si="213">SUM(F258:F264)-F258</f>
        <v>26716700</v>
      </c>
      <c r="G257" s="393">
        <f t="shared" si="213"/>
        <v>0</v>
      </c>
      <c r="H257" s="393">
        <f t="shared" si="213"/>
        <v>0</v>
      </c>
      <c r="I257" s="393">
        <f t="shared" si="213"/>
        <v>0</v>
      </c>
      <c r="J257" s="393">
        <f>SUM(J258:J264)-J258</f>
        <v>22077811</v>
      </c>
      <c r="K257" s="393">
        <f t="shared" si="213"/>
        <v>22077811</v>
      </c>
      <c r="L257" s="393">
        <f t="shared" si="213"/>
        <v>0</v>
      </c>
      <c r="M257" s="393">
        <f t="shared" si="213"/>
        <v>0</v>
      </c>
      <c r="N257" s="393">
        <f t="shared" si="213"/>
        <v>0</v>
      </c>
      <c r="O257" s="393">
        <f t="shared" si="213"/>
        <v>22077811</v>
      </c>
      <c r="P257" s="393">
        <f t="shared" si="213"/>
        <v>48794511</v>
      </c>
      <c r="Q257" s="20"/>
      <c r="R257" s="54"/>
    </row>
    <row r="258" spans="1:18" s="33" customFormat="1" ht="93" thickTop="1" thickBot="1" x14ac:dyDescent="0.25">
      <c r="A258" s="399" t="s">
        <v>797</v>
      </c>
      <c r="B258" s="399" t="s">
        <v>798</v>
      </c>
      <c r="C258" s="399"/>
      <c r="D258" s="399" t="s">
        <v>799</v>
      </c>
      <c r="E258" s="388">
        <f>SUM(E259:E261)</f>
        <v>8938600</v>
      </c>
      <c r="F258" s="388">
        <f t="shared" ref="F258:P258" si="214">SUM(F259:F261)</f>
        <v>8938600</v>
      </c>
      <c r="G258" s="388">
        <f t="shared" si="214"/>
        <v>0</v>
      </c>
      <c r="H258" s="388">
        <f t="shared" si="214"/>
        <v>0</v>
      </c>
      <c r="I258" s="388">
        <f t="shared" si="214"/>
        <v>0</v>
      </c>
      <c r="J258" s="388">
        <f t="shared" si="214"/>
        <v>17772673</v>
      </c>
      <c r="K258" s="388">
        <f t="shared" si="214"/>
        <v>17772673</v>
      </c>
      <c r="L258" s="388">
        <f t="shared" si="214"/>
        <v>0</v>
      </c>
      <c r="M258" s="388">
        <f t="shared" si="214"/>
        <v>0</v>
      </c>
      <c r="N258" s="388">
        <f t="shared" si="214"/>
        <v>0</v>
      </c>
      <c r="O258" s="388">
        <f t="shared" si="214"/>
        <v>17772673</v>
      </c>
      <c r="P258" s="388">
        <f t="shared" si="214"/>
        <v>26711273</v>
      </c>
      <c r="Q258" s="36"/>
      <c r="R258" s="54"/>
    </row>
    <row r="259" spans="1:18" ht="48" thickTop="1" thickBot="1" x14ac:dyDescent="0.25">
      <c r="A259" s="119" t="s">
        <v>284</v>
      </c>
      <c r="B259" s="119" t="s">
        <v>285</v>
      </c>
      <c r="C259" s="119" t="s">
        <v>344</v>
      </c>
      <c r="D259" s="119" t="s">
        <v>286</v>
      </c>
      <c r="E259" s="347">
        <f>F259</f>
        <v>8938600</v>
      </c>
      <c r="F259" s="389">
        <f>((((1833100)+150000)+2000000)+3455500)+1500000</f>
        <v>8938600</v>
      </c>
      <c r="G259" s="389"/>
      <c r="H259" s="389"/>
      <c r="I259" s="389"/>
      <c r="J259" s="393">
        <f t="shared" si="208"/>
        <v>6156681</v>
      </c>
      <c r="K259" s="389">
        <f>((((745000)+3224055)+2529226)+627900)-969500</f>
        <v>6156681</v>
      </c>
      <c r="L259" s="390"/>
      <c r="M259" s="390"/>
      <c r="N259" s="390"/>
      <c r="O259" s="351">
        <f t="shared" si="210"/>
        <v>6156681</v>
      </c>
      <c r="P259" s="393">
        <f t="shared" si="211"/>
        <v>15095281</v>
      </c>
      <c r="Q259" s="20"/>
      <c r="R259" s="54"/>
    </row>
    <row r="260" spans="1:18" ht="48" thickTop="1" thickBot="1" x14ac:dyDescent="0.25">
      <c r="A260" s="119" t="s">
        <v>305</v>
      </c>
      <c r="B260" s="119" t="s">
        <v>306</v>
      </c>
      <c r="C260" s="119" t="s">
        <v>287</v>
      </c>
      <c r="D260" s="119" t="s">
        <v>307</v>
      </c>
      <c r="E260" s="347">
        <f t="shared" ref="E260:E272" si="215">F260</f>
        <v>0</v>
      </c>
      <c r="F260" s="389"/>
      <c r="G260" s="389"/>
      <c r="H260" s="389"/>
      <c r="I260" s="389"/>
      <c r="J260" s="393">
        <f t="shared" si="208"/>
        <v>11237500</v>
      </c>
      <c r="K260" s="389">
        <f>((5237500)+5000000)+1000000</f>
        <v>11237500</v>
      </c>
      <c r="L260" s="390"/>
      <c r="M260" s="390"/>
      <c r="N260" s="390"/>
      <c r="O260" s="351">
        <f t="shared" si="210"/>
        <v>11237500</v>
      </c>
      <c r="P260" s="393">
        <f t="shared" si="211"/>
        <v>11237500</v>
      </c>
      <c r="Q260" s="20"/>
      <c r="R260" s="54"/>
    </row>
    <row r="261" spans="1:18" ht="93" thickTop="1" thickBot="1" x14ac:dyDescent="0.25">
      <c r="A261" s="119" t="s">
        <v>288</v>
      </c>
      <c r="B261" s="119" t="s">
        <v>289</v>
      </c>
      <c r="C261" s="119" t="s">
        <v>287</v>
      </c>
      <c r="D261" s="119" t="s">
        <v>470</v>
      </c>
      <c r="E261" s="347">
        <f t="shared" si="215"/>
        <v>0</v>
      </c>
      <c r="F261" s="389">
        <f>(((16700000-15000000)-1000000)-700000)+2500000-2500000</f>
        <v>0</v>
      </c>
      <c r="G261" s="389"/>
      <c r="H261" s="389"/>
      <c r="I261" s="389"/>
      <c r="J261" s="393">
        <f t="shared" si="208"/>
        <v>378492</v>
      </c>
      <c r="K261" s="389">
        <f>(378492)+2800000-2800000</f>
        <v>378492</v>
      </c>
      <c r="L261" s="390"/>
      <c r="M261" s="390"/>
      <c r="N261" s="390"/>
      <c r="O261" s="351">
        <f t="shared" si="210"/>
        <v>378492</v>
      </c>
      <c r="P261" s="393">
        <f t="shared" si="211"/>
        <v>378492</v>
      </c>
      <c r="Q261" s="20"/>
      <c r="R261" s="54"/>
    </row>
    <row r="262" spans="1:18" ht="93" thickTop="1" thickBot="1" x14ac:dyDescent="0.25">
      <c r="A262" s="119" t="s">
        <v>938</v>
      </c>
      <c r="B262" s="119" t="s">
        <v>301</v>
      </c>
      <c r="C262" s="119" t="s">
        <v>287</v>
      </c>
      <c r="D262" s="119" t="s">
        <v>302</v>
      </c>
      <c r="E262" s="347">
        <f t="shared" si="215"/>
        <v>6178100</v>
      </c>
      <c r="F262" s="389">
        <f>((600000)+5008100)+570000</f>
        <v>6178100</v>
      </c>
      <c r="G262" s="389"/>
      <c r="H262" s="389"/>
      <c r="I262" s="389"/>
      <c r="J262" s="393">
        <f t="shared" si="208"/>
        <v>0</v>
      </c>
      <c r="K262" s="389"/>
      <c r="L262" s="390"/>
      <c r="M262" s="390"/>
      <c r="N262" s="390"/>
      <c r="O262" s="351">
        <f t="shared" si="210"/>
        <v>0</v>
      </c>
      <c r="P262" s="393">
        <f t="shared" si="211"/>
        <v>6178100</v>
      </c>
      <c r="Q262" s="20"/>
      <c r="R262" s="54"/>
    </row>
    <row r="263" spans="1:18" ht="48" thickTop="1" thickBot="1" x14ac:dyDescent="0.25">
      <c r="A263" s="119" t="s">
        <v>292</v>
      </c>
      <c r="B263" s="119" t="s">
        <v>293</v>
      </c>
      <c r="C263" s="119" t="s">
        <v>287</v>
      </c>
      <c r="D263" s="119" t="s">
        <v>294</v>
      </c>
      <c r="E263" s="347">
        <f t="shared" si="215"/>
        <v>8500000</v>
      </c>
      <c r="F263" s="389">
        <f>(((((0)+15000000)-10000000)-5000000)+20000000-10000000)-1500000</f>
        <v>8500000</v>
      </c>
      <c r="G263" s="389"/>
      <c r="H263" s="389"/>
      <c r="I263" s="389"/>
      <c r="J263" s="393">
        <f t="shared" si="208"/>
        <v>4305138</v>
      </c>
      <c r="K263" s="350">
        <f>(((3074000)+11186038-8750000)-627900)-577000</f>
        <v>4305138</v>
      </c>
      <c r="L263" s="389"/>
      <c r="M263" s="389"/>
      <c r="N263" s="389"/>
      <c r="O263" s="351">
        <f t="shared" si="210"/>
        <v>4305138</v>
      </c>
      <c r="P263" s="393">
        <f t="shared" ref="P263:P264" si="216">E263+J263</f>
        <v>12805138</v>
      </c>
      <c r="Q263" s="20"/>
      <c r="R263" s="50"/>
    </row>
    <row r="264" spans="1:18" ht="48" thickTop="1" thickBot="1" x14ac:dyDescent="0.25">
      <c r="A264" s="119" t="s">
        <v>1313</v>
      </c>
      <c r="B264" s="119" t="s">
        <v>1170</v>
      </c>
      <c r="C264" s="119" t="s">
        <v>1171</v>
      </c>
      <c r="D264" s="119" t="s">
        <v>1168</v>
      </c>
      <c r="E264" s="347">
        <f t="shared" si="215"/>
        <v>3100000</v>
      </c>
      <c r="F264" s="389">
        <f>((2000000)+3000000)-1900000</f>
        <v>3100000</v>
      </c>
      <c r="G264" s="389"/>
      <c r="H264" s="389"/>
      <c r="I264" s="389"/>
      <c r="J264" s="393">
        <f t="shared" si="208"/>
        <v>0</v>
      </c>
      <c r="K264" s="350"/>
      <c r="L264" s="389"/>
      <c r="M264" s="389"/>
      <c r="N264" s="389"/>
      <c r="O264" s="351">
        <f t="shared" si="210"/>
        <v>0</v>
      </c>
      <c r="P264" s="393">
        <f t="shared" si="216"/>
        <v>3100000</v>
      </c>
      <c r="Q264" s="20"/>
      <c r="R264" s="50"/>
    </row>
    <row r="265" spans="1:18" ht="47.25" thickTop="1" thickBot="1" x14ac:dyDescent="0.25">
      <c r="A265" s="346" t="s">
        <v>800</v>
      </c>
      <c r="B265" s="346" t="s">
        <v>754</v>
      </c>
      <c r="C265" s="346"/>
      <c r="D265" s="346" t="s">
        <v>801</v>
      </c>
      <c r="E265" s="347">
        <f>E268+E266</f>
        <v>8551370</v>
      </c>
      <c r="F265" s="347">
        <f t="shared" ref="F265:P265" si="217">F268+F266</f>
        <v>8551370</v>
      </c>
      <c r="G265" s="347">
        <f t="shared" si="217"/>
        <v>0</v>
      </c>
      <c r="H265" s="347">
        <f t="shared" si="217"/>
        <v>0</v>
      </c>
      <c r="I265" s="347">
        <f t="shared" si="217"/>
        <v>0</v>
      </c>
      <c r="J265" s="347">
        <f t="shared" si="217"/>
        <v>13027287.869999999</v>
      </c>
      <c r="K265" s="347">
        <f t="shared" si="217"/>
        <v>12547562</v>
      </c>
      <c r="L265" s="347">
        <f t="shared" si="217"/>
        <v>479725.87</v>
      </c>
      <c r="M265" s="347">
        <f t="shared" si="217"/>
        <v>0</v>
      </c>
      <c r="N265" s="347">
        <f t="shared" si="217"/>
        <v>0</v>
      </c>
      <c r="O265" s="347">
        <f t="shared" si="217"/>
        <v>12547562</v>
      </c>
      <c r="P265" s="347">
        <f t="shared" si="217"/>
        <v>21578657.869999997</v>
      </c>
      <c r="Q265" s="20"/>
      <c r="R265" s="50"/>
    </row>
    <row r="266" spans="1:18" ht="47.25" thickTop="1" thickBot="1" x14ac:dyDescent="0.25">
      <c r="A266" s="348" t="s">
        <v>1166</v>
      </c>
      <c r="B266" s="348" t="s">
        <v>810</v>
      </c>
      <c r="C266" s="348"/>
      <c r="D266" s="348" t="s">
        <v>811</v>
      </c>
      <c r="E266" s="349">
        <f>E267</f>
        <v>0</v>
      </c>
      <c r="F266" s="349">
        <f t="shared" ref="F266:P266" si="218">F267</f>
        <v>0</v>
      </c>
      <c r="G266" s="349">
        <f t="shared" si="218"/>
        <v>0</v>
      </c>
      <c r="H266" s="349">
        <f t="shared" si="218"/>
        <v>0</v>
      </c>
      <c r="I266" s="349">
        <f t="shared" si="218"/>
        <v>0</v>
      </c>
      <c r="J266" s="349">
        <f t="shared" si="218"/>
        <v>4056835</v>
      </c>
      <c r="K266" s="349">
        <f t="shared" si="218"/>
        <v>4056835</v>
      </c>
      <c r="L266" s="349">
        <f t="shared" si="218"/>
        <v>0</v>
      </c>
      <c r="M266" s="349">
        <f t="shared" si="218"/>
        <v>0</v>
      </c>
      <c r="N266" s="349">
        <f t="shared" si="218"/>
        <v>0</v>
      </c>
      <c r="O266" s="349">
        <f t="shared" si="218"/>
        <v>4056835</v>
      </c>
      <c r="P266" s="349">
        <f t="shared" si="218"/>
        <v>4056835</v>
      </c>
      <c r="Q266" s="20"/>
      <c r="R266" s="50"/>
    </row>
    <row r="267" spans="1:18" ht="54" thickTop="1" thickBot="1" x14ac:dyDescent="0.25">
      <c r="A267" s="119" t="s">
        <v>1167</v>
      </c>
      <c r="B267" s="119" t="s">
        <v>309</v>
      </c>
      <c r="C267" s="119" t="s">
        <v>308</v>
      </c>
      <c r="D267" s="119" t="s">
        <v>1315</v>
      </c>
      <c r="E267" s="347">
        <f t="shared" ref="E267" si="219">F267</f>
        <v>0</v>
      </c>
      <c r="F267" s="389"/>
      <c r="G267" s="389"/>
      <c r="H267" s="389"/>
      <c r="I267" s="389"/>
      <c r="J267" s="393">
        <f>L267+O267</f>
        <v>4056835</v>
      </c>
      <c r="K267" s="350">
        <f>((4700000)+100000)-743165</f>
        <v>4056835</v>
      </c>
      <c r="L267" s="389"/>
      <c r="M267" s="389"/>
      <c r="N267" s="389"/>
      <c r="O267" s="351">
        <f>K267</f>
        <v>4056835</v>
      </c>
      <c r="P267" s="393">
        <f t="shared" ref="P267" si="220">E267+J267</f>
        <v>4056835</v>
      </c>
      <c r="Q267" s="20"/>
      <c r="R267" s="50"/>
    </row>
    <row r="268" spans="1:18" ht="47.25" thickTop="1" thickBot="1" x14ac:dyDescent="0.25">
      <c r="A268" s="348" t="s">
        <v>802</v>
      </c>
      <c r="B268" s="348" t="s">
        <v>697</v>
      </c>
      <c r="C268" s="348"/>
      <c r="D268" s="348" t="s">
        <v>695</v>
      </c>
      <c r="E268" s="349">
        <f>E269+E271+E270</f>
        <v>8551370</v>
      </c>
      <c r="F268" s="349">
        <f t="shared" ref="F268:P268" si="221">F269+F271+F270</f>
        <v>8551370</v>
      </c>
      <c r="G268" s="349">
        <f t="shared" si="221"/>
        <v>0</v>
      </c>
      <c r="H268" s="349">
        <f t="shared" si="221"/>
        <v>0</v>
      </c>
      <c r="I268" s="349">
        <f t="shared" si="221"/>
        <v>0</v>
      </c>
      <c r="J268" s="349">
        <f>J269+J271+J270</f>
        <v>8970452.8699999992</v>
      </c>
      <c r="K268" s="349">
        <f t="shared" si="221"/>
        <v>8490727</v>
      </c>
      <c r="L268" s="349">
        <f t="shared" si="221"/>
        <v>479725.87</v>
      </c>
      <c r="M268" s="349">
        <f t="shared" si="221"/>
        <v>0</v>
      </c>
      <c r="N268" s="349">
        <f t="shared" si="221"/>
        <v>0</v>
      </c>
      <c r="O268" s="349">
        <f t="shared" si="221"/>
        <v>8490727</v>
      </c>
      <c r="P268" s="349">
        <f t="shared" si="221"/>
        <v>17521822.869999997</v>
      </c>
      <c r="Q268" s="20"/>
      <c r="R268" s="50"/>
    </row>
    <row r="269" spans="1:18" ht="48" thickTop="1" thickBot="1" x14ac:dyDescent="0.25">
      <c r="A269" s="119" t="s">
        <v>300</v>
      </c>
      <c r="B269" s="119" t="s">
        <v>216</v>
      </c>
      <c r="C269" s="119" t="s">
        <v>217</v>
      </c>
      <c r="D269" s="119" t="s">
        <v>41</v>
      </c>
      <c r="E269" s="347">
        <f t="shared" si="215"/>
        <v>8551370</v>
      </c>
      <c r="F269" s="389">
        <f>(5844220)+2707150</f>
        <v>8551370</v>
      </c>
      <c r="G269" s="389"/>
      <c r="H269" s="389"/>
      <c r="I269" s="389"/>
      <c r="J269" s="393">
        <f t="shared" si="208"/>
        <v>0</v>
      </c>
      <c r="K269" s="350"/>
      <c r="L269" s="389"/>
      <c r="M269" s="389"/>
      <c r="N269" s="389"/>
      <c r="O269" s="351">
        <f t="shared" si="210"/>
        <v>0</v>
      </c>
      <c r="P269" s="393">
        <f>E269+J269</f>
        <v>8551370</v>
      </c>
      <c r="Q269" s="20"/>
      <c r="R269" s="54"/>
    </row>
    <row r="270" spans="1:18" ht="48" thickTop="1" thickBot="1" x14ac:dyDescent="0.25">
      <c r="A270" s="119" t="s">
        <v>927</v>
      </c>
      <c r="B270" s="119" t="s">
        <v>201</v>
      </c>
      <c r="C270" s="119" t="s">
        <v>170</v>
      </c>
      <c r="D270" s="119" t="s">
        <v>34</v>
      </c>
      <c r="E270" s="347">
        <f t="shared" si="215"/>
        <v>0</v>
      </c>
      <c r="F270" s="389"/>
      <c r="G270" s="389"/>
      <c r="H270" s="389"/>
      <c r="I270" s="389"/>
      <c r="J270" s="393">
        <f t="shared" si="208"/>
        <v>8490727</v>
      </c>
      <c r="K270" s="350">
        <f>((171034)+15682892-964949)-6398250</f>
        <v>8490727</v>
      </c>
      <c r="L270" s="389"/>
      <c r="M270" s="389"/>
      <c r="N270" s="389"/>
      <c r="O270" s="351">
        <f t="shared" si="210"/>
        <v>8490727</v>
      </c>
      <c r="P270" s="393">
        <f>E270+J270</f>
        <v>8490727</v>
      </c>
      <c r="Q270" s="20"/>
      <c r="R270" s="54"/>
    </row>
    <row r="271" spans="1:18" ht="48" thickTop="1" thickBot="1" x14ac:dyDescent="0.25">
      <c r="A271" s="399" t="s">
        <v>803</v>
      </c>
      <c r="B271" s="399" t="s">
        <v>700</v>
      </c>
      <c r="C271" s="399"/>
      <c r="D271" s="399" t="s">
        <v>804</v>
      </c>
      <c r="E271" s="444">
        <f>E272</f>
        <v>0</v>
      </c>
      <c r="F271" s="444">
        <f t="shared" ref="F271:P271" si="222">F272</f>
        <v>0</v>
      </c>
      <c r="G271" s="444">
        <f t="shared" si="222"/>
        <v>0</v>
      </c>
      <c r="H271" s="444">
        <f t="shared" si="222"/>
        <v>0</v>
      </c>
      <c r="I271" s="444">
        <f t="shared" si="222"/>
        <v>0</v>
      </c>
      <c r="J271" s="444">
        <f t="shared" si="222"/>
        <v>479725.87</v>
      </c>
      <c r="K271" s="444">
        <f t="shared" si="222"/>
        <v>0</v>
      </c>
      <c r="L271" s="444">
        <f t="shared" si="222"/>
        <v>479725.87</v>
      </c>
      <c r="M271" s="444">
        <f t="shared" si="222"/>
        <v>0</v>
      </c>
      <c r="N271" s="444">
        <f t="shared" si="222"/>
        <v>0</v>
      </c>
      <c r="O271" s="444">
        <f t="shared" si="222"/>
        <v>0</v>
      </c>
      <c r="P271" s="444">
        <f t="shared" si="222"/>
        <v>479725.87</v>
      </c>
      <c r="Q271" s="20"/>
      <c r="R271" s="50"/>
    </row>
    <row r="272" spans="1:18" ht="214.5" customHeight="1" thickTop="1" thickBot="1" x14ac:dyDescent="0.7">
      <c r="A272" s="702" t="s">
        <v>428</v>
      </c>
      <c r="B272" s="702" t="s">
        <v>342</v>
      </c>
      <c r="C272" s="702" t="s">
        <v>170</v>
      </c>
      <c r="D272" s="606" t="s">
        <v>444</v>
      </c>
      <c r="E272" s="707">
        <f t="shared" si="215"/>
        <v>0</v>
      </c>
      <c r="F272" s="685"/>
      <c r="G272" s="685"/>
      <c r="H272" s="685"/>
      <c r="I272" s="685"/>
      <c r="J272" s="707">
        <f t="shared" si="208"/>
        <v>479725.87</v>
      </c>
      <c r="K272" s="685"/>
      <c r="L272" s="685">
        <v>479725.87</v>
      </c>
      <c r="M272" s="685"/>
      <c r="N272" s="685"/>
      <c r="O272" s="705">
        <f>((K272+884000)-450000)-434000</f>
        <v>0</v>
      </c>
      <c r="P272" s="686">
        <f>E272+J272</f>
        <v>479725.87</v>
      </c>
      <c r="Q272" s="20"/>
      <c r="R272" s="50"/>
    </row>
    <row r="273" spans="1:18" ht="109.5" customHeight="1" thickTop="1" thickBot="1" x14ac:dyDescent="0.25">
      <c r="A273" s="702"/>
      <c r="B273" s="702"/>
      <c r="C273" s="702"/>
      <c r="D273" s="607" t="s">
        <v>445</v>
      </c>
      <c r="E273" s="707"/>
      <c r="F273" s="685"/>
      <c r="G273" s="685"/>
      <c r="H273" s="685"/>
      <c r="I273" s="685"/>
      <c r="J273" s="707"/>
      <c r="K273" s="685"/>
      <c r="L273" s="685"/>
      <c r="M273" s="685"/>
      <c r="N273" s="685"/>
      <c r="O273" s="705"/>
      <c r="P273" s="686"/>
      <c r="Q273" s="20"/>
      <c r="R273" s="50"/>
    </row>
    <row r="274" spans="1:18" ht="47.25" hidden="1" thickTop="1" thickBot="1" x14ac:dyDescent="0.25">
      <c r="A274" s="141" t="s">
        <v>1256</v>
      </c>
      <c r="B274" s="141" t="s">
        <v>702</v>
      </c>
      <c r="C274" s="141"/>
      <c r="D274" s="141" t="s">
        <v>703</v>
      </c>
      <c r="E274" s="143">
        <f t="shared" ref="E274:P274" si="223">E275</f>
        <v>0</v>
      </c>
      <c r="F274" s="143">
        <f t="shared" si="223"/>
        <v>0</v>
      </c>
      <c r="G274" s="143">
        <f t="shared" si="223"/>
        <v>0</v>
      </c>
      <c r="H274" s="143">
        <f t="shared" si="223"/>
        <v>0</v>
      </c>
      <c r="I274" s="143">
        <f t="shared" si="223"/>
        <v>0</v>
      </c>
      <c r="J274" s="143">
        <f t="shared" si="223"/>
        <v>0</v>
      </c>
      <c r="K274" s="143">
        <f t="shared" si="223"/>
        <v>0</v>
      </c>
      <c r="L274" s="143">
        <f t="shared" si="223"/>
        <v>0</v>
      </c>
      <c r="M274" s="143">
        <f t="shared" si="223"/>
        <v>0</v>
      </c>
      <c r="N274" s="143">
        <f t="shared" si="223"/>
        <v>0</v>
      </c>
      <c r="O274" s="143">
        <f t="shared" si="223"/>
        <v>0</v>
      </c>
      <c r="P274" s="143">
        <f t="shared" si="223"/>
        <v>0</v>
      </c>
      <c r="Q274" s="20"/>
      <c r="R274" s="50"/>
    </row>
    <row r="275" spans="1:18" ht="47.25" hidden="1" thickTop="1" thickBot="1" x14ac:dyDescent="0.25">
      <c r="A275" s="152" t="s">
        <v>1257</v>
      </c>
      <c r="B275" s="152" t="s">
        <v>1210</v>
      </c>
      <c r="C275" s="152"/>
      <c r="D275" s="152" t="s">
        <v>1208</v>
      </c>
      <c r="E275" s="153">
        <f t="shared" ref="E275:P275" si="224">SUM(E276:E276)</f>
        <v>0</v>
      </c>
      <c r="F275" s="153">
        <f t="shared" si="224"/>
        <v>0</v>
      </c>
      <c r="G275" s="153">
        <f t="shared" si="224"/>
        <v>0</v>
      </c>
      <c r="H275" s="153">
        <f t="shared" si="224"/>
        <v>0</v>
      </c>
      <c r="I275" s="153">
        <f t="shared" si="224"/>
        <v>0</v>
      </c>
      <c r="J275" s="153">
        <f t="shared" si="224"/>
        <v>0</v>
      </c>
      <c r="K275" s="153">
        <f t="shared" si="224"/>
        <v>0</v>
      </c>
      <c r="L275" s="153">
        <f t="shared" si="224"/>
        <v>0</v>
      </c>
      <c r="M275" s="153">
        <f t="shared" si="224"/>
        <v>0</v>
      </c>
      <c r="N275" s="153">
        <f t="shared" si="224"/>
        <v>0</v>
      </c>
      <c r="O275" s="153">
        <f t="shared" si="224"/>
        <v>0</v>
      </c>
      <c r="P275" s="153">
        <f t="shared" si="224"/>
        <v>0</v>
      </c>
      <c r="Q275" s="20"/>
      <c r="R275" s="50"/>
    </row>
    <row r="276" spans="1:18" ht="48" hidden="1" thickTop="1" thickBot="1" x14ac:dyDescent="0.25">
      <c r="A276" s="144" t="s">
        <v>1258</v>
      </c>
      <c r="B276" s="144" t="s">
        <v>1238</v>
      </c>
      <c r="C276" s="144" t="s">
        <v>1212</v>
      </c>
      <c r="D276" s="144" t="s">
        <v>1239</v>
      </c>
      <c r="E276" s="143">
        <f>F276</f>
        <v>0</v>
      </c>
      <c r="F276" s="150"/>
      <c r="G276" s="150"/>
      <c r="H276" s="150"/>
      <c r="I276" s="150"/>
      <c r="J276" s="143">
        <f>L276+O276</f>
        <v>0</v>
      </c>
      <c r="K276" s="150"/>
      <c r="L276" s="150"/>
      <c r="M276" s="150"/>
      <c r="N276" s="150"/>
      <c r="O276" s="148">
        <f>K276</f>
        <v>0</v>
      </c>
      <c r="P276" s="143">
        <f>E276+J276</f>
        <v>0</v>
      </c>
      <c r="Q276" s="20"/>
      <c r="R276" s="50"/>
    </row>
    <row r="277" spans="1:18" ht="91.5" thickTop="1" thickBot="1" x14ac:dyDescent="0.25">
      <c r="A277" s="403" t="s">
        <v>545</v>
      </c>
      <c r="B277" s="403"/>
      <c r="C277" s="403"/>
      <c r="D277" s="404" t="s">
        <v>564</v>
      </c>
      <c r="E277" s="406">
        <f>E278</f>
        <v>558331034</v>
      </c>
      <c r="F277" s="405">
        <f t="shared" ref="F277:G277" si="225">F278</f>
        <v>558331034</v>
      </c>
      <c r="G277" s="405">
        <f t="shared" si="225"/>
        <v>8405506</v>
      </c>
      <c r="H277" s="405">
        <f>H278</f>
        <v>338942</v>
      </c>
      <c r="I277" s="405">
        <f t="shared" ref="I277" si="226">I278</f>
        <v>0</v>
      </c>
      <c r="J277" s="406">
        <f>J278</f>
        <v>423589308.60000002</v>
      </c>
      <c r="K277" s="405">
        <f>K278</f>
        <v>422736366.60000002</v>
      </c>
      <c r="L277" s="405">
        <f>L278</f>
        <v>852942</v>
      </c>
      <c r="M277" s="405">
        <f t="shared" ref="M277" si="227">M278</f>
        <v>0</v>
      </c>
      <c r="N277" s="405">
        <f>N278</f>
        <v>0</v>
      </c>
      <c r="O277" s="406">
        <f>O278</f>
        <v>422736366.60000002</v>
      </c>
      <c r="P277" s="405">
        <f>P278</f>
        <v>981920342.60000002</v>
      </c>
      <c r="Q277" s="20"/>
      <c r="R277" s="50"/>
    </row>
    <row r="278" spans="1:18" ht="91.5" thickTop="1" thickBot="1" x14ac:dyDescent="0.25">
      <c r="A278" s="407" t="s">
        <v>546</v>
      </c>
      <c r="B278" s="407"/>
      <c r="C278" s="407"/>
      <c r="D278" s="408" t="s">
        <v>565</v>
      </c>
      <c r="E278" s="409">
        <f>E279+E283+E291+E304+E309</f>
        <v>558331034</v>
      </c>
      <c r="F278" s="409">
        <f>F279+F283+F291+F304+F309</f>
        <v>558331034</v>
      </c>
      <c r="G278" s="409">
        <f>G279+G283+G291+G304+G309</f>
        <v>8405506</v>
      </c>
      <c r="H278" s="409">
        <f>H279+H283+H291+H304+H309</f>
        <v>338942</v>
      </c>
      <c r="I278" s="409">
        <f>I279+I283+I291+I304+I309</f>
        <v>0</v>
      </c>
      <c r="J278" s="409">
        <f t="shared" ref="J278:J301" si="228">L278+O278</f>
        <v>423589308.60000002</v>
      </c>
      <c r="K278" s="409">
        <f>K279+K283+K291+K304+K309</f>
        <v>422736366.60000002</v>
      </c>
      <c r="L278" s="409">
        <f>L279+L283+L291+L304+L309</f>
        <v>852942</v>
      </c>
      <c r="M278" s="409">
        <f>M279+M283+M291+M304+M309</f>
        <v>0</v>
      </c>
      <c r="N278" s="409">
        <f>N279+N283+N291+N304+N309</f>
        <v>0</v>
      </c>
      <c r="O278" s="409">
        <f>O279+O283+O291+O304+O309</f>
        <v>422736366.60000002</v>
      </c>
      <c r="P278" s="409">
        <f>E278+J278</f>
        <v>981920342.60000002</v>
      </c>
      <c r="Q278" s="353" t="b">
        <f>P278=P280+P282+P285+P286+P288+P289+P296+P298+P299+P306+P307+P293+P290+P287+P301+P311</f>
        <v>1</v>
      </c>
      <c r="R278" s="45"/>
    </row>
    <row r="279" spans="1:18" ht="47.25" thickTop="1" thickBot="1" x14ac:dyDescent="0.25">
      <c r="A279" s="346" t="s">
        <v>805</v>
      </c>
      <c r="B279" s="346" t="s">
        <v>690</v>
      </c>
      <c r="C279" s="346"/>
      <c r="D279" s="346" t="s">
        <v>691</v>
      </c>
      <c r="E279" s="393">
        <f>SUM(E280:E282)</f>
        <v>9028158</v>
      </c>
      <c r="F279" s="393">
        <f t="shared" ref="F279:P279" si="229">SUM(F280:F282)</f>
        <v>9028158</v>
      </c>
      <c r="G279" s="393">
        <f t="shared" si="229"/>
        <v>6736115</v>
      </c>
      <c r="H279" s="393">
        <f t="shared" si="229"/>
        <v>264613</v>
      </c>
      <c r="I279" s="393">
        <f t="shared" si="229"/>
        <v>0</v>
      </c>
      <c r="J279" s="393">
        <f t="shared" si="229"/>
        <v>36120</v>
      </c>
      <c r="K279" s="393">
        <f t="shared" si="229"/>
        <v>36120</v>
      </c>
      <c r="L279" s="393">
        <f t="shared" si="229"/>
        <v>0</v>
      </c>
      <c r="M279" s="393">
        <f t="shared" si="229"/>
        <v>0</v>
      </c>
      <c r="N279" s="393">
        <f t="shared" si="229"/>
        <v>0</v>
      </c>
      <c r="O279" s="393">
        <f t="shared" si="229"/>
        <v>36120</v>
      </c>
      <c r="P279" s="393">
        <f t="shared" si="229"/>
        <v>9064278</v>
      </c>
      <c r="Q279" s="47"/>
      <c r="R279" s="45"/>
    </row>
    <row r="280" spans="1:18" ht="93" thickTop="1" thickBot="1" x14ac:dyDescent="0.25">
      <c r="A280" s="119" t="s">
        <v>547</v>
      </c>
      <c r="B280" s="119" t="s">
        <v>240</v>
      </c>
      <c r="C280" s="119" t="s">
        <v>238</v>
      </c>
      <c r="D280" s="119" t="s">
        <v>239</v>
      </c>
      <c r="E280" s="347">
        <f>F280</f>
        <v>8991093</v>
      </c>
      <c r="F280" s="389">
        <f>(8955093)+36000</f>
        <v>8991093</v>
      </c>
      <c r="G280" s="389">
        <v>6736115</v>
      </c>
      <c r="H280" s="389">
        <f>168300+6553+84000+5760</f>
        <v>264613</v>
      </c>
      <c r="I280" s="389"/>
      <c r="J280" s="393">
        <f t="shared" si="228"/>
        <v>36120</v>
      </c>
      <c r="K280" s="389">
        <v>36120</v>
      </c>
      <c r="L280" s="390"/>
      <c r="M280" s="390"/>
      <c r="N280" s="390"/>
      <c r="O280" s="351">
        <f t="shared" ref="O280:O299" si="230">K280</f>
        <v>36120</v>
      </c>
      <c r="P280" s="393">
        <f t="shared" ref="P280:P287" si="231">+J280+E280</f>
        <v>9027213</v>
      </c>
      <c r="Q280" s="20"/>
      <c r="R280" s="45"/>
    </row>
    <row r="281" spans="1:18" ht="93" hidden="1" thickTop="1" thickBot="1" x14ac:dyDescent="0.25">
      <c r="A281" s="144" t="s">
        <v>635</v>
      </c>
      <c r="B281" s="144" t="s">
        <v>366</v>
      </c>
      <c r="C281" s="144" t="s">
        <v>631</v>
      </c>
      <c r="D281" s="144" t="s">
        <v>632</v>
      </c>
      <c r="E281" s="168">
        <f>F281</f>
        <v>0</v>
      </c>
      <c r="F281" s="145"/>
      <c r="G281" s="145"/>
      <c r="H281" s="145"/>
      <c r="I281" s="145"/>
      <c r="J281" s="143">
        <f t="shared" si="228"/>
        <v>0</v>
      </c>
      <c r="K281" s="145"/>
      <c r="L281" s="146"/>
      <c r="M281" s="146"/>
      <c r="N281" s="146"/>
      <c r="O281" s="148">
        <f t="shared" si="230"/>
        <v>0</v>
      </c>
      <c r="P281" s="143">
        <f t="shared" si="231"/>
        <v>0</v>
      </c>
      <c r="Q281" s="20"/>
      <c r="R281" s="45"/>
    </row>
    <row r="282" spans="1:18" ht="48" thickTop="1" thickBot="1" x14ac:dyDescent="0.25">
      <c r="A282" s="119" t="s">
        <v>548</v>
      </c>
      <c r="B282" s="119" t="s">
        <v>43</v>
      </c>
      <c r="C282" s="119" t="s">
        <v>42</v>
      </c>
      <c r="D282" s="119" t="s">
        <v>252</v>
      </c>
      <c r="E282" s="347">
        <f>F282</f>
        <v>37065</v>
      </c>
      <c r="F282" s="389">
        <f>(24700)+12365</f>
        <v>37065</v>
      </c>
      <c r="G282" s="145"/>
      <c r="H282" s="145"/>
      <c r="I282" s="145"/>
      <c r="J282" s="393">
        <f t="shared" si="228"/>
        <v>0</v>
      </c>
      <c r="K282" s="389"/>
      <c r="L282" s="390"/>
      <c r="M282" s="390"/>
      <c r="N282" s="390"/>
      <c r="O282" s="351">
        <f t="shared" si="230"/>
        <v>0</v>
      </c>
      <c r="P282" s="393">
        <f t="shared" si="231"/>
        <v>37065</v>
      </c>
      <c r="Q282" s="20"/>
      <c r="R282" s="50"/>
    </row>
    <row r="283" spans="1:18" ht="47.25" thickTop="1" thickBot="1" x14ac:dyDescent="0.25">
      <c r="A283" s="346" t="s">
        <v>806</v>
      </c>
      <c r="B283" s="346" t="s">
        <v>748</v>
      </c>
      <c r="C283" s="346"/>
      <c r="D283" s="476" t="s">
        <v>749</v>
      </c>
      <c r="E283" s="347">
        <f>SUM(E284:E290)-E284</f>
        <v>505175810</v>
      </c>
      <c r="F283" s="347">
        <f t="shared" ref="F283:P283" si="232">SUM(F284:F290)-F284</f>
        <v>505175810</v>
      </c>
      <c r="G283" s="347">
        <f t="shared" si="232"/>
        <v>0</v>
      </c>
      <c r="H283" s="347">
        <f t="shared" si="232"/>
        <v>5000</v>
      </c>
      <c r="I283" s="347">
        <f t="shared" si="232"/>
        <v>0</v>
      </c>
      <c r="J283" s="347">
        <f t="shared" si="232"/>
        <v>5787728</v>
      </c>
      <c r="K283" s="347">
        <f t="shared" si="232"/>
        <v>5787728</v>
      </c>
      <c r="L283" s="347">
        <f t="shared" si="232"/>
        <v>0</v>
      </c>
      <c r="M283" s="347">
        <f t="shared" si="232"/>
        <v>0</v>
      </c>
      <c r="N283" s="347">
        <f t="shared" si="232"/>
        <v>0</v>
      </c>
      <c r="O283" s="347">
        <f t="shared" si="232"/>
        <v>5787728</v>
      </c>
      <c r="P283" s="347">
        <f t="shared" si="232"/>
        <v>510963538</v>
      </c>
      <c r="Q283" s="20"/>
      <c r="R283" s="50"/>
    </row>
    <row r="284" spans="1:18" ht="93" thickTop="1" thickBot="1" x14ac:dyDescent="0.25">
      <c r="A284" s="399" t="s">
        <v>807</v>
      </c>
      <c r="B284" s="399" t="s">
        <v>798</v>
      </c>
      <c r="C284" s="399"/>
      <c r="D284" s="399" t="s">
        <v>799</v>
      </c>
      <c r="E284" s="444">
        <f>SUM(E285:E287)</f>
        <v>158281408</v>
      </c>
      <c r="F284" s="444">
        <f t="shared" ref="F284:P284" si="233">SUM(F285:F287)</f>
        <v>158281408</v>
      </c>
      <c r="G284" s="444">
        <f t="shared" si="233"/>
        <v>0</v>
      </c>
      <c r="H284" s="444">
        <f t="shared" si="233"/>
        <v>0</v>
      </c>
      <c r="I284" s="444">
        <f t="shared" si="233"/>
        <v>0</v>
      </c>
      <c r="J284" s="444">
        <f t="shared" si="233"/>
        <v>2322604</v>
      </c>
      <c r="K284" s="444">
        <f t="shared" si="233"/>
        <v>2322604</v>
      </c>
      <c r="L284" s="444">
        <f t="shared" si="233"/>
        <v>0</v>
      </c>
      <c r="M284" s="444">
        <f t="shared" si="233"/>
        <v>0</v>
      </c>
      <c r="N284" s="444">
        <f t="shared" si="233"/>
        <v>0</v>
      </c>
      <c r="O284" s="444">
        <f t="shared" si="233"/>
        <v>2322604</v>
      </c>
      <c r="P284" s="444">
        <f t="shared" si="233"/>
        <v>160604012</v>
      </c>
      <c r="Q284" s="20"/>
      <c r="R284" s="50"/>
    </row>
    <row r="285" spans="1:18" ht="93" thickTop="1" thickBot="1" x14ac:dyDescent="0.25">
      <c r="A285" s="119" t="s">
        <v>549</v>
      </c>
      <c r="B285" s="119" t="s">
        <v>380</v>
      </c>
      <c r="C285" s="119" t="s">
        <v>287</v>
      </c>
      <c r="D285" s="119" t="s">
        <v>381</v>
      </c>
      <c r="E285" s="347">
        <f t="shared" ref="E285:E299" si="234">F285</f>
        <v>123000000</v>
      </c>
      <c r="F285" s="389">
        <f>((20000000)+80000000)+23000000</f>
        <v>123000000</v>
      </c>
      <c r="G285" s="389"/>
      <c r="H285" s="389"/>
      <c r="I285" s="389"/>
      <c r="J285" s="393">
        <f t="shared" si="228"/>
        <v>0</v>
      </c>
      <c r="K285" s="389"/>
      <c r="L285" s="390"/>
      <c r="M285" s="390"/>
      <c r="N285" s="390"/>
      <c r="O285" s="351">
        <f t="shared" si="230"/>
        <v>0</v>
      </c>
      <c r="P285" s="393">
        <f t="shared" si="231"/>
        <v>123000000</v>
      </c>
      <c r="Q285" s="20"/>
      <c r="R285" s="50"/>
    </row>
    <row r="286" spans="1:18" ht="48" thickTop="1" thickBot="1" x14ac:dyDescent="0.25">
      <c r="A286" s="119" t="s">
        <v>550</v>
      </c>
      <c r="B286" s="119" t="s">
        <v>290</v>
      </c>
      <c r="C286" s="119" t="s">
        <v>287</v>
      </c>
      <c r="D286" s="119" t="s">
        <v>291</v>
      </c>
      <c r="E286" s="347">
        <f t="shared" si="234"/>
        <v>31630000</v>
      </c>
      <c r="F286" s="389">
        <f>(((650000)+24400000)+7209100)-629100</f>
        <v>31630000</v>
      </c>
      <c r="G286" s="389"/>
      <c r="H286" s="389"/>
      <c r="I286" s="389"/>
      <c r="J286" s="393">
        <f t="shared" si="228"/>
        <v>2322604</v>
      </c>
      <c r="K286" s="389">
        <f>((2000000)+100000)+222604</f>
        <v>2322604</v>
      </c>
      <c r="L286" s="390"/>
      <c r="M286" s="390"/>
      <c r="N286" s="390"/>
      <c r="O286" s="351">
        <f t="shared" si="230"/>
        <v>2322604</v>
      </c>
      <c r="P286" s="393">
        <f t="shared" si="231"/>
        <v>33952604</v>
      </c>
      <c r="Q286" s="20"/>
      <c r="R286" s="50"/>
    </row>
    <row r="287" spans="1:18" ht="93" thickTop="1" thickBot="1" x14ac:dyDescent="0.25">
      <c r="A287" s="119" t="s">
        <v>1507</v>
      </c>
      <c r="B287" s="119" t="s">
        <v>1508</v>
      </c>
      <c r="C287" s="119" t="s">
        <v>287</v>
      </c>
      <c r="D287" s="119" t="s">
        <v>1509</v>
      </c>
      <c r="E287" s="347">
        <f t="shared" si="234"/>
        <v>3651408</v>
      </c>
      <c r="F287" s="389">
        <f>(3727208)-75800</f>
        <v>3651408</v>
      </c>
      <c r="G287" s="389"/>
      <c r="H287" s="389"/>
      <c r="I287" s="389"/>
      <c r="J287" s="393">
        <f t="shared" si="228"/>
        <v>0</v>
      </c>
      <c r="K287" s="389"/>
      <c r="L287" s="390"/>
      <c r="M287" s="390"/>
      <c r="N287" s="390"/>
      <c r="O287" s="351">
        <f t="shared" si="230"/>
        <v>0</v>
      </c>
      <c r="P287" s="393">
        <f t="shared" si="231"/>
        <v>3651408</v>
      </c>
      <c r="Q287" s="20"/>
      <c r="R287" s="50"/>
    </row>
    <row r="288" spans="1:18" ht="93" thickTop="1" thickBot="1" x14ac:dyDescent="0.25">
      <c r="A288" s="119" t="s">
        <v>551</v>
      </c>
      <c r="B288" s="119" t="s">
        <v>301</v>
      </c>
      <c r="C288" s="119" t="s">
        <v>287</v>
      </c>
      <c r="D288" s="119" t="s">
        <v>302</v>
      </c>
      <c r="E288" s="347">
        <f t="shared" si="234"/>
        <v>4083600</v>
      </c>
      <c r="F288" s="389">
        <f>((1300000)+2299000)+484600</f>
        <v>4083600</v>
      </c>
      <c r="G288" s="389"/>
      <c r="H288" s="389"/>
      <c r="I288" s="389"/>
      <c r="J288" s="393">
        <f t="shared" si="228"/>
        <v>0</v>
      </c>
      <c r="K288" s="350"/>
      <c r="L288" s="389"/>
      <c r="M288" s="389"/>
      <c r="N288" s="389"/>
      <c r="O288" s="351">
        <f t="shared" si="230"/>
        <v>0</v>
      </c>
      <c r="P288" s="393">
        <f t="shared" ref="P288:P293" si="235">E288+J288</f>
        <v>4083600</v>
      </c>
      <c r="Q288" s="20"/>
      <c r="R288" s="50"/>
    </row>
    <row r="289" spans="1:18" ht="48" thickTop="1" thickBot="1" x14ac:dyDescent="0.25">
      <c r="A289" s="119" t="s">
        <v>552</v>
      </c>
      <c r="B289" s="119" t="s">
        <v>293</v>
      </c>
      <c r="C289" s="119" t="s">
        <v>287</v>
      </c>
      <c r="D289" s="119" t="s">
        <v>294</v>
      </c>
      <c r="E289" s="347">
        <f t="shared" si="234"/>
        <v>338761217</v>
      </c>
      <c r="F289" s="389">
        <f>(((324847930)-23469000-1000000+15000000)+7802425+20355700)-4775838</f>
        <v>338761217</v>
      </c>
      <c r="G289" s="389"/>
      <c r="H289" s="389">
        <v>5000</v>
      </c>
      <c r="I289" s="389"/>
      <c r="J289" s="393">
        <f t="shared" si="228"/>
        <v>3465124</v>
      </c>
      <c r="K289" s="350">
        <f>(((250000)+1000000+1000000+1343000)+1890000-890000)-1127876</f>
        <v>3465124</v>
      </c>
      <c r="L289" s="389"/>
      <c r="M289" s="389"/>
      <c r="N289" s="389"/>
      <c r="O289" s="351">
        <f t="shared" si="230"/>
        <v>3465124</v>
      </c>
      <c r="P289" s="393">
        <f t="shared" si="235"/>
        <v>342226341</v>
      </c>
      <c r="Q289" s="20"/>
      <c r="R289" s="45"/>
    </row>
    <row r="290" spans="1:18" ht="48" thickTop="1" thickBot="1" x14ac:dyDescent="0.25">
      <c r="A290" s="119" t="s">
        <v>1169</v>
      </c>
      <c r="B290" s="119" t="s">
        <v>1170</v>
      </c>
      <c r="C290" s="119" t="s">
        <v>1171</v>
      </c>
      <c r="D290" s="119" t="s">
        <v>1168</v>
      </c>
      <c r="E290" s="347">
        <f t="shared" si="234"/>
        <v>4049585</v>
      </c>
      <c r="F290" s="389">
        <v>4049585</v>
      </c>
      <c r="G290" s="389"/>
      <c r="H290" s="389"/>
      <c r="I290" s="389"/>
      <c r="J290" s="393">
        <f t="shared" si="228"/>
        <v>0</v>
      </c>
      <c r="K290" s="350"/>
      <c r="L290" s="389"/>
      <c r="M290" s="389"/>
      <c r="N290" s="389"/>
      <c r="O290" s="351">
        <f t="shared" si="230"/>
        <v>0</v>
      </c>
      <c r="P290" s="393">
        <f t="shared" si="235"/>
        <v>4049585</v>
      </c>
      <c r="Q290" s="20"/>
      <c r="R290" s="45"/>
    </row>
    <row r="291" spans="1:18" ht="47.25" thickTop="1" thickBot="1" x14ac:dyDescent="0.25">
      <c r="A291" s="346" t="s">
        <v>808</v>
      </c>
      <c r="B291" s="346" t="s">
        <v>754</v>
      </c>
      <c r="C291" s="346"/>
      <c r="D291" s="346" t="s">
        <v>755</v>
      </c>
      <c r="E291" s="347">
        <f>E292+E294+E297</f>
        <v>37535382</v>
      </c>
      <c r="F291" s="347">
        <f t="shared" ref="F291:P291" si="236">F292+F294+F297</f>
        <v>37535382</v>
      </c>
      <c r="G291" s="347">
        <f t="shared" si="236"/>
        <v>0</v>
      </c>
      <c r="H291" s="347">
        <f t="shared" si="236"/>
        <v>0</v>
      </c>
      <c r="I291" s="347">
        <f t="shared" si="236"/>
        <v>0</v>
      </c>
      <c r="J291" s="347">
        <f>J292+J294+J297</f>
        <v>406165960.60000002</v>
      </c>
      <c r="K291" s="347">
        <f t="shared" si="236"/>
        <v>405313018.60000002</v>
      </c>
      <c r="L291" s="347">
        <f t="shared" si="236"/>
        <v>852942</v>
      </c>
      <c r="M291" s="347">
        <f t="shared" si="236"/>
        <v>0</v>
      </c>
      <c r="N291" s="347">
        <f t="shared" si="236"/>
        <v>0</v>
      </c>
      <c r="O291" s="347">
        <f t="shared" si="236"/>
        <v>405313018.60000002</v>
      </c>
      <c r="P291" s="347">
        <f t="shared" si="236"/>
        <v>443701342.60000002</v>
      </c>
      <c r="Q291" s="20"/>
      <c r="R291" s="50"/>
    </row>
    <row r="292" spans="1:18" ht="47.25" thickTop="1" thickBot="1" x14ac:dyDescent="0.25">
      <c r="A292" s="348" t="s">
        <v>809</v>
      </c>
      <c r="B292" s="348" t="s">
        <v>810</v>
      </c>
      <c r="C292" s="348"/>
      <c r="D292" s="348" t="s">
        <v>811</v>
      </c>
      <c r="E292" s="349">
        <f>E293</f>
        <v>0</v>
      </c>
      <c r="F292" s="349">
        <f t="shared" ref="F292:P292" si="237">F293</f>
        <v>0</v>
      </c>
      <c r="G292" s="349">
        <f t="shared" si="237"/>
        <v>0</v>
      </c>
      <c r="H292" s="349">
        <f t="shared" si="237"/>
        <v>0</v>
      </c>
      <c r="I292" s="349">
        <f t="shared" si="237"/>
        <v>0</v>
      </c>
      <c r="J292" s="349">
        <f t="shared" si="237"/>
        <v>2130164</v>
      </c>
      <c r="K292" s="349">
        <f t="shared" si="237"/>
        <v>2130164</v>
      </c>
      <c r="L292" s="349">
        <f t="shared" si="237"/>
        <v>0</v>
      </c>
      <c r="M292" s="349">
        <f t="shared" si="237"/>
        <v>0</v>
      </c>
      <c r="N292" s="349">
        <f t="shared" si="237"/>
        <v>0</v>
      </c>
      <c r="O292" s="349">
        <f t="shared" si="237"/>
        <v>2130164</v>
      </c>
      <c r="P292" s="349">
        <f t="shared" si="237"/>
        <v>2130164</v>
      </c>
      <c r="Q292" s="20"/>
      <c r="R292" s="50"/>
    </row>
    <row r="293" spans="1:18" ht="54" thickTop="1" thickBot="1" x14ac:dyDescent="0.25">
      <c r="A293" s="119" t="s">
        <v>553</v>
      </c>
      <c r="B293" s="119" t="s">
        <v>309</v>
      </c>
      <c r="C293" s="119" t="s">
        <v>308</v>
      </c>
      <c r="D293" s="119" t="s">
        <v>1315</v>
      </c>
      <c r="E293" s="347">
        <f t="shared" si="234"/>
        <v>0</v>
      </c>
      <c r="F293" s="389"/>
      <c r="G293" s="389"/>
      <c r="H293" s="389"/>
      <c r="I293" s="389"/>
      <c r="J293" s="393">
        <f>L293+O293</f>
        <v>2130164</v>
      </c>
      <c r="K293" s="350">
        <f>((226400)+6645664-2000000-300000)-2441900</f>
        <v>2130164</v>
      </c>
      <c r="L293" s="389"/>
      <c r="M293" s="389"/>
      <c r="N293" s="389"/>
      <c r="O293" s="351">
        <f>K293</f>
        <v>2130164</v>
      </c>
      <c r="P293" s="393">
        <f t="shared" si="235"/>
        <v>2130164</v>
      </c>
      <c r="Q293" s="20"/>
      <c r="R293" s="45"/>
    </row>
    <row r="294" spans="1:18" ht="47.25" thickTop="1" thickBot="1" x14ac:dyDescent="0.25">
      <c r="A294" s="348" t="s">
        <v>812</v>
      </c>
      <c r="B294" s="348" t="s">
        <v>813</v>
      </c>
      <c r="C294" s="348"/>
      <c r="D294" s="348" t="s">
        <v>814</v>
      </c>
      <c r="E294" s="349">
        <f t="shared" ref="E294:P295" si="238">E295</f>
        <v>37535382</v>
      </c>
      <c r="F294" s="349">
        <f t="shared" si="238"/>
        <v>37535382</v>
      </c>
      <c r="G294" s="349">
        <f t="shared" si="238"/>
        <v>0</v>
      </c>
      <c r="H294" s="349">
        <f t="shared" si="238"/>
        <v>0</v>
      </c>
      <c r="I294" s="349">
        <f t="shared" si="238"/>
        <v>0</v>
      </c>
      <c r="J294" s="349">
        <f t="shared" si="238"/>
        <v>65174880</v>
      </c>
      <c r="K294" s="349">
        <f t="shared" si="238"/>
        <v>65174880</v>
      </c>
      <c r="L294" s="349">
        <f t="shared" si="238"/>
        <v>0</v>
      </c>
      <c r="M294" s="349">
        <f t="shared" si="238"/>
        <v>0</v>
      </c>
      <c r="N294" s="349">
        <f t="shared" si="238"/>
        <v>0</v>
      </c>
      <c r="O294" s="349">
        <f t="shared" si="238"/>
        <v>65174880</v>
      </c>
      <c r="P294" s="349">
        <f t="shared" si="238"/>
        <v>102710262</v>
      </c>
      <c r="Q294" s="20"/>
      <c r="R294" s="50"/>
    </row>
    <row r="295" spans="1:18" ht="93" thickTop="1" thickBot="1" x14ac:dyDescent="0.25">
      <c r="A295" s="119" t="s">
        <v>970</v>
      </c>
      <c r="B295" s="399" t="s">
        <v>971</v>
      </c>
      <c r="C295" s="348"/>
      <c r="D295" s="399" t="s">
        <v>972</v>
      </c>
      <c r="E295" s="444">
        <f t="shared" si="238"/>
        <v>37535382</v>
      </c>
      <c r="F295" s="444">
        <f t="shared" si="238"/>
        <v>37535382</v>
      </c>
      <c r="G295" s="444">
        <f t="shared" si="238"/>
        <v>0</v>
      </c>
      <c r="H295" s="444">
        <f t="shared" si="238"/>
        <v>0</v>
      </c>
      <c r="I295" s="444">
        <f t="shared" si="238"/>
        <v>0</v>
      </c>
      <c r="J295" s="444">
        <f t="shared" si="238"/>
        <v>65174880</v>
      </c>
      <c r="K295" s="444">
        <f t="shared" si="238"/>
        <v>65174880</v>
      </c>
      <c r="L295" s="444">
        <f t="shared" si="238"/>
        <v>0</v>
      </c>
      <c r="M295" s="444">
        <f t="shared" si="238"/>
        <v>0</v>
      </c>
      <c r="N295" s="444">
        <f t="shared" si="238"/>
        <v>0</v>
      </c>
      <c r="O295" s="444">
        <f t="shared" si="238"/>
        <v>65174880</v>
      </c>
      <c r="P295" s="444">
        <f t="shared" si="238"/>
        <v>102710262</v>
      </c>
      <c r="Q295" s="20"/>
      <c r="R295" s="50"/>
    </row>
    <row r="296" spans="1:18" ht="93" thickTop="1" thickBot="1" x14ac:dyDescent="0.25">
      <c r="A296" s="119" t="s">
        <v>554</v>
      </c>
      <c r="B296" s="119" t="s">
        <v>297</v>
      </c>
      <c r="C296" s="119" t="s">
        <v>299</v>
      </c>
      <c r="D296" s="119" t="s">
        <v>298</v>
      </c>
      <c r="E296" s="347">
        <f t="shared" si="234"/>
        <v>37535382</v>
      </c>
      <c r="F296" s="389">
        <f>(((30300000)+24000000+24250400)-4642988-11607412)-24764618</f>
        <v>37535382</v>
      </c>
      <c r="G296" s="389"/>
      <c r="H296" s="389"/>
      <c r="I296" s="389"/>
      <c r="J296" s="393">
        <f t="shared" si="228"/>
        <v>65174880</v>
      </c>
      <c r="K296" s="389">
        <f>((((38500000)-1000000)+38192622+277268)+18091131)-28886141</f>
        <v>65174880</v>
      </c>
      <c r="L296" s="390"/>
      <c r="M296" s="390"/>
      <c r="N296" s="390"/>
      <c r="O296" s="351">
        <f>K296</f>
        <v>65174880</v>
      </c>
      <c r="P296" s="393">
        <f>+J296+E296</f>
        <v>102710262</v>
      </c>
      <c r="Q296" s="20"/>
      <c r="R296" s="45"/>
    </row>
    <row r="297" spans="1:18" ht="47.25" thickTop="1" thickBot="1" x14ac:dyDescent="0.25">
      <c r="A297" s="348" t="s">
        <v>815</v>
      </c>
      <c r="B297" s="348" t="s">
        <v>697</v>
      </c>
      <c r="C297" s="348"/>
      <c r="D297" s="348" t="s">
        <v>695</v>
      </c>
      <c r="E297" s="349">
        <f>SUM(E298:E303)-E300</f>
        <v>0</v>
      </c>
      <c r="F297" s="349">
        <f t="shared" ref="F297:P297" si="239">SUM(F298:F303)-F300</f>
        <v>0</v>
      </c>
      <c r="G297" s="349">
        <f t="shared" si="239"/>
        <v>0</v>
      </c>
      <c r="H297" s="349">
        <f t="shared" si="239"/>
        <v>0</v>
      </c>
      <c r="I297" s="349">
        <f t="shared" si="239"/>
        <v>0</v>
      </c>
      <c r="J297" s="349">
        <f t="shared" si="239"/>
        <v>338860916.60000002</v>
      </c>
      <c r="K297" s="349">
        <f t="shared" si="239"/>
        <v>338007974.60000002</v>
      </c>
      <c r="L297" s="349">
        <f t="shared" si="239"/>
        <v>852942</v>
      </c>
      <c r="M297" s="349">
        <f t="shared" si="239"/>
        <v>0</v>
      </c>
      <c r="N297" s="349">
        <f t="shared" si="239"/>
        <v>0</v>
      </c>
      <c r="O297" s="349">
        <f t="shared" si="239"/>
        <v>338007974.60000002</v>
      </c>
      <c r="P297" s="349">
        <f t="shared" si="239"/>
        <v>338860916.60000002</v>
      </c>
      <c r="Q297" s="20"/>
      <c r="R297" s="45"/>
    </row>
    <row r="298" spans="1:18" ht="48" thickTop="1" thickBot="1" x14ac:dyDescent="0.25">
      <c r="A298" s="119" t="s">
        <v>555</v>
      </c>
      <c r="B298" s="119" t="s">
        <v>216</v>
      </c>
      <c r="C298" s="119" t="s">
        <v>217</v>
      </c>
      <c r="D298" s="119" t="s">
        <v>41</v>
      </c>
      <c r="E298" s="347">
        <f t="shared" si="234"/>
        <v>0</v>
      </c>
      <c r="F298" s="389"/>
      <c r="G298" s="389"/>
      <c r="H298" s="389"/>
      <c r="I298" s="389"/>
      <c r="J298" s="393">
        <f t="shared" si="228"/>
        <v>16434368</v>
      </c>
      <c r="K298" s="350">
        <v>16434368</v>
      </c>
      <c r="L298" s="389"/>
      <c r="M298" s="389"/>
      <c r="N298" s="389"/>
      <c r="O298" s="351">
        <f t="shared" si="230"/>
        <v>16434368</v>
      </c>
      <c r="P298" s="393">
        <f>E298+J298</f>
        <v>16434368</v>
      </c>
      <c r="Q298" s="20"/>
      <c r="R298" s="45"/>
    </row>
    <row r="299" spans="1:18" ht="48" thickTop="1" thickBot="1" x14ac:dyDescent="0.25">
      <c r="A299" s="119" t="s">
        <v>556</v>
      </c>
      <c r="B299" s="119" t="s">
        <v>201</v>
      </c>
      <c r="C299" s="119" t="s">
        <v>170</v>
      </c>
      <c r="D299" s="119" t="s">
        <v>34</v>
      </c>
      <c r="E299" s="347">
        <f t="shared" si="234"/>
        <v>0</v>
      </c>
      <c r="F299" s="389"/>
      <c r="G299" s="145"/>
      <c r="H299" s="145"/>
      <c r="I299" s="145"/>
      <c r="J299" s="393">
        <f t="shared" si="228"/>
        <v>321573606.60000002</v>
      </c>
      <c r="K299" s="350">
        <f>((((51987000-18000000)+239528622.6+5891152+630000-3198000+2092500+108523)+93883928-20355700-7961000)-463375)-22780044+210000</f>
        <v>321573606.60000002</v>
      </c>
      <c r="L299" s="389"/>
      <c r="M299" s="389"/>
      <c r="N299" s="389"/>
      <c r="O299" s="351">
        <f t="shared" si="230"/>
        <v>321573606.60000002</v>
      </c>
      <c r="P299" s="393">
        <f>E299+J299</f>
        <v>321573606.60000002</v>
      </c>
      <c r="Q299" s="20"/>
      <c r="R299" s="45"/>
    </row>
    <row r="300" spans="1:18" ht="48" thickTop="1" thickBot="1" x14ac:dyDescent="0.25">
      <c r="A300" s="399" t="s">
        <v>816</v>
      </c>
      <c r="B300" s="399" t="s">
        <v>700</v>
      </c>
      <c r="C300" s="399"/>
      <c r="D300" s="399" t="s">
        <v>804</v>
      </c>
      <c r="E300" s="444">
        <f t="shared" ref="E300:P300" si="240">E301+E303</f>
        <v>0</v>
      </c>
      <c r="F300" s="444">
        <f t="shared" si="240"/>
        <v>0</v>
      </c>
      <c r="G300" s="444">
        <f t="shared" si="240"/>
        <v>0</v>
      </c>
      <c r="H300" s="444">
        <f t="shared" si="240"/>
        <v>0</v>
      </c>
      <c r="I300" s="444">
        <f t="shared" si="240"/>
        <v>0</v>
      </c>
      <c r="J300" s="444">
        <f t="shared" si="240"/>
        <v>852942</v>
      </c>
      <c r="K300" s="444">
        <f t="shared" si="240"/>
        <v>0</v>
      </c>
      <c r="L300" s="444">
        <f t="shared" si="240"/>
        <v>852942</v>
      </c>
      <c r="M300" s="444">
        <f t="shared" si="240"/>
        <v>0</v>
      </c>
      <c r="N300" s="444">
        <f t="shared" si="240"/>
        <v>0</v>
      </c>
      <c r="O300" s="444">
        <f t="shared" si="240"/>
        <v>0</v>
      </c>
      <c r="P300" s="444">
        <f t="shared" si="240"/>
        <v>852942</v>
      </c>
      <c r="Q300" s="20"/>
      <c r="R300" s="50"/>
    </row>
    <row r="301" spans="1:18" ht="211.5" customHeight="1" thickTop="1" thickBot="1" x14ac:dyDescent="0.7">
      <c r="A301" s="702" t="s">
        <v>557</v>
      </c>
      <c r="B301" s="702" t="s">
        <v>342</v>
      </c>
      <c r="C301" s="702" t="s">
        <v>170</v>
      </c>
      <c r="D301" s="606" t="s">
        <v>444</v>
      </c>
      <c r="E301" s="707"/>
      <c r="F301" s="685"/>
      <c r="G301" s="685"/>
      <c r="H301" s="685"/>
      <c r="I301" s="685"/>
      <c r="J301" s="707">
        <f t="shared" si="228"/>
        <v>852942</v>
      </c>
      <c r="K301" s="685"/>
      <c r="L301" s="685">
        <f>0+852942</f>
        <v>852942</v>
      </c>
      <c r="M301" s="685"/>
      <c r="N301" s="685"/>
      <c r="O301" s="705"/>
      <c r="P301" s="686">
        <f>E301+J301</f>
        <v>852942</v>
      </c>
      <c r="Q301" s="20"/>
      <c r="R301" s="50"/>
    </row>
    <row r="302" spans="1:18" ht="130.5" customHeight="1" thickTop="1" thickBot="1" x14ac:dyDescent="0.25">
      <c r="A302" s="702"/>
      <c r="B302" s="702"/>
      <c r="C302" s="702"/>
      <c r="D302" s="607" t="s">
        <v>445</v>
      </c>
      <c r="E302" s="707"/>
      <c r="F302" s="685"/>
      <c r="G302" s="685"/>
      <c r="H302" s="685"/>
      <c r="I302" s="685"/>
      <c r="J302" s="707"/>
      <c r="K302" s="685"/>
      <c r="L302" s="685"/>
      <c r="M302" s="685"/>
      <c r="N302" s="685"/>
      <c r="O302" s="705"/>
      <c r="P302" s="686"/>
      <c r="Q302" s="20"/>
      <c r="R302" s="50"/>
    </row>
    <row r="303" spans="1:18" ht="39" hidden="1" customHeight="1" thickTop="1" thickBot="1" x14ac:dyDescent="0.25">
      <c r="A303" s="144" t="s">
        <v>1207</v>
      </c>
      <c r="B303" s="144" t="s">
        <v>261</v>
      </c>
      <c r="C303" s="144" t="s">
        <v>170</v>
      </c>
      <c r="D303" s="172" t="s">
        <v>259</v>
      </c>
      <c r="E303" s="168">
        <f t="shared" ref="E303" si="241">F303</f>
        <v>0</v>
      </c>
      <c r="F303" s="145"/>
      <c r="G303" s="145"/>
      <c r="H303" s="145"/>
      <c r="I303" s="145"/>
      <c r="J303" s="143">
        <f t="shared" ref="J303" si="242">L303+O303</f>
        <v>0</v>
      </c>
      <c r="K303" s="150"/>
      <c r="L303" s="145"/>
      <c r="M303" s="145"/>
      <c r="N303" s="145"/>
      <c r="O303" s="148">
        <f t="shared" ref="O303" si="243">K303</f>
        <v>0</v>
      </c>
      <c r="P303" s="143">
        <f>E303+J303</f>
        <v>0</v>
      </c>
      <c r="Q303" s="20"/>
      <c r="R303" s="50"/>
    </row>
    <row r="304" spans="1:18" ht="47.25" thickTop="1" thickBot="1" x14ac:dyDescent="0.25">
      <c r="A304" s="346" t="s">
        <v>817</v>
      </c>
      <c r="B304" s="346" t="s">
        <v>702</v>
      </c>
      <c r="C304" s="346"/>
      <c r="D304" s="490" t="s">
        <v>703</v>
      </c>
      <c r="E304" s="393">
        <f>E305</f>
        <v>6591684</v>
      </c>
      <c r="F304" s="393">
        <f t="shared" ref="F304:P304" si="244">F305</f>
        <v>6591684</v>
      </c>
      <c r="G304" s="393">
        <f t="shared" si="244"/>
        <v>1669391</v>
      </c>
      <c r="H304" s="393">
        <f t="shared" si="244"/>
        <v>69329</v>
      </c>
      <c r="I304" s="393">
        <f t="shared" si="244"/>
        <v>0</v>
      </c>
      <c r="J304" s="393">
        <f t="shared" si="244"/>
        <v>1599500</v>
      </c>
      <c r="K304" s="393">
        <f t="shared" si="244"/>
        <v>1599500</v>
      </c>
      <c r="L304" s="393">
        <f t="shared" si="244"/>
        <v>0</v>
      </c>
      <c r="M304" s="393">
        <f t="shared" si="244"/>
        <v>0</v>
      </c>
      <c r="N304" s="393">
        <f t="shared" si="244"/>
        <v>0</v>
      </c>
      <c r="O304" s="393">
        <f t="shared" si="244"/>
        <v>1599500</v>
      </c>
      <c r="P304" s="393">
        <f t="shared" si="244"/>
        <v>8191184</v>
      </c>
      <c r="Q304" s="20"/>
      <c r="R304" s="50"/>
    </row>
    <row r="305" spans="1:18" ht="47.25" thickTop="1" thickBot="1" x14ac:dyDescent="0.25">
      <c r="A305" s="348" t="s">
        <v>818</v>
      </c>
      <c r="B305" s="348" t="s">
        <v>819</v>
      </c>
      <c r="C305" s="348"/>
      <c r="D305" s="599" t="s">
        <v>1341</v>
      </c>
      <c r="E305" s="352">
        <f>SUM(E306:E308)</f>
        <v>6591684</v>
      </c>
      <c r="F305" s="352">
        <f t="shared" ref="F305:P305" si="245">SUM(F306:F308)</f>
        <v>6591684</v>
      </c>
      <c r="G305" s="352">
        <f t="shared" si="245"/>
        <v>1669391</v>
      </c>
      <c r="H305" s="352">
        <f t="shared" si="245"/>
        <v>69329</v>
      </c>
      <c r="I305" s="352">
        <f t="shared" si="245"/>
        <v>0</v>
      </c>
      <c r="J305" s="352">
        <f t="shared" si="245"/>
        <v>1599500</v>
      </c>
      <c r="K305" s="352">
        <f t="shared" si="245"/>
        <v>1599500</v>
      </c>
      <c r="L305" s="352">
        <f t="shared" si="245"/>
        <v>0</v>
      </c>
      <c r="M305" s="352">
        <f t="shared" si="245"/>
        <v>0</v>
      </c>
      <c r="N305" s="352">
        <f t="shared" si="245"/>
        <v>0</v>
      </c>
      <c r="O305" s="352">
        <f t="shared" si="245"/>
        <v>1599500</v>
      </c>
      <c r="P305" s="352">
        <f t="shared" si="245"/>
        <v>8191184</v>
      </c>
      <c r="Q305" s="20"/>
      <c r="R305" s="50"/>
    </row>
    <row r="306" spans="1:18" ht="93" thickTop="1" thickBot="1" x14ac:dyDescent="0.25">
      <c r="A306" s="119" t="s">
        <v>558</v>
      </c>
      <c r="B306" s="119" t="s">
        <v>522</v>
      </c>
      <c r="C306" s="119" t="s">
        <v>255</v>
      </c>
      <c r="D306" s="119" t="s">
        <v>523</v>
      </c>
      <c r="E306" s="347">
        <f>F306</f>
        <v>4361250</v>
      </c>
      <c r="F306" s="389">
        <f>((1000000)+500000)+2861250</f>
        <v>4361250</v>
      </c>
      <c r="G306" s="389"/>
      <c r="H306" s="389"/>
      <c r="I306" s="389"/>
      <c r="J306" s="393">
        <f>L306+O306</f>
        <v>1550000</v>
      </c>
      <c r="K306" s="350">
        <f>(((8100000)-8100000)+1000000)+550000</f>
        <v>1550000</v>
      </c>
      <c r="L306" s="389"/>
      <c r="M306" s="389"/>
      <c r="N306" s="389"/>
      <c r="O306" s="351">
        <f>K306</f>
        <v>1550000</v>
      </c>
      <c r="P306" s="393">
        <f>E306+J306</f>
        <v>5911250</v>
      </c>
      <c r="Q306" s="20"/>
      <c r="R306" s="50"/>
    </row>
    <row r="307" spans="1:18" ht="48" thickTop="1" thickBot="1" x14ac:dyDescent="0.25">
      <c r="A307" s="119" t="s">
        <v>559</v>
      </c>
      <c r="B307" s="119" t="s">
        <v>254</v>
      </c>
      <c r="C307" s="119" t="s">
        <v>255</v>
      </c>
      <c r="D307" s="119" t="s">
        <v>253</v>
      </c>
      <c r="E307" s="347">
        <f t="shared" ref="E307:E308" si="246">F307</f>
        <v>2230434</v>
      </c>
      <c r="F307" s="389">
        <v>2230434</v>
      </c>
      <c r="G307" s="389">
        <v>1669391</v>
      </c>
      <c r="H307" s="389">
        <f>2825+50400+16104</f>
        <v>69329</v>
      </c>
      <c r="I307" s="389"/>
      <c r="J307" s="393">
        <f>L307+O307</f>
        <v>49500</v>
      </c>
      <c r="K307" s="350">
        <v>49500</v>
      </c>
      <c r="L307" s="389"/>
      <c r="M307" s="389"/>
      <c r="N307" s="389"/>
      <c r="O307" s="351">
        <f>K307</f>
        <v>49500</v>
      </c>
      <c r="P307" s="393">
        <f>E307+J307</f>
        <v>2279934</v>
      </c>
      <c r="Q307" s="20"/>
      <c r="R307" s="46"/>
    </row>
    <row r="308" spans="1:18" ht="48" hidden="1" thickTop="1" thickBot="1" x14ac:dyDescent="0.25">
      <c r="A308" s="41" t="s">
        <v>560</v>
      </c>
      <c r="B308" s="41" t="s">
        <v>561</v>
      </c>
      <c r="C308" s="41" t="s">
        <v>255</v>
      </c>
      <c r="D308" s="41" t="s">
        <v>562</v>
      </c>
      <c r="E308" s="176">
        <f t="shared" si="246"/>
        <v>0</v>
      </c>
      <c r="F308" s="177">
        <f>(1219000)-1219000</f>
        <v>0</v>
      </c>
      <c r="G308" s="177">
        <f>(354000+540000)-894000</f>
        <v>0</v>
      </c>
      <c r="H308" s="177">
        <f>(6000+3000)-9000</f>
        <v>0</v>
      </c>
      <c r="I308" s="177"/>
      <c r="J308" s="42">
        <f>L308+O308</f>
        <v>0</v>
      </c>
      <c r="K308" s="43"/>
      <c r="L308" s="177"/>
      <c r="M308" s="177"/>
      <c r="N308" s="177"/>
      <c r="O308" s="44">
        <f>K308</f>
        <v>0</v>
      </c>
      <c r="P308" s="42">
        <f>E308+J308</f>
        <v>0</v>
      </c>
      <c r="Q308" s="20"/>
      <c r="R308" s="50"/>
    </row>
    <row r="309" spans="1:18" ht="47.25" thickTop="1" thickBot="1" x14ac:dyDescent="0.25">
      <c r="A309" s="346" t="s">
        <v>1589</v>
      </c>
      <c r="B309" s="346" t="s">
        <v>708</v>
      </c>
      <c r="C309" s="346"/>
      <c r="D309" s="346" t="s">
        <v>709</v>
      </c>
      <c r="E309" s="393">
        <f>E310</f>
        <v>0</v>
      </c>
      <c r="F309" s="393">
        <f t="shared" ref="F309:P310" si="247">F310</f>
        <v>0</v>
      </c>
      <c r="G309" s="393">
        <f t="shared" si="247"/>
        <v>0</v>
      </c>
      <c r="H309" s="393">
        <f t="shared" si="247"/>
        <v>0</v>
      </c>
      <c r="I309" s="393">
        <f t="shared" si="247"/>
        <v>0</v>
      </c>
      <c r="J309" s="393">
        <f t="shared" si="247"/>
        <v>10000000</v>
      </c>
      <c r="K309" s="393">
        <f t="shared" si="247"/>
        <v>10000000</v>
      </c>
      <c r="L309" s="393">
        <f t="shared" si="247"/>
        <v>0</v>
      </c>
      <c r="M309" s="393">
        <f t="shared" si="247"/>
        <v>0</v>
      </c>
      <c r="N309" s="393">
        <f t="shared" si="247"/>
        <v>0</v>
      </c>
      <c r="O309" s="393">
        <f t="shared" si="247"/>
        <v>10000000</v>
      </c>
      <c r="P309" s="393">
        <f t="shared" si="247"/>
        <v>10000000</v>
      </c>
      <c r="Q309" s="20"/>
      <c r="R309" s="50"/>
    </row>
    <row r="310" spans="1:18" ht="91.5" thickTop="1" thickBot="1" x14ac:dyDescent="0.25">
      <c r="A310" s="348" t="s">
        <v>1590</v>
      </c>
      <c r="B310" s="348" t="s">
        <v>711</v>
      </c>
      <c r="C310" s="348"/>
      <c r="D310" s="348" t="s">
        <v>712</v>
      </c>
      <c r="E310" s="352">
        <f>E311</f>
        <v>0</v>
      </c>
      <c r="F310" s="352">
        <f t="shared" si="247"/>
        <v>0</v>
      </c>
      <c r="G310" s="352">
        <f t="shared" si="247"/>
        <v>0</v>
      </c>
      <c r="H310" s="352">
        <f t="shared" si="247"/>
        <v>0</v>
      </c>
      <c r="I310" s="352">
        <f t="shared" si="247"/>
        <v>0</v>
      </c>
      <c r="J310" s="352">
        <f t="shared" si="247"/>
        <v>10000000</v>
      </c>
      <c r="K310" s="352">
        <f t="shared" si="247"/>
        <v>10000000</v>
      </c>
      <c r="L310" s="352">
        <f t="shared" si="247"/>
        <v>0</v>
      </c>
      <c r="M310" s="352">
        <f t="shared" si="247"/>
        <v>0</v>
      </c>
      <c r="N310" s="352">
        <f t="shared" si="247"/>
        <v>0</v>
      </c>
      <c r="O310" s="352">
        <f t="shared" si="247"/>
        <v>10000000</v>
      </c>
      <c r="P310" s="352">
        <f t="shared" si="247"/>
        <v>10000000</v>
      </c>
      <c r="Q310" s="20"/>
      <c r="R310" s="50"/>
    </row>
    <row r="311" spans="1:18" ht="48" thickTop="1" thickBot="1" x14ac:dyDescent="0.25">
      <c r="A311" s="119" t="s">
        <v>1591</v>
      </c>
      <c r="B311" s="119" t="s">
        <v>367</v>
      </c>
      <c r="C311" s="119" t="s">
        <v>43</v>
      </c>
      <c r="D311" s="119" t="s">
        <v>368</v>
      </c>
      <c r="E311" s="393">
        <f t="shared" ref="E311" si="248">F311</f>
        <v>0</v>
      </c>
      <c r="F311" s="350"/>
      <c r="G311" s="350"/>
      <c r="H311" s="350"/>
      <c r="I311" s="350"/>
      <c r="J311" s="393">
        <f>L311+O311</f>
        <v>10000000</v>
      </c>
      <c r="K311" s="350">
        <v>10000000</v>
      </c>
      <c r="L311" s="350"/>
      <c r="M311" s="350"/>
      <c r="N311" s="350"/>
      <c r="O311" s="351">
        <f>K311</f>
        <v>10000000</v>
      </c>
      <c r="P311" s="393">
        <f>E311+J311</f>
        <v>10000000</v>
      </c>
      <c r="Q311" s="20"/>
      <c r="R311" s="50"/>
    </row>
    <row r="312" spans="1:18" ht="91.5" thickTop="1" thickBot="1" x14ac:dyDescent="0.25">
      <c r="A312" s="403" t="s">
        <v>25</v>
      </c>
      <c r="B312" s="403"/>
      <c r="C312" s="403"/>
      <c r="D312" s="404" t="s">
        <v>1436</v>
      </c>
      <c r="E312" s="406">
        <f>E313</f>
        <v>3862358</v>
      </c>
      <c r="F312" s="405">
        <f t="shared" ref="F312:G312" si="249">F313</f>
        <v>3862358</v>
      </c>
      <c r="G312" s="405">
        <f t="shared" si="249"/>
        <v>2744545</v>
      </c>
      <c r="H312" s="405">
        <f>H313</f>
        <v>147298</v>
      </c>
      <c r="I312" s="405">
        <f t="shared" ref="I312" si="250">I313</f>
        <v>0</v>
      </c>
      <c r="J312" s="406">
        <f>J313</f>
        <v>102127335</v>
      </c>
      <c r="K312" s="405">
        <f>K313</f>
        <v>102127335</v>
      </c>
      <c r="L312" s="405">
        <f>L313</f>
        <v>0</v>
      </c>
      <c r="M312" s="405">
        <f t="shared" ref="M312" si="251">M313</f>
        <v>0</v>
      </c>
      <c r="N312" s="405">
        <f>N313</f>
        <v>0</v>
      </c>
      <c r="O312" s="406">
        <f>O313</f>
        <v>102127335</v>
      </c>
      <c r="P312" s="405">
        <f t="shared" ref="P312" si="252">P313</f>
        <v>105989693</v>
      </c>
      <c r="Q312" s="20"/>
    </row>
    <row r="313" spans="1:18" ht="91.5" thickTop="1" thickBot="1" x14ac:dyDescent="0.25">
      <c r="A313" s="407" t="s">
        <v>26</v>
      </c>
      <c r="B313" s="407"/>
      <c r="C313" s="407"/>
      <c r="D313" s="408" t="s">
        <v>901</v>
      </c>
      <c r="E313" s="409">
        <f>E314+E320+E323+E318</f>
        <v>3862358</v>
      </c>
      <c r="F313" s="409">
        <f>F314+F320+F323+F318</f>
        <v>3862358</v>
      </c>
      <c r="G313" s="409">
        <f>G314+G320+G323+G318</f>
        <v>2744545</v>
      </c>
      <c r="H313" s="409">
        <f>H314+H320+H323+H318</f>
        <v>147298</v>
      </c>
      <c r="I313" s="409">
        <f>I314+I320+I323+I318</f>
        <v>0</v>
      </c>
      <c r="J313" s="409">
        <f>L313+O313</f>
        <v>102127335</v>
      </c>
      <c r="K313" s="409">
        <f>K314+K320+K323+K318</f>
        <v>102127335</v>
      </c>
      <c r="L313" s="409">
        <f>L314+L320+L323+L318</f>
        <v>0</v>
      </c>
      <c r="M313" s="409">
        <f>M314+M320+M323+M318</f>
        <v>0</v>
      </c>
      <c r="N313" s="409">
        <f>N314+N320+N323+N318</f>
        <v>0</v>
      </c>
      <c r="O313" s="409">
        <f>O314+O320+O323+O318</f>
        <v>102127335</v>
      </c>
      <c r="P313" s="409">
        <f>E313+J313</f>
        <v>105989693</v>
      </c>
      <c r="Q313" s="353" t="b">
        <f>P313=P315+P316+P319+P322+P325+P327+P328+P330</f>
        <v>1</v>
      </c>
      <c r="R313" s="46"/>
    </row>
    <row r="314" spans="1:18" ht="47.25" thickTop="1" thickBot="1" x14ac:dyDescent="0.25">
      <c r="A314" s="346" t="s">
        <v>820</v>
      </c>
      <c r="B314" s="346" t="s">
        <v>690</v>
      </c>
      <c r="C314" s="346"/>
      <c r="D314" s="346" t="s">
        <v>691</v>
      </c>
      <c r="E314" s="393">
        <f t="shared" ref="E314:P314" si="253">SUM(E315:E317)</f>
        <v>3862358</v>
      </c>
      <c r="F314" s="393">
        <f t="shared" si="253"/>
        <v>3862358</v>
      </c>
      <c r="G314" s="393">
        <f t="shared" si="253"/>
        <v>2744545</v>
      </c>
      <c r="H314" s="393">
        <f t="shared" si="253"/>
        <v>147298</v>
      </c>
      <c r="I314" s="393">
        <f t="shared" si="253"/>
        <v>0</v>
      </c>
      <c r="J314" s="393">
        <f t="shared" si="253"/>
        <v>0</v>
      </c>
      <c r="K314" s="393">
        <f t="shared" si="253"/>
        <v>0</v>
      </c>
      <c r="L314" s="393">
        <f t="shared" si="253"/>
        <v>0</v>
      </c>
      <c r="M314" s="393">
        <f t="shared" si="253"/>
        <v>0</v>
      </c>
      <c r="N314" s="393">
        <f t="shared" si="253"/>
        <v>0</v>
      </c>
      <c r="O314" s="393">
        <f t="shared" si="253"/>
        <v>0</v>
      </c>
      <c r="P314" s="393">
        <f t="shared" si="253"/>
        <v>3862358</v>
      </c>
      <c r="Q314" s="47"/>
      <c r="R314" s="46"/>
    </row>
    <row r="315" spans="1:18" ht="93" thickTop="1" thickBot="1" x14ac:dyDescent="0.25">
      <c r="A315" s="119" t="s">
        <v>421</v>
      </c>
      <c r="B315" s="119" t="s">
        <v>240</v>
      </c>
      <c r="C315" s="119" t="s">
        <v>238</v>
      </c>
      <c r="D315" s="119" t="s">
        <v>239</v>
      </c>
      <c r="E315" s="393">
        <f>F315</f>
        <v>3852358</v>
      </c>
      <c r="F315" s="350">
        <v>3852358</v>
      </c>
      <c r="G315" s="350">
        <v>2744545</v>
      </c>
      <c r="H315" s="350">
        <f>3963+73000+70335</f>
        <v>147298</v>
      </c>
      <c r="I315" s="350"/>
      <c r="J315" s="393">
        <f t="shared" ref="J315:J331" si="254">L315+O315</f>
        <v>0</v>
      </c>
      <c r="K315" s="350"/>
      <c r="L315" s="350"/>
      <c r="M315" s="350"/>
      <c r="N315" s="350"/>
      <c r="O315" s="351">
        <f>K315</f>
        <v>0</v>
      </c>
      <c r="P315" s="393">
        <f t="shared" ref="P315:P331" si="255">E315+J315</f>
        <v>3852358</v>
      </c>
      <c r="Q315" s="47"/>
      <c r="R315" s="50"/>
    </row>
    <row r="316" spans="1:18" ht="93" thickTop="1" thickBot="1" x14ac:dyDescent="0.25">
      <c r="A316" s="119" t="s">
        <v>636</v>
      </c>
      <c r="B316" s="119" t="s">
        <v>366</v>
      </c>
      <c r="C316" s="119" t="s">
        <v>631</v>
      </c>
      <c r="D316" s="119" t="s">
        <v>632</v>
      </c>
      <c r="E316" s="347">
        <f>F316</f>
        <v>10000</v>
      </c>
      <c r="F316" s="389">
        <v>10000</v>
      </c>
      <c r="G316" s="389"/>
      <c r="H316" s="389"/>
      <c r="I316" s="389"/>
      <c r="J316" s="393">
        <f t="shared" si="254"/>
        <v>0</v>
      </c>
      <c r="K316" s="389"/>
      <c r="L316" s="390"/>
      <c r="M316" s="390"/>
      <c r="N316" s="390"/>
      <c r="O316" s="351">
        <f t="shared" ref="O316:O317" si="256">K316</f>
        <v>0</v>
      </c>
      <c r="P316" s="393">
        <f t="shared" ref="P316:P317" si="257">+J316+E316</f>
        <v>10000</v>
      </c>
      <c r="Q316" s="47"/>
      <c r="R316" s="50"/>
    </row>
    <row r="317" spans="1:18" ht="48" hidden="1" thickTop="1" thickBot="1" x14ac:dyDescent="0.25">
      <c r="A317" s="144" t="s">
        <v>937</v>
      </c>
      <c r="B317" s="144" t="s">
        <v>43</v>
      </c>
      <c r="C317" s="144" t="s">
        <v>42</v>
      </c>
      <c r="D317" s="144" t="s">
        <v>252</v>
      </c>
      <c r="E317" s="143">
        <f>F317</f>
        <v>0</v>
      </c>
      <c r="F317" s="150">
        <v>0</v>
      </c>
      <c r="G317" s="150"/>
      <c r="H317" s="150"/>
      <c r="I317" s="150"/>
      <c r="J317" s="143">
        <f t="shared" si="254"/>
        <v>0</v>
      </c>
      <c r="K317" s="145"/>
      <c r="L317" s="146"/>
      <c r="M317" s="146"/>
      <c r="N317" s="146"/>
      <c r="O317" s="148">
        <f t="shared" si="256"/>
        <v>0</v>
      </c>
      <c r="P317" s="143">
        <f t="shared" si="257"/>
        <v>0</v>
      </c>
      <c r="Q317" s="47"/>
      <c r="R317" s="50"/>
    </row>
    <row r="318" spans="1:18" ht="47.25" thickTop="1" thickBot="1" x14ac:dyDescent="0.25">
      <c r="A318" s="346" t="s">
        <v>1261</v>
      </c>
      <c r="B318" s="346" t="s">
        <v>717</v>
      </c>
      <c r="C318" s="346"/>
      <c r="D318" s="346" t="s">
        <v>718</v>
      </c>
      <c r="E318" s="393">
        <f t="shared" ref="E318:P318" si="258">SUM(E319:E319)</f>
        <v>0</v>
      </c>
      <c r="F318" s="393">
        <f t="shared" si="258"/>
        <v>0</v>
      </c>
      <c r="G318" s="393">
        <f t="shared" si="258"/>
        <v>0</v>
      </c>
      <c r="H318" s="393">
        <f t="shared" si="258"/>
        <v>0</v>
      </c>
      <c r="I318" s="393">
        <f t="shared" si="258"/>
        <v>0</v>
      </c>
      <c r="J318" s="393">
        <f t="shared" si="258"/>
        <v>3098000</v>
      </c>
      <c r="K318" s="393">
        <f t="shared" si="258"/>
        <v>3098000</v>
      </c>
      <c r="L318" s="393">
        <f t="shared" si="258"/>
        <v>0</v>
      </c>
      <c r="M318" s="393">
        <f t="shared" si="258"/>
        <v>0</v>
      </c>
      <c r="N318" s="393">
        <f t="shared" si="258"/>
        <v>0</v>
      </c>
      <c r="O318" s="393">
        <f t="shared" si="258"/>
        <v>3098000</v>
      </c>
      <c r="P318" s="393">
        <f t="shared" si="258"/>
        <v>3098000</v>
      </c>
      <c r="Q318" s="47"/>
      <c r="R318" s="50"/>
    </row>
    <row r="319" spans="1:18" ht="93" thickTop="1" thickBot="1" x14ac:dyDescent="0.25">
      <c r="A319" s="119" t="s">
        <v>1262</v>
      </c>
      <c r="B319" s="119" t="s">
        <v>1225</v>
      </c>
      <c r="C319" s="119" t="s">
        <v>210</v>
      </c>
      <c r="D319" s="413" t="s">
        <v>1226</v>
      </c>
      <c r="E319" s="393">
        <f t="shared" ref="E319" si="259">F319</f>
        <v>0</v>
      </c>
      <c r="F319" s="350">
        <v>0</v>
      </c>
      <c r="G319" s="350"/>
      <c r="H319" s="350"/>
      <c r="I319" s="350"/>
      <c r="J319" s="393">
        <f>L319+O319</f>
        <v>3098000</v>
      </c>
      <c r="K319" s="350">
        <f>(((1350000)+4700000)-952000)-2000000</f>
        <v>3098000</v>
      </c>
      <c r="L319" s="350"/>
      <c r="M319" s="350"/>
      <c r="N319" s="350"/>
      <c r="O319" s="351">
        <f>K319</f>
        <v>3098000</v>
      </c>
      <c r="P319" s="393">
        <f>E319+J319</f>
        <v>3098000</v>
      </c>
      <c r="Q319" s="47"/>
      <c r="R319" s="50"/>
    </row>
    <row r="320" spans="1:18" ht="47.25" thickTop="1" thickBot="1" x14ac:dyDescent="0.25">
      <c r="A320" s="346" t="s">
        <v>821</v>
      </c>
      <c r="B320" s="346" t="s">
        <v>777</v>
      </c>
      <c r="C320" s="119"/>
      <c r="D320" s="346" t="s">
        <v>778</v>
      </c>
      <c r="E320" s="347">
        <f>E321</f>
        <v>0</v>
      </c>
      <c r="F320" s="347">
        <f t="shared" ref="F320:P321" si="260">F321</f>
        <v>0</v>
      </c>
      <c r="G320" s="347">
        <f t="shared" si="260"/>
        <v>0</v>
      </c>
      <c r="H320" s="347">
        <f t="shared" si="260"/>
        <v>0</v>
      </c>
      <c r="I320" s="347">
        <f t="shared" si="260"/>
        <v>0</v>
      </c>
      <c r="J320" s="347">
        <f t="shared" si="260"/>
        <v>2200000</v>
      </c>
      <c r="K320" s="347">
        <f t="shared" si="260"/>
        <v>2200000</v>
      </c>
      <c r="L320" s="347">
        <f t="shared" si="260"/>
        <v>0</v>
      </c>
      <c r="M320" s="347">
        <f t="shared" si="260"/>
        <v>0</v>
      </c>
      <c r="N320" s="347">
        <f t="shared" si="260"/>
        <v>0</v>
      </c>
      <c r="O320" s="347">
        <f t="shared" si="260"/>
        <v>2200000</v>
      </c>
      <c r="P320" s="347">
        <f t="shared" si="260"/>
        <v>2200000</v>
      </c>
      <c r="Q320" s="47"/>
      <c r="R320" s="50"/>
    </row>
    <row r="321" spans="1:18" ht="48" thickTop="1" thickBot="1" x14ac:dyDescent="0.25">
      <c r="A321" s="399" t="s">
        <v>822</v>
      </c>
      <c r="B321" s="399" t="s">
        <v>823</v>
      </c>
      <c r="C321" s="399"/>
      <c r="D321" s="399" t="s">
        <v>824</v>
      </c>
      <c r="E321" s="444">
        <f>E322</f>
        <v>0</v>
      </c>
      <c r="F321" s="444">
        <f t="shared" si="260"/>
        <v>0</v>
      </c>
      <c r="G321" s="444">
        <f t="shared" si="260"/>
        <v>0</v>
      </c>
      <c r="H321" s="444">
        <f t="shared" si="260"/>
        <v>0</v>
      </c>
      <c r="I321" s="444">
        <f t="shared" si="260"/>
        <v>0</v>
      </c>
      <c r="J321" s="444">
        <f t="shared" si="260"/>
        <v>2200000</v>
      </c>
      <c r="K321" s="444">
        <f t="shared" si="260"/>
        <v>2200000</v>
      </c>
      <c r="L321" s="444">
        <f t="shared" si="260"/>
        <v>0</v>
      </c>
      <c r="M321" s="444">
        <f t="shared" si="260"/>
        <v>0</v>
      </c>
      <c r="N321" s="444">
        <f t="shared" si="260"/>
        <v>0</v>
      </c>
      <c r="O321" s="444">
        <f t="shared" si="260"/>
        <v>2200000</v>
      </c>
      <c r="P321" s="444">
        <f t="shared" si="260"/>
        <v>2200000</v>
      </c>
      <c r="Q321" s="47"/>
      <c r="R321" s="50"/>
    </row>
    <row r="322" spans="1:18" ht="283.5" customHeight="1" thickTop="1" thickBot="1" x14ac:dyDescent="0.25">
      <c r="A322" s="119" t="s">
        <v>437</v>
      </c>
      <c r="B322" s="119" t="s">
        <v>438</v>
      </c>
      <c r="C322" s="119" t="s">
        <v>199</v>
      </c>
      <c r="D322" s="119" t="s">
        <v>1202</v>
      </c>
      <c r="E322" s="393">
        <f t="shared" ref="E322:E329" si="261">F322</f>
        <v>0</v>
      </c>
      <c r="F322" s="350"/>
      <c r="G322" s="350"/>
      <c r="H322" s="350"/>
      <c r="I322" s="350"/>
      <c r="J322" s="393">
        <f t="shared" si="254"/>
        <v>2200000</v>
      </c>
      <c r="K322" s="350">
        <f>(3000000)-800000</f>
        <v>2200000</v>
      </c>
      <c r="L322" s="350"/>
      <c r="M322" s="350"/>
      <c r="N322" s="350"/>
      <c r="O322" s="351">
        <f t="shared" ref="O322" si="262">K322</f>
        <v>2200000</v>
      </c>
      <c r="P322" s="393">
        <f t="shared" si="255"/>
        <v>2200000</v>
      </c>
      <c r="Q322" s="47"/>
      <c r="R322" s="46"/>
    </row>
    <row r="323" spans="1:18" ht="47.25" thickTop="1" thickBot="1" x14ac:dyDescent="0.25">
      <c r="A323" s="346" t="s">
        <v>825</v>
      </c>
      <c r="B323" s="346" t="s">
        <v>754</v>
      </c>
      <c r="C323" s="119"/>
      <c r="D323" s="346" t="s">
        <v>801</v>
      </c>
      <c r="E323" s="393">
        <f>E324+E332</f>
        <v>0</v>
      </c>
      <c r="F323" s="393">
        <f t="shared" ref="F323:P323" si="263">F324+F332</f>
        <v>0</v>
      </c>
      <c r="G323" s="393">
        <f t="shared" si="263"/>
        <v>0</v>
      </c>
      <c r="H323" s="393">
        <f t="shared" si="263"/>
        <v>0</v>
      </c>
      <c r="I323" s="393">
        <f t="shared" si="263"/>
        <v>0</v>
      </c>
      <c r="J323" s="393">
        <f t="shared" si="263"/>
        <v>96829335</v>
      </c>
      <c r="K323" s="393">
        <f t="shared" si="263"/>
        <v>96829335</v>
      </c>
      <c r="L323" s="393">
        <f t="shared" si="263"/>
        <v>0</v>
      </c>
      <c r="M323" s="393">
        <f t="shared" si="263"/>
        <v>0</v>
      </c>
      <c r="N323" s="393">
        <f t="shared" si="263"/>
        <v>0</v>
      </c>
      <c r="O323" s="393">
        <f t="shared" si="263"/>
        <v>96829335</v>
      </c>
      <c r="P323" s="393">
        <f t="shared" si="263"/>
        <v>96829335</v>
      </c>
      <c r="Q323" s="47"/>
      <c r="R323" s="50"/>
    </row>
    <row r="324" spans="1:18" ht="47.25" thickTop="1" thickBot="1" x14ac:dyDescent="0.25">
      <c r="A324" s="348" t="s">
        <v>826</v>
      </c>
      <c r="B324" s="348" t="s">
        <v>810</v>
      </c>
      <c r="C324" s="348"/>
      <c r="D324" s="348" t="s">
        <v>811</v>
      </c>
      <c r="E324" s="352">
        <f t="shared" ref="E324:P324" si="264">SUM(E325:E331)-E326</f>
        <v>0</v>
      </c>
      <c r="F324" s="352">
        <f t="shared" si="264"/>
        <v>0</v>
      </c>
      <c r="G324" s="352">
        <f t="shared" si="264"/>
        <v>0</v>
      </c>
      <c r="H324" s="352">
        <f t="shared" si="264"/>
        <v>0</v>
      </c>
      <c r="I324" s="352">
        <f t="shared" si="264"/>
        <v>0</v>
      </c>
      <c r="J324" s="352">
        <f t="shared" si="264"/>
        <v>96829335</v>
      </c>
      <c r="K324" s="352">
        <f t="shared" si="264"/>
        <v>96829335</v>
      </c>
      <c r="L324" s="352">
        <f t="shared" si="264"/>
        <v>0</v>
      </c>
      <c r="M324" s="352">
        <f t="shared" si="264"/>
        <v>0</v>
      </c>
      <c r="N324" s="352">
        <f t="shared" si="264"/>
        <v>0</v>
      </c>
      <c r="O324" s="352">
        <f t="shared" si="264"/>
        <v>96829335</v>
      </c>
      <c r="P324" s="352">
        <f t="shared" si="264"/>
        <v>96829335</v>
      </c>
      <c r="Q324" s="47"/>
      <c r="R324" s="50"/>
    </row>
    <row r="325" spans="1:18" ht="54" thickTop="1" thickBot="1" x14ac:dyDescent="0.25">
      <c r="A325" s="119" t="s">
        <v>936</v>
      </c>
      <c r="B325" s="119" t="s">
        <v>309</v>
      </c>
      <c r="C325" s="119" t="s">
        <v>308</v>
      </c>
      <c r="D325" s="119" t="s">
        <v>1315</v>
      </c>
      <c r="E325" s="393">
        <f t="shared" ref="E325" si="265">F325</f>
        <v>0</v>
      </c>
      <c r="F325" s="350"/>
      <c r="G325" s="350"/>
      <c r="H325" s="350"/>
      <c r="I325" s="350"/>
      <c r="J325" s="393">
        <f t="shared" ref="J325" si="266">L325+O325</f>
        <v>4500000</v>
      </c>
      <c r="K325" s="350">
        <f>((100000)+1000000)+3400000</f>
        <v>4500000</v>
      </c>
      <c r="L325" s="350"/>
      <c r="M325" s="350"/>
      <c r="N325" s="350"/>
      <c r="O325" s="351">
        <f>K325</f>
        <v>4500000</v>
      </c>
      <c r="P325" s="393">
        <f t="shared" ref="P325" si="267">E325+J325</f>
        <v>4500000</v>
      </c>
      <c r="Q325" s="47"/>
      <c r="R325" s="46"/>
    </row>
    <row r="326" spans="1:18" ht="54.75" thickTop="1" thickBot="1" x14ac:dyDescent="0.25">
      <c r="A326" s="399" t="s">
        <v>827</v>
      </c>
      <c r="B326" s="399" t="s">
        <v>828</v>
      </c>
      <c r="C326" s="399"/>
      <c r="D326" s="399" t="s">
        <v>1308</v>
      </c>
      <c r="E326" s="388">
        <f>SUM(E327:E328)</f>
        <v>0</v>
      </c>
      <c r="F326" s="388">
        <f t="shared" ref="F326:P326" si="268">SUM(F327:F328)</f>
        <v>0</v>
      </c>
      <c r="G326" s="388">
        <f t="shared" si="268"/>
        <v>0</v>
      </c>
      <c r="H326" s="388">
        <f t="shared" si="268"/>
        <v>0</v>
      </c>
      <c r="I326" s="388">
        <f t="shared" si="268"/>
        <v>0</v>
      </c>
      <c r="J326" s="388">
        <f t="shared" si="268"/>
        <v>46983650</v>
      </c>
      <c r="K326" s="388">
        <f t="shared" si="268"/>
        <v>46983650</v>
      </c>
      <c r="L326" s="388">
        <f t="shared" si="268"/>
        <v>0</v>
      </c>
      <c r="M326" s="388">
        <f t="shared" si="268"/>
        <v>0</v>
      </c>
      <c r="N326" s="388">
        <f t="shared" si="268"/>
        <v>0</v>
      </c>
      <c r="O326" s="388">
        <f t="shared" si="268"/>
        <v>46983650</v>
      </c>
      <c r="P326" s="388">
        <f t="shared" si="268"/>
        <v>46983650</v>
      </c>
      <c r="Q326" s="47"/>
      <c r="R326" s="50"/>
    </row>
    <row r="327" spans="1:18" ht="54" thickTop="1" thickBot="1" x14ac:dyDescent="0.25">
      <c r="A327" s="119" t="s">
        <v>314</v>
      </c>
      <c r="B327" s="119" t="s">
        <v>315</v>
      </c>
      <c r="C327" s="119" t="s">
        <v>308</v>
      </c>
      <c r="D327" s="119" t="s">
        <v>1293</v>
      </c>
      <c r="E327" s="393">
        <f t="shared" si="261"/>
        <v>0</v>
      </c>
      <c r="F327" s="350"/>
      <c r="G327" s="350"/>
      <c r="H327" s="350"/>
      <c r="I327" s="350"/>
      <c r="J327" s="393">
        <f t="shared" si="254"/>
        <v>46733650</v>
      </c>
      <c r="K327" s="350">
        <f>(((700000)+50933650)+500000-3000000)-2400000</f>
        <v>46733650</v>
      </c>
      <c r="L327" s="350"/>
      <c r="M327" s="350"/>
      <c r="N327" s="350"/>
      <c r="O327" s="351">
        <f>K327</f>
        <v>46733650</v>
      </c>
      <c r="P327" s="393">
        <f t="shared" si="255"/>
        <v>46733650</v>
      </c>
      <c r="Q327" s="142"/>
      <c r="R327" s="46"/>
    </row>
    <row r="328" spans="1:18" ht="54" thickTop="1" thickBot="1" x14ac:dyDescent="0.25">
      <c r="A328" s="119" t="s">
        <v>520</v>
      </c>
      <c r="B328" s="119" t="s">
        <v>521</v>
      </c>
      <c r="C328" s="119" t="s">
        <v>308</v>
      </c>
      <c r="D328" s="119" t="s">
        <v>1321</v>
      </c>
      <c r="E328" s="393">
        <f t="shared" si="261"/>
        <v>0</v>
      </c>
      <c r="F328" s="350"/>
      <c r="G328" s="350"/>
      <c r="H328" s="350"/>
      <c r="I328" s="350"/>
      <c r="J328" s="393">
        <f t="shared" si="254"/>
        <v>250000</v>
      </c>
      <c r="K328" s="350">
        <f>((500000)+900000)-1150000</f>
        <v>250000</v>
      </c>
      <c r="L328" s="350"/>
      <c r="M328" s="350"/>
      <c r="N328" s="350"/>
      <c r="O328" s="351">
        <f>K328</f>
        <v>250000</v>
      </c>
      <c r="P328" s="393">
        <f t="shared" si="255"/>
        <v>250000</v>
      </c>
      <c r="Q328" s="142"/>
      <c r="R328" s="46"/>
    </row>
    <row r="329" spans="1:18" ht="54" hidden="1" thickTop="1" thickBot="1" x14ac:dyDescent="0.25">
      <c r="A329" s="144" t="s">
        <v>316</v>
      </c>
      <c r="B329" s="144" t="s">
        <v>317</v>
      </c>
      <c r="C329" s="144" t="s">
        <v>308</v>
      </c>
      <c r="D329" s="144" t="s">
        <v>1263</v>
      </c>
      <c r="E329" s="143">
        <f t="shared" si="261"/>
        <v>0</v>
      </c>
      <c r="F329" s="150"/>
      <c r="G329" s="150"/>
      <c r="H329" s="150"/>
      <c r="I329" s="150"/>
      <c r="J329" s="143">
        <f t="shared" si="254"/>
        <v>0</v>
      </c>
      <c r="K329" s="150"/>
      <c r="L329" s="150"/>
      <c r="M329" s="150"/>
      <c r="N329" s="150"/>
      <c r="O329" s="148">
        <f>K329</f>
        <v>0</v>
      </c>
      <c r="P329" s="143">
        <f t="shared" si="255"/>
        <v>0</v>
      </c>
      <c r="Q329" s="142"/>
    </row>
    <row r="330" spans="1:18" ht="54" thickTop="1" thickBot="1" x14ac:dyDescent="0.3">
      <c r="A330" s="119" t="s">
        <v>318</v>
      </c>
      <c r="B330" s="119" t="s">
        <v>319</v>
      </c>
      <c r="C330" s="119" t="s">
        <v>308</v>
      </c>
      <c r="D330" s="119" t="s">
        <v>1322</v>
      </c>
      <c r="E330" s="393">
        <f>F330</f>
        <v>0</v>
      </c>
      <c r="F330" s="350"/>
      <c r="G330" s="350"/>
      <c r="H330" s="350"/>
      <c r="I330" s="350"/>
      <c r="J330" s="393">
        <f t="shared" si="254"/>
        <v>45345685</v>
      </c>
      <c r="K330" s="350">
        <f>(((2050000)+8581051)+25104429-1553000+4362554+200000-200000)+6800651</f>
        <v>45345685</v>
      </c>
      <c r="L330" s="350"/>
      <c r="M330" s="350"/>
      <c r="N330" s="350"/>
      <c r="O330" s="351">
        <f>K330</f>
        <v>45345685</v>
      </c>
      <c r="P330" s="393">
        <f t="shared" si="255"/>
        <v>45345685</v>
      </c>
      <c r="Q330" s="178"/>
      <c r="R330" s="46"/>
    </row>
    <row r="331" spans="1:18" ht="48" hidden="1" thickTop="1" thickBot="1" x14ac:dyDescent="0.25">
      <c r="A331" s="41" t="s">
        <v>441</v>
      </c>
      <c r="B331" s="41" t="s">
        <v>354</v>
      </c>
      <c r="C331" s="41" t="s">
        <v>170</v>
      </c>
      <c r="D331" s="41" t="s">
        <v>266</v>
      </c>
      <c r="E331" s="42">
        <f>F331</f>
        <v>0</v>
      </c>
      <c r="F331" s="43"/>
      <c r="G331" s="43"/>
      <c r="H331" s="43"/>
      <c r="I331" s="43"/>
      <c r="J331" s="42">
        <f t="shared" si="254"/>
        <v>0</v>
      </c>
      <c r="K331" s="43">
        <v>0</v>
      </c>
      <c r="L331" s="43"/>
      <c r="M331" s="43"/>
      <c r="N331" s="43"/>
      <c r="O331" s="44">
        <f>K331</f>
        <v>0</v>
      </c>
      <c r="P331" s="42">
        <f t="shared" si="255"/>
        <v>0</v>
      </c>
      <c r="Q331" s="20"/>
      <c r="R331" s="46"/>
    </row>
    <row r="332" spans="1:18" ht="47.25" hidden="1" thickTop="1" thickBot="1" x14ac:dyDescent="0.25">
      <c r="A332" s="152" t="s">
        <v>1002</v>
      </c>
      <c r="B332" s="152" t="s">
        <v>697</v>
      </c>
      <c r="C332" s="152"/>
      <c r="D332" s="152" t="s">
        <v>695</v>
      </c>
      <c r="E332" s="175">
        <f>E333</f>
        <v>0</v>
      </c>
      <c r="F332" s="175">
        <f>F333</f>
        <v>0</v>
      </c>
      <c r="G332" s="175">
        <f>G333</f>
        <v>0</v>
      </c>
      <c r="H332" s="175">
        <f>H333</f>
        <v>0</v>
      </c>
      <c r="I332" s="175">
        <f>I333</f>
        <v>0</v>
      </c>
      <c r="J332" s="175">
        <f t="shared" ref="J332:O332" si="269">J333</f>
        <v>0</v>
      </c>
      <c r="K332" s="175">
        <f t="shared" si="269"/>
        <v>0</v>
      </c>
      <c r="L332" s="175">
        <f t="shared" si="269"/>
        <v>0</v>
      </c>
      <c r="M332" s="175">
        <f t="shared" si="269"/>
        <v>0</v>
      </c>
      <c r="N332" s="175">
        <f t="shared" si="269"/>
        <v>0</v>
      </c>
      <c r="O332" s="175">
        <f t="shared" si="269"/>
        <v>0</v>
      </c>
      <c r="P332" s="175">
        <f>P333</f>
        <v>0</v>
      </c>
      <c r="Q332" s="20"/>
      <c r="R332" s="46"/>
    </row>
    <row r="333" spans="1:18" ht="48" hidden="1" thickTop="1" thickBot="1" x14ac:dyDescent="0.25">
      <c r="A333" s="156" t="s">
        <v>1003</v>
      </c>
      <c r="B333" s="156" t="s">
        <v>700</v>
      </c>
      <c r="C333" s="156"/>
      <c r="D333" s="156" t="s">
        <v>804</v>
      </c>
      <c r="E333" s="174">
        <f>E334+E336</f>
        <v>0</v>
      </c>
      <c r="F333" s="174">
        <f t="shared" ref="F333:P333" si="270">F334+F336</f>
        <v>0</v>
      </c>
      <c r="G333" s="174">
        <f t="shared" si="270"/>
        <v>0</v>
      </c>
      <c r="H333" s="174">
        <f t="shared" si="270"/>
        <v>0</v>
      </c>
      <c r="I333" s="174">
        <f t="shared" si="270"/>
        <v>0</v>
      </c>
      <c r="J333" s="174">
        <f t="shared" si="270"/>
        <v>0</v>
      </c>
      <c r="K333" s="174">
        <f t="shared" si="270"/>
        <v>0</v>
      </c>
      <c r="L333" s="174">
        <f t="shared" si="270"/>
        <v>0</v>
      </c>
      <c r="M333" s="174">
        <f t="shared" si="270"/>
        <v>0</v>
      </c>
      <c r="N333" s="174">
        <f t="shared" si="270"/>
        <v>0</v>
      </c>
      <c r="O333" s="174">
        <f t="shared" si="270"/>
        <v>0</v>
      </c>
      <c r="P333" s="174">
        <f t="shared" si="270"/>
        <v>0</v>
      </c>
      <c r="Q333" s="20"/>
      <c r="R333" s="46"/>
    </row>
    <row r="334" spans="1:18" ht="184.5" hidden="1" thickTop="1" thickBot="1" x14ac:dyDescent="0.7">
      <c r="A334" s="699" t="s">
        <v>1004</v>
      </c>
      <c r="B334" s="699" t="s">
        <v>342</v>
      </c>
      <c r="C334" s="699" t="s">
        <v>170</v>
      </c>
      <c r="D334" s="179" t="s">
        <v>444</v>
      </c>
      <c r="E334" s="700">
        <f t="shared" ref="E334" si="271">F334</f>
        <v>0</v>
      </c>
      <c r="F334" s="701"/>
      <c r="G334" s="701"/>
      <c r="H334" s="701"/>
      <c r="I334" s="701"/>
      <c r="J334" s="700">
        <f t="shared" ref="J334" si="272">L334+O334</f>
        <v>0</v>
      </c>
      <c r="K334" s="701"/>
      <c r="L334" s="701"/>
      <c r="M334" s="701"/>
      <c r="N334" s="701"/>
      <c r="O334" s="706">
        <f>K334</f>
        <v>0</v>
      </c>
      <c r="P334" s="698">
        <f>E334+J334</f>
        <v>0</v>
      </c>
      <c r="Q334" s="20"/>
      <c r="R334" s="46"/>
    </row>
    <row r="335" spans="1:18" ht="93" hidden="1" thickTop="1" thickBot="1" x14ac:dyDescent="0.25">
      <c r="A335" s="699"/>
      <c r="B335" s="699"/>
      <c r="C335" s="699"/>
      <c r="D335" s="180" t="s">
        <v>445</v>
      </c>
      <c r="E335" s="700"/>
      <c r="F335" s="701"/>
      <c r="G335" s="701"/>
      <c r="H335" s="701"/>
      <c r="I335" s="701"/>
      <c r="J335" s="700"/>
      <c r="K335" s="701"/>
      <c r="L335" s="701"/>
      <c r="M335" s="701"/>
      <c r="N335" s="701"/>
      <c r="O335" s="706"/>
      <c r="P335" s="698"/>
      <c r="Q335" s="20"/>
      <c r="R335" s="46"/>
    </row>
    <row r="336" spans="1:18" ht="48" hidden="1" thickTop="1" thickBot="1" x14ac:dyDescent="0.25">
      <c r="A336" s="144" t="s">
        <v>1218</v>
      </c>
      <c r="B336" s="144" t="s">
        <v>261</v>
      </c>
      <c r="C336" s="144" t="s">
        <v>170</v>
      </c>
      <c r="D336" s="172" t="s">
        <v>259</v>
      </c>
      <c r="E336" s="143">
        <f>F336</f>
        <v>0</v>
      </c>
      <c r="F336" s="150"/>
      <c r="G336" s="150"/>
      <c r="H336" s="150"/>
      <c r="I336" s="150"/>
      <c r="J336" s="143">
        <f t="shared" ref="J336" si="273">L336+O336</f>
        <v>0</v>
      </c>
      <c r="K336" s="150"/>
      <c r="L336" s="150"/>
      <c r="M336" s="150"/>
      <c r="N336" s="150"/>
      <c r="O336" s="148">
        <f>K336</f>
        <v>0</v>
      </c>
      <c r="P336" s="143">
        <f t="shared" ref="P336" si="274">E336+J336</f>
        <v>0</v>
      </c>
      <c r="Q336" s="20"/>
      <c r="R336" s="46"/>
    </row>
    <row r="337" spans="1:18" ht="91.5" thickTop="1" thickBot="1" x14ac:dyDescent="0.25">
      <c r="A337" s="403" t="s">
        <v>160</v>
      </c>
      <c r="B337" s="403"/>
      <c r="C337" s="403"/>
      <c r="D337" s="404" t="s">
        <v>902</v>
      </c>
      <c r="E337" s="406">
        <f>E338</f>
        <v>9109796.8100000005</v>
      </c>
      <c r="F337" s="405">
        <f t="shared" ref="F337:G337" si="275">F338</f>
        <v>9109796.8100000005</v>
      </c>
      <c r="G337" s="405">
        <f t="shared" si="275"/>
        <v>6132550</v>
      </c>
      <c r="H337" s="405">
        <f>H338</f>
        <v>401600</v>
      </c>
      <c r="I337" s="405">
        <f t="shared" ref="I337" si="276">I338</f>
        <v>0</v>
      </c>
      <c r="J337" s="406">
        <f>J338</f>
        <v>1575000</v>
      </c>
      <c r="K337" s="405">
        <f>K338</f>
        <v>1575000</v>
      </c>
      <c r="L337" s="405">
        <f>L338</f>
        <v>0</v>
      </c>
      <c r="M337" s="405">
        <f t="shared" ref="M337" si="277">M338</f>
        <v>0</v>
      </c>
      <c r="N337" s="405">
        <f>N338</f>
        <v>0</v>
      </c>
      <c r="O337" s="406">
        <f>O338</f>
        <v>1575000</v>
      </c>
      <c r="P337" s="405">
        <f t="shared" ref="P337" si="278">P338</f>
        <v>10684796.810000001</v>
      </c>
      <c r="Q337" s="20"/>
    </row>
    <row r="338" spans="1:18" ht="91.5" thickTop="1" thickBot="1" x14ac:dyDescent="0.25">
      <c r="A338" s="407" t="s">
        <v>161</v>
      </c>
      <c r="B338" s="407"/>
      <c r="C338" s="407"/>
      <c r="D338" s="408" t="s">
        <v>903</v>
      </c>
      <c r="E338" s="409">
        <f>E339+E343</f>
        <v>9109796.8100000005</v>
      </c>
      <c r="F338" s="409">
        <f>F339+F343</f>
        <v>9109796.8100000005</v>
      </c>
      <c r="G338" s="409">
        <f>G339+G343</f>
        <v>6132550</v>
      </c>
      <c r="H338" s="409">
        <f>H339+H343</f>
        <v>401600</v>
      </c>
      <c r="I338" s="409">
        <f>I339+I343</f>
        <v>0</v>
      </c>
      <c r="J338" s="409">
        <f>L338+O338</f>
        <v>1575000</v>
      </c>
      <c r="K338" s="409">
        <f>K339+K343</f>
        <v>1575000</v>
      </c>
      <c r="L338" s="409">
        <f>L339+L343</f>
        <v>0</v>
      </c>
      <c r="M338" s="409">
        <f>M339+M343</f>
        <v>0</v>
      </c>
      <c r="N338" s="409">
        <f>N339+N343</f>
        <v>0</v>
      </c>
      <c r="O338" s="409">
        <f>O339+O343</f>
        <v>1575000</v>
      </c>
      <c r="P338" s="409">
        <f>E338+J338</f>
        <v>10684796.810000001</v>
      </c>
      <c r="Q338" s="353" t="b">
        <f>P338=P340+P341+P342+P345</f>
        <v>1</v>
      </c>
      <c r="R338" s="46"/>
    </row>
    <row r="339" spans="1:18" ht="47.25" thickTop="1" thickBot="1" x14ac:dyDescent="0.25">
      <c r="A339" s="346" t="s">
        <v>829</v>
      </c>
      <c r="B339" s="346" t="s">
        <v>690</v>
      </c>
      <c r="C339" s="346"/>
      <c r="D339" s="346" t="s">
        <v>691</v>
      </c>
      <c r="E339" s="393">
        <f>SUM(E340:E342)</f>
        <v>9109796.8100000005</v>
      </c>
      <c r="F339" s="393">
        <f t="shared" ref="F339:N339" si="279">SUM(F340:F342)</f>
        <v>9109796.8100000005</v>
      </c>
      <c r="G339" s="393">
        <f t="shared" si="279"/>
        <v>6132550</v>
      </c>
      <c r="H339" s="393">
        <f t="shared" si="279"/>
        <v>401600</v>
      </c>
      <c r="I339" s="393">
        <f t="shared" si="279"/>
        <v>0</v>
      </c>
      <c r="J339" s="393">
        <f t="shared" si="279"/>
        <v>125000</v>
      </c>
      <c r="K339" s="393">
        <f t="shared" si="279"/>
        <v>125000</v>
      </c>
      <c r="L339" s="393">
        <f t="shared" si="279"/>
        <v>0</v>
      </c>
      <c r="M339" s="393">
        <f t="shared" si="279"/>
        <v>0</v>
      </c>
      <c r="N339" s="393">
        <f t="shared" si="279"/>
        <v>0</v>
      </c>
      <c r="O339" s="393">
        <f>SUM(O340:O342)</f>
        <v>125000</v>
      </c>
      <c r="P339" s="393">
        <f>SUM(P340:P342)</f>
        <v>9234796.8100000005</v>
      </c>
      <c r="Q339" s="47"/>
      <c r="R339" s="46"/>
    </row>
    <row r="340" spans="1:18" ht="93" thickTop="1" thickBot="1" x14ac:dyDescent="0.25">
      <c r="A340" s="119" t="s">
        <v>423</v>
      </c>
      <c r="B340" s="119" t="s">
        <v>240</v>
      </c>
      <c r="C340" s="119" t="s">
        <v>238</v>
      </c>
      <c r="D340" s="119" t="s">
        <v>239</v>
      </c>
      <c r="E340" s="393">
        <f>F340</f>
        <v>8729800</v>
      </c>
      <c r="F340" s="350">
        <f>((8244900)+22000+55000+44000+4400+20000+144000)+5000+5000+27500+58000+100000</f>
        <v>8729800</v>
      </c>
      <c r="G340" s="350">
        <v>6132550</v>
      </c>
      <c r="H340" s="350">
        <f>(151000+4400+97800)+4400+144000</f>
        <v>401600</v>
      </c>
      <c r="I340" s="350"/>
      <c r="J340" s="393">
        <f>L340+O340</f>
        <v>125000</v>
      </c>
      <c r="K340" s="350">
        <f>(30000)+50000+45000</f>
        <v>125000</v>
      </c>
      <c r="L340" s="350"/>
      <c r="M340" s="350"/>
      <c r="N340" s="350"/>
      <c r="O340" s="351">
        <f>K340</f>
        <v>125000</v>
      </c>
      <c r="P340" s="393">
        <f>E340+J340</f>
        <v>8854800</v>
      </c>
      <c r="Q340" s="47"/>
      <c r="R340" s="46"/>
    </row>
    <row r="341" spans="1:18" ht="93" thickTop="1" thickBot="1" x14ac:dyDescent="0.25">
      <c r="A341" s="119" t="s">
        <v>637</v>
      </c>
      <c r="B341" s="119" t="s">
        <v>366</v>
      </c>
      <c r="C341" s="119" t="s">
        <v>631</v>
      </c>
      <c r="D341" s="119" t="s">
        <v>632</v>
      </c>
      <c r="E341" s="347">
        <f>F341</f>
        <v>10000</v>
      </c>
      <c r="F341" s="389">
        <v>10000</v>
      </c>
      <c r="G341" s="389"/>
      <c r="H341" s="389"/>
      <c r="I341" s="389"/>
      <c r="J341" s="393">
        <f t="shared" ref="J341:J342" si="280">L341+O341</f>
        <v>0</v>
      </c>
      <c r="K341" s="389"/>
      <c r="L341" s="390"/>
      <c r="M341" s="390"/>
      <c r="N341" s="390"/>
      <c r="O341" s="351">
        <f t="shared" ref="O341:O342" si="281">K341</f>
        <v>0</v>
      </c>
      <c r="P341" s="393">
        <f t="shared" ref="P341" si="282">+J341+E341</f>
        <v>10000</v>
      </c>
      <c r="Q341" s="47"/>
      <c r="R341" s="46"/>
    </row>
    <row r="342" spans="1:18" ht="48" thickTop="1" thickBot="1" x14ac:dyDescent="0.25">
      <c r="A342" s="119" t="s">
        <v>1312</v>
      </c>
      <c r="B342" s="119" t="s">
        <v>43</v>
      </c>
      <c r="C342" s="119" t="s">
        <v>42</v>
      </c>
      <c r="D342" s="119" t="s">
        <v>252</v>
      </c>
      <c r="E342" s="393">
        <f t="shared" ref="E342" si="283">F342</f>
        <v>369996.81000000006</v>
      </c>
      <c r="F342" s="350">
        <f>((1254100)+915896.81)-1800000</f>
        <v>369996.81000000006</v>
      </c>
      <c r="G342" s="350"/>
      <c r="H342" s="350"/>
      <c r="I342" s="350"/>
      <c r="J342" s="393">
        <f t="shared" si="280"/>
        <v>0</v>
      </c>
      <c r="K342" s="350"/>
      <c r="L342" s="350"/>
      <c r="M342" s="350"/>
      <c r="N342" s="350"/>
      <c r="O342" s="351">
        <f t="shared" si="281"/>
        <v>0</v>
      </c>
      <c r="P342" s="393">
        <f>E342+J342</f>
        <v>369996.81000000006</v>
      </c>
      <c r="Q342" s="47"/>
      <c r="R342" s="46"/>
    </row>
    <row r="343" spans="1:18" ht="47.25" thickTop="1" thickBot="1" x14ac:dyDescent="0.25">
      <c r="A343" s="346" t="s">
        <v>918</v>
      </c>
      <c r="B343" s="346" t="s">
        <v>754</v>
      </c>
      <c r="C343" s="119"/>
      <c r="D343" s="346" t="s">
        <v>801</v>
      </c>
      <c r="E343" s="393">
        <f>E344</f>
        <v>0</v>
      </c>
      <c r="F343" s="393">
        <f t="shared" ref="F343:P344" si="284">F344</f>
        <v>0</v>
      </c>
      <c r="G343" s="393">
        <f t="shared" si="284"/>
        <v>0</v>
      </c>
      <c r="H343" s="393">
        <f t="shared" si="284"/>
        <v>0</v>
      </c>
      <c r="I343" s="393">
        <f t="shared" si="284"/>
        <v>0</v>
      </c>
      <c r="J343" s="393">
        <f t="shared" si="284"/>
        <v>1450000</v>
      </c>
      <c r="K343" s="393">
        <f t="shared" si="284"/>
        <v>1450000</v>
      </c>
      <c r="L343" s="393">
        <f t="shared" si="284"/>
        <v>0</v>
      </c>
      <c r="M343" s="393">
        <f t="shared" si="284"/>
        <v>0</v>
      </c>
      <c r="N343" s="393">
        <f t="shared" si="284"/>
        <v>0</v>
      </c>
      <c r="O343" s="393">
        <f t="shared" si="284"/>
        <v>1450000</v>
      </c>
      <c r="P343" s="393">
        <f t="shared" si="284"/>
        <v>1450000</v>
      </c>
      <c r="Q343" s="47"/>
      <c r="R343" s="46"/>
    </row>
    <row r="344" spans="1:18" ht="47.25" thickTop="1" thickBot="1" x14ac:dyDescent="0.25">
      <c r="A344" s="348" t="s">
        <v>919</v>
      </c>
      <c r="B344" s="348" t="s">
        <v>810</v>
      </c>
      <c r="C344" s="348"/>
      <c r="D344" s="348" t="s">
        <v>811</v>
      </c>
      <c r="E344" s="352">
        <f>E345</f>
        <v>0</v>
      </c>
      <c r="F344" s="352">
        <f t="shared" si="284"/>
        <v>0</v>
      </c>
      <c r="G344" s="352">
        <f t="shared" si="284"/>
        <v>0</v>
      </c>
      <c r="H344" s="352">
        <f t="shared" si="284"/>
        <v>0</v>
      </c>
      <c r="I344" s="352">
        <f t="shared" si="284"/>
        <v>0</v>
      </c>
      <c r="J344" s="352">
        <f t="shared" si="284"/>
        <v>1450000</v>
      </c>
      <c r="K344" s="352">
        <f t="shared" si="284"/>
        <v>1450000</v>
      </c>
      <c r="L344" s="352">
        <f t="shared" si="284"/>
        <v>0</v>
      </c>
      <c r="M344" s="352">
        <f t="shared" si="284"/>
        <v>0</v>
      </c>
      <c r="N344" s="352">
        <f t="shared" si="284"/>
        <v>0</v>
      </c>
      <c r="O344" s="352">
        <f t="shared" si="284"/>
        <v>1450000</v>
      </c>
      <c r="P344" s="352">
        <f t="shared" si="284"/>
        <v>1450000</v>
      </c>
      <c r="Q344" s="47"/>
      <c r="R344" s="46"/>
    </row>
    <row r="345" spans="1:18" ht="93" thickTop="1" thickBot="1" x14ac:dyDescent="0.25">
      <c r="A345" s="119" t="s">
        <v>920</v>
      </c>
      <c r="B345" s="119" t="s">
        <v>921</v>
      </c>
      <c r="C345" s="119" t="s">
        <v>308</v>
      </c>
      <c r="D345" s="119" t="s">
        <v>922</v>
      </c>
      <c r="E345" s="347">
        <f>F345</f>
        <v>0</v>
      </c>
      <c r="F345" s="389"/>
      <c r="G345" s="389"/>
      <c r="H345" s="389"/>
      <c r="I345" s="389"/>
      <c r="J345" s="393">
        <f t="shared" ref="J345" si="285">L345+O345</f>
        <v>1450000</v>
      </c>
      <c r="K345" s="389">
        <f>(1000000)+450000</f>
        <v>1450000</v>
      </c>
      <c r="L345" s="390"/>
      <c r="M345" s="390"/>
      <c r="N345" s="390"/>
      <c r="O345" s="351">
        <f t="shared" ref="O345" si="286">K345</f>
        <v>1450000</v>
      </c>
      <c r="P345" s="393">
        <f t="shared" ref="P345" si="287">+J345+E345</f>
        <v>1450000</v>
      </c>
      <c r="Q345" s="47"/>
      <c r="R345" s="46"/>
    </row>
    <row r="346" spans="1:18" ht="91.5" thickTop="1" thickBot="1" x14ac:dyDescent="0.25">
      <c r="A346" s="403" t="s">
        <v>448</v>
      </c>
      <c r="B346" s="403"/>
      <c r="C346" s="403"/>
      <c r="D346" s="404" t="s">
        <v>450</v>
      </c>
      <c r="E346" s="406">
        <f>E347</f>
        <v>151575357.40000001</v>
      </c>
      <c r="F346" s="405">
        <f t="shared" ref="F346:G346" si="288">F347</f>
        <v>151575357.40000001</v>
      </c>
      <c r="G346" s="405">
        <f t="shared" si="288"/>
        <v>4332271</v>
      </c>
      <c r="H346" s="405">
        <f>H347</f>
        <v>173325</v>
      </c>
      <c r="I346" s="405">
        <f t="shared" ref="I346" si="289">I347</f>
        <v>0</v>
      </c>
      <c r="J346" s="406">
        <f>J347</f>
        <v>42529760</v>
      </c>
      <c r="K346" s="405">
        <f>K347</f>
        <v>42529760</v>
      </c>
      <c r="L346" s="405">
        <f>L347</f>
        <v>0</v>
      </c>
      <c r="M346" s="405">
        <f t="shared" ref="M346" si="290">M347</f>
        <v>0</v>
      </c>
      <c r="N346" s="405">
        <f>N347</f>
        <v>0</v>
      </c>
      <c r="O346" s="406">
        <f>O347</f>
        <v>42529760</v>
      </c>
      <c r="P346" s="405">
        <f t="shared" ref="P346" si="291">P347</f>
        <v>194105117.40000001</v>
      </c>
      <c r="Q346" s="20"/>
    </row>
    <row r="347" spans="1:18" ht="91.5" thickTop="1" thickBot="1" x14ac:dyDescent="0.25">
      <c r="A347" s="407" t="s">
        <v>449</v>
      </c>
      <c r="B347" s="407"/>
      <c r="C347" s="407"/>
      <c r="D347" s="408" t="s">
        <v>451</v>
      </c>
      <c r="E347" s="409">
        <f t="shared" ref="E347:O347" si="292">E348+E351+E360+E363</f>
        <v>151575357.40000001</v>
      </c>
      <c r="F347" s="409">
        <f t="shared" si="292"/>
        <v>151575357.40000001</v>
      </c>
      <c r="G347" s="409">
        <f t="shared" si="292"/>
        <v>4332271</v>
      </c>
      <c r="H347" s="409">
        <f t="shared" si="292"/>
        <v>173325</v>
      </c>
      <c r="I347" s="409">
        <f t="shared" si="292"/>
        <v>0</v>
      </c>
      <c r="J347" s="409">
        <f t="shared" si="292"/>
        <v>42529760</v>
      </c>
      <c r="K347" s="409">
        <f t="shared" si="292"/>
        <v>42529760</v>
      </c>
      <c r="L347" s="409">
        <f t="shared" si="292"/>
        <v>0</v>
      </c>
      <c r="M347" s="409">
        <f t="shared" si="292"/>
        <v>0</v>
      </c>
      <c r="N347" s="409">
        <f t="shared" si="292"/>
        <v>0</v>
      </c>
      <c r="O347" s="409">
        <f t="shared" si="292"/>
        <v>42529760</v>
      </c>
      <c r="P347" s="409">
        <f>E347+J347</f>
        <v>194105117.40000001</v>
      </c>
      <c r="Q347" s="353" t="b">
        <f>P347=P349+P356+P362+P359+P364+P354+P350</f>
        <v>1</v>
      </c>
      <c r="R347" s="46"/>
    </row>
    <row r="348" spans="1:18" ht="47.25" thickTop="1" thickBot="1" x14ac:dyDescent="0.25">
      <c r="A348" s="346" t="s">
        <v>830</v>
      </c>
      <c r="B348" s="346" t="s">
        <v>690</v>
      </c>
      <c r="C348" s="346"/>
      <c r="D348" s="346" t="s">
        <v>691</v>
      </c>
      <c r="E348" s="393">
        <f>SUM(E349:E350)</f>
        <v>9841456.4000000004</v>
      </c>
      <c r="F348" s="393">
        <f t="shared" ref="F348:P348" si="293">SUM(F349:F350)</f>
        <v>9841456.4000000004</v>
      </c>
      <c r="G348" s="393">
        <f t="shared" si="293"/>
        <v>4332271</v>
      </c>
      <c r="H348" s="393">
        <f t="shared" si="293"/>
        <v>173325</v>
      </c>
      <c r="I348" s="393">
        <f t="shared" si="293"/>
        <v>0</v>
      </c>
      <c r="J348" s="393">
        <f t="shared" si="293"/>
        <v>208760</v>
      </c>
      <c r="K348" s="393">
        <f t="shared" si="293"/>
        <v>208760</v>
      </c>
      <c r="L348" s="393">
        <f t="shared" si="293"/>
        <v>0</v>
      </c>
      <c r="M348" s="393">
        <f t="shared" si="293"/>
        <v>0</v>
      </c>
      <c r="N348" s="393">
        <f t="shared" si="293"/>
        <v>0</v>
      </c>
      <c r="O348" s="393">
        <f t="shared" si="293"/>
        <v>208760</v>
      </c>
      <c r="P348" s="393">
        <f t="shared" si="293"/>
        <v>10050216.4</v>
      </c>
      <c r="Q348" s="47"/>
      <c r="R348" s="46"/>
    </row>
    <row r="349" spans="1:18" ht="93" thickTop="1" thickBot="1" x14ac:dyDescent="0.25">
      <c r="A349" s="119" t="s">
        <v>452</v>
      </c>
      <c r="B349" s="119" t="s">
        <v>240</v>
      </c>
      <c r="C349" s="119" t="s">
        <v>238</v>
      </c>
      <c r="D349" s="119" t="s">
        <v>239</v>
      </c>
      <c r="E349" s="393">
        <f>F349</f>
        <v>9836320.4000000004</v>
      </c>
      <c r="F349" s="350">
        <f>(((10496036)+420.4)-5136-55000)-600000</f>
        <v>9836320.4000000004</v>
      </c>
      <c r="G349" s="350">
        <v>4332271</v>
      </c>
      <c r="H349" s="350">
        <f>86000+5000+80000+2325</f>
        <v>173325</v>
      </c>
      <c r="I349" s="350"/>
      <c r="J349" s="393">
        <f>L349+O349</f>
        <v>208760</v>
      </c>
      <c r="K349" s="350">
        <f>(153760)+55000</f>
        <v>208760</v>
      </c>
      <c r="L349" s="350"/>
      <c r="M349" s="350"/>
      <c r="N349" s="350"/>
      <c r="O349" s="351">
        <f>K349</f>
        <v>208760</v>
      </c>
      <c r="P349" s="393">
        <f>E349+J349</f>
        <v>10045080.4</v>
      </c>
      <c r="Q349" s="47"/>
      <c r="R349" s="46"/>
    </row>
    <row r="350" spans="1:18" ht="93" thickTop="1" thickBot="1" x14ac:dyDescent="0.25">
      <c r="A350" s="119" t="s">
        <v>638</v>
      </c>
      <c r="B350" s="119" t="s">
        <v>366</v>
      </c>
      <c r="C350" s="119" t="s">
        <v>631</v>
      </c>
      <c r="D350" s="119" t="s">
        <v>632</v>
      </c>
      <c r="E350" s="393">
        <f>F350</f>
        <v>5136</v>
      </c>
      <c r="F350" s="350">
        <v>5136</v>
      </c>
      <c r="G350" s="350"/>
      <c r="H350" s="350"/>
      <c r="I350" s="350"/>
      <c r="J350" s="393">
        <f t="shared" ref="J350" si="294">L350+O350</f>
        <v>0</v>
      </c>
      <c r="K350" s="350"/>
      <c r="L350" s="350"/>
      <c r="M350" s="350"/>
      <c r="N350" s="350"/>
      <c r="O350" s="351">
        <f t="shared" ref="O350" si="295">K350</f>
        <v>0</v>
      </c>
      <c r="P350" s="393">
        <f t="shared" ref="P350" si="296">+J350+E350</f>
        <v>5136</v>
      </c>
      <c r="Q350" s="47"/>
      <c r="R350" s="46"/>
    </row>
    <row r="351" spans="1:18" ht="47.25" thickTop="1" thickBot="1" x14ac:dyDescent="0.25">
      <c r="A351" s="346" t="s">
        <v>831</v>
      </c>
      <c r="B351" s="346" t="s">
        <v>754</v>
      </c>
      <c r="C351" s="119"/>
      <c r="D351" s="346" t="s">
        <v>801</v>
      </c>
      <c r="E351" s="393">
        <f>E352+E358</f>
        <v>136863901</v>
      </c>
      <c r="F351" s="393">
        <f t="shared" ref="F351:P351" si="297">F352+F358</f>
        <v>136863901</v>
      </c>
      <c r="G351" s="393">
        <f t="shared" si="297"/>
        <v>0</v>
      </c>
      <c r="H351" s="393">
        <f t="shared" si="297"/>
        <v>0</v>
      </c>
      <c r="I351" s="393">
        <f t="shared" si="297"/>
        <v>0</v>
      </c>
      <c r="J351" s="393">
        <f t="shared" si="297"/>
        <v>42321000</v>
      </c>
      <c r="K351" s="393">
        <f t="shared" si="297"/>
        <v>42321000</v>
      </c>
      <c r="L351" s="393">
        <f t="shared" si="297"/>
        <v>0</v>
      </c>
      <c r="M351" s="393">
        <f t="shared" si="297"/>
        <v>0</v>
      </c>
      <c r="N351" s="393">
        <f t="shared" si="297"/>
        <v>0</v>
      </c>
      <c r="O351" s="393">
        <f t="shared" si="297"/>
        <v>42321000</v>
      </c>
      <c r="P351" s="393">
        <f t="shared" si="297"/>
        <v>179184901</v>
      </c>
      <c r="Q351" s="47"/>
      <c r="R351" s="50"/>
    </row>
    <row r="352" spans="1:18" ht="47.25" thickTop="1" thickBot="1" x14ac:dyDescent="0.25">
      <c r="A352" s="348" t="s">
        <v>832</v>
      </c>
      <c r="B352" s="348" t="s">
        <v>813</v>
      </c>
      <c r="C352" s="348"/>
      <c r="D352" s="348" t="s">
        <v>814</v>
      </c>
      <c r="E352" s="352">
        <f>E355+E357+E353</f>
        <v>136863901</v>
      </c>
      <c r="F352" s="352">
        <f t="shared" ref="F352:P352" si="298">F355+F357+F353</f>
        <v>136863901</v>
      </c>
      <c r="G352" s="352">
        <f t="shared" si="298"/>
        <v>0</v>
      </c>
      <c r="H352" s="352">
        <f t="shared" si="298"/>
        <v>0</v>
      </c>
      <c r="I352" s="352">
        <f t="shared" si="298"/>
        <v>0</v>
      </c>
      <c r="J352" s="352">
        <f t="shared" si="298"/>
        <v>0</v>
      </c>
      <c r="K352" s="352">
        <f t="shared" si="298"/>
        <v>0</v>
      </c>
      <c r="L352" s="352">
        <f t="shared" si="298"/>
        <v>0</v>
      </c>
      <c r="M352" s="352">
        <f t="shared" si="298"/>
        <v>0</v>
      </c>
      <c r="N352" s="352">
        <f t="shared" si="298"/>
        <v>0</v>
      </c>
      <c r="O352" s="352">
        <f t="shared" si="298"/>
        <v>0</v>
      </c>
      <c r="P352" s="352">
        <f t="shared" si="298"/>
        <v>136863901</v>
      </c>
      <c r="Q352" s="47"/>
      <c r="R352" s="50"/>
    </row>
    <row r="353" spans="1:18" ht="93" thickTop="1" thickBot="1" x14ac:dyDescent="0.25">
      <c r="A353" s="399" t="s">
        <v>1029</v>
      </c>
      <c r="B353" s="399" t="s">
        <v>1030</v>
      </c>
      <c r="C353" s="399"/>
      <c r="D353" s="399" t="s">
        <v>1028</v>
      </c>
      <c r="E353" s="388">
        <f>E354</f>
        <v>505540</v>
      </c>
      <c r="F353" s="388">
        <f t="shared" ref="F353:P355" si="299">F354</f>
        <v>505540</v>
      </c>
      <c r="G353" s="388">
        <f t="shared" si="299"/>
        <v>0</v>
      </c>
      <c r="H353" s="388">
        <f t="shared" si="299"/>
        <v>0</v>
      </c>
      <c r="I353" s="388">
        <f t="shared" si="299"/>
        <v>0</v>
      </c>
      <c r="J353" s="388">
        <f t="shared" si="299"/>
        <v>0</v>
      </c>
      <c r="K353" s="388">
        <f t="shared" si="299"/>
        <v>0</v>
      </c>
      <c r="L353" s="388">
        <f t="shared" si="299"/>
        <v>0</v>
      </c>
      <c r="M353" s="388">
        <f t="shared" si="299"/>
        <v>0</v>
      </c>
      <c r="N353" s="388">
        <f t="shared" si="299"/>
        <v>0</v>
      </c>
      <c r="O353" s="388">
        <f t="shared" si="299"/>
        <v>0</v>
      </c>
      <c r="P353" s="388">
        <f t="shared" si="299"/>
        <v>505540</v>
      </c>
      <c r="Q353" s="47"/>
      <c r="R353" s="50"/>
    </row>
    <row r="354" spans="1:18" ht="48" thickTop="1" thickBot="1" x14ac:dyDescent="0.25">
      <c r="A354" s="119" t="s">
        <v>471</v>
      </c>
      <c r="B354" s="119" t="s">
        <v>416</v>
      </c>
      <c r="C354" s="119" t="s">
        <v>417</v>
      </c>
      <c r="D354" s="119" t="s">
        <v>418</v>
      </c>
      <c r="E354" s="393">
        <f>F354</f>
        <v>505540</v>
      </c>
      <c r="F354" s="350">
        <v>505540</v>
      </c>
      <c r="G354" s="350"/>
      <c r="H354" s="350"/>
      <c r="I354" s="350"/>
      <c r="J354" s="393">
        <f>L354+O354</f>
        <v>0</v>
      </c>
      <c r="K354" s="350"/>
      <c r="L354" s="350"/>
      <c r="M354" s="350"/>
      <c r="N354" s="350"/>
      <c r="O354" s="351">
        <f>K354</f>
        <v>0</v>
      </c>
      <c r="P354" s="393">
        <f>E354+J354</f>
        <v>505540</v>
      </c>
      <c r="Q354" s="47"/>
      <c r="R354" s="50"/>
    </row>
    <row r="355" spans="1:18" ht="93" thickTop="1" thickBot="1" x14ac:dyDescent="0.25">
      <c r="A355" s="399" t="s">
        <v>833</v>
      </c>
      <c r="B355" s="399" t="s">
        <v>834</v>
      </c>
      <c r="C355" s="399"/>
      <c r="D355" s="399" t="s">
        <v>835</v>
      </c>
      <c r="E355" s="388">
        <f>E356</f>
        <v>136358361</v>
      </c>
      <c r="F355" s="388">
        <f t="shared" si="299"/>
        <v>136358361</v>
      </c>
      <c r="G355" s="388">
        <f t="shared" si="299"/>
        <v>0</v>
      </c>
      <c r="H355" s="388">
        <f t="shared" si="299"/>
        <v>0</v>
      </c>
      <c r="I355" s="388">
        <f t="shared" si="299"/>
        <v>0</v>
      </c>
      <c r="J355" s="388">
        <f t="shared" si="299"/>
        <v>0</v>
      </c>
      <c r="K355" s="388">
        <f t="shared" si="299"/>
        <v>0</v>
      </c>
      <c r="L355" s="388">
        <f t="shared" si="299"/>
        <v>0</v>
      </c>
      <c r="M355" s="388">
        <f t="shared" si="299"/>
        <v>0</v>
      </c>
      <c r="N355" s="388">
        <f t="shared" si="299"/>
        <v>0</v>
      </c>
      <c r="O355" s="388">
        <f t="shared" si="299"/>
        <v>0</v>
      </c>
      <c r="P355" s="388">
        <f t="shared" si="299"/>
        <v>136358361</v>
      </c>
      <c r="Q355" s="47"/>
      <c r="R355" s="50"/>
    </row>
    <row r="356" spans="1:18" ht="48" thickTop="1" thickBot="1" x14ac:dyDescent="0.25">
      <c r="A356" s="119" t="s">
        <v>472</v>
      </c>
      <c r="B356" s="119" t="s">
        <v>295</v>
      </c>
      <c r="C356" s="119" t="s">
        <v>1458</v>
      </c>
      <c r="D356" s="119" t="s">
        <v>296</v>
      </c>
      <c r="E356" s="393">
        <f>F356</f>
        <v>136358361</v>
      </c>
      <c r="F356" s="350">
        <f>((((124730000)+6953221)+5000000)+100000)-424860</f>
        <v>136358361</v>
      </c>
      <c r="G356" s="350"/>
      <c r="H356" s="350"/>
      <c r="I356" s="350"/>
      <c r="J356" s="393">
        <f>L356+O356</f>
        <v>0</v>
      </c>
      <c r="K356" s="350"/>
      <c r="L356" s="350"/>
      <c r="M356" s="350"/>
      <c r="N356" s="350"/>
      <c r="O356" s="351">
        <f>K356</f>
        <v>0</v>
      </c>
      <c r="P356" s="393">
        <f>E356+J356</f>
        <v>136358361</v>
      </c>
      <c r="Q356" s="47"/>
      <c r="R356" s="50"/>
    </row>
    <row r="357" spans="1:18" ht="48" hidden="1" thickTop="1" thickBot="1" x14ac:dyDescent="0.25">
      <c r="A357" s="144" t="s">
        <v>1116</v>
      </c>
      <c r="B357" s="144" t="s">
        <v>1117</v>
      </c>
      <c r="C357" s="144" t="s">
        <v>299</v>
      </c>
      <c r="D357" s="144" t="s">
        <v>1115</v>
      </c>
      <c r="E357" s="143">
        <f>F357</f>
        <v>0</v>
      </c>
      <c r="F357" s="150"/>
      <c r="G357" s="150"/>
      <c r="H357" s="150"/>
      <c r="I357" s="150"/>
      <c r="J357" s="143">
        <f>L357+O357</f>
        <v>0</v>
      </c>
      <c r="K357" s="150"/>
      <c r="L357" s="150"/>
      <c r="M357" s="150"/>
      <c r="N357" s="150"/>
      <c r="O357" s="148">
        <f>K357</f>
        <v>0</v>
      </c>
      <c r="P357" s="143">
        <f>E357+J357</f>
        <v>0</v>
      </c>
      <c r="Q357" s="47"/>
      <c r="R357" s="50"/>
    </row>
    <row r="358" spans="1:18" ht="47.25" thickTop="1" thickBot="1" x14ac:dyDescent="0.25">
      <c r="A358" s="348" t="s">
        <v>1197</v>
      </c>
      <c r="B358" s="348" t="s">
        <v>697</v>
      </c>
      <c r="C358" s="348"/>
      <c r="D358" s="348" t="s">
        <v>695</v>
      </c>
      <c r="E358" s="352">
        <f>E359</f>
        <v>0</v>
      </c>
      <c r="F358" s="352">
        <f t="shared" ref="F358:P358" si="300">F359</f>
        <v>0</v>
      </c>
      <c r="G358" s="352">
        <f t="shared" si="300"/>
        <v>0</v>
      </c>
      <c r="H358" s="352">
        <f t="shared" si="300"/>
        <v>0</v>
      </c>
      <c r="I358" s="352">
        <f t="shared" si="300"/>
        <v>0</v>
      </c>
      <c r="J358" s="352">
        <f t="shared" si="300"/>
        <v>42321000</v>
      </c>
      <c r="K358" s="352">
        <f t="shared" si="300"/>
        <v>42321000</v>
      </c>
      <c r="L358" s="352">
        <f t="shared" si="300"/>
        <v>0</v>
      </c>
      <c r="M358" s="352">
        <f t="shared" si="300"/>
        <v>0</v>
      </c>
      <c r="N358" s="352">
        <f t="shared" si="300"/>
        <v>0</v>
      </c>
      <c r="O358" s="352">
        <f t="shared" si="300"/>
        <v>42321000</v>
      </c>
      <c r="P358" s="352">
        <f t="shared" si="300"/>
        <v>42321000</v>
      </c>
      <c r="Q358" s="47"/>
      <c r="R358" s="50"/>
    </row>
    <row r="359" spans="1:18" ht="48" thickTop="1" thickBot="1" x14ac:dyDescent="0.25">
      <c r="A359" s="119" t="s">
        <v>1198</v>
      </c>
      <c r="B359" s="119" t="s">
        <v>201</v>
      </c>
      <c r="C359" s="119" t="s">
        <v>170</v>
      </c>
      <c r="D359" s="119" t="s">
        <v>1199</v>
      </c>
      <c r="E359" s="393">
        <f>F359</f>
        <v>0</v>
      </c>
      <c r="F359" s="350">
        <v>0</v>
      </c>
      <c r="G359" s="350"/>
      <c r="H359" s="350"/>
      <c r="I359" s="350"/>
      <c r="J359" s="393">
        <f>L359+O359</f>
        <v>42321000</v>
      </c>
      <c r="K359" s="350">
        <f>(39060000)+6964000-3703000</f>
        <v>42321000</v>
      </c>
      <c r="L359" s="350"/>
      <c r="M359" s="350"/>
      <c r="N359" s="350"/>
      <c r="O359" s="351">
        <f>K359</f>
        <v>42321000</v>
      </c>
      <c r="P359" s="393">
        <f>E359+J359</f>
        <v>42321000</v>
      </c>
      <c r="Q359" s="47"/>
      <c r="R359" s="50"/>
    </row>
    <row r="360" spans="1:18" ht="47.25" thickTop="1" thickBot="1" x14ac:dyDescent="0.25">
      <c r="A360" s="346" t="s">
        <v>1244</v>
      </c>
      <c r="B360" s="346" t="s">
        <v>702</v>
      </c>
      <c r="C360" s="346"/>
      <c r="D360" s="346" t="s">
        <v>703</v>
      </c>
      <c r="E360" s="393">
        <f>E361</f>
        <v>4750000</v>
      </c>
      <c r="F360" s="393">
        <f t="shared" ref="F360:P361" si="301">F361</f>
        <v>4750000</v>
      </c>
      <c r="G360" s="393">
        <f t="shared" si="301"/>
        <v>0</v>
      </c>
      <c r="H360" s="393">
        <f t="shared" si="301"/>
        <v>0</v>
      </c>
      <c r="I360" s="393">
        <f t="shared" si="301"/>
        <v>0</v>
      </c>
      <c r="J360" s="393">
        <f t="shared" si="301"/>
        <v>0</v>
      </c>
      <c r="K360" s="393">
        <f t="shared" si="301"/>
        <v>0</v>
      </c>
      <c r="L360" s="393">
        <f t="shared" si="301"/>
        <v>0</v>
      </c>
      <c r="M360" s="393">
        <f t="shared" si="301"/>
        <v>0</v>
      </c>
      <c r="N360" s="393">
        <f t="shared" si="301"/>
        <v>0</v>
      </c>
      <c r="O360" s="393">
        <f t="shared" si="301"/>
        <v>0</v>
      </c>
      <c r="P360" s="393">
        <f t="shared" si="301"/>
        <v>4750000</v>
      </c>
      <c r="Q360" s="47"/>
      <c r="R360" s="50"/>
    </row>
    <row r="361" spans="1:18" ht="47.25" thickTop="1" thickBot="1" x14ac:dyDescent="0.25">
      <c r="A361" s="348" t="s">
        <v>1245</v>
      </c>
      <c r="B361" s="348" t="s">
        <v>1210</v>
      </c>
      <c r="C361" s="348"/>
      <c r="D361" s="348" t="s">
        <v>1208</v>
      </c>
      <c r="E361" s="352">
        <f>E362</f>
        <v>4750000</v>
      </c>
      <c r="F361" s="352">
        <f>F362</f>
        <v>4750000</v>
      </c>
      <c r="G361" s="352">
        <f t="shared" si="301"/>
        <v>0</v>
      </c>
      <c r="H361" s="352">
        <f t="shared" si="301"/>
        <v>0</v>
      </c>
      <c r="I361" s="352">
        <f t="shared" si="301"/>
        <v>0</v>
      </c>
      <c r="J361" s="352">
        <f t="shared" si="301"/>
        <v>0</v>
      </c>
      <c r="K361" s="352">
        <f t="shared" si="301"/>
        <v>0</v>
      </c>
      <c r="L361" s="352">
        <f t="shared" si="301"/>
        <v>0</v>
      </c>
      <c r="M361" s="352">
        <f t="shared" si="301"/>
        <v>0</v>
      </c>
      <c r="N361" s="352">
        <f t="shared" si="301"/>
        <v>0</v>
      </c>
      <c r="O361" s="352">
        <f t="shared" si="301"/>
        <v>0</v>
      </c>
      <c r="P361" s="352">
        <f>P362</f>
        <v>4750000</v>
      </c>
      <c r="Q361" s="47"/>
      <c r="R361" s="50"/>
    </row>
    <row r="362" spans="1:18" ht="48" thickTop="1" thickBot="1" x14ac:dyDescent="0.25">
      <c r="A362" s="119" t="s">
        <v>1246</v>
      </c>
      <c r="B362" s="119" t="s">
        <v>1247</v>
      </c>
      <c r="C362" s="119" t="s">
        <v>1212</v>
      </c>
      <c r="D362" s="119" t="s">
        <v>1248</v>
      </c>
      <c r="E362" s="393">
        <f>F362</f>
        <v>4750000</v>
      </c>
      <c r="F362" s="350">
        <f>(1800000)+2950000</f>
        <v>4750000</v>
      </c>
      <c r="G362" s="350"/>
      <c r="H362" s="350"/>
      <c r="I362" s="350"/>
      <c r="J362" s="393">
        <f>L362+O362</f>
        <v>0</v>
      </c>
      <c r="K362" s="350"/>
      <c r="L362" s="350"/>
      <c r="M362" s="350"/>
      <c r="N362" s="350"/>
      <c r="O362" s="351">
        <f>K362</f>
        <v>0</v>
      </c>
      <c r="P362" s="393">
        <f>E362+J362</f>
        <v>4750000</v>
      </c>
      <c r="Q362" s="47"/>
      <c r="R362" s="50"/>
    </row>
    <row r="363" spans="1:18" ht="47.25" thickTop="1" thickBot="1" x14ac:dyDescent="0.25">
      <c r="A363" s="346" t="s">
        <v>1423</v>
      </c>
      <c r="B363" s="346" t="s">
        <v>708</v>
      </c>
      <c r="C363" s="346"/>
      <c r="D363" s="346" t="s">
        <v>709</v>
      </c>
      <c r="E363" s="393">
        <f t="shared" ref="E363:P363" si="302">E364</f>
        <v>120000</v>
      </c>
      <c r="F363" s="393">
        <f t="shared" si="302"/>
        <v>120000</v>
      </c>
      <c r="G363" s="393">
        <f t="shared" si="302"/>
        <v>0</v>
      </c>
      <c r="H363" s="393">
        <f t="shared" si="302"/>
        <v>0</v>
      </c>
      <c r="I363" s="393">
        <f t="shared" si="302"/>
        <v>0</v>
      </c>
      <c r="J363" s="393">
        <f t="shared" si="302"/>
        <v>0</v>
      </c>
      <c r="K363" s="393">
        <f t="shared" si="302"/>
        <v>0</v>
      </c>
      <c r="L363" s="393">
        <f t="shared" si="302"/>
        <v>0</v>
      </c>
      <c r="M363" s="393">
        <f t="shared" si="302"/>
        <v>0</v>
      </c>
      <c r="N363" s="393">
        <f t="shared" si="302"/>
        <v>0</v>
      </c>
      <c r="O363" s="393">
        <f t="shared" si="302"/>
        <v>0</v>
      </c>
      <c r="P363" s="393">
        <f t="shared" si="302"/>
        <v>120000</v>
      </c>
      <c r="Q363" s="47"/>
      <c r="R363" s="50"/>
    </row>
    <row r="364" spans="1:18" ht="91.5" thickTop="1" thickBot="1" x14ac:dyDescent="0.25">
      <c r="A364" s="348" t="s">
        <v>1424</v>
      </c>
      <c r="B364" s="348" t="s">
        <v>518</v>
      </c>
      <c r="C364" s="348" t="s">
        <v>43</v>
      </c>
      <c r="D364" s="348" t="s">
        <v>519</v>
      </c>
      <c r="E364" s="352">
        <f t="shared" ref="E364" si="303">F364</f>
        <v>120000</v>
      </c>
      <c r="F364" s="352">
        <v>120000</v>
      </c>
      <c r="G364" s="352"/>
      <c r="H364" s="352"/>
      <c r="I364" s="352"/>
      <c r="J364" s="352">
        <f>L364+O364</f>
        <v>0</v>
      </c>
      <c r="K364" s="350"/>
      <c r="L364" s="352"/>
      <c r="M364" s="352"/>
      <c r="N364" s="352"/>
      <c r="O364" s="352">
        <f>(K364+0)</f>
        <v>0</v>
      </c>
      <c r="P364" s="352">
        <f>E364+J364</f>
        <v>120000</v>
      </c>
      <c r="Q364" s="47"/>
      <c r="R364" s="50"/>
    </row>
    <row r="365" spans="1:18" ht="46.5" thickTop="1" thickBot="1" x14ac:dyDescent="0.25">
      <c r="A365" s="403" t="s">
        <v>166</v>
      </c>
      <c r="B365" s="403"/>
      <c r="C365" s="403"/>
      <c r="D365" s="404" t="s">
        <v>358</v>
      </c>
      <c r="E365" s="406">
        <f>E366</f>
        <v>7715238</v>
      </c>
      <c r="F365" s="405">
        <f t="shared" ref="F365:G365" si="304">F366</f>
        <v>7715238</v>
      </c>
      <c r="G365" s="405">
        <f t="shared" si="304"/>
        <v>0</v>
      </c>
      <c r="H365" s="405">
        <f>H366</f>
        <v>0</v>
      </c>
      <c r="I365" s="405">
        <f t="shared" ref="I365" si="305">I366</f>
        <v>0</v>
      </c>
      <c r="J365" s="406">
        <f>J366</f>
        <v>582732</v>
      </c>
      <c r="K365" s="405">
        <f>K366</f>
        <v>582732</v>
      </c>
      <c r="L365" s="405">
        <f>L366</f>
        <v>0</v>
      </c>
      <c r="M365" s="405">
        <f t="shared" ref="M365" si="306">M366</f>
        <v>0</v>
      </c>
      <c r="N365" s="405">
        <f>N366</f>
        <v>0</v>
      </c>
      <c r="O365" s="406">
        <f>O366</f>
        <v>582732</v>
      </c>
      <c r="P365" s="405">
        <f t="shared" ref="P365" si="307">P366</f>
        <v>8297970</v>
      </c>
      <c r="Q365" s="20"/>
    </row>
    <row r="366" spans="1:18" ht="91.5" thickTop="1" thickBot="1" x14ac:dyDescent="0.25">
      <c r="A366" s="407" t="s">
        <v>167</v>
      </c>
      <c r="B366" s="407"/>
      <c r="C366" s="407"/>
      <c r="D366" s="408" t="s">
        <v>359</v>
      </c>
      <c r="E366" s="409">
        <f>E369+E381+E378+E367</f>
        <v>7715238</v>
      </c>
      <c r="F366" s="409">
        <f>F369+F381+F378+F367</f>
        <v>7715238</v>
      </c>
      <c r="G366" s="409">
        <f>G369+G381+G378+G367</f>
        <v>0</v>
      </c>
      <c r="H366" s="409">
        <f>H369+H381+H378+H367</f>
        <v>0</v>
      </c>
      <c r="I366" s="409">
        <f>I369+I381+I378+I367</f>
        <v>0</v>
      </c>
      <c r="J366" s="409">
        <f>L366+O366</f>
        <v>582732</v>
      </c>
      <c r="K366" s="409">
        <f>K369+K381+K378+K367</f>
        <v>582732</v>
      </c>
      <c r="L366" s="409">
        <f>L369+L381+L378+L367</f>
        <v>0</v>
      </c>
      <c r="M366" s="409">
        <f>M369+M381+M378+M367</f>
        <v>0</v>
      </c>
      <c r="N366" s="409">
        <f>N369+N381+N378+N367</f>
        <v>0</v>
      </c>
      <c r="O366" s="409">
        <f>O369+O381+O378+O367</f>
        <v>582732</v>
      </c>
      <c r="P366" s="409">
        <f>E366+J366</f>
        <v>8297970</v>
      </c>
      <c r="Q366" s="353" t="b">
        <f>P366=P371+P373+P374+P375+P368+P377+P380+P383</f>
        <v>1</v>
      </c>
      <c r="R366" s="46"/>
    </row>
    <row r="367" spans="1:18" ht="47.25" thickTop="1" thickBot="1" x14ac:dyDescent="0.25">
      <c r="A367" s="346" t="s">
        <v>1380</v>
      </c>
      <c r="B367" s="346" t="s">
        <v>717</v>
      </c>
      <c r="C367" s="346"/>
      <c r="D367" s="346" t="s">
        <v>718</v>
      </c>
      <c r="E367" s="393">
        <f t="shared" ref="E367:P367" si="308">SUM(E368:E368)</f>
        <v>794919</v>
      </c>
      <c r="F367" s="393">
        <f t="shared" si="308"/>
        <v>794919</v>
      </c>
      <c r="G367" s="393">
        <f t="shared" si="308"/>
        <v>0</v>
      </c>
      <c r="H367" s="393">
        <f t="shared" si="308"/>
        <v>0</v>
      </c>
      <c r="I367" s="393">
        <f t="shared" si="308"/>
        <v>0</v>
      </c>
      <c r="J367" s="393">
        <f t="shared" si="308"/>
        <v>156881</v>
      </c>
      <c r="K367" s="393">
        <f t="shared" si="308"/>
        <v>156881</v>
      </c>
      <c r="L367" s="393">
        <f t="shared" si="308"/>
        <v>0</v>
      </c>
      <c r="M367" s="393">
        <f t="shared" si="308"/>
        <v>0</v>
      </c>
      <c r="N367" s="393">
        <f t="shared" si="308"/>
        <v>0</v>
      </c>
      <c r="O367" s="393">
        <f t="shared" si="308"/>
        <v>156881</v>
      </c>
      <c r="P367" s="393">
        <f t="shared" si="308"/>
        <v>951800</v>
      </c>
      <c r="Q367" s="353"/>
      <c r="R367" s="46"/>
    </row>
    <row r="368" spans="1:18" ht="93" thickTop="1" thickBot="1" x14ac:dyDescent="0.25">
      <c r="A368" s="119" t="s">
        <v>1381</v>
      </c>
      <c r="B368" s="119" t="s">
        <v>1225</v>
      </c>
      <c r="C368" s="119" t="s">
        <v>210</v>
      </c>
      <c r="D368" s="413" t="s">
        <v>1226</v>
      </c>
      <c r="E368" s="393">
        <f t="shared" ref="E368" si="309">F368</f>
        <v>794919</v>
      </c>
      <c r="F368" s="350">
        <f>563860+231059</f>
        <v>794919</v>
      </c>
      <c r="G368" s="350"/>
      <c r="H368" s="350"/>
      <c r="I368" s="350"/>
      <c r="J368" s="393">
        <f>L368+O368</f>
        <v>156881</v>
      </c>
      <c r="K368" s="350">
        <v>156881</v>
      </c>
      <c r="L368" s="350"/>
      <c r="M368" s="350"/>
      <c r="N368" s="350"/>
      <c r="O368" s="351">
        <f>K368</f>
        <v>156881</v>
      </c>
      <c r="P368" s="393">
        <f>E368+J368</f>
        <v>951800</v>
      </c>
      <c r="Q368" s="353"/>
      <c r="R368" s="46"/>
    </row>
    <row r="369" spans="1:18" ht="44.25" customHeight="1" thickTop="1" thickBot="1" x14ac:dyDescent="0.25">
      <c r="A369" s="346" t="s">
        <v>836</v>
      </c>
      <c r="B369" s="346" t="s">
        <v>754</v>
      </c>
      <c r="C369" s="119"/>
      <c r="D369" s="346" t="s">
        <v>801</v>
      </c>
      <c r="E369" s="479">
        <f t="shared" ref="E369:P369" si="310">E372+E370</f>
        <v>6582254</v>
      </c>
      <c r="F369" s="479">
        <f t="shared" si="310"/>
        <v>6582254</v>
      </c>
      <c r="G369" s="479">
        <f t="shared" si="310"/>
        <v>0</v>
      </c>
      <c r="H369" s="479">
        <f t="shared" si="310"/>
        <v>0</v>
      </c>
      <c r="I369" s="479">
        <f t="shared" si="310"/>
        <v>0</v>
      </c>
      <c r="J369" s="479">
        <f t="shared" si="310"/>
        <v>275396</v>
      </c>
      <c r="K369" s="479">
        <f t="shared" si="310"/>
        <v>275396</v>
      </c>
      <c r="L369" s="479">
        <f t="shared" si="310"/>
        <v>0</v>
      </c>
      <c r="M369" s="479">
        <f t="shared" si="310"/>
        <v>0</v>
      </c>
      <c r="N369" s="479">
        <f t="shared" si="310"/>
        <v>0</v>
      </c>
      <c r="O369" s="479">
        <f t="shared" si="310"/>
        <v>275396</v>
      </c>
      <c r="P369" s="479">
        <f t="shared" si="310"/>
        <v>6857650</v>
      </c>
      <c r="Q369" s="47"/>
      <c r="R369" s="46"/>
    </row>
    <row r="370" spans="1:18" ht="47.25" thickTop="1" thickBot="1" x14ac:dyDescent="0.25">
      <c r="A370" s="348" t="s">
        <v>1026</v>
      </c>
      <c r="B370" s="348" t="s">
        <v>810</v>
      </c>
      <c r="C370" s="348"/>
      <c r="D370" s="348" t="s">
        <v>811</v>
      </c>
      <c r="E370" s="522">
        <f>E371</f>
        <v>50000</v>
      </c>
      <c r="F370" s="522">
        <f>F371</f>
        <v>50000</v>
      </c>
      <c r="G370" s="522">
        <f t="shared" ref="G370:O370" si="311">G371</f>
        <v>0</v>
      </c>
      <c r="H370" s="522">
        <f t="shared" si="311"/>
        <v>0</v>
      </c>
      <c r="I370" s="522">
        <f t="shared" si="311"/>
        <v>0</v>
      </c>
      <c r="J370" s="522">
        <f t="shared" si="311"/>
        <v>0</v>
      </c>
      <c r="K370" s="522">
        <f t="shared" si="311"/>
        <v>0</v>
      </c>
      <c r="L370" s="522">
        <f t="shared" si="311"/>
        <v>0</v>
      </c>
      <c r="M370" s="522">
        <f t="shared" si="311"/>
        <v>0</v>
      </c>
      <c r="N370" s="522">
        <f t="shared" si="311"/>
        <v>0</v>
      </c>
      <c r="O370" s="522">
        <f t="shared" si="311"/>
        <v>0</v>
      </c>
      <c r="P370" s="522">
        <f>P371</f>
        <v>50000</v>
      </c>
      <c r="Q370" s="45"/>
      <c r="R370" s="46"/>
    </row>
    <row r="371" spans="1:18" ht="48" thickTop="1" thickBot="1" x14ac:dyDescent="0.25">
      <c r="A371" s="119" t="s">
        <v>1027</v>
      </c>
      <c r="B371" s="119" t="s">
        <v>354</v>
      </c>
      <c r="C371" s="119" t="s">
        <v>170</v>
      </c>
      <c r="D371" s="119" t="s">
        <v>266</v>
      </c>
      <c r="E371" s="393">
        <f t="shared" ref="E371" si="312">F371</f>
        <v>50000</v>
      </c>
      <c r="F371" s="350">
        <v>50000</v>
      </c>
      <c r="G371" s="350"/>
      <c r="H371" s="350"/>
      <c r="I371" s="350"/>
      <c r="J371" s="393">
        <f t="shared" ref="J371" si="313">L371+O371</f>
        <v>0</v>
      </c>
      <c r="K371" s="350"/>
      <c r="L371" s="350"/>
      <c r="M371" s="350"/>
      <c r="N371" s="350"/>
      <c r="O371" s="351">
        <f>K371</f>
        <v>0</v>
      </c>
      <c r="P371" s="393">
        <f t="shared" ref="P371" si="314">E371+J371</f>
        <v>50000</v>
      </c>
      <c r="Q371" s="45"/>
      <c r="R371" s="46"/>
    </row>
    <row r="372" spans="1:18" ht="47.25" thickTop="1" thickBot="1" x14ac:dyDescent="0.25">
      <c r="A372" s="348" t="s">
        <v>837</v>
      </c>
      <c r="B372" s="348" t="s">
        <v>697</v>
      </c>
      <c r="C372" s="348"/>
      <c r="D372" s="348" t="s">
        <v>695</v>
      </c>
      <c r="E372" s="522">
        <f>SUM(E373:E377)-E376</f>
        <v>6532254</v>
      </c>
      <c r="F372" s="522">
        <f t="shared" ref="F372:P372" si="315">SUM(F373:F377)-F376</f>
        <v>6532254</v>
      </c>
      <c r="G372" s="522">
        <f t="shared" si="315"/>
        <v>0</v>
      </c>
      <c r="H372" s="522">
        <f t="shared" si="315"/>
        <v>0</v>
      </c>
      <c r="I372" s="522">
        <f t="shared" si="315"/>
        <v>0</v>
      </c>
      <c r="J372" s="522">
        <f>SUM(J373:J377)-J376</f>
        <v>275396</v>
      </c>
      <c r="K372" s="522">
        <f t="shared" si="315"/>
        <v>275396</v>
      </c>
      <c r="L372" s="522">
        <f t="shared" si="315"/>
        <v>0</v>
      </c>
      <c r="M372" s="522">
        <f t="shared" si="315"/>
        <v>0</v>
      </c>
      <c r="N372" s="522">
        <f t="shared" si="315"/>
        <v>0</v>
      </c>
      <c r="O372" s="522">
        <f t="shared" si="315"/>
        <v>275396</v>
      </c>
      <c r="P372" s="522">
        <f t="shared" si="315"/>
        <v>6807650</v>
      </c>
      <c r="Q372" s="47"/>
      <c r="R372" s="46"/>
    </row>
    <row r="373" spans="1:18" ht="48" thickTop="1" thickBot="1" x14ac:dyDescent="0.25">
      <c r="A373" s="119" t="s">
        <v>264</v>
      </c>
      <c r="B373" s="119" t="s">
        <v>265</v>
      </c>
      <c r="C373" s="119" t="s">
        <v>263</v>
      </c>
      <c r="D373" s="119" t="s">
        <v>262</v>
      </c>
      <c r="E373" s="393">
        <f t="shared" ref="E373:E377" si="316">F373</f>
        <v>5515000</v>
      </c>
      <c r="F373" s="350">
        <f>((((2555000)+3000000)+650000)-340000+200000)-550000</f>
        <v>5515000</v>
      </c>
      <c r="G373" s="350"/>
      <c r="H373" s="350"/>
      <c r="I373" s="350"/>
      <c r="J373" s="393">
        <f t="shared" ref="J373:J377" si="317">L373+O373</f>
        <v>0</v>
      </c>
      <c r="K373" s="350"/>
      <c r="L373" s="350"/>
      <c r="M373" s="350"/>
      <c r="N373" s="350"/>
      <c r="O373" s="351">
        <f>K373</f>
        <v>0</v>
      </c>
      <c r="P373" s="393">
        <f t="shared" ref="P373:P377" si="318">E373+J373</f>
        <v>5515000</v>
      </c>
      <c r="Q373" s="20"/>
      <c r="R373" s="46"/>
    </row>
    <row r="374" spans="1:18" ht="48" thickTop="1" thickBot="1" x14ac:dyDescent="0.25">
      <c r="A374" s="119" t="s">
        <v>256</v>
      </c>
      <c r="B374" s="119" t="s">
        <v>258</v>
      </c>
      <c r="C374" s="119" t="s">
        <v>217</v>
      </c>
      <c r="D374" s="119" t="s">
        <v>257</v>
      </c>
      <c r="E374" s="393">
        <f t="shared" si="316"/>
        <v>755000</v>
      </c>
      <c r="F374" s="350">
        <f>(615000)+340000-200000</f>
        <v>755000</v>
      </c>
      <c r="G374" s="350"/>
      <c r="H374" s="350"/>
      <c r="I374" s="350"/>
      <c r="J374" s="393">
        <f t="shared" si="317"/>
        <v>0</v>
      </c>
      <c r="K374" s="350"/>
      <c r="L374" s="350"/>
      <c r="M374" s="350"/>
      <c r="N374" s="350"/>
      <c r="O374" s="351">
        <f>K374</f>
        <v>0</v>
      </c>
      <c r="P374" s="393">
        <f t="shared" si="318"/>
        <v>755000</v>
      </c>
      <c r="Q374" s="20"/>
      <c r="R374" s="46"/>
    </row>
    <row r="375" spans="1:18" ht="48" thickTop="1" thickBot="1" x14ac:dyDescent="0.25">
      <c r="A375" s="119" t="s">
        <v>1375</v>
      </c>
      <c r="B375" s="119" t="s">
        <v>216</v>
      </c>
      <c r="C375" s="119" t="s">
        <v>217</v>
      </c>
      <c r="D375" s="119" t="s">
        <v>41</v>
      </c>
      <c r="E375" s="393">
        <f t="shared" si="316"/>
        <v>42254</v>
      </c>
      <c r="F375" s="350">
        <f>12504+29750</f>
        <v>42254</v>
      </c>
      <c r="G375" s="350"/>
      <c r="H375" s="350"/>
      <c r="I375" s="350"/>
      <c r="J375" s="393">
        <f t="shared" si="317"/>
        <v>195396</v>
      </c>
      <c r="K375" s="350">
        <v>195396</v>
      </c>
      <c r="L375" s="350"/>
      <c r="M375" s="350"/>
      <c r="N375" s="350"/>
      <c r="O375" s="351">
        <f>K375</f>
        <v>195396</v>
      </c>
      <c r="P375" s="393">
        <f t="shared" si="318"/>
        <v>237650</v>
      </c>
      <c r="Q375" s="20"/>
      <c r="R375" s="46"/>
    </row>
    <row r="376" spans="1:18" ht="48" thickTop="1" thickBot="1" x14ac:dyDescent="0.25">
      <c r="A376" s="399" t="s">
        <v>838</v>
      </c>
      <c r="B376" s="399" t="s">
        <v>700</v>
      </c>
      <c r="C376" s="399"/>
      <c r="D376" s="399" t="s">
        <v>698</v>
      </c>
      <c r="E376" s="388">
        <f>E377</f>
        <v>220000</v>
      </c>
      <c r="F376" s="388">
        <f t="shared" ref="F376:P376" si="319">F377</f>
        <v>220000</v>
      </c>
      <c r="G376" s="388">
        <f t="shared" si="319"/>
        <v>0</v>
      </c>
      <c r="H376" s="388">
        <f t="shared" si="319"/>
        <v>0</v>
      </c>
      <c r="I376" s="388">
        <f t="shared" si="319"/>
        <v>0</v>
      </c>
      <c r="J376" s="388">
        <f t="shared" si="319"/>
        <v>80000</v>
      </c>
      <c r="K376" s="388">
        <f t="shared" si="319"/>
        <v>80000</v>
      </c>
      <c r="L376" s="388">
        <f t="shared" si="319"/>
        <v>0</v>
      </c>
      <c r="M376" s="388">
        <f t="shared" si="319"/>
        <v>0</v>
      </c>
      <c r="N376" s="388">
        <f t="shared" si="319"/>
        <v>0</v>
      </c>
      <c r="O376" s="388">
        <f t="shared" si="319"/>
        <v>80000</v>
      </c>
      <c r="P376" s="388">
        <f t="shared" si="319"/>
        <v>300000</v>
      </c>
      <c r="Q376" s="20"/>
      <c r="R376" s="46"/>
    </row>
    <row r="377" spans="1:18" ht="48" thickTop="1" thickBot="1" x14ac:dyDescent="0.25">
      <c r="A377" s="119" t="s">
        <v>260</v>
      </c>
      <c r="B377" s="119" t="s">
        <v>261</v>
      </c>
      <c r="C377" s="119" t="s">
        <v>170</v>
      </c>
      <c r="D377" s="119" t="s">
        <v>259</v>
      </c>
      <c r="E377" s="393">
        <f t="shared" si="316"/>
        <v>220000</v>
      </c>
      <c r="F377" s="350">
        <f>(300000)-80000</f>
        <v>220000</v>
      </c>
      <c r="G377" s="350"/>
      <c r="H377" s="350"/>
      <c r="I377" s="350"/>
      <c r="J377" s="393">
        <f t="shared" si="317"/>
        <v>80000</v>
      </c>
      <c r="K377" s="350">
        <f>0+80000</f>
        <v>80000</v>
      </c>
      <c r="L377" s="350"/>
      <c r="M377" s="350"/>
      <c r="N377" s="350"/>
      <c r="O377" s="351">
        <f>K377</f>
        <v>80000</v>
      </c>
      <c r="P377" s="393">
        <f t="shared" si="318"/>
        <v>300000</v>
      </c>
      <c r="Q377" s="20"/>
      <c r="R377" s="46"/>
    </row>
    <row r="378" spans="1:18" ht="47.25" thickTop="1" thickBot="1" x14ac:dyDescent="0.25">
      <c r="A378" s="346" t="s">
        <v>1377</v>
      </c>
      <c r="B378" s="346" t="s">
        <v>702</v>
      </c>
      <c r="C378" s="346"/>
      <c r="D378" s="346" t="s">
        <v>703</v>
      </c>
      <c r="E378" s="393">
        <f t="shared" ref="E378:P379" si="320">E379</f>
        <v>186065</v>
      </c>
      <c r="F378" s="393">
        <f t="shared" si="320"/>
        <v>186065</v>
      </c>
      <c r="G378" s="393">
        <f t="shared" si="320"/>
        <v>0</v>
      </c>
      <c r="H378" s="393">
        <f t="shared" si="320"/>
        <v>0</v>
      </c>
      <c r="I378" s="393">
        <f t="shared" si="320"/>
        <v>0</v>
      </c>
      <c r="J378" s="393">
        <f t="shared" si="320"/>
        <v>150455</v>
      </c>
      <c r="K378" s="393">
        <f t="shared" si="320"/>
        <v>150455</v>
      </c>
      <c r="L378" s="393">
        <f t="shared" si="320"/>
        <v>0</v>
      </c>
      <c r="M378" s="393">
        <f t="shared" si="320"/>
        <v>0</v>
      </c>
      <c r="N378" s="393">
        <f t="shared" si="320"/>
        <v>0</v>
      </c>
      <c r="O378" s="393">
        <f t="shared" si="320"/>
        <v>150455</v>
      </c>
      <c r="P378" s="393">
        <f t="shared" si="320"/>
        <v>336520</v>
      </c>
      <c r="Q378" s="20"/>
      <c r="R378" s="46"/>
    </row>
    <row r="379" spans="1:18" ht="47.25" thickTop="1" thickBot="1" x14ac:dyDescent="0.25">
      <c r="A379" s="348" t="s">
        <v>1378</v>
      </c>
      <c r="B379" s="348" t="s">
        <v>1210</v>
      </c>
      <c r="C379" s="348"/>
      <c r="D379" s="348" t="s">
        <v>1208</v>
      </c>
      <c r="E379" s="352">
        <f t="shared" si="320"/>
        <v>186065</v>
      </c>
      <c r="F379" s="352">
        <f t="shared" si="320"/>
        <v>186065</v>
      </c>
      <c r="G379" s="352">
        <f t="shared" si="320"/>
        <v>0</v>
      </c>
      <c r="H379" s="352">
        <f t="shared" si="320"/>
        <v>0</v>
      </c>
      <c r="I379" s="352">
        <f t="shared" si="320"/>
        <v>0</v>
      </c>
      <c r="J379" s="352">
        <f t="shared" si="320"/>
        <v>150455</v>
      </c>
      <c r="K379" s="352">
        <f t="shared" si="320"/>
        <v>150455</v>
      </c>
      <c r="L379" s="352">
        <f t="shared" si="320"/>
        <v>0</v>
      </c>
      <c r="M379" s="352">
        <f t="shared" si="320"/>
        <v>0</v>
      </c>
      <c r="N379" s="352">
        <f t="shared" si="320"/>
        <v>0</v>
      </c>
      <c r="O379" s="352">
        <f t="shared" si="320"/>
        <v>150455</v>
      </c>
      <c r="P379" s="352">
        <f t="shared" si="320"/>
        <v>336520</v>
      </c>
      <c r="Q379" s="20"/>
      <c r="R379" s="46"/>
    </row>
    <row r="380" spans="1:18" ht="48" thickTop="1" thickBot="1" x14ac:dyDescent="0.25">
      <c r="A380" s="119" t="s">
        <v>1379</v>
      </c>
      <c r="B380" s="119" t="s">
        <v>1214</v>
      </c>
      <c r="C380" s="119" t="s">
        <v>1212</v>
      </c>
      <c r="D380" s="119" t="s">
        <v>1211</v>
      </c>
      <c r="E380" s="393">
        <f>F380</f>
        <v>186065</v>
      </c>
      <c r="F380" s="350">
        <f>166065+20000</f>
        <v>186065</v>
      </c>
      <c r="G380" s="350"/>
      <c r="H380" s="350"/>
      <c r="I380" s="350"/>
      <c r="J380" s="393">
        <f>L380+O380</f>
        <v>150455</v>
      </c>
      <c r="K380" s="350">
        <v>150455</v>
      </c>
      <c r="L380" s="350"/>
      <c r="M380" s="350"/>
      <c r="N380" s="350"/>
      <c r="O380" s="351">
        <f>K380</f>
        <v>150455</v>
      </c>
      <c r="P380" s="393">
        <f>E380+J380</f>
        <v>336520</v>
      </c>
      <c r="Q380" s="20"/>
      <c r="R380" s="46"/>
    </row>
    <row r="381" spans="1:18" ht="47.25" thickTop="1" thickBot="1" x14ac:dyDescent="0.25">
      <c r="A381" s="346" t="s">
        <v>915</v>
      </c>
      <c r="B381" s="346" t="s">
        <v>708</v>
      </c>
      <c r="C381" s="346"/>
      <c r="D381" s="346" t="s">
        <v>709</v>
      </c>
      <c r="E381" s="393">
        <f>E382</f>
        <v>152000</v>
      </c>
      <c r="F381" s="393">
        <f t="shared" ref="F381:P382" si="321">F382</f>
        <v>152000</v>
      </c>
      <c r="G381" s="393">
        <f t="shared" si="321"/>
        <v>0</v>
      </c>
      <c r="H381" s="393">
        <f t="shared" si="321"/>
        <v>0</v>
      </c>
      <c r="I381" s="393">
        <f t="shared" si="321"/>
        <v>0</v>
      </c>
      <c r="J381" s="393">
        <f t="shared" si="321"/>
        <v>0</v>
      </c>
      <c r="K381" s="393">
        <f t="shared" si="321"/>
        <v>0</v>
      </c>
      <c r="L381" s="393">
        <f t="shared" si="321"/>
        <v>0</v>
      </c>
      <c r="M381" s="393">
        <f t="shared" si="321"/>
        <v>0</v>
      </c>
      <c r="N381" s="393">
        <f t="shared" si="321"/>
        <v>0</v>
      </c>
      <c r="O381" s="393">
        <f t="shared" si="321"/>
        <v>0</v>
      </c>
      <c r="P381" s="393">
        <f t="shared" si="321"/>
        <v>152000</v>
      </c>
      <c r="Q381" s="20"/>
      <c r="R381" s="46"/>
    </row>
    <row r="382" spans="1:18" ht="91.5" thickTop="1" thickBot="1" x14ac:dyDescent="0.25">
      <c r="A382" s="348" t="s">
        <v>916</v>
      </c>
      <c r="B382" s="348" t="s">
        <v>711</v>
      </c>
      <c r="C382" s="348"/>
      <c r="D382" s="348" t="s">
        <v>712</v>
      </c>
      <c r="E382" s="352">
        <f>E383</f>
        <v>152000</v>
      </c>
      <c r="F382" s="352">
        <f t="shared" si="321"/>
        <v>152000</v>
      </c>
      <c r="G382" s="352">
        <f t="shared" si="321"/>
        <v>0</v>
      </c>
      <c r="H382" s="352">
        <f t="shared" si="321"/>
        <v>0</v>
      </c>
      <c r="I382" s="352">
        <f t="shared" si="321"/>
        <v>0</v>
      </c>
      <c r="J382" s="352">
        <f t="shared" si="321"/>
        <v>0</v>
      </c>
      <c r="K382" s="352">
        <f t="shared" si="321"/>
        <v>0</v>
      </c>
      <c r="L382" s="352">
        <f t="shared" si="321"/>
        <v>0</v>
      </c>
      <c r="M382" s="352">
        <f t="shared" si="321"/>
        <v>0</v>
      </c>
      <c r="N382" s="352">
        <f t="shared" si="321"/>
        <v>0</v>
      </c>
      <c r="O382" s="352">
        <f t="shared" si="321"/>
        <v>0</v>
      </c>
      <c r="P382" s="352">
        <f t="shared" si="321"/>
        <v>152000</v>
      </c>
      <c r="Q382" s="20"/>
      <c r="R382" s="46"/>
    </row>
    <row r="383" spans="1:18" ht="48" thickTop="1" thickBot="1" x14ac:dyDescent="0.25">
      <c r="A383" s="119" t="s">
        <v>917</v>
      </c>
      <c r="B383" s="119" t="s">
        <v>367</v>
      </c>
      <c r="C383" s="119" t="s">
        <v>43</v>
      </c>
      <c r="D383" s="119" t="s">
        <v>368</v>
      </c>
      <c r="E383" s="393">
        <f t="shared" ref="E383" si="322">F383</f>
        <v>152000</v>
      </c>
      <c r="F383" s="350">
        <v>152000</v>
      </c>
      <c r="G383" s="350"/>
      <c r="H383" s="350"/>
      <c r="I383" s="350"/>
      <c r="J383" s="393">
        <f>L383+O383</f>
        <v>0</v>
      </c>
      <c r="K383" s="350">
        <v>0</v>
      </c>
      <c r="L383" s="350"/>
      <c r="M383" s="350"/>
      <c r="N383" s="350"/>
      <c r="O383" s="351">
        <f>K383</f>
        <v>0</v>
      </c>
      <c r="P383" s="393">
        <f>E383+J383</f>
        <v>152000</v>
      </c>
      <c r="Q383" s="20"/>
      <c r="R383" s="46"/>
    </row>
    <row r="384" spans="1:18" ht="91.5" thickTop="1" thickBot="1" x14ac:dyDescent="0.25">
      <c r="A384" s="403" t="s">
        <v>164</v>
      </c>
      <c r="B384" s="403"/>
      <c r="C384" s="403"/>
      <c r="D384" s="404" t="s">
        <v>895</v>
      </c>
      <c r="E384" s="406">
        <f>E385</f>
        <v>7407294</v>
      </c>
      <c r="F384" s="405">
        <f t="shared" ref="F384:G384" si="323">F385</f>
        <v>7407294</v>
      </c>
      <c r="G384" s="405">
        <f t="shared" si="323"/>
        <v>5498880</v>
      </c>
      <c r="H384" s="405">
        <f>H385</f>
        <v>229363</v>
      </c>
      <c r="I384" s="405">
        <f t="shared" ref="I384" si="324">I385</f>
        <v>0</v>
      </c>
      <c r="J384" s="406">
        <f>J385</f>
        <v>4109303</v>
      </c>
      <c r="K384" s="405">
        <f>K385</f>
        <v>152869</v>
      </c>
      <c r="L384" s="405">
        <f>L385</f>
        <v>1380434</v>
      </c>
      <c r="M384" s="405">
        <f t="shared" ref="M384" si="325">M385</f>
        <v>0</v>
      </c>
      <c r="N384" s="405">
        <f>N385</f>
        <v>0</v>
      </c>
      <c r="O384" s="406">
        <f>O385</f>
        <v>2728869</v>
      </c>
      <c r="P384" s="405">
        <f t="shared" ref="P384" si="326">P385</f>
        <v>11516597</v>
      </c>
      <c r="Q384" s="20"/>
    </row>
    <row r="385" spans="1:18" ht="91.5" thickTop="1" thickBot="1" x14ac:dyDescent="0.25">
      <c r="A385" s="407" t="s">
        <v>165</v>
      </c>
      <c r="B385" s="407"/>
      <c r="C385" s="407"/>
      <c r="D385" s="408" t="s">
        <v>894</v>
      </c>
      <c r="E385" s="409">
        <f>E386+E389+E392</f>
        <v>7407294</v>
      </c>
      <c r="F385" s="409">
        <f t="shared" ref="F385:P385" si="327">F386+F389+F392</f>
        <v>7407294</v>
      </c>
      <c r="G385" s="409">
        <f>G386+G389+G392</f>
        <v>5498880</v>
      </c>
      <c r="H385" s="409">
        <f t="shared" si="327"/>
        <v>229363</v>
      </c>
      <c r="I385" s="409">
        <f t="shared" si="327"/>
        <v>0</v>
      </c>
      <c r="J385" s="409">
        <f>J386+J389+J392</f>
        <v>4109303</v>
      </c>
      <c r="K385" s="409">
        <f t="shared" si="327"/>
        <v>152869</v>
      </c>
      <c r="L385" s="409">
        <f>L386+L389+L392</f>
        <v>1380434</v>
      </c>
      <c r="M385" s="409">
        <f t="shared" si="327"/>
        <v>0</v>
      </c>
      <c r="N385" s="409">
        <f t="shared" si="327"/>
        <v>0</v>
      </c>
      <c r="O385" s="409">
        <f t="shared" si="327"/>
        <v>2728869</v>
      </c>
      <c r="P385" s="409">
        <f t="shared" si="327"/>
        <v>11516597</v>
      </c>
      <c r="Q385" s="353" t="b">
        <f>P385=P387+P391+P393</f>
        <v>1</v>
      </c>
      <c r="R385" s="46"/>
    </row>
    <row r="386" spans="1:18" ht="47.25" thickTop="1" thickBot="1" x14ac:dyDescent="0.25">
      <c r="A386" s="346" t="s">
        <v>839</v>
      </c>
      <c r="B386" s="346" t="s">
        <v>690</v>
      </c>
      <c r="C386" s="346"/>
      <c r="D386" s="346" t="s">
        <v>691</v>
      </c>
      <c r="E386" s="393">
        <f>SUM(E387:E388)</f>
        <v>7371163</v>
      </c>
      <c r="F386" s="393">
        <f t="shared" ref="F386:N386" si="328">SUM(F387:F388)</f>
        <v>7371163</v>
      </c>
      <c r="G386" s="393">
        <f t="shared" si="328"/>
        <v>5498880</v>
      </c>
      <c r="H386" s="393">
        <f t="shared" si="328"/>
        <v>229363</v>
      </c>
      <c r="I386" s="393">
        <f t="shared" si="328"/>
        <v>0</v>
      </c>
      <c r="J386" s="393">
        <f t="shared" si="328"/>
        <v>0</v>
      </c>
      <c r="K386" s="393">
        <f t="shared" si="328"/>
        <v>0</v>
      </c>
      <c r="L386" s="393">
        <f t="shared" si="328"/>
        <v>0</v>
      </c>
      <c r="M386" s="393">
        <f t="shared" si="328"/>
        <v>0</v>
      </c>
      <c r="N386" s="393">
        <f t="shared" si="328"/>
        <v>0</v>
      </c>
      <c r="O386" s="393">
        <f>SUM(O387:O388)</f>
        <v>0</v>
      </c>
      <c r="P386" s="393">
        <f t="shared" ref="P386" si="329">SUM(P387:P388)</f>
        <v>7371163</v>
      </c>
      <c r="Q386" s="47"/>
      <c r="R386" s="46"/>
    </row>
    <row r="387" spans="1:18" ht="93" thickTop="1" thickBot="1" x14ac:dyDescent="0.25">
      <c r="A387" s="119" t="s">
        <v>426</v>
      </c>
      <c r="B387" s="119" t="s">
        <v>240</v>
      </c>
      <c r="C387" s="119" t="s">
        <v>238</v>
      </c>
      <c r="D387" s="119" t="s">
        <v>239</v>
      </c>
      <c r="E387" s="393">
        <f>F387</f>
        <v>7371163</v>
      </c>
      <c r="F387" s="350">
        <v>7371163</v>
      </c>
      <c r="G387" s="350">
        <v>5498880</v>
      </c>
      <c r="H387" s="350">
        <f>146200+15123+64380+3660</f>
        <v>229363</v>
      </c>
      <c r="I387" s="350"/>
      <c r="J387" s="393">
        <f t="shared" ref="J387:J391" si="330">L387+O387</f>
        <v>0</v>
      </c>
      <c r="K387" s="350"/>
      <c r="L387" s="350"/>
      <c r="M387" s="350"/>
      <c r="N387" s="350"/>
      <c r="O387" s="351">
        <f>K387</f>
        <v>0</v>
      </c>
      <c r="P387" s="393">
        <f t="shared" ref="P387:P391" si="331">E387+J387</f>
        <v>7371163</v>
      </c>
      <c r="Q387" s="47"/>
      <c r="R387" s="46"/>
    </row>
    <row r="388" spans="1:18" ht="93" hidden="1" thickTop="1" thickBot="1" x14ac:dyDescent="0.25">
      <c r="A388" s="41" t="s">
        <v>639</v>
      </c>
      <c r="B388" s="41" t="s">
        <v>366</v>
      </c>
      <c r="C388" s="41" t="s">
        <v>631</v>
      </c>
      <c r="D388" s="41" t="s">
        <v>632</v>
      </c>
      <c r="E388" s="168">
        <f>F388</f>
        <v>0</v>
      </c>
      <c r="F388" s="145">
        <v>0</v>
      </c>
      <c r="G388" s="145"/>
      <c r="H388" s="145"/>
      <c r="I388" s="145"/>
      <c r="J388" s="143">
        <f t="shared" si="330"/>
        <v>0</v>
      </c>
      <c r="K388" s="145"/>
      <c r="L388" s="146"/>
      <c r="M388" s="146"/>
      <c r="N388" s="146"/>
      <c r="O388" s="148">
        <f t="shared" ref="O388" si="332">K388</f>
        <v>0</v>
      </c>
      <c r="P388" s="143">
        <f t="shared" ref="P388" si="333">+J388+E388</f>
        <v>0</v>
      </c>
      <c r="Q388" s="47"/>
      <c r="R388" s="46"/>
    </row>
    <row r="389" spans="1:18" ht="47.25" thickTop="1" thickBot="1" x14ac:dyDescent="0.25">
      <c r="A389" s="346" t="s">
        <v>840</v>
      </c>
      <c r="B389" s="346" t="s">
        <v>702</v>
      </c>
      <c r="C389" s="346"/>
      <c r="D389" s="346" t="s">
        <v>703</v>
      </c>
      <c r="E389" s="347">
        <f>E390</f>
        <v>0</v>
      </c>
      <c r="F389" s="347">
        <f t="shared" ref="F389:P390" si="334">F390</f>
        <v>0</v>
      </c>
      <c r="G389" s="347">
        <f t="shared" si="334"/>
        <v>0</v>
      </c>
      <c r="H389" s="347">
        <f t="shared" si="334"/>
        <v>0</v>
      </c>
      <c r="I389" s="347">
        <f t="shared" si="334"/>
        <v>0</v>
      </c>
      <c r="J389" s="347">
        <f t="shared" si="334"/>
        <v>3956434</v>
      </c>
      <c r="K389" s="347">
        <f t="shared" si="334"/>
        <v>0</v>
      </c>
      <c r="L389" s="347">
        <f t="shared" si="334"/>
        <v>1380434</v>
      </c>
      <c r="M389" s="347">
        <f t="shared" si="334"/>
        <v>0</v>
      </c>
      <c r="N389" s="347">
        <f t="shared" si="334"/>
        <v>0</v>
      </c>
      <c r="O389" s="347">
        <f t="shared" si="334"/>
        <v>2576000</v>
      </c>
      <c r="P389" s="347">
        <f t="shared" si="334"/>
        <v>3956434</v>
      </c>
      <c r="Q389" s="47"/>
      <c r="R389" s="46"/>
    </row>
    <row r="390" spans="1:18" ht="47.25" thickTop="1" thickBot="1" x14ac:dyDescent="0.25">
      <c r="A390" s="348" t="s">
        <v>841</v>
      </c>
      <c r="B390" s="348" t="s">
        <v>842</v>
      </c>
      <c r="C390" s="348"/>
      <c r="D390" s="348" t="s">
        <v>843</v>
      </c>
      <c r="E390" s="349">
        <f>E391</f>
        <v>0</v>
      </c>
      <c r="F390" s="349">
        <f t="shared" si="334"/>
        <v>0</v>
      </c>
      <c r="G390" s="349">
        <f t="shared" si="334"/>
        <v>0</v>
      </c>
      <c r="H390" s="349">
        <f t="shared" si="334"/>
        <v>0</v>
      </c>
      <c r="I390" s="349">
        <f t="shared" si="334"/>
        <v>0</v>
      </c>
      <c r="J390" s="349">
        <f t="shared" si="334"/>
        <v>3956434</v>
      </c>
      <c r="K390" s="349">
        <f t="shared" si="334"/>
        <v>0</v>
      </c>
      <c r="L390" s="349">
        <f t="shared" si="334"/>
        <v>1380434</v>
      </c>
      <c r="M390" s="349">
        <f t="shared" si="334"/>
        <v>0</v>
      </c>
      <c r="N390" s="349">
        <f t="shared" si="334"/>
        <v>0</v>
      </c>
      <c r="O390" s="349">
        <f t="shared" si="334"/>
        <v>2576000</v>
      </c>
      <c r="P390" s="349">
        <f t="shared" si="334"/>
        <v>3956434</v>
      </c>
      <c r="Q390" s="47"/>
      <c r="R390" s="46"/>
    </row>
    <row r="391" spans="1:18" ht="48" thickTop="1" thickBot="1" x14ac:dyDescent="0.25">
      <c r="A391" s="119" t="s">
        <v>1147</v>
      </c>
      <c r="B391" s="119" t="s">
        <v>1148</v>
      </c>
      <c r="C391" s="119" t="s">
        <v>51</v>
      </c>
      <c r="D391" s="119" t="s">
        <v>1149</v>
      </c>
      <c r="E391" s="393">
        <v>0</v>
      </c>
      <c r="F391" s="350"/>
      <c r="G391" s="350"/>
      <c r="H391" s="350"/>
      <c r="I391" s="350"/>
      <c r="J391" s="393">
        <f t="shared" si="330"/>
        <v>3956434</v>
      </c>
      <c r="K391" s="393"/>
      <c r="L391" s="350">
        <f>(((476000)+46434+40000+520000+100000+78000)+120000)-80000+20000-20000-40000-100000+220000+100000+600000-600000-100000</f>
        <v>1380434</v>
      </c>
      <c r="M391" s="350"/>
      <c r="N391" s="350"/>
      <c r="O391" s="351">
        <f>(((K391+874000)+13000+420000+1200000+189000)-120000)-1200000+500000+1200000-500000</f>
        <v>2576000</v>
      </c>
      <c r="P391" s="393">
        <f t="shared" si="331"/>
        <v>3956434</v>
      </c>
      <c r="Q391" s="353" t="b">
        <f>J391='d9'!F28</f>
        <v>1</v>
      </c>
    </row>
    <row r="392" spans="1:18" ht="47.25" thickTop="1" thickBot="1" x14ac:dyDescent="0.25">
      <c r="A392" s="346" t="s">
        <v>1280</v>
      </c>
      <c r="B392" s="346" t="s">
        <v>708</v>
      </c>
      <c r="C392" s="346"/>
      <c r="D392" s="346" t="s">
        <v>709</v>
      </c>
      <c r="E392" s="393">
        <f t="shared" ref="E392:P392" si="335">E393</f>
        <v>36131</v>
      </c>
      <c r="F392" s="393">
        <f t="shared" si="335"/>
        <v>36131</v>
      </c>
      <c r="G392" s="393">
        <f t="shared" si="335"/>
        <v>0</v>
      </c>
      <c r="H392" s="393">
        <f t="shared" si="335"/>
        <v>0</v>
      </c>
      <c r="I392" s="393">
        <f t="shared" si="335"/>
        <v>0</v>
      </c>
      <c r="J392" s="393">
        <f t="shared" si="335"/>
        <v>152869</v>
      </c>
      <c r="K392" s="393">
        <f t="shared" si="335"/>
        <v>152869</v>
      </c>
      <c r="L392" s="393">
        <f t="shared" si="335"/>
        <v>0</v>
      </c>
      <c r="M392" s="393">
        <f t="shared" si="335"/>
        <v>0</v>
      </c>
      <c r="N392" s="393">
        <f t="shared" si="335"/>
        <v>0</v>
      </c>
      <c r="O392" s="393">
        <f t="shared" si="335"/>
        <v>152869</v>
      </c>
      <c r="P392" s="393">
        <f t="shared" si="335"/>
        <v>189000</v>
      </c>
      <c r="Q392" s="47"/>
    </row>
    <row r="393" spans="1:18" ht="91.5" thickTop="1" thickBot="1" x14ac:dyDescent="0.25">
      <c r="A393" s="348" t="s">
        <v>1279</v>
      </c>
      <c r="B393" s="348" t="s">
        <v>518</v>
      </c>
      <c r="C393" s="348" t="s">
        <v>43</v>
      </c>
      <c r="D393" s="348" t="s">
        <v>519</v>
      </c>
      <c r="E393" s="352">
        <f t="shared" ref="E393" si="336">F393</f>
        <v>36131</v>
      </c>
      <c r="F393" s="352">
        <f>(19000+13000)+4131</f>
        <v>36131</v>
      </c>
      <c r="G393" s="352"/>
      <c r="H393" s="352"/>
      <c r="I393" s="352"/>
      <c r="J393" s="352">
        <f>L393+O393</f>
        <v>152869</v>
      </c>
      <c r="K393" s="350">
        <f>(77000+80000)-4131</f>
        <v>152869</v>
      </c>
      <c r="L393" s="352"/>
      <c r="M393" s="352"/>
      <c r="N393" s="352"/>
      <c r="O393" s="352">
        <f>(K393+0)</f>
        <v>152869</v>
      </c>
      <c r="P393" s="352">
        <f>E393+J393</f>
        <v>189000</v>
      </c>
      <c r="Q393" s="47"/>
    </row>
    <row r="394" spans="1:18" ht="91.5" thickTop="1" thickBot="1" x14ac:dyDescent="0.25">
      <c r="A394" s="403" t="s">
        <v>162</v>
      </c>
      <c r="B394" s="403"/>
      <c r="C394" s="403"/>
      <c r="D394" s="404" t="s">
        <v>905</v>
      </c>
      <c r="E394" s="406">
        <f>E395</f>
        <v>10565580</v>
      </c>
      <c r="F394" s="405">
        <f t="shared" ref="F394:G394" si="337">F395</f>
        <v>10565580</v>
      </c>
      <c r="G394" s="405">
        <f t="shared" si="337"/>
        <v>7843804</v>
      </c>
      <c r="H394" s="405">
        <f>H395</f>
        <v>304000</v>
      </c>
      <c r="I394" s="405">
        <f t="shared" ref="I394" si="338">I395</f>
        <v>0</v>
      </c>
      <c r="J394" s="406">
        <f>J395</f>
        <v>1476500</v>
      </c>
      <c r="K394" s="405">
        <f>K395</f>
        <v>476500</v>
      </c>
      <c r="L394" s="405">
        <f>L395</f>
        <v>0</v>
      </c>
      <c r="M394" s="405">
        <f t="shared" ref="M394" si="339">M395</f>
        <v>0</v>
      </c>
      <c r="N394" s="405">
        <f>N395</f>
        <v>0</v>
      </c>
      <c r="O394" s="406">
        <f>O395</f>
        <v>1476500</v>
      </c>
      <c r="P394" s="405">
        <f t="shared" ref="P394" si="340">P395</f>
        <v>12042080</v>
      </c>
      <c r="Q394" s="20"/>
    </row>
    <row r="395" spans="1:18" ht="91.5" thickTop="1" thickBot="1" x14ac:dyDescent="0.25">
      <c r="A395" s="407" t="s">
        <v>163</v>
      </c>
      <c r="B395" s="407"/>
      <c r="C395" s="407"/>
      <c r="D395" s="408" t="s">
        <v>904</v>
      </c>
      <c r="E395" s="409">
        <f>E396+E398</f>
        <v>10565580</v>
      </c>
      <c r="F395" s="409">
        <f t="shared" ref="F395:I395" si="341">F396+F398</f>
        <v>10565580</v>
      </c>
      <c r="G395" s="409">
        <f t="shared" si="341"/>
        <v>7843804</v>
      </c>
      <c r="H395" s="409">
        <f t="shared" si="341"/>
        <v>304000</v>
      </c>
      <c r="I395" s="409">
        <f t="shared" si="341"/>
        <v>0</v>
      </c>
      <c r="J395" s="409">
        <f>L395+O395</f>
        <v>1476500</v>
      </c>
      <c r="K395" s="409">
        <f t="shared" ref="K395:O395" si="342">K396+K398</f>
        <v>476500</v>
      </c>
      <c r="L395" s="409">
        <f t="shared" si="342"/>
        <v>0</v>
      </c>
      <c r="M395" s="409">
        <f t="shared" si="342"/>
        <v>0</v>
      </c>
      <c r="N395" s="409">
        <f t="shared" si="342"/>
        <v>0</v>
      </c>
      <c r="O395" s="409">
        <f t="shared" si="342"/>
        <v>1476500</v>
      </c>
      <c r="P395" s="409">
        <f>E395+J395</f>
        <v>12042080</v>
      </c>
      <c r="Q395" s="353" t="b">
        <f>P395=P400+P402+P397</f>
        <v>1</v>
      </c>
      <c r="R395" s="45"/>
    </row>
    <row r="396" spans="1:18" ht="47.25" thickTop="1" thickBot="1" x14ac:dyDescent="0.25">
      <c r="A396" s="346" t="s">
        <v>844</v>
      </c>
      <c r="B396" s="346" t="s">
        <v>690</v>
      </c>
      <c r="C396" s="346"/>
      <c r="D396" s="346" t="s">
        <v>691</v>
      </c>
      <c r="E396" s="393">
        <f>SUM(E397)</f>
        <v>10375580</v>
      </c>
      <c r="F396" s="393">
        <f t="shared" ref="F396:P396" si="343">SUM(F397)</f>
        <v>10375580</v>
      </c>
      <c r="G396" s="393">
        <f t="shared" si="343"/>
        <v>7843804</v>
      </c>
      <c r="H396" s="393">
        <f t="shared" si="343"/>
        <v>304000</v>
      </c>
      <c r="I396" s="393">
        <f t="shared" si="343"/>
        <v>0</v>
      </c>
      <c r="J396" s="393">
        <f t="shared" si="343"/>
        <v>154000</v>
      </c>
      <c r="K396" s="393">
        <f t="shared" si="343"/>
        <v>154000</v>
      </c>
      <c r="L396" s="393">
        <f t="shared" si="343"/>
        <v>0</v>
      </c>
      <c r="M396" s="393">
        <f t="shared" si="343"/>
        <v>0</v>
      </c>
      <c r="N396" s="393">
        <f t="shared" si="343"/>
        <v>0</v>
      </c>
      <c r="O396" s="393">
        <f t="shared" si="343"/>
        <v>154000</v>
      </c>
      <c r="P396" s="393">
        <f t="shared" si="343"/>
        <v>10529580</v>
      </c>
      <c r="Q396" s="47"/>
      <c r="R396" s="45"/>
    </row>
    <row r="397" spans="1:18" ht="93" thickTop="1" thickBot="1" x14ac:dyDescent="0.25">
      <c r="A397" s="119" t="s">
        <v>422</v>
      </c>
      <c r="B397" s="119" t="s">
        <v>240</v>
      </c>
      <c r="C397" s="119" t="s">
        <v>238</v>
      </c>
      <c r="D397" s="119" t="s">
        <v>239</v>
      </c>
      <c r="E397" s="393">
        <f>F397</f>
        <v>10375580</v>
      </c>
      <c r="F397" s="350">
        <f>(((10277600)+40000+20000+50000)+15000+18980)-111000+50000+15000</f>
        <v>10375580</v>
      </c>
      <c r="G397" s="350">
        <v>7843804</v>
      </c>
      <c r="H397" s="350">
        <f>240000+4000+60000</f>
        <v>304000</v>
      </c>
      <c r="I397" s="350"/>
      <c r="J397" s="393">
        <f>L397+O397</f>
        <v>154000</v>
      </c>
      <c r="K397" s="350">
        <f>((85500)+22500)+46000</f>
        <v>154000</v>
      </c>
      <c r="L397" s="350"/>
      <c r="M397" s="350"/>
      <c r="N397" s="350"/>
      <c r="O397" s="351">
        <f>K397</f>
        <v>154000</v>
      </c>
      <c r="P397" s="393">
        <f>E397+J397</f>
        <v>10529580</v>
      </c>
      <c r="Q397" s="20"/>
      <c r="R397" s="45"/>
    </row>
    <row r="398" spans="1:18" ht="47.25" thickTop="1" thickBot="1" x14ac:dyDescent="0.25">
      <c r="A398" s="346" t="s">
        <v>845</v>
      </c>
      <c r="B398" s="346" t="s">
        <v>754</v>
      </c>
      <c r="C398" s="119"/>
      <c r="D398" s="346" t="s">
        <v>801</v>
      </c>
      <c r="E398" s="393">
        <f t="shared" ref="E398:P398" si="344">E399+E401</f>
        <v>190000</v>
      </c>
      <c r="F398" s="393">
        <f t="shared" si="344"/>
        <v>190000</v>
      </c>
      <c r="G398" s="393">
        <f t="shared" si="344"/>
        <v>0</v>
      </c>
      <c r="H398" s="393">
        <f t="shared" si="344"/>
        <v>0</v>
      </c>
      <c r="I398" s="393">
        <f t="shared" si="344"/>
        <v>0</v>
      </c>
      <c r="J398" s="393">
        <f t="shared" si="344"/>
        <v>1322500</v>
      </c>
      <c r="K398" s="393">
        <f t="shared" si="344"/>
        <v>322500</v>
      </c>
      <c r="L398" s="393">
        <f t="shared" si="344"/>
        <v>0</v>
      </c>
      <c r="M398" s="393">
        <f t="shared" si="344"/>
        <v>0</v>
      </c>
      <c r="N398" s="393">
        <f t="shared" si="344"/>
        <v>0</v>
      </c>
      <c r="O398" s="393">
        <f t="shared" si="344"/>
        <v>1322500</v>
      </c>
      <c r="P398" s="393">
        <f t="shared" si="344"/>
        <v>1512500</v>
      </c>
      <c r="Q398" s="20"/>
      <c r="R398" s="47"/>
    </row>
    <row r="399" spans="1:18" ht="47.25" thickTop="1" thickBot="1" x14ac:dyDescent="0.25">
      <c r="A399" s="348" t="s">
        <v>846</v>
      </c>
      <c r="B399" s="348" t="s">
        <v>847</v>
      </c>
      <c r="C399" s="348"/>
      <c r="D399" s="348" t="s">
        <v>848</v>
      </c>
      <c r="E399" s="352">
        <f>SUM(E400)</f>
        <v>190000</v>
      </c>
      <c r="F399" s="352">
        <f t="shared" ref="F399:P399" si="345">SUM(F400)</f>
        <v>190000</v>
      </c>
      <c r="G399" s="352">
        <f t="shared" si="345"/>
        <v>0</v>
      </c>
      <c r="H399" s="352">
        <f t="shared" si="345"/>
        <v>0</v>
      </c>
      <c r="I399" s="352">
        <f t="shared" si="345"/>
        <v>0</v>
      </c>
      <c r="J399" s="352">
        <f t="shared" si="345"/>
        <v>1210000</v>
      </c>
      <c r="K399" s="352">
        <f t="shared" si="345"/>
        <v>210000</v>
      </c>
      <c r="L399" s="352">
        <f t="shared" si="345"/>
        <v>0</v>
      </c>
      <c r="M399" s="352">
        <f t="shared" si="345"/>
        <v>0</v>
      </c>
      <c r="N399" s="352">
        <f t="shared" si="345"/>
        <v>0</v>
      </c>
      <c r="O399" s="352">
        <f t="shared" si="345"/>
        <v>1210000</v>
      </c>
      <c r="P399" s="352">
        <f t="shared" si="345"/>
        <v>1400000</v>
      </c>
      <c r="Q399" s="20"/>
      <c r="R399" s="47"/>
    </row>
    <row r="400" spans="1:18" ht="48" thickTop="1" thickBot="1" x14ac:dyDescent="0.25">
      <c r="A400" s="119" t="s">
        <v>310</v>
      </c>
      <c r="B400" s="119" t="s">
        <v>311</v>
      </c>
      <c r="C400" s="119" t="s">
        <v>312</v>
      </c>
      <c r="D400" s="119" t="s">
        <v>465</v>
      </c>
      <c r="E400" s="393">
        <f>F400</f>
        <v>190000</v>
      </c>
      <c r="F400" s="350">
        <v>190000</v>
      </c>
      <c r="G400" s="350"/>
      <c r="H400" s="350"/>
      <c r="I400" s="350"/>
      <c r="J400" s="393">
        <f>L400+O400</f>
        <v>1210000</v>
      </c>
      <c r="K400" s="350">
        <f>(210000)</f>
        <v>210000</v>
      </c>
      <c r="L400" s="350"/>
      <c r="M400" s="350"/>
      <c r="N400" s="350"/>
      <c r="O400" s="351">
        <f>(K400)+1000000</f>
        <v>1210000</v>
      </c>
      <c r="P400" s="393">
        <f>E400+J400</f>
        <v>1400000</v>
      </c>
      <c r="Q400" s="20"/>
      <c r="R400" s="45"/>
    </row>
    <row r="401" spans="1:19" ht="47.25" thickTop="1" thickBot="1" x14ac:dyDescent="0.25">
      <c r="A401" s="348" t="s">
        <v>849</v>
      </c>
      <c r="B401" s="348" t="s">
        <v>697</v>
      </c>
      <c r="C401" s="119"/>
      <c r="D401" s="348" t="s">
        <v>850</v>
      </c>
      <c r="E401" s="352">
        <f>SUM(E402)</f>
        <v>0</v>
      </c>
      <c r="F401" s="352">
        <f t="shared" ref="F401:P401" si="346">SUM(F402)</f>
        <v>0</v>
      </c>
      <c r="G401" s="352">
        <f t="shared" si="346"/>
        <v>0</v>
      </c>
      <c r="H401" s="352">
        <f t="shared" si="346"/>
        <v>0</v>
      </c>
      <c r="I401" s="352">
        <f t="shared" si="346"/>
        <v>0</v>
      </c>
      <c r="J401" s="352">
        <f t="shared" si="346"/>
        <v>112500</v>
      </c>
      <c r="K401" s="352">
        <f t="shared" si="346"/>
        <v>112500</v>
      </c>
      <c r="L401" s="352">
        <f t="shared" si="346"/>
        <v>0</v>
      </c>
      <c r="M401" s="352">
        <f t="shared" si="346"/>
        <v>0</v>
      </c>
      <c r="N401" s="352">
        <f t="shared" si="346"/>
        <v>0</v>
      </c>
      <c r="O401" s="352">
        <f t="shared" si="346"/>
        <v>112500</v>
      </c>
      <c r="P401" s="352">
        <f t="shared" si="346"/>
        <v>112500</v>
      </c>
      <c r="Q401" s="20"/>
    </row>
    <row r="402" spans="1:19" ht="48" thickTop="1" thickBot="1" x14ac:dyDescent="0.25">
      <c r="A402" s="119" t="s">
        <v>372</v>
      </c>
      <c r="B402" s="119" t="s">
        <v>373</v>
      </c>
      <c r="C402" s="119" t="s">
        <v>170</v>
      </c>
      <c r="D402" s="119" t="s">
        <v>374</v>
      </c>
      <c r="E402" s="393">
        <f>F402</f>
        <v>0</v>
      </c>
      <c r="F402" s="350"/>
      <c r="G402" s="350"/>
      <c r="H402" s="350"/>
      <c r="I402" s="350"/>
      <c r="J402" s="393">
        <f>L402+O402</f>
        <v>112500</v>
      </c>
      <c r="K402" s="350">
        <f>(90000)+22500</f>
        <v>112500</v>
      </c>
      <c r="L402" s="350"/>
      <c r="M402" s="350"/>
      <c r="N402" s="350"/>
      <c r="O402" s="351">
        <f>K402</f>
        <v>112500</v>
      </c>
      <c r="P402" s="393">
        <f>E402+J402</f>
        <v>112500</v>
      </c>
      <c r="Q402" s="20"/>
      <c r="R402" s="45"/>
    </row>
    <row r="403" spans="1:19" ht="46.5" thickTop="1" thickBot="1" x14ac:dyDescent="0.25">
      <c r="A403" s="403" t="s">
        <v>168</v>
      </c>
      <c r="B403" s="403"/>
      <c r="C403" s="403"/>
      <c r="D403" s="404" t="s">
        <v>27</v>
      </c>
      <c r="E403" s="406">
        <f>E404</f>
        <v>355986192.25999999</v>
      </c>
      <c r="F403" s="405">
        <f t="shared" ref="F403:G403" si="347">F404</f>
        <v>355986192.25999999</v>
      </c>
      <c r="G403" s="405">
        <f t="shared" si="347"/>
        <v>8214383</v>
      </c>
      <c r="H403" s="405">
        <f>H404</f>
        <v>319894</v>
      </c>
      <c r="I403" s="405">
        <f t="shared" ref="I403" si="348">I404</f>
        <v>0</v>
      </c>
      <c r="J403" s="406">
        <f>J404</f>
        <v>45000</v>
      </c>
      <c r="K403" s="405">
        <f>K404</f>
        <v>45000</v>
      </c>
      <c r="L403" s="405">
        <f>L404</f>
        <v>0</v>
      </c>
      <c r="M403" s="405">
        <f t="shared" ref="M403" si="349">M404</f>
        <v>0</v>
      </c>
      <c r="N403" s="405">
        <f>N404</f>
        <v>0</v>
      </c>
      <c r="O403" s="406">
        <f>O404</f>
        <v>45000</v>
      </c>
      <c r="P403" s="405">
        <f t="shared" ref="P403" si="350">P404</f>
        <v>356031192.25999999</v>
      </c>
      <c r="Q403" s="20"/>
    </row>
    <row r="404" spans="1:19" ht="91.5" thickTop="1" thickBot="1" x14ac:dyDescent="0.25">
      <c r="A404" s="407" t="s">
        <v>169</v>
      </c>
      <c r="B404" s="407"/>
      <c r="C404" s="407"/>
      <c r="D404" s="408" t="s">
        <v>40</v>
      </c>
      <c r="E404" s="409">
        <f>E405+E411+E418+E408</f>
        <v>355986192.25999999</v>
      </c>
      <c r="F404" s="409">
        <f t="shared" ref="F404:P404" si="351">F405+F411+F418+F408</f>
        <v>355986192.25999999</v>
      </c>
      <c r="G404" s="409">
        <f t="shared" si="351"/>
        <v>8214383</v>
      </c>
      <c r="H404" s="409">
        <f t="shared" si="351"/>
        <v>319894</v>
      </c>
      <c r="I404" s="409">
        <f t="shared" si="351"/>
        <v>0</v>
      </c>
      <c r="J404" s="409">
        <f t="shared" si="351"/>
        <v>45000</v>
      </c>
      <c r="K404" s="409">
        <f t="shared" si="351"/>
        <v>45000</v>
      </c>
      <c r="L404" s="409">
        <f t="shared" si="351"/>
        <v>0</v>
      </c>
      <c r="M404" s="409">
        <f t="shared" si="351"/>
        <v>0</v>
      </c>
      <c r="N404" s="409">
        <f t="shared" si="351"/>
        <v>0</v>
      </c>
      <c r="O404" s="409">
        <f t="shared" si="351"/>
        <v>45000</v>
      </c>
      <c r="P404" s="409">
        <f t="shared" si="351"/>
        <v>356031192.25999999</v>
      </c>
      <c r="Q404" s="353" t="b">
        <f>P404=P406+P412+P414+P420</f>
        <v>1</v>
      </c>
      <c r="R404" s="45"/>
    </row>
    <row r="405" spans="1:19" ht="47.25" thickTop="1" thickBot="1" x14ac:dyDescent="0.25">
      <c r="A405" s="346" t="s">
        <v>851</v>
      </c>
      <c r="B405" s="346" t="s">
        <v>690</v>
      </c>
      <c r="C405" s="346"/>
      <c r="D405" s="346" t="s">
        <v>691</v>
      </c>
      <c r="E405" s="393">
        <f>SUM(E406:E407)</f>
        <v>10694200</v>
      </c>
      <c r="F405" s="393">
        <f t="shared" ref="F405:P405" si="352">SUM(F406:F407)</f>
        <v>10694200</v>
      </c>
      <c r="G405" s="393">
        <f t="shared" si="352"/>
        <v>8214383</v>
      </c>
      <c r="H405" s="393">
        <f t="shared" si="352"/>
        <v>319894</v>
      </c>
      <c r="I405" s="393">
        <f t="shared" si="352"/>
        <v>0</v>
      </c>
      <c r="J405" s="393">
        <f t="shared" si="352"/>
        <v>45000</v>
      </c>
      <c r="K405" s="393">
        <f t="shared" si="352"/>
        <v>45000</v>
      </c>
      <c r="L405" s="393">
        <f t="shared" si="352"/>
        <v>0</v>
      </c>
      <c r="M405" s="393">
        <f t="shared" si="352"/>
        <v>0</v>
      </c>
      <c r="N405" s="393">
        <f t="shared" si="352"/>
        <v>0</v>
      </c>
      <c r="O405" s="393">
        <f t="shared" si="352"/>
        <v>45000</v>
      </c>
      <c r="P405" s="393">
        <f t="shared" si="352"/>
        <v>10739200</v>
      </c>
      <c r="Q405" s="47"/>
      <c r="R405" s="50"/>
    </row>
    <row r="406" spans="1:19" ht="93" thickTop="1" thickBot="1" x14ac:dyDescent="0.25">
      <c r="A406" s="119" t="s">
        <v>424</v>
      </c>
      <c r="B406" s="119" t="s">
        <v>240</v>
      </c>
      <c r="C406" s="119" t="s">
        <v>238</v>
      </c>
      <c r="D406" s="119" t="s">
        <v>239</v>
      </c>
      <c r="E406" s="393">
        <f>F406</f>
        <v>10694200</v>
      </c>
      <c r="F406" s="350">
        <f>(10739200)-45000</f>
        <v>10694200</v>
      </c>
      <c r="G406" s="350">
        <v>8214383</v>
      </c>
      <c r="H406" s="350">
        <f>144480+6318+160000+9096</f>
        <v>319894</v>
      </c>
      <c r="I406" s="350"/>
      <c r="J406" s="393">
        <f>L406+O406</f>
        <v>45000</v>
      </c>
      <c r="K406" s="350">
        <v>45000</v>
      </c>
      <c r="L406" s="350"/>
      <c r="M406" s="350"/>
      <c r="N406" s="350"/>
      <c r="O406" s="351">
        <f>K406</f>
        <v>45000</v>
      </c>
      <c r="P406" s="393">
        <f>E406+J406</f>
        <v>10739200</v>
      </c>
      <c r="Q406" s="47"/>
      <c r="R406" s="50"/>
      <c r="S406" s="47"/>
    </row>
    <row r="407" spans="1:19" ht="93" hidden="1" thickTop="1" thickBot="1" x14ac:dyDescent="0.25">
      <c r="A407" s="144" t="s">
        <v>640</v>
      </c>
      <c r="B407" s="144" t="s">
        <v>366</v>
      </c>
      <c r="C407" s="144" t="s">
        <v>631</v>
      </c>
      <c r="D407" s="144" t="s">
        <v>632</v>
      </c>
      <c r="E407" s="168">
        <f>F407</f>
        <v>0</v>
      </c>
      <c r="F407" s="145"/>
      <c r="G407" s="145"/>
      <c r="H407" s="145"/>
      <c r="I407" s="145"/>
      <c r="J407" s="143">
        <f t="shared" ref="J407" si="353">L407+O407</f>
        <v>0</v>
      </c>
      <c r="K407" s="145"/>
      <c r="L407" s="146"/>
      <c r="M407" s="146"/>
      <c r="N407" s="146"/>
      <c r="O407" s="148">
        <f t="shared" ref="O407" si="354">K407</f>
        <v>0</v>
      </c>
      <c r="P407" s="143">
        <f t="shared" ref="P407" si="355">+J407+E407</f>
        <v>0</v>
      </c>
      <c r="Q407" s="47"/>
      <c r="R407" s="50"/>
    </row>
    <row r="408" spans="1:19" ht="47.25" hidden="1" thickTop="1" thickBot="1" x14ac:dyDescent="0.25">
      <c r="A408" s="152" t="s">
        <v>1229</v>
      </c>
      <c r="B408" s="152" t="s">
        <v>697</v>
      </c>
      <c r="C408" s="152"/>
      <c r="D408" s="152" t="s">
        <v>695</v>
      </c>
      <c r="E408" s="181">
        <f>E409</f>
        <v>0</v>
      </c>
      <c r="F408" s="181">
        <f t="shared" ref="F408:P409" si="356">F409</f>
        <v>0</v>
      </c>
      <c r="G408" s="181">
        <f t="shared" si="356"/>
        <v>0</v>
      </c>
      <c r="H408" s="181">
        <f t="shared" si="356"/>
        <v>0</v>
      </c>
      <c r="I408" s="181">
        <f t="shared" si="356"/>
        <v>0</v>
      </c>
      <c r="J408" s="181">
        <f t="shared" si="356"/>
        <v>0</v>
      </c>
      <c r="K408" s="181">
        <f t="shared" si="356"/>
        <v>0</v>
      </c>
      <c r="L408" s="181">
        <f t="shared" si="356"/>
        <v>0</v>
      </c>
      <c r="M408" s="181">
        <f t="shared" si="356"/>
        <v>0</v>
      </c>
      <c r="N408" s="181">
        <f t="shared" si="356"/>
        <v>0</v>
      </c>
      <c r="O408" s="181">
        <f t="shared" si="356"/>
        <v>0</v>
      </c>
      <c r="P408" s="181">
        <f t="shared" si="356"/>
        <v>0</v>
      </c>
      <c r="Q408" s="47"/>
      <c r="R408" s="50"/>
    </row>
    <row r="409" spans="1:19" ht="48" hidden="1" thickTop="1" thickBot="1" x14ac:dyDescent="0.25">
      <c r="A409" s="156" t="s">
        <v>1230</v>
      </c>
      <c r="B409" s="156" t="s">
        <v>700</v>
      </c>
      <c r="C409" s="156"/>
      <c r="D409" s="156" t="s">
        <v>698</v>
      </c>
      <c r="E409" s="157">
        <f>E410</f>
        <v>0</v>
      </c>
      <c r="F409" s="157">
        <f t="shared" si="356"/>
        <v>0</v>
      </c>
      <c r="G409" s="157">
        <f t="shared" si="356"/>
        <v>0</v>
      </c>
      <c r="H409" s="157">
        <f t="shared" si="356"/>
        <v>0</v>
      </c>
      <c r="I409" s="157">
        <f t="shared" si="356"/>
        <v>0</v>
      </c>
      <c r="J409" s="157">
        <f t="shared" si="356"/>
        <v>0</v>
      </c>
      <c r="K409" s="157">
        <f t="shared" si="356"/>
        <v>0</v>
      </c>
      <c r="L409" s="157">
        <f t="shared" si="356"/>
        <v>0</v>
      </c>
      <c r="M409" s="157">
        <f t="shared" si="356"/>
        <v>0</v>
      </c>
      <c r="N409" s="157">
        <f t="shared" si="356"/>
        <v>0</v>
      </c>
      <c r="O409" s="157">
        <f t="shared" si="356"/>
        <v>0</v>
      </c>
      <c r="P409" s="157">
        <f t="shared" si="356"/>
        <v>0</v>
      </c>
      <c r="Q409" s="47"/>
      <c r="R409" s="50"/>
    </row>
    <row r="410" spans="1:19" ht="48" hidden="1" thickTop="1" thickBot="1" x14ac:dyDescent="0.25">
      <c r="A410" s="144" t="s">
        <v>1231</v>
      </c>
      <c r="B410" s="144" t="s">
        <v>261</v>
      </c>
      <c r="C410" s="144" t="s">
        <v>170</v>
      </c>
      <c r="D410" s="144" t="s">
        <v>259</v>
      </c>
      <c r="E410" s="143">
        <f t="shared" ref="E410" si="357">F410</f>
        <v>0</v>
      </c>
      <c r="F410" s="150"/>
      <c r="G410" s="150"/>
      <c r="H410" s="150"/>
      <c r="I410" s="150"/>
      <c r="J410" s="143">
        <f t="shared" ref="J410" si="358">L410+O410</f>
        <v>0</v>
      </c>
      <c r="K410" s="150"/>
      <c r="L410" s="150"/>
      <c r="M410" s="150"/>
      <c r="N410" s="150"/>
      <c r="O410" s="148">
        <f>K410</f>
        <v>0</v>
      </c>
      <c r="P410" s="143">
        <f t="shared" ref="P410" si="359">E410+J410</f>
        <v>0</v>
      </c>
      <c r="Q410" s="47"/>
      <c r="R410" s="50"/>
    </row>
    <row r="411" spans="1:19" ht="47.25" thickTop="1" thickBot="1" x14ac:dyDescent="0.25">
      <c r="A411" s="346" t="s">
        <v>852</v>
      </c>
      <c r="B411" s="346" t="s">
        <v>702</v>
      </c>
      <c r="C411" s="346"/>
      <c r="D411" s="346" t="s">
        <v>703</v>
      </c>
      <c r="E411" s="347">
        <f t="shared" ref="E411:P411" si="360">E412+E413+E415</f>
        <v>17191292.260000005</v>
      </c>
      <c r="F411" s="347">
        <f t="shared" si="360"/>
        <v>17191292.260000005</v>
      </c>
      <c r="G411" s="347">
        <f t="shared" si="360"/>
        <v>0</v>
      </c>
      <c r="H411" s="347">
        <f t="shared" si="360"/>
        <v>0</v>
      </c>
      <c r="I411" s="347">
        <f t="shared" si="360"/>
        <v>0</v>
      </c>
      <c r="J411" s="347">
        <f t="shared" si="360"/>
        <v>0</v>
      </c>
      <c r="K411" s="347">
        <f t="shared" si="360"/>
        <v>0</v>
      </c>
      <c r="L411" s="347">
        <f t="shared" si="360"/>
        <v>0</v>
      </c>
      <c r="M411" s="347">
        <f t="shared" si="360"/>
        <v>0</v>
      </c>
      <c r="N411" s="347">
        <f t="shared" si="360"/>
        <v>0</v>
      </c>
      <c r="O411" s="347">
        <f t="shared" si="360"/>
        <v>0</v>
      </c>
      <c r="P411" s="347">
        <f t="shared" si="360"/>
        <v>17191292.260000005</v>
      </c>
      <c r="Q411" s="47"/>
      <c r="R411" s="50"/>
    </row>
    <row r="412" spans="1:19" ht="47.25" thickTop="1" thickBot="1" x14ac:dyDescent="0.25">
      <c r="A412" s="500">
        <v>3718600</v>
      </c>
      <c r="B412" s="500">
        <v>8600</v>
      </c>
      <c r="C412" s="348" t="s">
        <v>366</v>
      </c>
      <c r="D412" s="500" t="s">
        <v>456</v>
      </c>
      <c r="E412" s="352">
        <f>F412</f>
        <v>1306400</v>
      </c>
      <c r="F412" s="352">
        <f>1306400</f>
        <v>1306400</v>
      </c>
      <c r="G412" s="352"/>
      <c r="H412" s="352"/>
      <c r="I412" s="352"/>
      <c r="J412" s="352">
        <f>L412+O412</f>
        <v>0</v>
      </c>
      <c r="K412" s="352"/>
      <c r="L412" s="352"/>
      <c r="M412" s="352"/>
      <c r="N412" s="352"/>
      <c r="O412" s="509">
        <f>K412</f>
        <v>0</v>
      </c>
      <c r="P412" s="352">
        <f>E412+J412</f>
        <v>1306400</v>
      </c>
      <c r="Q412" s="20"/>
    </row>
    <row r="413" spans="1:19" ht="47.25" thickTop="1" thickBot="1" x14ac:dyDescent="0.25">
      <c r="A413" s="500">
        <v>3718700</v>
      </c>
      <c r="B413" s="500">
        <v>8700</v>
      </c>
      <c r="C413" s="348"/>
      <c r="D413" s="500" t="s">
        <v>853</v>
      </c>
      <c r="E413" s="352">
        <f t="shared" ref="E413:P413" si="361">E414</f>
        <v>15884892.260000005</v>
      </c>
      <c r="F413" s="352">
        <f t="shared" si="361"/>
        <v>15884892.260000005</v>
      </c>
      <c r="G413" s="352">
        <f t="shared" si="361"/>
        <v>0</v>
      </c>
      <c r="H413" s="352">
        <f t="shared" si="361"/>
        <v>0</v>
      </c>
      <c r="I413" s="352">
        <f t="shared" si="361"/>
        <v>0</v>
      </c>
      <c r="J413" s="352">
        <f t="shared" si="361"/>
        <v>0</v>
      </c>
      <c r="K413" s="352">
        <f t="shared" si="361"/>
        <v>0</v>
      </c>
      <c r="L413" s="352">
        <f t="shared" si="361"/>
        <v>0</v>
      </c>
      <c r="M413" s="352">
        <f t="shared" si="361"/>
        <v>0</v>
      </c>
      <c r="N413" s="352">
        <f t="shared" si="361"/>
        <v>0</v>
      </c>
      <c r="O413" s="352">
        <f t="shared" si="361"/>
        <v>0</v>
      </c>
      <c r="P413" s="352">
        <f t="shared" si="361"/>
        <v>15884892.260000005</v>
      </c>
      <c r="Q413" s="20"/>
    </row>
    <row r="414" spans="1:19" ht="69" customHeight="1" thickTop="1" thickBot="1" x14ac:dyDescent="0.25">
      <c r="A414" s="401">
        <v>3718710</v>
      </c>
      <c r="B414" s="401">
        <v>8710</v>
      </c>
      <c r="C414" s="119" t="s">
        <v>42</v>
      </c>
      <c r="D414" s="413" t="s">
        <v>646</v>
      </c>
      <c r="E414" s="393">
        <f>F414</f>
        <v>15884892.260000005</v>
      </c>
      <c r="F414" s="350">
        <f>((((((((10570000+18000000-10000000)-10775230)+61721624.88-1208523)-1013222.5-5000000)-41030724.79+410000)+4054078+44007615.72-20000-13700000+237750)-7000000)-5221634.76-1210000)-33198886.49-300000+6562045.2</f>
        <v>15884892.260000005</v>
      </c>
      <c r="G414" s="350"/>
      <c r="H414" s="350"/>
      <c r="I414" s="350"/>
      <c r="J414" s="393">
        <f>L414+O414</f>
        <v>0</v>
      </c>
      <c r="K414" s="350"/>
      <c r="L414" s="350"/>
      <c r="M414" s="350"/>
      <c r="N414" s="350"/>
      <c r="O414" s="351">
        <f>K414</f>
        <v>0</v>
      </c>
      <c r="P414" s="393">
        <f>E414+J414</f>
        <v>15884892.260000005</v>
      </c>
      <c r="Q414" s="20"/>
    </row>
    <row r="415" spans="1:19" ht="47.25" hidden="1" thickTop="1" thickBot="1" x14ac:dyDescent="0.25">
      <c r="A415" s="182">
        <v>3718800</v>
      </c>
      <c r="B415" s="182">
        <v>8800</v>
      </c>
      <c r="C415" s="152"/>
      <c r="D415" s="182" t="s">
        <v>861</v>
      </c>
      <c r="E415" s="153">
        <f>E416</f>
        <v>0</v>
      </c>
      <c r="F415" s="153">
        <f>F416</f>
        <v>0</v>
      </c>
      <c r="G415" s="153">
        <f t="shared" ref="G415:P416" si="362">G416</f>
        <v>0</v>
      </c>
      <c r="H415" s="153">
        <f t="shared" si="362"/>
        <v>0</v>
      </c>
      <c r="I415" s="153">
        <f t="shared" si="362"/>
        <v>0</v>
      </c>
      <c r="J415" s="153">
        <f t="shared" si="362"/>
        <v>0</v>
      </c>
      <c r="K415" s="153">
        <f t="shared" si="362"/>
        <v>0</v>
      </c>
      <c r="L415" s="153">
        <f t="shared" si="362"/>
        <v>0</v>
      </c>
      <c r="M415" s="153">
        <f t="shared" si="362"/>
        <v>0</v>
      </c>
      <c r="N415" s="153">
        <f t="shared" si="362"/>
        <v>0</v>
      </c>
      <c r="O415" s="153">
        <f t="shared" si="362"/>
        <v>0</v>
      </c>
      <c r="P415" s="153">
        <f t="shared" si="362"/>
        <v>0</v>
      </c>
      <c r="Q415" s="20"/>
    </row>
    <row r="416" spans="1:19" ht="93" hidden="1" thickTop="1" thickBot="1" x14ac:dyDescent="0.25">
      <c r="A416" s="183">
        <v>3718880</v>
      </c>
      <c r="B416" s="183">
        <v>8880</v>
      </c>
      <c r="C416" s="156"/>
      <c r="D416" s="169" t="s">
        <v>1176</v>
      </c>
      <c r="E416" s="157">
        <f>E417</f>
        <v>0</v>
      </c>
      <c r="F416" s="157">
        <f t="shared" ref="F416" si="363">F417</f>
        <v>0</v>
      </c>
      <c r="G416" s="157">
        <f t="shared" si="362"/>
        <v>0</v>
      </c>
      <c r="H416" s="157">
        <f t="shared" si="362"/>
        <v>0</v>
      </c>
      <c r="I416" s="157">
        <f t="shared" si="362"/>
        <v>0</v>
      </c>
      <c r="J416" s="157">
        <f t="shared" si="362"/>
        <v>0</v>
      </c>
      <c r="K416" s="157">
        <f t="shared" si="362"/>
        <v>0</v>
      </c>
      <c r="L416" s="157">
        <f t="shared" si="362"/>
        <v>0</v>
      </c>
      <c r="M416" s="157">
        <f t="shared" si="362"/>
        <v>0</v>
      </c>
      <c r="N416" s="157">
        <f t="shared" si="362"/>
        <v>0</v>
      </c>
      <c r="O416" s="157">
        <f t="shared" si="362"/>
        <v>0</v>
      </c>
      <c r="P416" s="157">
        <f t="shared" si="362"/>
        <v>0</v>
      </c>
      <c r="Q416" s="20"/>
    </row>
    <row r="417" spans="1:18" ht="93" hidden="1" thickTop="1" thickBot="1" x14ac:dyDescent="0.25">
      <c r="A417" s="144">
        <v>3718881</v>
      </c>
      <c r="B417" s="144">
        <v>8881</v>
      </c>
      <c r="C417" s="144" t="s">
        <v>170</v>
      </c>
      <c r="D417" s="144" t="s">
        <v>1177</v>
      </c>
      <c r="E417" s="168">
        <f>F417</f>
        <v>0</v>
      </c>
      <c r="F417" s="145">
        <f>(2500000)-2500000</f>
        <v>0</v>
      </c>
      <c r="G417" s="145"/>
      <c r="H417" s="145"/>
      <c r="I417" s="145"/>
      <c r="J417" s="143">
        <f t="shared" ref="J417" si="364">L417+O417</f>
        <v>0</v>
      </c>
      <c r="K417" s="145"/>
      <c r="L417" s="146"/>
      <c r="M417" s="146"/>
      <c r="N417" s="146"/>
      <c r="O417" s="148">
        <f t="shared" ref="O417" si="365">K417</f>
        <v>0</v>
      </c>
      <c r="P417" s="143">
        <f t="shared" ref="P417" si="366">+J417+E417</f>
        <v>0</v>
      </c>
      <c r="Q417" s="20"/>
    </row>
    <row r="418" spans="1:18" ht="47.25" thickTop="1" thickBot="1" x14ac:dyDescent="0.25">
      <c r="A418" s="346" t="s">
        <v>854</v>
      </c>
      <c r="B418" s="346" t="s">
        <v>708</v>
      </c>
      <c r="C418" s="346"/>
      <c r="D418" s="346" t="s">
        <v>709</v>
      </c>
      <c r="E418" s="393">
        <f>E419</f>
        <v>328100700</v>
      </c>
      <c r="F418" s="393">
        <f t="shared" ref="F418:P419" si="367">F419</f>
        <v>328100700</v>
      </c>
      <c r="G418" s="393">
        <f t="shared" si="367"/>
        <v>0</v>
      </c>
      <c r="H418" s="393">
        <f t="shared" si="367"/>
        <v>0</v>
      </c>
      <c r="I418" s="393">
        <f t="shared" si="367"/>
        <v>0</v>
      </c>
      <c r="J418" s="393">
        <f t="shared" si="367"/>
        <v>0</v>
      </c>
      <c r="K418" s="393">
        <f t="shared" si="367"/>
        <v>0</v>
      </c>
      <c r="L418" s="393">
        <f t="shared" si="367"/>
        <v>0</v>
      </c>
      <c r="M418" s="393">
        <f t="shared" si="367"/>
        <v>0</v>
      </c>
      <c r="N418" s="393">
        <f t="shared" si="367"/>
        <v>0</v>
      </c>
      <c r="O418" s="393">
        <f t="shared" si="367"/>
        <v>0</v>
      </c>
      <c r="P418" s="393">
        <f t="shared" si="367"/>
        <v>328100700</v>
      </c>
      <c r="Q418" s="20"/>
    </row>
    <row r="419" spans="1:18" ht="47.25" thickTop="1" thickBot="1" x14ac:dyDescent="0.25">
      <c r="A419" s="500">
        <v>3719100</v>
      </c>
      <c r="B419" s="348" t="s">
        <v>856</v>
      </c>
      <c r="C419" s="348"/>
      <c r="D419" s="348" t="s">
        <v>855</v>
      </c>
      <c r="E419" s="352">
        <f>E420</f>
        <v>328100700</v>
      </c>
      <c r="F419" s="352">
        <f t="shared" si="367"/>
        <v>328100700</v>
      </c>
      <c r="G419" s="352">
        <f t="shared" si="367"/>
        <v>0</v>
      </c>
      <c r="H419" s="352">
        <f t="shared" si="367"/>
        <v>0</v>
      </c>
      <c r="I419" s="352">
        <f t="shared" si="367"/>
        <v>0</v>
      </c>
      <c r="J419" s="352">
        <f t="shared" si="367"/>
        <v>0</v>
      </c>
      <c r="K419" s="352">
        <f t="shared" si="367"/>
        <v>0</v>
      </c>
      <c r="L419" s="352">
        <f t="shared" si="367"/>
        <v>0</v>
      </c>
      <c r="M419" s="352">
        <f t="shared" si="367"/>
        <v>0</v>
      </c>
      <c r="N419" s="352">
        <f t="shared" si="367"/>
        <v>0</v>
      </c>
      <c r="O419" s="352">
        <f t="shared" si="367"/>
        <v>0</v>
      </c>
      <c r="P419" s="352">
        <f t="shared" si="367"/>
        <v>328100700</v>
      </c>
      <c r="Q419" s="20"/>
    </row>
    <row r="420" spans="1:18" ht="51" customHeight="1" thickTop="1" thickBot="1" x14ac:dyDescent="0.25">
      <c r="A420" s="401">
        <v>3719110</v>
      </c>
      <c r="B420" s="401">
        <v>9110</v>
      </c>
      <c r="C420" s="119" t="s">
        <v>43</v>
      </c>
      <c r="D420" s="413" t="s">
        <v>455</v>
      </c>
      <c r="E420" s="393">
        <f>F420</f>
        <v>328100700</v>
      </c>
      <c r="F420" s="350">
        <v>328100700</v>
      </c>
      <c r="G420" s="350"/>
      <c r="H420" s="350"/>
      <c r="I420" s="350"/>
      <c r="J420" s="393">
        <f>L420+O420</f>
        <v>0</v>
      </c>
      <c r="K420" s="350"/>
      <c r="L420" s="350"/>
      <c r="M420" s="350"/>
      <c r="N420" s="350"/>
      <c r="O420" s="351">
        <f>K420</f>
        <v>0</v>
      </c>
      <c r="P420" s="393">
        <f>E420+J420</f>
        <v>328100700</v>
      </c>
      <c r="Q420" s="20"/>
    </row>
    <row r="421" spans="1:18" ht="111" customHeight="1" thickTop="1" thickBot="1" x14ac:dyDescent="0.25">
      <c r="A421" s="566" t="s">
        <v>385</v>
      </c>
      <c r="B421" s="566" t="s">
        <v>385</v>
      </c>
      <c r="C421" s="566" t="s">
        <v>385</v>
      </c>
      <c r="D421" s="566" t="s">
        <v>395</v>
      </c>
      <c r="E421" s="567">
        <f t="shared" ref="E421:P421" si="368">E16+E46+E216+E104+E134+E194++E313+E338+E404+E366+E385+E395+E347+E278+E252</f>
        <v>4220942131.0599999</v>
      </c>
      <c r="F421" s="567">
        <f t="shared" si="368"/>
        <v>4220942131.0599999</v>
      </c>
      <c r="G421" s="567">
        <f t="shared" si="368"/>
        <v>1640086259.4300001</v>
      </c>
      <c r="H421" s="567">
        <f t="shared" si="368"/>
        <v>179365010.53</v>
      </c>
      <c r="I421" s="567">
        <f t="shared" si="368"/>
        <v>0</v>
      </c>
      <c r="J421" s="567">
        <f t="shared" si="368"/>
        <v>1647199981.0300002</v>
      </c>
      <c r="K421" s="567">
        <f t="shared" si="368"/>
        <v>1438352895.9500003</v>
      </c>
      <c r="L421" s="567">
        <f t="shared" si="368"/>
        <v>199346419.08000001</v>
      </c>
      <c r="M421" s="567">
        <f t="shared" si="368"/>
        <v>49947065</v>
      </c>
      <c r="N421" s="567">
        <f t="shared" si="368"/>
        <v>17003655</v>
      </c>
      <c r="O421" s="567">
        <f t="shared" si="368"/>
        <v>1447853561.9500003</v>
      </c>
      <c r="P421" s="567">
        <f t="shared" si="368"/>
        <v>5868142112.0900002</v>
      </c>
      <c r="Q421" s="89" t="b">
        <f>P421=J421+E421</f>
        <v>1</v>
      </c>
    </row>
    <row r="422" spans="1:18" ht="46.5" thickTop="1" x14ac:dyDescent="0.2">
      <c r="A422" s="729" t="s">
        <v>1332</v>
      </c>
      <c r="B422" s="730"/>
      <c r="C422" s="730"/>
      <c r="D422" s="730"/>
      <c r="E422" s="730"/>
      <c r="F422" s="730"/>
      <c r="G422" s="730"/>
      <c r="H422" s="730"/>
      <c r="I422" s="730"/>
      <c r="J422" s="730"/>
      <c r="K422" s="730"/>
      <c r="L422" s="730"/>
      <c r="M422" s="730"/>
      <c r="N422" s="730"/>
      <c r="O422" s="730"/>
      <c r="P422" s="730"/>
      <c r="Q422" s="93"/>
    </row>
    <row r="423" spans="1:18" ht="60.75" hidden="1" x14ac:dyDescent="0.2">
      <c r="A423" s="184"/>
      <c r="B423" s="185"/>
      <c r="C423" s="185"/>
      <c r="D423" s="185"/>
      <c r="E423" s="394">
        <f>F423</f>
        <v>4220942131.0600004</v>
      </c>
      <c r="F423" s="394">
        <f>((((((((((3042022336.28+630802893+8260086)-9359911-150000-4895000)+408547246.84-3366523)-1013222.5)+88281-36901152.46-451590-500000))+166679104.83+12298837.72+1000000-20000+170000+151300-546000)-6500000)+81133279.88)+2413596+168829)+74909739.47-150000000+6000000</f>
        <v>4220942131.0600004</v>
      </c>
      <c r="G423" s="394">
        <f>(((((97820900+700442852+88293048+2636610+43398010+109636660+47666561+1669391+510343880+3045420)+13450+3532532)+840600)+72361.47+497899)+1978358)+30121300-2000000-241814+48240.96+270000</f>
        <v>1640086259.4300001</v>
      </c>
      <c r="H423" s="394">
        <f>((((((7110100+195613308+216098+5150735+74329+8494910+3165886+4570553+4601586)+142020.09+148400+52329.48)+134764.64+243030+245850)-898850)+168829)-48072913.68-1105000-100000-360000)-230954</f>
        <v>179365010.52999997</v>
      </c>
      <c r="I423" s="394">
        <v>0</v>
      </c>
      <c r="J423" s="394">
        <f>((((((((411784702.72+'d2'!E42-'d4'!N17)+13686000+150000+4895000)+715534375.97+3366523)+36901152.46+451590+500000)+(392213224.81-(7972860-45000))+89386247.57-1000000+20000-170000-151300+546000)+6500000)+50866720.12)+11560925.14)-72423320.76-6000000</f>
        <v>1647199981.03</v>
      </c>
      <c r="K423" s="394">
        <f>((((((((411784702.72+'d2'!F42-'d4'!N17-2950700-1350000-188624447)+13686000+150000+4895000)+715534375.97-6350319-2606434-1286664.08+3366523)+36901152.46+451590+500000)+(392213224.81-(7972860-45000)-1250000)+89386247.57-1000000+20000-170000-151300+546000)-1000000+6500000)+50866720.12-600000)+11560925.14)-72423320.76-2828521-6000000</f>
        <v>1438352895.95</v>
      </c>
      <c r="L423" s="394">
        <f>(((((3326700+171685130+2118642+1000000+640000+211210+9125775)+784434+6275319+506938.21+479725.87-50000)+127001)+80000+852942+700000-700000)+600000)+1582602</f>
        <v>199346419.08000001</v>
      </c>
      <c r="M423" s="394">
        <f>((39544820+350000+361000+5000+1072780+6635445)+1468040)+587980-78000</f>
        <v>49947065</v>
      </c>
      <c r="N423" s="394">
        <f>((15551110+158000+55000+195110+383875+290560)+350000)+20000</f>
        <v>17003655</v>
      </c>
      <c r="O423" s="394">
        <f>(((((((((411784702.72+'d2'!F42-'d4'!N17-188624447-2950700-1350000+(90000+122380+3445630+185680)+974000)+13686000+150000+4895000)+(715534375.97-6350319-2606434-1286664.08)+1822000+75000+300000+50000+3366523)+36901152.46-127001+451590+500000)+(392213224.81-(7972860-45000)-1250000)-80000-700000+397058)+700000+89386247.57-1000000+20000-170000-151300+546000)+6500000)+50866720.12-600000)+11560925.14)-72423320.76-1582602-6000000</f>
        <v>1447853561.95</v>
      </c>
      <c r="P423" s="394">
        <f>((((((((3453807039+'d2'!E42-'d4'!Q28+630802893+8260086)+16400+4309689)+1124081622.81)+88281)+558892329.64)+101685085.29)+132000000)+13974521.14+168829)+2486418.71-150000000</f>
        <v>5868142112.0900002</v>
      </c>
      <c r="Q423" s="89" t="b">
        <f>E423+J423=P423</f>
        <v>1</v>
      </c>
      <c r="R423" s="56"/>
    </row>
    <row r="424" spans="1:18" ht="45.75" hidden="1" x14ac:dyDescent="0.65">
      <c r="A424" s="15"/>
      <c r="B424" s="16"/>
      <c r="C424" s="16"/>
      <c r="D424" s="644" t="s">
        <v>1586</v>
      </c>
      <c r="E424" s="361"/>
      <c r="F424" s="361"/>
      <c r="G424" s="617"/>
      <c r="H424" s="3"/>
      <c r="I424" s="2"/>
      <c r="J424" s="3"/>
      <c r="K424" s="617" t="s">
        <v>1587</v>
      </c>
      <c r="L424" s="2"/>
      <c r="M424" s="2"/>
      <c r="N424" s="2"/>
      <c r="O424" s="2"/>
      <c r="P424" s="2"/>
      <c r="Q424" s="93"/>
    </row>
    <row r="425" spans="1:18" ht="45.75" x14ac:dyDescent="0.65">
      <c r="A425" s="15"/>
      <c r="B425" s="16"/>
      <c r="C425" s="16"/>
      <c r="D425" s="3" t="s">
        <v>1548</v>
      </c>
      <c r="E425" s="361"/>
      <c r="F425" s="361"/>
      <c r="G425" s="617"/>
      <c r="H425" s="3"/>
      <c r="I425" s="2"/>
      <c r="J425" s="3"/>
      <c r="K425" s="3" t="s">
        <v>1549</v>
      </c>
      <c r="L425" s="2"/>
      <c r="M425" s="2"/>
      <c r="N425" s="2"/>
      <c r="O425" s="2"/>
      <c r="P425" s="2"/>
      <c r="Q425" s="93"/>
    </row>
    <row r="426" spans="1:18" ht="26.25" customHeight="1" x14ac:dyDescent="0.65">
      <c r="A426" s="15"/>
      <c r="B426" s="16"/>
      <c r="C426" s="16"/>
      <c r="D426" s="703"/>
      <c r="E426" s="703"/>
      <c r="F426" s="703"/>
      <c r="G426" s="703"/>
      <c r="H426" s="703"/>
      <c r="I426" s="703"/>
      <c r="J426" s="703"/>
      <c r="K426" s="703"/>
      <c r="L426" s="703"/>
      <c r="M426" s="703"/>
      <c r="N426" s="703"/>
      <c r="O426" s="703"/>
      <c r="P426" s="703"/>
      <c r="Q426" s="93"/>
    </row>
    <row r="427" spans="1:18" ht="50.25" customHeight="1" thickBot="1" x14ac:dyDescent="0.7">
      <c r="A427" s="15"/>
      <c r="B427" s="16"/>
      <c r="C427" s="16"/>
      <c r="D427" s="673" t="s">
        <v>528</v>
      </c>
      <c r="E427" s="674"/>
      <c r="F427" s="674"/>
      <c r="G427" s="618"/>
      <c r="H427" s="618"/>
      <c r="I427" s="2"/>
      <c r="J427" s="2"/>
      <c r="K427" s="3" t="s">
        <v>1435</v>
      </c>
      <c r="L427" s="2"/>
      <c r="M427" s="2"/>
      <c r="N427" s="2"/>
      <c r="O427" s="2"/>
      <c r="P427" s="2"/>
      <c r="Q427" s="93"/>
    </row>
    <row r="428" spans="1:18" ht="47.25" thickTop="1" thickBot="1" x14ac:dyDescent="0.7">
      <c r="A428" s="19"/>
      <c r="B428" s="19"/>
      <c r="C428" s="19"/>
      <c r="D428" s="731"/>
      <c r="E428" s="731"/>
      <c r="F428" s="731"/>
      <c r="G428" s="731"/>
      <c r="H428" s="731"/>
      <c r="I428" s="731"/>
      <c r="J428" s="731"/>
      <c r="K428" s="731"/>
      <c r="L428" s="731"/>
      <c r="M428" s="731"/>
      <c r="N428" s="731"/>
      <c r="O428" s="731"/>
      <c r="P428" s="731"/>
      <c r="Q428" s="94"/>
    </row>
    <row r="429" spans="1:18" ht="95.25" customHeight="1" thickTop="1" x14ac:dyDescent="0.55000000000000004">
      <c r="G429" s="58"/>
      <c r="H429" s="58"/>
      <c r="I429" s="102"/>
      <c r="J429" s="103"/>
      <c r="K429" s="103"/>
      <c r="L429" s="102"/>
      <c r="M429" s="102"/>
      <c r="N429" s="102"/>
      <c r="O429" s="102"/>
      <c r="P429" s="103"/>
      <c r="Q429" s="92"/>
    </row>
    <row r="430" spans="1:18" x14ac:dyDescent="0.2">
      <c r="E430" s="59"/>
      <c r="F430" s="60"/>
      <c r="G430" s="58"/>
      <c r="H430" s="58"/>
      <c r="I430" s="102"/>
      <c r="J430" s="104"/>
      <c r="K430" s="104"/>
      <c r="L430" s="102"/>
      <c r="M430" s="102"/>
      <c r="N430" s="102"/>
      <c r="O430" s="102"/>
      <c r="P430" s="103"/>
    </row>
    <row r="431" spans="1:18" x14ac:dyDescent="0.2">
      <c r="E431" s="59"/>
      <c r="F431" s="60"/>
      <c r="G431" s="58"/>
      <c r="H431" s="58"/>
      <c r="I431" s="102"/>
      <c r="J431" s="104"/>
      <c r="K431" s="104"/>
      <c r="L431" s="102"/>
      <c r="M431" s="102"/>
      <c r="N431" s="102"/>
      <c r="O431" s="102"/>
      <c r="P431" s="103"/>
    </row>
    <row r="432" spans="1:18" ht="60.75" x14ac:dyDescent="0.2">
      <c r="E432" s="89" t="b">
        <f>E423=E421</f>
        <v>1</v>
      </c>
      <c r="F432" s="89" t="b">
        <f>F423=F421</f>
        <v>1</v>
      </c>
      <c r="G432" s="89" t="b">
        <f>G423=G421</f>
        <v>1</v>
      </c>
      <c r="H432" s="89" t="b">
        <f t="shared" ref="H432:O432" si="369">H423=H421</f>
        <v>1</v>
      </c>
      <c r="I432" s="89" t="b">
        <f>I423=I421</f>
        <v>1</v>
      </c>
      <c r="J432" s="89" t="b">
        <f>J423=J421</f>
        <v>1</v>
      </c>
      <c r="K432" s="89" t="b">
        <f>K423=K421</f>
        <v>1</v>
      </c>
      <c r="L432" s="89" t="b">
        <f t="shared" si="369"/>
        <v>1</v>
      </c>
      <c r="M432" s="89" t="b">
        <f t="shared" si="369"/>
        <v>1</v>
      </c>
      <c r="N432" s="89" t="b">
        <f>N423=N421</f>
        <v>1</v>
      </c>
      <c r="O432" s="89" t="b">
        <f t="shared" si="369"/>
        <v>1</v>
      </c>
      <c r="P432" s="89" t="b">
        <f>P423=P421</f>
        <v>1</v>
      </c>
    </row>
    <row r="433" spans="1:18" ht="61.5" x14ac:dyDescent="0.2">
      <c r="E433" s="89" t="b">
        <f>E421=F421</f>
        <v>1</v>
      </c>
      <c r="F433" s="112">
        <f>F414/E421</f>
        <v>3.7633522959507745E-3</v>
      </c>
      <c r="G433" s="96"/>
      <c r="H433" s="97"/>
      <c r="I433" s="98"/>
      <c r="J433" s="89" t="b">
        <f>J423=L423+O423</f>
        <v>1</v>
      </c>
      <c r="K433" s="105"/>
      <c r="L433" s="89"/>
      <c r="M433" s="98"/>
      <c r="N433" s="98"/>
      <c r="O433" s="89"/>
      <c r="P433" s="89" t="b">
        <f>E421+J421=P421</f>
        <v>1</v>
      </c>
    </row>
    <row r="434" spans="1:18" ht="60.75" x14ac:dyDescent="0.2">
      <c r="E434" s="99"/>
      <c r="F434" s="100"/>
      <c r="G434" s="99"/>
      <c r="H434" s="101"/>
      <c r="I434" s="99"/>
      <c r="J434" s="59"/>
      <c r="K434" s="59"/>
    </row>
    <row r="435" spans="1:18" ht="61.5" x14ac:dyDescent="0.2">
      <c r="A435" s="21"/>
      <c r="B435" s="21"/>
      <c r="C435" s="21"/>
      <c r="D435" s="22"/>
      <c r="E435" s="37">
        <f>E421-E423</f>
        <v>0</v>
      </c>
      <c r="F435" s="112">
        <f>400000/E421</f>
        <v>9.4765573082981005E-5</v>
      </c>
      <c r="G435" s="96"/>
      <c r="H435" s="61"/>
      <c r="I435" s="22"/>
      <c r="J435" s="37">
        <f>J421-J423</f>
        <v>0</v>
      </c>
      <c r="K435" s="37">
        <f>K421-K423</f>
        <v>0</v>
      </c>
      <c r="L435" s="37"/>
      <c r="M435" s="37"/>
      <c r="N435" s="37"/>
      <c r="O435" s="37">
        <f>O421-O423</f>
        <v>0</v>
      </c>
      <c r="P435" s="37"/>
    </row>
    <row r="436" spans="1:18" ht="61.5" x14ac:dyDescent="0.2">
      <c r="D436" s="22"/>
      <c r="E436" s="37"/>
      <c r="F436" s="63"/>
      <c r="G436" s="55"/>
      <c r="H436" s="61"/>
      <c r="I436" s="22"/>
      <c r="J436" s="37"/>
      <c r="K436" s="37"/>
      <c r="L436" s="64"/>
      <c r="P436" s="55"/>
      <c r="Q436" s="95"/>
      <c r="R436" s="65"/>
    </row>
    <row r="437" spans="1:18" ht="60.75" x14ac:dyDescent="0.2">
      <c r="A437" s="21"/>
      <c r="B437" s="21"/>
      <c r="C437" s="21"/>
      <c r="D437" s="22"/>
      <c r="E437" s="26"/>
      <c r="F437" s="26"/>
      <c r="G437" s="26"/>
      <c r="H437" s="26"/>
      <c r="I437" s="66"/>
      <c r="J437" s="26"/>
      <c r="K437" s="26"/>
      <c r="L437" s="26"/>
      <c r="M437" s="26"/>
      <c r="N437" s="26"/>
      <c r="O437" s="26"/>
      <c r="P437" s="26"/>
      <c r="Q437" s="95"/>
      <c r="R437" s="65"/>
    </row>
    <row r="438" spans="1:18" ht="60.75" x14ac:dyDescent="0.2">
      <c r="D438" s="22"/>
      <c r="E438" s="37"/>
      <c r="F438" s="67"/>
      <c r="O438" s="55"/>
      <c r="P438" s="55"/>
    </row>
    <row r="439" spans="1:18" ht="60.75" x14ac:dyDescent="0.2">
      <c r="A439" s="21"/>
      <c r="B439" s="21"/>
      <c r="C439" s="21"/>
      <c r="D439" s="22"/>
      <c r="E439" s="37"/>
      <c r="F439" s="62"/>
      <c r="G439" s="64"/>
      <c r="I439" s="68"/>
      <c r="J439" s="59"/>
      <c r="K439" s="59"/>
      <c r="L439" s="21"/>
      <c r="M439" s="21"/>
      <c r="N439" s="21"/>
      <c r="O439" s="21"/>
      <c r="P439" s="55"/>
    </row>
    <row r="440" spans="1:18" ht="62.25" x14ac:dyDescent="0.8">
      <c r="A440" s="21"/>
      <c r="B440" s="21"/>
      <c r="C440" s="21"/>
      <c r="D440" s="21"/>
      <c r="E440" s="69"/>
      <c r="F440" s="62"/>
      <c r="J440" s="59"/>
      <c r="K440" s="59"/>
      <c r="L440" s="21"/>
      <c r="M440" s="21"/>
      <c r="N440" s="21"/>
      <c r="O440" s="21"/>
      <c r="P440" s="70"/>
    </row>
    <row r="441" spans="1:18" ht="45.75" x14ac:dyDescent="0.2">
      <c r="E441" s="71"/>
      <c r="F441" s="67"/>
    </row>
    <row r="442" spans="1:18" ht="45.75" x14ac:dyDescent="0.2">
      <c r="A442" s="21"/>
      <c r="B442" s="21"/>
      <c r="C442" s="21"/>
      <c r="D442" s="21"/>
      <c r="E442" s="69"/>
      <c r="F442" s="62"/>
      <c r="L442" s="21"/>
      <c r="M442" s="21"/>
      <c r="N442" s="21"/>
      <c r="O442" s="21"/>
      <c r="P442" s="21"/>
    </row>
    <row r="443" spans="1:18" ht="45.75" x14ac:dyDescent="0.2">
      <c r="E443" s="72"/>
      <c r="F443" s="67"/>
    </row>
    <row r="444" spans="1:18" ht="45.75" x14ac:dyDescent="0.2">
      <c r="E444" s="72"/>
      <c r="F444" s="67"/>
    </row>
    <row r="445" spans="1:18" ht="45.75" x14ac:dyDescent="0.2">
      <c r="E445" s="72"/>
      <c r="F445" s="67"/>
    </row>
    <row r="446" spans="1:18" ht="45.75" x14ac:dyDescent="0.2">
      <c r="A446" s="21"/>
      <c r="B446" s="21"/>
      <c r="C446" s="21"/>
      <c r="D446" s="21"/>
      <c r="E446" s="72"/>
      <c r="F446" s="67"/>
      <c r="G446" s="21"/>
      <c r="H446" s="21"/>
      <c r="I446" s="21"/>
      <c r="J446" s="21"/>
      <c r="K446" s="21"/>
      <c r="L446" s="21"/>
      <c r="M446" s="21"/>
      <c r="N446" s="21"/>
      <c r="O446" s="21"/>
      <c r="P446" s="21"/>
    </row>
    <row r="447" spans="1:18" ht="45.75" x14ac:dyDescent="0.2">
      <c r="A447" s="21"/>
      <c r="B447" s="21"/>
      <c r="C447" s="21"/>
      <c r="D447" s="21"/>
      <c r="E447" s="72"/>
      <c r="F447" s="67"/>
      <c r="G447" s="21"/>
      <c r="H447" s="21"/>
      <c r="I447" s="21"/>
      <c r="J447" s="21"/>
      <c r="K447" s="21"/>
      <c r="L447" s="21"/>
      <c r="M447" s="21"/>
      <c r="N447" s="21"/>
      <c r="O447" s="21"/>
      <c r="P447" s="21"/>
    </row>
    <row r="448" spans="1:18" ht="45.75" x14ac:dyDescent="0.2">
      <c r="A448" s="21"/>
      <c r="B448" s="21"/>
      <c r="C448" s="21"/>
      <c r="D448" s="21"/>
      <c r="E448" s="72"/>
      <c r="F448" s="67"/>
      <c r="G448" s="21"/>
      <c r="H448" s="21"/>
      <c r="I448" s="21"/>
      <c r="J448" s="21"/>
      <c r="K448" s="21"/>
      <c r="L448" s="21"/>
      <c r="M448" s="21"/>
      <c r="N448" s="21"/>
      <c r="O448" s="21"/>
      <c r="P448" s="21"/>
    </row>
    <row r="449" spans="1:16" ht="45.75" x14ac:dyDescent="0.2">
      <c r="A449" s="21"/>
      <c r="B449" s="21"/>
      <c r="C449" s="21"/>
      <c r="D449" s="21"/>
      <c r="E449" s="72"/>
      <c r="F449" s="67"/>
      <c r="G449" s="21"/>
      <c r="H449" s="21"/>
      <c r="I449" s="21"/>
      <c r="J449" s="21"/>
      <c r="K449" s="21"/>
      <c r="L449" s="21"/>
      <c r="M449" s="21"/>
      <c r="N449" s="21"/>
      <c r="O449" s="21"/>
      <c r="P449" s="21"/>
    </row>
  </sheetData>
  <mergeCells count="198">
    <mergeCell ref="A422:P422"/>
    <mergeCell ref="D426:P426"/>
    <mergeCell ref="D427:F427"/>
    <mergeCell ref="D428:P428"/>
    <mergeCell ref="K334:K335"/>
    <mergeCell ref="L334:L335"/>
    <mergeCell ref="M334:M335"/>
    <mergeCell ref="N334:N335"/>
    <mergeCell ref="O334:O335"/>
    <mergeCell ref="P334:P335"/>
    <mergeCell ref="P301:P302"/>
    <mergeCell ref="A334:A335"/>
    <mergeCell ref="B334:B335"/>
    <mergeCell ref="C334:C335"/>
    <mergeCell ref="E334:E335"/>
    <mergeCell ref="F334:F335"/>
    <mergeCell ref="G334:G335"/>
    <mergeCell ref="H334:H335"/>
    <mergeCell ref="I334:I335"/>
    <mergeCell ref="J334:J335"/>
    <mergeCell ref="J301:J302"/>
    <mergeCell ref="K301:K302"/>
    <mergeCell ref="L301:L302"/>
    <mergeCell ref="M301:M302"/>
    <mergeCell ref="N301:N302"/>
    <mergeCell ref="O301:O302"/>
    <mergeCell ref="A301:A302"/>
    <mergeCell ref="B301:B302"/>
    <mergeCell ref="C301:C302"/>
    <mergeCell ref="E301:E302"/>
    <mergeCell ref="F301:F302"/>
    <mergeCell ref="G301:G302"/>
    <mergeCell ref="H301:H302"/>
    <mergeCell ref="I301:I302"/>
    <mergeCell ref="I272:I273"/>
    <mergeCell ref="N191:N192"/>
    <mergeCell ref="O191:O192"/>
    <mergeCell ref="P191:P192"/>
    <mergeCell ref="A272:A273"/>
    <mergeCell ref="B272:B273"/>
    <mergeCell ref="C272:C273"/>
    <mergeCell ref="E272:E273"/>
    <mergeCell ref="F272:F273"/>
    <mergeCell ref="G272:G273"/>
    <mergeCell ref="H272:H273"/>
    <mergeCell ref="H191:H192"/>
    <mergeCell ref="I191:I192"/>
    <mergeCell ref="J191:J192"/>
    <mergeCell ref="K191:K192"/>
    <mergeCell ref="L191:L192"/>
    <mergeCell ref="M191:M192"/>
    <mergeCell ref="O272:O273"/>
    <mergeCell ref="P272:P273"/>
    <mergeCell ref="J272:J273"/>
    <mergeCell ref="K272:K273"/>
    <mergeCell ref="L272:L273"/>
    <mergeCell ref="M272:M273"/>
    <mergeCell ref="N272:N273"/>
    <mergeCell ref="A191:A192"/>
    <mergeCell ref="B191:B192"/>
    <mergeCell ref="C191:C192"/>
    <mergeCell ref="E191:E192"/>
    <mergeCell ref="F191:F192"/>
    <mergeCell ref="G191:G192"/>
    <mergeCell ref="H173:H175"/>
    <mergeCell ref="I173:I175"/>
    <mergeCell ref="J173:J175"/>
    <mergeCell ref="R170:R172"/>
    <mergeCell ref="A173:A175"/>
    <mergeCell ref="B173:B175"/>
    <mergeCell ref="C173:C175"/>
    <mergeCell ref="E173:E175"/>
    <mergeCell ref="F173:F175"/>
    <mergeCell ref="G173:G175"/>
    <mergeCell ref="H170:H172"/>
    <mergeCell ref="I170:I172"/>
    <mergeCell ref="J170:J172"/>
    <mergeCell ref="K170:K172"/>
    <mergeCell ref="L170:L172"/>
    <mergeCell ref="M170:M172"/>
    <mergeCell ref="N173:N175"/>
    <mergeCell ref="O173:O175"/>
    <mergeCell ref="P173:P175"/>
    <mergeCell ref="R173:R175"/>
    <mergeCell ref="K173:K175"/>
    <mergeCell ref="L173:L175"/>
    <mergeCell ref="M173:M175"/>
    <mergeCell ref="A170:A172"/>
    <mergeCell ref="B170:B172"/>
    <mergeCell ref="C170:C172"/>
    <mergeCell ref="E170:E172"/>
    <mergeCell ref="F170:F172"/>
    <mergeCell ref="G170:G172"/>
    <mergeCell ref="H166:H169"/>
    <mergeCell ref="I166:I169"/>
    <mergeCell ref="J166:J169"/>
    <mergeCell ref="Q162:Q165"/>
    <mergeCell ref="N170:N172"/>
    <mergeCell ref="O170:O172"/>
    <mergeCell ref="P170:P172"/>
    <mergeCell ref="R162:R165"/>
    <mergeCell ref="A166:A169"/>
    <mergeCell ref="B166:B169"/>
    <mergeCell ref="C166:C169"/>
    <mergeCell ref="E166:E169"/>
    <mergeCell ref="F166:F169"/>
    <mergeCell ref="G166:G169"/>
    <mergeCell ref="I162:I165"/>
    <mergeCell ref="J162:J165"/>
    <mergeCell ref="K162:K165"/>
    <mergeCell ref="L162:L165"/>
    <mergeCell ref="M162:M165"/>
    <mergeCell ref="N162:N165"/>
    <mergeCell ref="N166:N169"/>
    <mergeCell ref="O166:O169"/>
    <mergeCell ref="P166:P169"/>
    <mergeCell ref="R166:R169"/>
    <mergeCell ref="K166:K169"/>
    <mergeCell ref="L166:L169"/>
    <mergeCell ref="M166:M169"/>
    <mergeCell ref="P75:P76"/>
    <mergeCell ref="A162:A165"/>
    <mergeCell ref="B162:B165"/>
    <mergeCell ref="C162:C165"/>
    <mergeCell ref="E162:E165"/>
    <mergeCell ref="F162:F165"/>
    <mergeCell ref="G162:G165"/>
    <mergeCell ref="H162:H165"/>
    <mergeCell ref="H75:H76"/>
    <mergeCell ref="I75:I76"/>
    <mergeCell ref="J75:J76"/>
    <mergeCell ref="K75:K76"/>
    <mergeCell ref="L75:L76"/>
    <mergeCell ref="M75:M76"/>
    <mergeCell ref="O162:O165"/>
    <mergeCell ref="P162:P165"/>
    <mergeCell ref="N56:N57"/>
    <mergeCell ref="O56:O57"/>
    <mergeCell ref="P56:P57"/>
    <mergeCell ref="A75:A76"/>
    <mergeCell ref="B75:B76"/>
    <mergeCell ref="C75:C76"/>
    <mergeCell ref="D75:D76"/>
    <mergeCell ref="E75:E76"/>
    <mergeCell ref="F75:F76"/>
    <mergeCell ref="G75:G76"/>
    <mergeCell ref="H56:H57"/>
    <mergeCell ref="I56:I57"/>
    <mergeCell ref="J56:J57"/>
    <mergeCell ref="K56:K57"/>
    <mergeCell ref="L56:L57"/>
    <mergeCell ref="M56:M57"/>
    <mergeCell ref="A56:A57"/>
    <mergeCell ref="B56:B57"/>
    <mergeCell ref="C56:C57"/>
    <mergeCell ref="E56:E57"/>
    <mergeCell ref="F56:F57"/>
    <mergeCell ref="G56:G57"/>
    <mergeCell ref="N75:N76"/>
    <mergeCell ref="O75:O76"/>
    <mergeCell ref="K30:K31"/>
    <mergeCell ref="L30:L31"/>
    <mergeCell ref="M30:M31"/>
    <mergeCell ref="N30:N31"/>
    <mergeCell ref="O30:O31"/>
    <mergeCell ref="P30:P31"/>
    <mergeCell ref="O12:O13"/>
    <mergeCell ref="A30:A31"/>
    <mergeCell ref="B30:B31"/>
    <mergeCell ref="C30:C31"/>
    <mergeCell ref="E30:E31"/>
    <mergeCell ref="F30:F31"/>
    <mergeCell ref="G30:G31"/>
    <mergeCell ref="H30:H31"/>
    <mergeCell ref="I30:I31"/>
    <mergeCell ref="J30:J31"/>
    <mergeCell ref="A9:B9"/>
    <mergeCell ref="A11:A13"/>
    <mergeCell ref="B11:B13"/>
    <mergeCell ref="C11:C13"/>
    <mergeCell ref="D11:D13"/>
    <mergeCell ref="E11:I11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</mergeCells>
  <conditionalFormatting sqref="Q338:Q345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Q347:Q348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Q349:Q364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Q385:Q390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Q391:Q393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404:Q405 Q407:R411 R406:S406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Q406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Q366:R372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R338:R339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R340:R345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R347:R348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R349:R364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R373:R383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85:R386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387:R390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R397:R399 Q395:R396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400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402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404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405">
    <cfRule type="iconSet" priority="11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3" orientation="landscape" r:id="rId1"/>
  <headerFooter alignWithMargins="0">
    <oddFooter>&amp;C&amp;"Times New Roman Cyr,курсив"Сторінка &amp;P з &amp;N</oddFooter>
  </headerFooter>
  <rowBreaks count="2" manualBreakCount="2">
    <brk id="291" max="15" man="1"/>
    <brk id="354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3BFCD-3A08-4E76-8205-D0FB2BFF2375}">
  <sheetPr>
    <tabColor theme="7" tint="0.39997558519241921"/>
  </sheetPr>
  <dimension ref="A1:T449"/>
  <sheetViews>
    <sheetView view="pageBreakPreview" zoomScale="25" zoomScaleNormal="25" zoomScaleSheetLayoutView="25" zoomScalePageLayoutView="10" workbookViewId="0">
      <pane ySplit="14" topLeftCell="A148" activePane="bottomLeft" state="frozen"/>
      <selection activeCell="B52" sqref="B52:E52"/>
      <selection pane="bottomLeft" activeCell="F154" sqref="F154"/>
    </sheetView>
  </sheetViews>
  <sheetFormatPr defaultColWidth="9.140625" defaultRowHeight="12.75" x14ac:dyDescent="0.2"/>
  <cols>
    <col min="1" max="1" width="48" style="18" customWidth="1"/>
    <col min="2" max="2" width="52.5703125" style="18" customWidth="1"/>
    <col min="3" max="3" width="65.7109375" style="18" customWidth="1"/>
    <col min="4" max="4" width="256.140625" style="18" customWidth="1"/>
    <col min="5" max="5" width="66.42578125" style="57" customWidth="1"/>
    <col min="6" max="6" width="62.5703125" style="18" customWidth="1"/>
    <col min="7" max="7" width="59.7109375" style="18" customWidth="1"/>
    <col min="8" max="8" width="53.140625" style="18" customWidth="1"/>
    <col min="9" max="9" width="41.85546875" style="18" customWidth="1"/>
    <col min="10" max="10" width="50.5703125" style="57" customWidth="1"/>
    <col min="11" max="11" width="52.5703125" style="57" customWidth="1"/>
    <col min="12" max="12" width="56.140625" style="18" customWidth="1"/>
    <col min="13" max="13" width="54.85546875" style="18" customWidth="1"/>
    <col min="14" max="14" width="51" style="18" customWidth="1"/>
    <col min="15" max="15" width="56.140625" style="18" bestFit="1" customWidth="1"/>
    <col min="16" max="16" width="86.28515625" style="57" customWidth="1"/>
    <col min="17" max="17" width="52.140625" style="91" customWidth="1"/>
    <col min="18" max="18" width="33.85546875" style="20" customWidth="1"/>
    <col min="19" max="19" width="40.140625" style="21" bestFit="1" customWidth="1"/>
    <col min="20" max="20" width="43.5703125" style="21" bestFit="1" customWidth="1"/>
    <col min="21" max="16384" width="9.140625" style="21"/>
  </cols>
  <sheetData>
    <row r="1" spans="1:18" ht="45.75" x14ac:dyDescent="0.2">
      <c r="A1" s="77"/>
      <c r="B1" s="77"/>
      <c r="C1" s="77"/>
      <c r="D1" s="78"/>
      <c r="E1" s="79"/>
      <c r="F1" s="80"/>
      <c r="G1" s="79"/>
      <c r="H1" s="79"/>
      <c r="I1" s="79"/>
      <c r="J1" s="79"/>
      <c r="K1" s="79"/>
      <c r="L1" s="79"/>
      <c r="M1" s="79"/>
      <c r="N1" s="716" t="s">
        <v>497</v>
      </c>
      <c r="O1" s="717"/>
      <c r="P1" s="717"/>
      <c r="Q1" s="717"/>
    </row>
    <row r="2" spans="1:18" ht="45.75" x14ac:dyDescent="0.2">
      <c r="A2" s="78"/>
      <c r="B2" s="78"/>
      <c r="C2" s="78"/>
      <c r="D2" s="78"/>
      <c r="E2" s="79"/>
      <c r="F2" s="80"/>
      <c r="G2" s="79"/>
      <c r="H2" s="79"/>
      <c r="I2" s="79"/>
      <c r="J2" s="79"/>
      <c r="K2" s="79"/>
      <c r="L2" s="79"/>
      <c r="M2" s="79"/>
      <c r="N2" s="716" t="s">
        <v>1365</v>
      </c>
      <c r="O2" s="718"/>
      <c r="P2" s="718"/>
      <c r="Q2" s="718"/>
    </row>
    <row r="3" spans="1:18" ht="40.700000000000003" customHeight="1" x14ac:dyDescent="0.2">
      <c r="A3" s="78"/>
      <c r="B3" s="78"/>
      <c r="C3" s="78"/>
      <c r="D3" s="78"/>
      <c r="E3" s="79"/>
      <c r="F3" s="80"/>
      <c r="G3" s="79"/>
      <c r="H3" s="79"/>
      <c r="I3" s="79"/>
      <c r="J3" s="79"/>
      <c r="K3" s="79"/>
      <c r="L3" s="79"/>
      <c r="M3" s="79"/>
      <c r="N3" s="79"/>
      <c r="O3" s="716"/>
      <c r="P3" s="719"/>
      <c r="Q3" s="90"/>
    </row>
    <row r="4" spans="1:18" ht="45.75" hidden="1" x14ac:dyDescent="0.2">
      <c r="A4" s="78"/>
      <c r="B4" s="78"/>
      <c r="C4" s="78"/>
      <c r="D4" s="78"/>
      <c r="E4" s="79"/>
      <c r="F4" s="80"/>
      <c r="G4" s="79"/>
      <c r="H4" s="79"/>
      <c r="I4" s="79"/>
      <c r="J4" s="79"/>
      <c r="K4" s="79"/>
      <c r="L4" s="79"/>
      <c r="M4" s="79"/>
      <c r="N4" s="79"/>
      <c r="O4" s="78"/>
      <c r="P4" s="80"/>
      <c r="Q4" s="90"/>
    </row>
    <row r="5" spans="1:18" ht="45" x14ac:dyDescent="0.2">
      <c r="A5" s="720" t="s">
        <v>1600</v>
      </c>
      <c r="B5" s="720"/>
      <c r="C5" s="720"/>
      <c r="D5" s="720"/>
      <c r="E5" s="720"/>
      <c r="F5" s="720"/>
      <c r="G5" s="720"/>
      <c r="H5" s="720"/>
      <c r="I5" s="720"/>
      <c r="J5" s="720"/>
      <c r="K5" s="720"/>
      <c r="L5" s="720"/>
      <c r="M5" s="720"/>
      <c r="N5" s="720"/>
      <c r="O5" s="720"/>
      <c r="P5" s="720"/>
      <c r="Q5" s="90"/>
    </row>
    <row r="6" spans="1:18" ht="45" x14ac:dyDescent="0.2">
      <c r="A6" s="720" t="s">
        <v>1287</v>
      </c>
      <c r="B6" s="720"/>
      <c r="C6" s="720"/>
      <c r="D6" s="720"/>
      <c r="E6" s="720"/>
      <c r="F6" s="720"/>
      <c r="G6" s="720"/>
      <c r="H6" s="720"/>
      <c r="I6" s="720"/>
      <c r="J6" s="720"/>
      <c r="K6" s="720"/>
      <c r="L6" s="720"/>
      <c r="M6" s="720"/>
      <c r="N6" s="720"/>
      <c r="O6" s="720"/>
      <c r="P6" s="720"/>
      <c r="Q6" s="90"/>
    </row>
    <row r="7" spans="1:18" ht="45" x14ac:dyDescent="0.2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90"/>
    </row>
    <row r="8" spans="1:18" ht="45.75" x14ac:dyDescent="0.65">
      <c r="A8" s="721">
        <v>2256400000</v>
      </c>
      <c r="B8" s="722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13"/>
    </row>
    <row r="9" spans="1:18" ht="45.75" x14ac:dyDescent="0.2">
      <c r="A9" s="726" t="s">
        <v>494</v>
      </c>
      <c r="B9" s="727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13"/>
    </row>
    <row r="10" spans="1:18" ht="53.45" customHeight="1" thickBot="1" x14ac:dyDescent="0.25">
      <c r="A10" s="79"/>
      <c r="B10" s="79"/>
      <c r="C10" s="79"/>
      <c r="D10" s="79"/>
      <c r="E10" s="79"/>
      <c r="F10" s="80"/>
      <c r="G10" s="79"/>
      <c r="H10" s="79"/>
      <c r="I10" s="79"/>
      <c r="J10" s="79"/>
      <c r="K10" s="79"/>
      <c r="L10" s="79"/>
      <c r="M10" s="79"/>
      <c r="N10" s="79"/>
      <c r="O10" s="79"/>
      <c r="P10" s="356" t="s">
        <v>408</v>
      </c>
      <c r="Q10" s="13"/>
    </row>
    <row r="11" spans="1:18" ht="62.45" customHeight="1" thickTop="1" thickBot="1" x14ac:dyDescent="0.25">
      <c r="A11" s="725" t="s">
        <v>495</v>
      </c>
      <c r="B11" s="725" t="s">
        <v>496</v>
      </c>
      <c r="C11" s="725" t="s">
        <v>394</v>
      </c>
      <c r="D11" s="725" t="s">
        <v>578</v>
      </c>
      <c r="E11" s="723" t="s">
        <v>12</v>
      </c>
      <c r="F11" s="723"/>
      <c r="G11" s="723"/>
      <c r="H11" s="723"/>
      <c r="I11" s="723"/>
      <c r="J11" s="723" t="s">
        <v>52</v>
      </c>
      <c r="K11" s="723"/>
      <c r="L11" s="723"/>
      <c r="M11" s="723"/>
      <c r="N11" s="723"/>
      <c r="O11" s="724"/>
      <c r="P11" s="723" t="s">
        <v>11</v>
      </c>
      <c r="Q11" s="20"/>
    </row>
    <row r="12" spans="1:18" ht="96" customHeight="1" thickTop="1" thickBot="1" x14ac:dyDescent="0.25">
      <c r="A12" s="723"/>
      <c r="B12" s="728"/>
      <c r="C12" s="728"/>
      <c r="D12" s="723"/>
      <c r="E12" s="725" t="s">
        <v>388</v>
      </c>
      <c r="F12" s="725" t="s">
        <v>53</v>
      </c>
      <c r="G12" s="725" t="s">
        <v>13</v>
      </c>
      <c r="H12" s="725"/>
      <c r="I12" s="725" t="s">
        <v>55</v>
      </c>
      <c r="J12" s="725" t="s">
        <v>388</v>
      </c>
      <c r="K12" s="725" t="s">
        <v>389</v>
      </c>
      <c r="L12" s="725" t="s">
        <v>53</v>
      </c>
      <c r="M12" s="725" t="s">
        <v>13</v>
      </c>
      <c r="N12" s="725"/>
      <c r="O12" s="725" t="s">
        <v>55</v>
      </c>
      <c r="P12" s="723"/>
      <c r="Q12" s="20"/>
    </row>
    <row r="13" spans="1:18" ht="328.7" customHeight="1" thickTop="1" thickBot="1" x14ac:dyDescent="0.25">
      <c r="A13" s="728"/>
      <c r="B13" s="728"/>
      <c r="C13" s="728"/>
      <c r="D13" s="728"/>
      <c r="E13" s="725"/>
      <c r="F13" s="725"/>
      <c r="G13" s="357" t="s">
        <v>54</v>
      </c>
      <c r="H13" s="357" t="s">
        <v>15</v>
      </c>
      <c r="I13" s="725"/>
      <c r="J13" s="725"/>
      <c r="K13" s="725"/>
      <c r="L13" s="725"/>
      <c r="M13" s="357" t="s">
        <v>54</v>
      </c>
      <c r="N13" s="357" t="s">
        <v>15</v>
      </c>
      <c r="O13" s="725"/>
      <c r="P13" s="723"/>
      <c r="Q13" s="20"/>
    </row>
    <row r="14" spans="1:18" s="24" customFormat="1" ht="47.25" thickTop="1" thickBot="1" x14ac:dyDescent="0.25">
      <c r="A14" s="346" t="s">
        <v>2</v>
      </c>
      <c r="B14" s="346" t="s">
        <v>3</v>
      </c>
      <c r="C14" s="346" t="s">
        <v>14</v>
      </c>
      <c r="D14" s="346" t="s">
        <v>5</v>
      </c>
      <c r="E14" s="346" t="s">
        <v>396</v>
      </c>
      <c r="F14" s="346" t="s">
        <v>397</v>
      </c>
      <c r="G14" s="346" t="s">
        <v>398</v>
      </c>
      <c r="H14" s="346" t="s">
        <v>399</v>
      </c>
      <c r="I14" s="346" t="s">
        <v>400</v>
      </c>
      <c r="J14" s="346" t="s">
        <v>401</v>
      </c>
      <c r="K14" s="346" t="s">
        <v>402</v>
      </c>
      <c r="L14" s="346" t="s">
        <v>403</v>
      </c>
      <c r="M14" s="346" t="s">
        <v>404</v>
      </c>
      <c r="N14" s="346" t="s">
        <v>405</v>
      </c>
      <c r="O14" s="346" t="s">
        <v>406</v>
      </c>
      <c r="P14" s="346" t="s">
        <v>407</v>
      </c>
      <c r="Q14" s="142"/>
      <c r="R14" s="23"/>
    </row>
    <row r="15" spans="1:18" s="24" customFormat="1" ht="46.5" thickTop="1" thickBot="1" x14ac:dyDescent="0.25">
      <c r="A15" s="403" t="s">
        <v>148</v>
      </c>
      <c r="B15" s="403"/>
      <c r="C15" s="403"/>
      <c r="D15" s="404" t="s">
        <v>150</v>
      </c>
      <c r="E15" s="406">
        <f>E16</f>
        <v>-2535000</v>
      </c>
      <c r="F15" s="405">
        <f t="shared" ref="F15:N15" si="0">F16</f>
        <v>-2535000</v>
      </c>
      <c r="G15" s="405">
        <f t="shared" si="0"/>
        <v>-2500000</v>
      </c>
      <c r="H15" s="405">
        <f t="shared" si="0"/>
        <v>0</v>
      </c>
      <c r="I15" s="405">
        <f t="shared" si="0"/>
        <v>0</v>
      </c>
      <c r="J15" s="406">
        <f t="shared" si="0"/>
        <v>2715000</v>
      </c>
      <c r="K15" s="405">
        <f t="shared" si="0"/>
        <v>2715000</v>
      </c>
      <c r="L15" s="405">
        <f t="shared" si="0"/>
        <v>0</v>
      </c>
      <c r="M15" s="405">
        <f t="shared" si="0"/>
        <v>0</v>
      </c>
      <c r="N15" s="405">
        <f t="shared" si="0"/>
        <v>0</v>
      </c>
      <c r="O15" s="406">
        <f>O16</f>
        <v>2715000</v>
      </c>
      <c r="P15" s="405">
        <f t="shared" ref="P15" si="1">P16</f>
        <v>180000</v>
      </c>
      <c r="Q15" s="25"/>
      <c r="R15" s="25"/>
    </row>
    <row r="16" spans="1:18" s="24" customFormat="1" ht="91.5" thickTop="1" thickBot="1" x14ac:dyDescent="0.25">
      <c r="A16" s="407" t="s">
        <v>149</v>
      </c>
      <c r="B16" s="407"/>
      <c r="C16" s="407"/>
      <c r="D16" s="408" t="s">
        <v>151</v>
      </c>
      <c r="E16" s="409">
        <f>E17+E22+E33+E39</f>
        <v>-2535000</v>
      </c>
      <c r="F16" s="409">
        <f>F17+F22+F33+F39</f>
        <v>-2535000</v>
      </c>
      <c r="G16" s="409">
        <f>G17+G22+G33+G39</f>
        <v>-2500000</v>
      </c>
      <c r="H16" s="409">
        <f>H17+H22+H33+H39</f>
        <v>0</v>
      </c>
      <c r="I16" s="409">
        <f>I17+I22+I33+I39</f>
        <v>0</v>
      </c>
      <c r="J16" s="409">
        <f>L16+O16</f>
        <v>2715000</v>
      </c>
      <c r="K16" s="409">
        <f>K17+K22+K33+K39</f>
        <v>2715000</v>
      </c>
      <c r="L16" s="409">
        <f>L17+L22+L33+L39</f>
        <v>0</v>
      </c>
      <c r="M16" s="409">
        <f>M17+M22+M33+M39</f>
        <v>0</v>
      </c>
      <c r="N16" s="409">
        <f>N17+N22+N33+N39</f>
        <v>0</v>
      </c>
      <c r="O16" s="409">
        <f>O17+O22+O33+O39</f>
        <v>2715000</v>
      </c>
      <c r="P16" s="409">
        <f>E16+J16</f>
        <v>180000</v>
      </c>
      <c r="Q16" s="402" t="b">
        <f>P16=P18+P20+P21+P24+P28+P30+P32+P35+P36+P38+P41+P42+P43+P44+P27</f>
        <v>1</v>
      </c>
      <c r="R16" s="26"/>
    </row>
    <row r="17" spans="1:18" s="28" customFormat="1" ht="47.25" thickTop="1" thickBot="1" x14ac:dyDescent="0.25">
      <c r="A17" s="346" t="s">
        <v>689</v>
      </c>
      <c r="B17" s="346" t="s">
        <v>690</v>
      </c>
      <c r="C17" s="346"/>
      <c r="D17" s="346" t="s">
        <v>691</v>
      </c>
      <c r="E17" s="393">
        <f>'d3'!E17-d3П!E17</f>
        <v>-4535000</v>
      </c>
      <c r="F17" s="393">
        <f>'d3'!F17-d3П!F17</f>
        <v>-4535000</v>
      </c>
      <c r="G17" s="393">
        <f>'d3'!G17-d3П!G17</f>
        <v>-2500000</v>
      </c>
      <c r="H17" s="393">
        <f>'d3'!H17-d3П!H17</f>
        <v>0</v>
      </c>
      <c r="I17" s="393">
        <f>'d3'!I17-d3П!I17</f>
        <v>0</v>
      </c>
      <c r="J17" s="393">
        <f>'d3'!J17-d3П!J17</f>
        <v>0</v>
      </c>
      <c r="K17" s="393">
        <f>'d3'!K17-d3П!K17</f>
        <v>0</v>
      </c>
      <c r="L17" s="393">
        <f>'d3'!L17-d3П!L17</f>
        <v>0</v>
      </c>
      <c r="M17" s="393">
        <f>'d3'!M17-d3П!M17</f>
        <v>0</v>
      </c>
      <c r="N17" s="393">
        <f>'d3'!N17-d3П!N17</f>
        <v>0</v>
      </c>
      <c r="O17" s="393">
        <f>'d3'!O17-d3П!O17</f>
        <v>0</v>
      </c>
      <c r="P17" s="393">
        <f>'d3'!P17-d3П!P17</f>
        <v>-4535000</v>
      </c>
      <c r="Q17" s="31"/>
      <c r="R17" s="27"/>
    </row>
    <row r="18" spans="1:18" ht="138.75" thickTop="1" thickBot="1" x14ac:dyDescent="0.25">
      <c r="A18" s="119" t="s">
        <v>236</v>
      </c>
      <c r="B18" s="119" t="s">
        <v>237</v>
      </c>
      <c r="C18" s="119" t="s">
        <v>238</v>
      </c>
      <c r="D18" s="119" t="s">
        <v>235</v>
      </c>
      <c r="E18" s="393">
        <f>'d3'!E18-d3П!E18</f>
        <v>-4535000</v>
      </c>
      <c r="F18" s="393">
        <f>'d3'!F18-d3П!F18</f>
        <v>-4535000</v>
      </c>
      <c r="G18" s="393">
        <f>'d3'!G18-d3П!G18</f>
        <v>-2500000</v>
      </c>
      <c r="H18" s="393">
        <f>'d3'!H18-d3П!H18</f>
        <v>0</v>
      </c>
      <c r="I18" s="393">
        <f>'d3'!I18-d3П!I18</f>
        <v>0</v>
      </c>
      <c r="J18" s="393">
        <f>'d3'!J18-d3П!J18</f>
        <v>0</v>
      </c>
      <c r="K18" s="393">
        <f>'d3'!K18-d3П!K18</f>
        <v>0</v>
      </c>
      <c r="L18" s="393">
        <f>'d3'!L18-d3П!L18</f>
        <v>0</v>
      </c>
      <c r="M18" s="393">
        <f>'d3'!M18-d3П!M18</f>
        <v>0</v>
      </c>
      <c r="N18" s="393">
        <f>'d3'!N18-d3П!N18</f>
        <v>0</v>
      </c>
      <c r="O18" s="393">
        <f>'d3'!O18-d3П!O18</f>
        <v>0</v>
      </c>
      <c r="P18" s="393">
        <f>'d3'!P18-d3П!P18</f>
        <v>-4535000</v>
      </c>
      <c r="Q18" s="149"/>
      <c r="R18" s="29"/>
    </row>
    <row r="19" spans="1:18" ht="93" hidden="1" customHeight="1" thickTop="1" thickBot="1" x14ac:dyDescent="0.25">
      <c r="A19" s="144" t="s">
        <v>589</v>
      </c>
      <c r="B19" s="144" t="s">
        <v>240</v>
      </c>
      <c r="C19" s="144" t="s">
        <v>238</v>
      </c>
      <c r="D19" s="144" t="s">
        <v>239</v>
      </c>
      <c r="E19" s="393">
        <f>'d3'!E19-d3П!E19</f>
        <v>0</v>
      </c>
      <c r="F19" s="393">
        <f>'d3'!F19-d3П!F19</f>
        <v>0</v>
      </c>
      <c r="G19" s="393">
        <f>'d3'!G19-d3П!G19</f>
        <v>0</v>
      </c>
      <c r="H19" s="393">
        <f>'d3'!H19-d3П!H19</f>
        <v>0</v>
      </c>
      <c r="I19" s="393">
        <f>'d3'!I19-d3П!I19</f>
        <v>0</v>
      </c>
      <c r="J19" s="393">
        <f>'d3'!J19-d3П!J19</f>
        <v>0</v>
      </c>
      <c r="K19" s="393">
        <f>'d3'!K19-d3П!K19</f>
        <v>0</v>
      </c>
      <c r="L19" s="393">
        <f>'d3'!L19-d3П!L19</f>
        <v>0</v>
      </c>
      <c r="M19" s="393">
        <f>'d3'!M19-d3П!M19</f>
        <v>0</v>
      </c>
      <c r="N19" s="393">
        <f>'d3'!N19-d3П!N19</f>
        <v>0</v>
      </c>
      <c r="O19" s="393">
        <f>'d3'!O19-d3П!O19</f>
        <v>0</v>
      </c>
      <c r="P19" s="393">
        <f>'d3'!P19-d3П!P19</f>
        <v>0</v>
      </c>
      <c r="Q19" s="149"/>
      <c r="R19" s="29"/>
    </row>
    <row r="20" spans="1:18" ht="93" thickTop="1" thickBot="1" x14ac:dyDescent="0.25">
      <c r="A20" s="119" t="s">
        <v>630</v>
      </c>
      <c r="B20" s="119" t="s">
        <v>366</v>
      </c>
      <c r="C20" s="119" t="s">
        <v>631</v>
      </c>
      <c r="D20" s="119" t="s">
        <v>632</v>
      </c>
      <c r="E20" s="393">
        <f>'d3'!E20-d3П!E20</f>
        <v>0</v>
      </c>
      <c r="F20" s="393">
        <f>'d3'!F20-d3П!F20</f>
        <v>0</v>
      </c>
      <c r="G20" s="393">
        <f>'d3'!G20-d3П!G20</f>
        <v>0</v>
      </c>
      <c r="H20" s="393">
        <f>'d3'!H20-d3П!H20</f>
        <v>0</v>
      </c>
      <c r="I20" s="393">
        <f>'d3'!I20-d3П!I20</f>
        <v>0</v>
      </c>
      <c r="J20" s="393">
        <f>'d3'!J20-d3П!J20</f>
        <v>0</v>
      </c>
      <c r="K20" s="393">
        <f>'d3'!K20-d3П!K20</f>
        <v>0</v>
      </c>
      <c r="L20" s="393">
        <f>'d3'!L20-d3П!L20</f>
        <v>0</v>
      </c>
      <c r="M20" s="393">
        <f>'d3'!M20-d3П!M20</f>
        <v>0</v>
      </c>
      <c r="N20" s="393">
        <f>'d3'!N20-d3П!N20</f>
        <v>0</v>
      </c>
      <c r="O20" s="393">
        <f>'d3'!O20-d3П!O20</f>
        <v>0</v>
      </c>
      <c r="P20" s="393">
        <f>'d3'!P20-d3П!P20</f>
        <v>0</v>
      </c>
      <c r="Q20" s="149"/>
      <c r="R20" s="30"/>
    </row>
    <row r="21" spans="1:18" ht="47.25" thickTop="1" thickBot="1" x14ac:dyDescent="0.25">
      <c r="A21" s="119" t="s">
        <v>251</v>
      </c>
      <c r="B21" s="119" t="s">
        <v>43</v>
      </c>
      <c r="C21" s="119" t="s">
        <v>42</v>
      </c>
      <c r="D21" s="119" t="s">
        <v>252</v>
      </c>
      <c r="E21" s="393">
        <f>'d3'!E21-d3П!E21</f>
        <v>0</v>
      </c>
      <c r="F21" s="393">
        <f>'d3'!F21-d3П!F21</f>
        <v>0</v>
      </c>
      <c r="G21" s="393">
        <f>'d3'!G21-d3П!G21</f>
        <v>0</v>
      </c>
      <c r="H21" s="393">
        <f>'d3'!H21-d3П!H21</f>
        <v>0</v>
      </c>
      <c r="I21" s="393">
        <f>'d3'!I21-d3П!I21</f>
        <v>0</v>
      </c>
      <c r="J21" s="393">
        <f>'d3'!J21-d3П!J21</f>
        <v>0</v>
      </c>
      <c r="K21" s="393">
        <f>'d3'!K21-d3П!K21</f>
        <v>0</v>
      </c>
      <c r="L21" s="393">
        <f>'d3'!L21-d3П!L21</f>
        <v>0</v>
      </c>
      <c r="M21" s="393">
        <f>'d3'!M21-d3П!M21</f>
        <v>0</v>
      </c>
      <c r="N21" s="393">
        <f>'d3'!N21-d3П!N21</f>
        <v>0</v>
      </c>
      <c r="O21" s="393">
        <f>'d3'!O21-d3П!O21</f>
        <v>0</v>
      </c>
      <c r="P21" s="393">
        <f>'d3'!P21-d3П!P21</f>
        <v>0</v>
      </c>
      <c r="Q21" s="149"/>
      <c r="R21" s="30"/>
    </row>
    <row r="22" spans="1:18" s="28" customFormat="1" ht="47.25" thickTop="1" thickBot="1" x14ac:dyDescent="0.3">
      <c r="A22" s="346" t="s">
        <v>753</v>
      </c>
      <c r="B22" s="346" t="s">
        <v>754</v>
      </c>
      <c r="C22" s="346"/>
      <c r="D22" s="346" t="s">
        <v>755</v>
      </c>
      <c r="E22" s="393">
        <f>'d3'!E22-d3П!E22</f>
        <v>0</v>
      </c>
      <c r="F22" s="393">
        <f>'d3'!F22-d3П!F22</f>
        <v>0</v>
      </c>
      <c r="G22" s="393">
        <f>'d3'!G22-d3П!G22</f>
        <v>0</v>
      </c>
      <c r="H22" s="393">
        <f>'d3'!H22-d3П!H22</f>
        <v>0</v>
      </c>
      <c r="I22" s="393">
        <f>'d3'!I22-d3П!I22</f>
        <v>0</v>
      </c>
      <c r="J22" s="393">
        <f>'d3'!J22-d3П!J22</f>
        <v>0</v>
      </c>
      <c r="K22" s="393">
        <f>'d3'!K22-d3П!K22</f>
        <v>0</v>
      </c>
      <c r="L22" s="393">
        <f>'d3'!L22-d3П!L22</f>
        <v>0</v>
      </c>
      <c r="M22" s="393">
        <f>'d3'!M22-d3П!M22</f>
        <v>0</v>
      </c>
      <c r="N22" s="393">
        <f>'d3'!N22-d3П!N22</f>
        <v>0</v>
      </c>
      <c r="O22" s="393">
        <f>'d3'!O22-d3П!O22</f>
        <v>0</v>
      </c>
      <c r="P22" s="393">
        <f>'d3'!P22-d3П!P22</f>
        <v>0</v>
      </c>
      <c r="Q22" s="151"/>
      <c r="R22" s="31"/>
    </row>
    <row r="23" spans="1:18" s="33" customFormat="1" ht="47.25" thickTop="1" thickBot="1" x14ac:dyDescent="0.25">
      <c r="A23" s="348" t="s">
        <v>692</v>
      </c>
      <c r="B23" s="348" t="s">
        <v>693</v>
      </c>
      <c r="C23" s="348"/>
      <c r="D23" s="348" t="s">
        <v>694</v>
      </c>
      <c r="E23" s="393">
        <f>'d3'!E23-d3П!E23</f>
        <v>0</v>
      </c>
      <c r="F23" s="393">
        <f>'d3'!F23-d3П!F23</f>
        <v>0</v>
      </c>
      <c r="G23" s="393">
        <f>'d3'!G23-d3П!G23</f>
        <v>0</v>
      </c>
      <c r="H23" s="393">
        <f>'d3'!H23-d3П!H23</f>
        <v>0</v>
      </c>
      <c r="I23" s="393">
        <f>'d3'!I23-d3П!I23</f>
        <v>0</v>
      </c>
      <c r="J23" s="393">
        <f>'d3'!J23-d3П!J23</f>
        <v>0</v>
      </c>
      <c r="K23" s="393">
        <f>'d3'!K23-d3П!K23</f>
        <v>0</v>
      </c>
      <c r="L23" s="393">
        <f>'d3'!L23-d3П!L23</f>
        <v>0</v>
      </c>
      <c r="M23" s="393">
        <f>'d3'!M23-d3П!M23</f>
        <v>0</v>
      </c>
      <c r="N23" s="393">
        <f>'d3'!N23-d3П!N23</f>
        <v>0</v>
      </c>
      <c r="O23" s="393">
        <f>'d3'!O23-d3П!O23</f>
        <v>0</v>
      </c>
      <c r="P23" s="393">
        <f>'d3'!P23-d3П!P23</f>
        <v>0</v>
      </c>
      <c r="Q23" s="154"/>
      <c r="R23" s="32"/>
    </row>
    <row r="24" spans="1:18" ht="47.25" thickTop="1" thickBot="1" x14ac:dyDescent="0.25">
      <c r="A24" s="119" t="s">
        <v>242</v>
      </c>
      <c r="B24" s="119" t="s">
        <v>243</v>
      </c>
      <c r="C24" s="119" t="s">
        <v>244</v>
      </c>
      <c r="D24" s="119" t="s">
        <v>241</v>
      </c>
      <c r="E24" s="393">
        <f>'d3'!E24-d3П!E24</f>
        <v>0</v>
      </c>
      <c r="F24" s="393">
        <f>'d3'!F24-d3П!F24</f>
        <v>0</v>
      </c>
      <c r="G24" s="393">
        <f>'d3'!G24-d3П!G24</f>
        <v>0</v>
      </c>
      <c r="H24" s="393">
        <f>'d3'!H24-d3П!H24</f>
        <v>0</v>
      </c>
      <c r="I24" s="393">
        <f>'d3'!I24-d3П!I24</f>
        <v>0</v>
      </c>
      <c r="J24" s="393">
        <f>'d3'!J24-d3П!J24</f>
        <v>0</v>
      </c>
      <c r="K24" s="393">
        <f>'d3'!K24-d3П!K24</f>
        <v>0</v>
      </c>
      <c r="L24" s="393">
        <f>'d3'!L24-d3П!L24</f>
        <v>0</v>
      </c>
      <c r="M24" s="393">
        <f>'d3'!M24-d3П!M24</f>
        <v>0</v>
      </c>
      <c r="N24" s="393">
        <f>'d3'!N24-d3П!N24</f>
        <v>0</v>
      </c>
      <c r="O24" s="393">
        <f>'d3'!O24-d3П!O24</f>
        <v>0</v>
      </c>
      <c r="P24" s="393">
        <f>'d3'!P24-d3П!P24</f>
        <v>0</v>
      </c>
      <c r="Q24" s="149"/>
      <c r="R24" s="29"/>
    </row>
    <row r="25" spans="1:18" ht="93" hidden="1" customHeight="1" thickTop="1" thickBot="1" x14ac:dyDescent="0.25">
      <c r="A25" s="41" t="s">
        <v>990</v>
      </c>
      <c r="B25" s="41" t="s">
        <v>991</v>
      </c>
      <c r="C25" s="41" t="s">
        <v>244</v>
      </c>
      <c r="D25" s="41" t="s">
        <v>992</v>
      </c>
      <c r="E25" s="393">
        <f>'d3'!E25-d3П!E25</f>
        <v>0</v>
      </c>
      <c r="F25" s="393">
        <f>'d3'!F25-d3П!F25</f>
        <v>0</v>
      </c>
      <c r="G25" s="393">
        <f>'d3'!G25-d3П!G25</f>
        <v>0</v>
      </c>
      <c r="H25" s="393">
        <f>'d3'!H25-d3П!H25</f>
        <v>0</v>
      </c>
      <c r="I25" s="393">
        <f>'d3'!I25-d3П!I25</f>
        <v>0</v>
      </c>
      <c r="J25" s="393">
        <f>'d3'!J25-d3П!J25</f>
        <v>0</v>
      </c>
      <c r="K25" s="393">
        <f>'d3'!K25-d3П!K25</f>
        <v>0</v>
      </c>
      <c r="L25" s="393">
        <f>'d3'!L25-d3П!L25</f>
        <v>0</v>
      </c>
      <c r="M25" s="393">
        <f>'d3'!M25-d3П!M25</f>
        <v>0</v>
      </c>
      <c r="N25" s="393">
        <f>'d3'!N25-d3П!N25</f>
        <v>0</v>
      </c>
      <c r="O25" s="393">
        <f>'d3'!O25-d3П!O25</f>
        <v>0</v>
      </c>
      <c r="P25" s="393">
        <f>'d3'!P25-d3П!P25</f>
        <v>0</v>
      </c>
      <c r="Q25" s="149"/>
      <c r="R25" s="29"/>
    </row>
    <row r="26" spans="1:18" ht="47.25" thickTop="1" thickBot="1" x14ac:dyDescent="0.25">
      <c r="A26" s="348" t="s">
        <v>696</v>
      </c>
      <c r="B26" s="348" t="s">
        <v>697</v>
      </c>
      <c r="C26" s="348"/>
      <c r="D26" s="348" t="s">
        <v>695</v>
      </c>
      <c r="E26" s="393">
        <f>'d3'!E26-d3П!E26</f>
        <v>0</v>
      </c>
      <c r="F26" s="393">
        <f>'d3'!F26-d3П!F26</f>
        <v>0</v>
      </c>
      <c r="G26" s="393">
        <f>'d3'!G26-d3П!G26</f>
        <v>0</v>
      </c>
      <c r="H26" s="393">
        <f>'d3'!H26-d3П!H26</f>
        <v>0</v>
      </c>
      <c r="I26" s="393">
        <f>'d3'!I26-d3П!I26</f>
        <v>0</v>
      </c>
      <c r="J26" s="393">
        <f>'d3'!J26-d3П!J26</f>
        <v>0</v>
      </c>
      <c r="K26" s="393">
        <f>'d3'!K26-d3П!K26</f>
        <v>0</v>
      </c>
      <c r="L26" s="393">
        <f>'d3'!L26-d3П!L26</f>
        <v>0</v>
      </c>
      <c r="M26" s="393">
        <f>'d3'!M26-d3П!M26</f>
        <v>0</v>
      </c>
      <c r="N26" s="393">
        <f>'d3'!N26-d3П!N26</f>
        <v>0</v>
      </c>
      <c r="O26" s="393">
        <f>'d3'!O26-d3П!O26</f>
        <v>0</v>
      </c>
      <c r="P26" s="393">
        <f>'d3'!P26-d3П!P26</f>
        <v>0</v>
      </c>
      <c r="Q26" s="155"/>
      <c r="R26" s="34"/>
    </row>
    <row r="27" spans="1:18" ht="47.25" thickTop="1" thickBot="1" x14ac:dyDescent="0.25">
      <c r="A27" s="119" t="s">
        <v>1501</v>
      </c>
      <c r="B27" s="119" t="s">
        <v>216</v>
      </c>
      <c r="C27" s="119" t="s">
        <v>217</v>
      </c>
      <c r="D27" s="119" t="s">
        <v>41</v>
      </c>
      <c r="E27" s="393">
        <f>'d3'!E27-d3П!E27</f>
        <v>0</v>
      </c>
      <c r="F27" s="393">
        <f>'d3'!F27-d3П!F27</f>
        <v>0</v>
      </c>
      <c r="G27" s="393">
        <f>'d3'!G27-d3П!G27</f>
        <v>0</v>
      </c>
      <c r="H27" s="393">
        <f>'d3'!H27-d3П!H27</f>
        <v>0</v>
      </c>
      <c r="I27" s="393">
        <f>'d3'!I27-d3П!I27</f>
        <v>0</v>
      </c>
      <c r="J27" s="393">
        <f>'d3'!J27-d3П!J27</f>
        <v>0</v>
      </c>
      <c r="K27" s="393">
        <f>'d3'!K27-d3П!K27</f>
        <v>0</v>
      </c>
      <c r="L27" s="393">
        <f>'d3'!L27-d3П!L27</f>
        <v>0</v>
      </c>
      <c r="M27" s="393">
        <f>'d3'!M27-d3П!M27</f>
        <v>0</v>
      </c>
      <c r="N27" s="393">
        <f>'d3'!N27-d3П!N27</f>
        <v>0</v>
      </c>
      <c r="O27" s="393">
        <f>'d3'!O27-d3П!O27</f>
        <v>0</v>
      </c>
      <c r="P27" s="393">
        <f>'d3'!P27-d3П!P27</f>
        <v>0</v>
      </c>
      <c r="Q27" s="155"/>
      <c r="R27" s="34"/>
    </row>
    <row r="28" spans="1:18" ht="47.25" thickTop="1" thickBot="1" x14ac:dyDescent="0.25">
      <c r="A28" s="119" t="s">
        <v>303</v>
      </c>
      <c r="B28" s="119" t="s">
        <v>304</v>
      </c>
      <c r="C28" s="119" t="s">
        <v>170</v>
      </c>
      <c r="D28" s="119" t="s">
        <v>446</v>
      </c>
      <c r="E28" s="393">
        <f>'d3'!E28-d3П!E28</f>
        <v>0</v>
      </c>
      <c r="F28" s="393">
        <f>'d3'!F28-d3П!F28</f>
        <v>0</v>
      </c>
      <c r="G28" s="393">
        <f>'d3'!G28-d3П!G28</f>
        <v>0</v>
      </c>
      <c r="H28" s="393">
        <f>'d3'!H28-d3П!H28</f>
        <v>0</v>
      </c>
      <c r="I28" s="393">
        <f>'d3'!I28-d3П!I28</f>
        <v>0</v>
      </c>
      <c r="J28" s="393">
        <f>'d3'!J28-d3П!J28</f>
        <v>0</v>
      </c>
      <c r="K28" s="393">
        <f>'d3'!K28-d3П!K28</f>
        <v>0</v>
      </c>
      <c r="L28" s="393">
        <f>'d3'!L28-d3П!L28</f>
        <v>0</v>
      </c>
      <c r="M28" s="393">
        <f>'d3'!M28-d3П!M28</f>
        <v>0</v>
      </c>
      <c r="N28" s="393">
        <f>'d3'!N28-d3П!N28</f>
        <v>0</v>
      </c>
      <c r="O28" s="393">
        <f>'d3'!O28-d3П!O28</f>
        <v>0</v>
      </c>
      <c r="P28" s="393">
        <f>'d3'!P28-d3П!P28</f>
        <v>0</v>
      </c>
      <c r="Q28" s="149"/>
      <c r="R28" s="30"/>
    </row>
    <row r="29" spans="1:18" ht="47.25" thickTop="1" thickBot="1" x14ac:dyDescent="0.25">
      <c r="A29" s="399" t="s">
        <v>699</v>
      </c>
      <c r="B29" s="399" t="s">
        <v>700</v>
      </c>
      <c r="C29" s="399"/>
      <c r="D29" s="400" t="s">
        <v>698</v>
      </c>
      <c r="E29" s="393">
        <f>'d3'!E29-d3П!E29</f>
        <v>0</v>
      </c>
      <c r="F29" s="393">
        <f>'d3'!F29-d3П!F29</f>
        <v>0</v>
      </c>
      <c r="G29" s="393">
        <f>'d3'!G29-d3П!G29</f>
        <v>0</v>
      </c>
      <c r="H29" s="393">
        <f>'d3'!H29-d3П!H29</f>
        <v>0</v>
      </c>
      <c r="I29" s="393">
        <f>'d3'!I29-d3П!I29</f>
        <v>0</v>
      </c>
      <c r="J29" s="393">
        <f>'d3'!J29-d3П!J29</f>
        <v>0</v>
      </c>
      <c r="K29" s="393">
        <f>'d3'!K29-d3П!K29</f>
        <v>0</v>
      </c>
      <c r="L29" s="393">
        <f>'d3'!L29-d3П!L29</f>
        <v>0</v>
      </c>
      <c r="M29" s="393">
        <f>'d3'!M29-d3П!M29</f>
        <v>0</v>
      </c>
      <c r="N29" s="393">
        <f>'d3'!N29-d3П!N29</f>
        <v>0</v>
      </c>
      <c r="O29" s="393">
        <f>'d3'!O29-d3П!O29</f>
        <v>0</v>
      </c>
      <c r="P29" s="393">
        <f>'d3'!P29-d3П!P29</f>
        <v>0</v>
      </c>
      <c r="Q29" s="155"/>
      <c r="R29" s="35"/>
    </row>
    <row r="30" spans="1:18" s="33" customFormat="1" ht="247.5" customHeight="1" thickTop="1" thickBot="1" x14ac:dyDescent="0.7">
      <c r="A30" s="702" t="s">
        <v>343</v>
      </c>
      <c r="B30" s="702" t="s">
        <v>342</v>
      </c>
      <c r="C30" s="702" t="s">
        <v>170</v>
      </c>
      <c r="D30" s="81" t="s">
        <v>444</v>
      </c>
      <c r="E30" s="682">
        <f>'d3'!E30-d3П!E30</f>
        <v>0</v>
      </c>
      <c r="F30" s="682">
        <f>'d3'!F30-d3П!F30</f>
        <v>0</v>
      </c>
      <c r="G30" s="682">
        <f>'d3'!G30-d3П!G30</f>
        <v>0</v>
      </c>
      <c r="H30" s="682">
        <f>'d3'!H30-d3П!H30</f>
        <v>0</v>
      </c>
      <c r="I30" s="682">
        <f>'d3'!I30-d3П!I30</f>
        <v>0</v>
      </c>
      <c r="J30" s="682">
        <f>'d3'!J30-d3П!J30</f>
        <v>0</v>
      </c>
      <c r="K30" s="682">
        <f>'d3'!K30-d3П!K30</f>
        <v>0</v>
      </c>
      <c r="L30" s="682">
        <f>'d3'!L30-d3П!L30</f>
        <v>0</v>
      </c>
      <c r="M30" s="682">
        <f>'d3'!M30-d3П!M30</f>
        <v>0</v>
      </c>
      <c r="N30" s="682">
        <f>'d3'!N30-d3П!N30</f>
        <v>0</v>
      </c>
      <c r="O30" s="682">
        <f>'d3'!O30-d3П!O30</f>
        <v>0</v>
      </c>
      <c r="P30" s="682">
        <f>'d3'!P30-d3П!P30</f>
        <v>0</v>
      </c>
      <c r="Q30" s="158"/>
      <c r="R30" s="36"/>
    </row>
    <row r="31" spans="1:18" s="33" customFormat="1" ht="130.5" customHeight="1" thickTop="1" thickBot="1" x14ac:dyDescent="0.25">
      <c r="A31" s="711"/>
      <c r="B31" s="710"/>
      <c r="C31" s="711"/>
      <c r="D31" s="82" t="s">
        <v>445</v>
      </c>
      <c r="E31" s="736"/>
      <c r="F31" s="736">
        <f>'d3'!F31-d3П!F31</f>
        <v>0</v>
      </c>
      <c r="G31" s="736">
        <f>'d3'!G31-d3П!G31</f>
        <v>0</v>
      </c>
      <c r="H31" s="736">
        <f>'d3'!H31-d3П!H31</f>
        <v>0</v>
      </c>
      <c r="I31" s="736">
        <f>'d3'!I31-d3П!I31</f>
        <v>0</v>
      </c>
      <c r="J31" s="736">
        <f>'d3'!J31-d3П!J31</f>
        <v>0</v>
      </c>
      <c r="K31" s="736">
        <f>'d3'!K31-d3П!K31</f>
        <v>0</v>
      </c>
      <c r="L31" s="736">
        <f>'d3'!L31-d3П!L31</f>
        <v>0</v>
      </c>
      <c r="M31" s="736">
        <f>'d3'!M31-d3П!M31</f>
        <v>0</v>
      </c>
      <c r="N31" s="736">
        <f>'d3'!N31-d3П!N31</f>
        <v>0</v>
      </c>
      <c r="O31" s="736">
        <f>'d3'!O31-d3П!O31</f>
        <v>0</v>
      </c>
      <c r="P31" s="736">
        <f>'d3'!P31-d3П!P31</f>
        <v>0</v>
      </c>
      <c r="Q31" s="36"/>
      <c r="R31" s="36"/>
    </row>
    <row r="32" spans="1:18" s="33" customFormat="1" ht="47.25" thickTop="1" thickBot="1" x14ac:dyDescent="0.25">
      <c r="A32" s="119" t="s">
        <v>923</v>
      </c>
      <c r="B32" s="119" t="s">
        <v>261</v>
      </c>
      <c r="C32" s="119" t="s">
        <v>170</v>
      </c>
      <c r="D32" s="119" t="s">
        <v>259</v>
      </c>
      <c r="E32" s="393">
        <f>'d3'!E32-d3П!E32</f>
        <v>0</v>
      </c>
      <c r="F32" s="393">
        <f>'d3'!F32-d3П!F32</f>
        <v>0</v>
      </c>
      <c r="G32" s="393">
        <f>'d3'!G32-d3П!G32</f>
        <v>0</v>
      </c>
      <c r="H32" s="393">
        <f>'d3'!H32-d3П!H32</f>
        <v>0</v>
      </c>
      <c r="I32" s="393">
        <f>'d3'!I32-d3П!I32</f>
        <v>0</v>
      </c>
      <c r="J32" s="393">
        <f>'d3'!J32-d3П!J32</f>
        <v>0</v>
      </c>
      <c r="K32" s="393">
        <f>'d3'!K32-d3П!K32</f>
        <v>0</v>
      </c>
      <c r="L32" s="393">
        <f>'d3'!L32-d3П!L32</f>
        <v>0</v>
      </c>
      <c r="M32" s="393">
        <f>'d3'!M32-d3П!M32</f>
        <v>0</v>
      </c>
      <c r="N32" s="393">
        <f>'d3'!N32-d3П!N32</f>
        <v>0</v>
      </c>
      <c r="O32" s="393">
        <f>'d3'!O32-d3П!O32</f>
        <v>0</v>
      </c>
      <c r="P32" s="393">
        <f>'d3'!P32-d3П!P32</f>
        <v>0</v>
      </c>
      <c r="Q32" s="36"/>
      <c r="R32" s="36"/>
    </row>
    <row r="33" spans="1:18" s="33" customFormat="1" ht="46.5" customHeight="1" thickTop="1" thickBot="1" x14ac:dyDescent="0.25">
      <c r="A33" s="346" t="s">
        <v>701</v>
      </c>
      <c r="B33" s="346" t="s">
        <v>702</v>
      </c>
      <c r="C33" s="346"/>
      <c r="D33" s="346" t="s">
        <v>703</v>
      </c>
      <c r="E33" s="393">
        <f>'d3'!E33-d3П!E33</f>
        <v>500000</v>
      </c>
      <c r="F33" s="393">
        <f>'d3'!F33-d3П!F33</f>
        <v>500000</v>
      </c>
      <c r="G33" s="393">
        <f>'d3'!G33-d3П!G33</f>
        <v>0</v>
      </c>
      <c r="H33" s="393">
        <f>'d3'!H33-d3П!H33</f>
        <v>0</v>
      </c>
      <c r="I33" s="393">
        <f>'d3'!I33-d3П!I33</f>
        <v>0</v>
      </c>
      <c r="J33" s="393">
        <f>'d3'!J33-d3П!J33</f>
        <v>2715000</v>
      </c>
      <c r="K33" s="393">
        <f>'d3'!K33-d3П!K33</f>
        <v>2715000</v>
      </c>
      <c r="L33" s="393">
        <f>'d3'!L33-d3П!L33</f>
        <v>0</v>
      </c>
      <c r="M33" s="393">
        <f>'d3'!M33-d3П!M33</f>
        <v>0</v>
      </c>
      <c r="N33" s="393">
        <f>'d3'!N33-d3П!N33</f>
        <v>0</v>
      </c>
      <c r="O33" s="393">
        <f>'d3'!O33-d3П!O33</f>
        <v>2715000</v>
      </c>
      <c r="P33" s="393">
        <f>'d3'!P33-d3П!P33</f>
        <v>3215000</v>
      </c>
      <c r="Q33" s="36"/>
      <c r="R33" s="36"/>
    </row>
    <row r="34" spans="1:18" s="33" customFormat="1" ht="103.5" customHeight="1" thickTop="1" thickBot="1" x14ac:dyDescent="0.25">
      <c r="A34" s="348" t="s">
        <v>1209</v>
      </c>
      <c r="B34" s="348" t="s">
        <v>1210</v>
      </c>
      <c r="C34" s="348"/>
      <c r="D34" s="348" t="s">
        <v>1208</v>
      </c>
      <c r="E34" s="393">
        <f>'d3'!E34-d3П!E34</f>
        <v>500000</v>
      </c>
      <c r="F34" s="393">
        <f>'d3'!F34-d3П!F34</f>
        <v>500000</v>
      </c>
      <c r="G34" s="393">
        <f>'d3'!G34-d3П!G34</f>
        <v>0</v>
      </c>
      <c r="H34" s="393">
        <f>'d3'!H34-d3П!H34</f>
        <v>0</v>
      </c>
      <c r="I34" s="393">
        <f>'d3'!I34-d3П!I34</f>
        <v>0</v>
      </c>
      <c r="J34" s="393">
        <f>'d3'!J34-d3П!J34</f>
        <v>2715000</v>
      </c>
      <c r="K34" s="393">
        <f>'d3'!K34-d3П!K34</f>
        <v>2715000</v>
      </c>
      <c r="L34" s="393">
        <f>'d3'!L34-d3П!L34</f>
        <v>0</v>
      </c>
      <c r="M34" s="393">
        <f>'d3'!M34-d3П!M34</f>
        <v>0</v>
      </c>
      <c r="N34" s="393">
        <f>'d3'!N34-d3П!N34</f>
        <v>0</v>
      </c>
      <c r="O34" s="393">
        <f>'d3'!O34-d3П!O34</f>
        <v>2715000</v>
      </c>
      <c r="P34" s="393">
        <f>'d3'!P34-d3П!P34</f>
        <v>3215000</v>
      </c>
      <c r="Q34" s="36"/>
      <c r="R34" s="36"/>
    </row>
    <row r="35" spans="1:18" s="33" customFormat="1" ht="103.5" customHeight="1" thickTop="1" thickBot="1" x14ac:dyDescent="0.25">
      <c r="A35" s="119" t="s">
        <v>1237</v>
      </c>
      <c r="B35" s="119" t="s">
        <v>1238</v>
      </c>
      <c r="C35" s="119" t="s">
        <v>1212</v>
      </c>
      <c r="D35" s="119" t="s">
        <v>1239</v>
      </c>
      <c r="E35" s="393">
        <f>'d3'!E35-d3П!E35</f>
        <v>500000</v>
      </c>
      <c r="F35" s="393">
        <f>'d3'!F35-d3П!F35</f>
        <v>500000</v>
      </c>
      <c r="G35" s="393">
        <f>'d3'!G35-d3П!G35</f>
        <v>0</v>
      </c>
      <c r="H35" s="393">
        <f>'d3'!H35-d3П!H35</f>
        <v>0</v>
      </c>
      <c r="I35" s="393">
        <f>'d3'!I35-d3П!I35</f>
        <v>0</v>
      </c>
      <c r="J35" s="393">
        <f>'d3'!J35-d3П!J35</f>
        <v>2715000</v>
      </c>
      <c r="K35" s="393">
        <f>'d3'!K35-d3П!K35</f>
        <v>2715000</v>
      </c>
      <c r="L35" s="393">
        <f>'d3'!L35-d3П!L35</f>
        <v>0</v>
      </c>
      <c r="M35" s="393">
        <f>'d3'!M35-d3П!M35</f>
        <v>0</v>
      </c>
      <c r="N35" s="393">
        <f>'d3'!N35-d3П!N35</f>
        <v>0</v>
      </c>
      <c r="O35" s="393">
        <f>'d3'!O35-d3П!O35</f>
        <v>2715000</v>
      </c>
      <c r="P35" s="393">
        <f>'d3'!P35-d3П!P35</f>
        <v>3215000</v>
      </c>
      <c r="Q35" s="36"/>
      <c r="R35" s="36"/>
    </row>
    <row r="36" spans="1:18" s="33" customFormat="1" ht="47.25" thickTop="1" thickBot="1" x14ac:dyDescent="0.25">
      <c r="A36" s="119" t="s">
        <v>1213</v>
      </c>
      <c r="B36" s="119" t="s">
        <v>1214</v>
      </c>
      <c r="C36" s="119" t="s">
        <v>1212</v>
      </c>
      <c r="D36" s="119" t="s">
        <v>1211</v>
      </c>
      <c r="E36" s="393">
        <f>'d3'!E36-d3П!E36</f>
        <v>0</v>
      </c>
      <c r="F36" s="393">
        <f>'d3'!F36-d3П!F36</f>
        <v>0</v>
      </c>
      <c r="G36" s="393">
        <f>'d3'!G36-d3П!G36</f>
        <v>0</v>
      </c>
      <c r="H36" s="393">
        <f>'d3'!H36-d3П!H36</f>
        <v>0</v>
      </c>
      <c r="I36" s="393">
        <f>'d3'!I36-d3П!I36</f>
        <v>0</v>
      </c>
      <c r="J36" s="393">
        <f>'d3'!J36-d3П!J36</f>
        <v>0</v>
      </c>
      <c r="K36" s="393">
        <f>'d3'!K36-d3П!K36</f>
        <v>0</v>
      </c>
      <c r="L36" s="393">
        <f>'d3'!L36-d3П!L36</f>
        <v>0</v>
      </c>
      <c r="M36" s="393">
        <f>'d3'!M36-d3П!M36</f>
        <v>0</v>
      </c>
      <c r="N36" s="393">
        <f>'d3'!N36-d3П!N36</f>
        <v>0</v>
      </c>
      <c r="O36" s="393">
        <f>'d3'!O36-d3П!O36</f>
        <v>0</v>
      </c>
      <c r="P36" s="393">
        <f>'d3'!P36-d3П!P36</f>
        <v>0</v>
      </c>
      <c r="Q36" s="36"/>
      <c r="R36" s="36"/>
    </row>
    <row r="37" spans="1:18" s="33" customFormat="1" ht="47.25" thickTop="1" thickBot="1" x14ac:dyDescent="0.25">
      <c r="A37" s="348" t="s">
        <v>704</v>
      </c>
      <c r="B37" s="348" t="s">
        <v>705</v>
      </c>
      <c r="C37" s="348"/>
      <c r="D37" s="348" t="s">
        <v>706</v>
      </c>
      <c r="E37" s="393">
        <f>'d3'!E37-d3П!E37</f>
        <v>0</v>
      </c>
      <c r="F37" s="393">
        <f>'d3'!F37-d3П!F37</f>
        <v>0</v>
      </c>
      <c r="G37" s="393">
        <f>'d3'!G37-d3П!G37</f>
        <v>0</v>
      </c>
      <c r="H37" s="393">
        <f>'d3'!H37-d3П!H37</f>
        <v>0</v>
      </c>
      <c r="I37" s="393">
        <f>'d3'!I37-d3П!I37</f>
        <v>0</v>
      </c>
      <c r="J37" s="393">
        <f>'d3'!J37-d3П!J37</f>
        <v>0</v>
      </c>
      <c r="K37" s="393">
        <f>'d3'!K37-d3П!K37</f>
        <v>0</v>
      </c>
      <c r="L37" s="393">
        <f>'d3'!L37-d3П!L37</f>
        <v>0</v>
      </c>
      <c r="M37" s="393">
        <f>'d3'!M37-d3П!M37</f>
        <v>0</v>
      </c>
      <c r="N37" s="393">
        <f>'d3'!N37-d3П!N37</f>
        <v>0</v>
      </c>
      <c r="O37" s="393">
        <f>'d3'!O37-d3П!O37</f>
        <v>0</v>
      </c>
      <c r="P37" s="393">
        <f>'d3'!P37-d3П!P37</f>
        <v>0</v>
      </c>
      <c r="Q37" s="36"/>
    </row>
    <row r="38" spans="1:18" ht="47.25" thickTop="1" thickBot="1" x14ac:dyDescent="0.25">
      <c r="A38" s="119" t="s">
        <v>245</v>
      </c>
      <c r="B38" s="119" t="s">
        <v>246</v>
      </c>
      <c r="C38" s="119" t="s">
        <v>247</v>
      </c>
      <c r="D38" s="119" t="s">
        <v>248</v>
      </c>
      <c r="E38" s="393">
        <f>'d3'!E38-d3П!E38</f>
        <v>0</v>
      </c>
      <c r="F38" s="393">
        <f>'d3'!F38-d3П!F38</f>
        <v>0</v>
      </c>
      <c r="G38" s="393">
        <f>'d3'!G38-d3П!G38</f>
        <v>0</v>
      </c>
      <c r="H38" s="393">
        <f>'d3'!H38-d3П!H38</f>
        <v>0</v>
      </c>
      <c r="I38" s="393">
        <f>'d3'!I38-d3П!I38</f>
        <v>0</v>
      </c>
      <c r="J38" s="393">
        <f>'d3'!J38-d3П!J38</f>
        <v>0</v>
      </c>
      <c r="K38" s="393">
        <f>'d3'!K38-d3П!K38</f>
        <v>0</v>
      </c>
      <c r="L38" s="393">
        <f>'d3'!L38-d3П!L38</f>
        <v>0</v>
      </c>
      <c r="M38" s="393">
        <f>'d3'!M38-d3П!M38</f>
        <v>0</v>
      </c>
      <c r="N38" s="393">
        <f>'d3'!N38-d3П!N38</f>
        <v>0</v>
      </c>
      <c r="O38" s="393">
        <f>'d3'!O38-d3П!O38</f>
        <v>0</v>
      </c>
      <c r="P38" s="393">
        <f>'d3'!P38-d3П!P38</f>
        <v>0</v>
      </c>
      <c r="Q38" s="20"/>
    </row>
    <row r="39" spans="1:18" ht="47.25" thickTop="1" thickBot="1" x14ac:dyDescent="0.25">
      <c r="A39" s="346" t="s">
        <v>707</v>
      </c>
      <c r="B39" s="346" t="s">
        <v>708</v>
      </c>
      <c r="C39" s="346"/>
      <c r="D39" s="346" t="s">
        <v>709</v>
      </c>
      <c r="E39" s="393">
        <f>'d3'!E39-d3П!E39</f>
        <v>1500000</v>
      </c>
      <c r="F39" s="393">
        <f>'d3'!F39-d3П!F39</f>
        <v>1500000</v>
      </c>
      <c r="G39" s="393">
        <f>'d3'!G39-d3П!G39</f>
        <v>0</v>
      </c>
      <c r="H39" s="393">
        <f>'d3'!H39-d3П!H39</f>
        <v>0</v>
      </c>
      <c r="I39" s="393">
        <f>'d3'!I39-d3П!I39</f>
        <v>0</v>
      </c>
      <c r="J39" s="393">
        <f>'d3'!J39-d3П!J39</f>
        <v>0</v>
      </c>
      <c r="K39" s="393">
        <f>'d3'!K39-d3П!K39</f>
        <v>0</v>
      </c>
      <c r="L39" s="393">
        <f>'d3'!L39-d3П!L39</f>
        <v>0</v>
      </c>
      <c r="M39" s="393">
        <f>'d3'!M39-d3П!M39</f>
        <v>0</v>
      </c>
      <c r="N39" s="393">
        <f>'d3'!N39-d3П!N39</f>
        <v>0</v>
      </c>
      <c r="O39" s="393">
        <f>'d3'!O39-d3П!O39</f>
        <v>0</v>
      </c>
      <c r="P39" s="393">
        <f>'d3'!P39-d3П!P39</f>
        <v>1500000</v>
      </c>
      <c r="Q39" s="20"/>
    </row>
    <row r="40" spans="1:18" s="33" customFormat="1" ht="91.5" thickTop="1" thickBot="1" x14ac:dyDescent="0.25">
      <c r="A40" s="348" t="s">
        <v>710</v>
      </c>
      <c r="B40" s="348" t="s">
        <v>711</v>
      </c>
      <c r="C40" s="348"/>
      <c r="D40" s="348" t="s">
        <v>712</v>
      </c>
      <c r="E40" s="393">
        <f>'d3'!E40-d3П!E40</f>
        <v>0</v>
      </c>
      <c r="F40" s="393">
        <f>'d3'!F40-d3П!F40</f>
        <v>0</v>
      </c>
      <c r="G40" s="393">
        <f>'d3'!G40-d3П!G40</f>
        <v>0</v>
      </c>
      <c r="H40" s="393">
        <f>'d3'!H40-d3П!H40</f>
        <v>0</v>
      </c>
      <c r="I40" s="393">
        <f>'d3'!I40-d3П!I40</f>
        <v>0</v>
      </c>
      <c r="J40" s="393">
        <f>'d3'!J40-d3П!J40</f>
        <v>0</v>
      </c>
      <c r="K40" s="393">
        <f>'d3'!K40-d3П!K40</f>
        <v>0</v>
      </c>
      <c r="L40" s="393">
        <f>'d3'!L40-d3П!L40</f>
        <v>0</v>
      </c>
      <c r="M40" s="393">
        <f>'d3'!M40-d3П!M40</f>
        <v>0</v>
      </c>
      <c r="N40" s="393">
        <f>'d3'!N40-d3П!N40</f>
        <v>0</v>
      </c>
      <c r="O40" s="393">
        <f>'d3'!O40-d3П!O40</f>
        <v>0</v>
      </c>
      <c r="P40" s="393">
        <f>'d3'!P40-d3П!P40</f>
        <v>0</v>
      </c>
      <c r="Q40" s="36"/>
      <c r="R40" s="36"/>
    </row>
    <row r="41" spans="1:18" ht="138.75" thickTop="1" thickBot="1" x14ac:dyDescent="0.25">
      <c r="A41" s="119" t="s">
        <v>249</v>
      </c>
      <c r="B41" s="119" t="s">
        <v>250</v>
      </c>
      <c r="C41" s="119" t="s">
        <v>43</v>
      </c>
      <c r="D41" s="119" t="s">
        <v>447</v>
      </c>
      <c r="E41" s="393">
        <f>'d3'!E41-d3П!E41</f>
        <v>0</v>
      </c>
      <c r="F41" s="393">
        <f>'d3'!F41-d3П!F41</f>
        <v>0</v>
      </c>
      <c r="G41" s="393">
        <f>'d3'!G41-d3П!G41</f>
        <v>0</v>
      </c>
      <c r="H41" s="393">
        <f>'d3'!H41-d3П!H41</f>
        <v>0</v>
      </c>
      <c r="I41" s="393">
        <f>'d3'!I41-d3П!I41</f>
        <v>0</v>
      </c>
      <c r="J41" s="393">
        <f>'d3'!J41-d3П!J41</f>
        <v>0</v>
      </c>
      <c r="K41" s="393">
        <f>'d3'!K41-d3П!K41</f>
        <v>0</v>
      </c>
      <c r="L41" s="393">
        <f>'d3'!L41-d3П!L41</f>
        <v>0</v>
      </c>
      <c r="M41" s="393">
        <f>'d3'!M41-d3П!M41</f>
        <v>0</v>
      </c>
      <c r="N41" s="393">
        <f>'d3'!N41-d3П!N41</f>
        <v>0</v>
      </c>
      <c r="O41" s="393">
        <f>'d3'!O41-d3П!O41</f>
        <v>0</v>
      </c>
      <c r="P41" s="393">
        <f>'d3'!P41-d3П!P41</f>
        <v>0</v>
      </c>
      <c r="Q41" s="20"/>
    </row>
    <row r="42" spans="1:18" ht="47.25" thickTop="1" thickBot="1" x14ac:dyDescent="0.25">
      <c r="A42" s="119" t="s">
        <v>580</v>
      </c>
      <c r="B42" s="119" t="s">
        <v>367</v>
      </c>
      <c r="C42" s="119" t="s">
        <v>43</v>
      </c>
      <c r="D42" s="119" t="s">
        <v>368</v>
      </c>
      <c r="E42" s="393">
        <f>'d3'!E42-d3П!E42</f>
        <v>0</v>
      </c>
      <c r="F42" s="393">
        <f>'d3'!F42-d3П!F42</f>
        <v>0</v>
      </c>
      <c r="G42" s="393">
        <f>'d3'!G42-d3П!G42</f>
        <v>0</v>
      </c>
      <c r="H42" s="393">
        <f>'d3'!H42-d3П!H42</f>
        <v>0</v>
      </c>
      <c r="I42" s="393">
        <f>'d3'!I42-d3П!I42</f>
        <v>0</v>
      </c>
      <c r="J42" s="393">
        <f>'d3'!J42-d3П!J42</f>
        <v>0</v>
      </c>
      <c r="K42" s="393">
        <f>'d3'!K42-d3П!K42</f>
        <v>0</v>
      </c>
      <c r="L42" s="393">
        <f>'d3'!L42-d3П!L42</f>
        <v>0</v>
      </c>
      <c r="M42" s="393">
        <f>'d3'!M42-d3П!M42</f>
        <v>0</v>
      </c>
      <c r="N42" s="393">
        <f>'d3'!N42-d3П!N42</f>
        <v>0</v>
      </c>
      <c r="O42" s="393">
        <f>'d3'!O42-d3П!O42</f>
        <v>0</v>
      </c>
      <c r="P42" s="393">
        <f>'d3'!P42-d3П!P42</f>
        <v>0</v>
      </c>
      <c r="Q42" s="20"/>
    </row>
    <row r="43" spans="1:18" ht="91.5" thickTop="1" thickBot="1" x14ac:dyDescent="0.25">
      <c r="A43" s="348" t="s">
        <v>517</v>
      </c>
      <c r="B43" s="348" t="s">
        <v>518</v>
      </c>
      <c r="C43" s="348" t="s">
        <v>43</v>
      </c>
      <c r="D43" s="348" t="s">
        <v>519</v>
      </c>
      <c r="E43" s="393">
        <f>'d3'!E43-d3П!E43</f>
        <v>1500000</v>
      </c>
      <c r="F43" s="393">
        <f>'d3'!F43-d3П!F43</f>
        <v>1500000</v>
      </c>
      <c r="G43" s="393">
        <f>'d3'!G43-d3П!G43</f>
        <v>0</v>
      </c>
      <c r="H43" s="393">
        <f>'d3'!H43-d3П!H43</f>
        <v>0</v>
      </c>
      <c r="I43" s="393">
        <f>'d3'!I43-d3П!I43</f>
        <v>0</v>
      </c>
      <c r="J43" s="393">
        <f>'d3'!J43-d3П!J43</f>
        <v>0</v>
      </c>
      <c r="K43" s="393">
        <f>'d3'!K43-d3П!K43</f>
        <v>0</v>
      </c>
      <c r="L43" s="393">
        <f>'d3'!L43-d3П!L43</f>
        <v>0</v>
      </c>
      <c r="M43" s="393">
        <f>'d3'!M43-d3П!M43</f>
        <v>0</v>
      </c>
      <c r="N43" s="393">
        <f>'d3'!N43-d3П!N43</f>
        <v>0</v>
      </c>
      <c r="O43" s="393">
        <f>'d3'!O43-d3П!O43</f>
        <v>0</v>
      </c>
      <c r="P43" s="393">
        <f>'d3'!P43-d3П!P43</f>
        <v>1500000</v>
      </c>
      <c r="Q43" s="20"/>
      <c r="R43" s="26"/>
    </row>
    <row r="44" spans="1:18" ht="192.75" hidden="1" thickTop="1" thickBot="1" x14ac:dyDescent="0.25">
      <c r="A44" s="119" t="s">
        <v>1480</v>
      </c>
      <c r="B44" s="119" t="s">
        <v>1481</v>
      </c>
      <c r="C44" s="119" t="s">
        <v>43</v>
      </c>
      <c r="D44" s="625" t="s">
        <v>1479</v>
      </c>
      <c r="E44" s="393">
        <f t="shared" ref="E44" si="2">F44</f>
        <v>0</v>
      </c>
      <c r="F44" s="350">
        <f>(2000000)-2000000</f>
        <v>0</v>
      </c>
      <c r="G44" s="350"/>
      <c r="H44" s="350"/>
      <c r="I44" s="350"/>
      <c r="J44" s="393">
        <f>L44+O44</f>
        <v>0</v>
      </c>
      <c r="K44" s="350"/>
      <c r="L44" s="350"/>
      <c r="M44" s="350"/>
      <c r="N44" s="350"/>
      <c r="O44" s="351">
        <f>K44</f>
        <v>0</v>
      </c>
      <c r="P44" s="393">
        <f>E44+J44</f>
        <v>0</v>
      </c>
      <c r="Q44" s="20"/>
      <c r="R44" s="26"/>
    </row>
    <row r="45" spans="1:18" ht="177.75" customHeight="1" thickTop="1" thickBot="1" x14ac:dyDescent="0.25">
      <c r="A45" s="403" t="s">
        <v>152</v>
      </c>
      <c r="B45" s="403"/>
      <c r="C45" s="403"/>
      <c r="D45" s="404" t="s">
        <v>0</v>
      </c>
      <c r="E45" s="406">
        <f>E46</f>
        <v>3092400</v>
      </c>
      <c r="F45" s="405">
        <f t="shared" ref="F45" si="3">F46</f>
        <v>3092400</v>
      </c>
      <c r="G45" s="405">
        <f>G46</f>
        <v>2443300</v>
      </c>
      <c r="H45" s="405">
        <f>H46</f>
        <v>0</v>
      </c>
      <c r="I45" s="405">
        <f t="shared" ref="I45" si="4">I46</f>
        <v>0</v>
      </c>
      <c r="J45" s="406">
        <f>J46</f>
        <v>-3119012</v>
      </c>
      <c r="K45" s="405">
        <f>K46</f>
        <v>-3092400</v>
      </c>
      <c r="L45" s="405">
        <f>L46</f>
        <v>-26612</v>
      </c>
      <c r="M45" s="405">
        <f t="shared" ref="M45" si="5">M46</f>
        <v>0</v>
      </c>
      <c r="N45" s="405">
        <f>N46</f>
        <v>0</v>
      </c>
      <c r="O45" s="406">
        <f>O46</f>
        <v>-3092400</v>
      </c>
      <c r="P45" s="405">
        <f t="shared" ref="P45" si="6">P46</f>
        <v>-26612</v>
      </c>
      <c r="Q45" s="20"/>
    </row>
    <row r="46" spans="1:18" ht="159" customHeight="1" thickTop="1" thickBot="1" x14ac:dyDescent="0.25">
      <c r="A46" s="407" t="s">
        <v>153</v>
      </c>
      <c r="B46" s="407"/>
      <c r="C46" s="407"/>
      <c r="D46" s="408" t="s">
        <v>1</v>
      </c>
      <c r="E46" s="409">
        <f>E47+E88+E100+E91+E97</f>
        <v>3092400</v>
      </c>
      <c r="F46" s="409">
        <f>F47+F88+F100+F91+F97</f>
        <v>3092400</v>
      </c>
      <c r="G46" s="409">
        <f>G47+G88+G100+G91+G97</f>
        <v>2443300</v>
      </c>
      <c r="H46" s="409">
        <f>H47+H88+H100+H91+H97</f>
        <v>0</v>
      </c>
      <c r="I46" s="409">
        <f>I47+I88+I100+I91+I97</f>
        <v>0</v>
      </c>
      <c r="J46" s="409">
        <f>L46+O46</f>
        <v>-3119012</v>
      </c>
      <c r="K46" s="409">
        <f>K47+K88+K100+K91+K97</f>
        <v>-3092400</v>
      </c>
      <c r="L46" s="409">
        <f>L47+L88+L100+L91+L97</f>
        <v>-26612</v>
      </c>
      <c r="M46" s="409">
        <f>M47+M88+M100+M91+M97</f>
        <v>0</v>
      </c>
      <c r="N46" s="409">
        <f>N47+N88+N100+N91+N97</f>
        <v>0</v>
      </c>
      <c r="O46" s="409">
        <f>O47+O88+O100+O91+O97</f>
        <v>-3092400</v>
      </c>
      <c r="P46" s="409">
        <f>E46+J46</f>
        <v>-26612</v>
      </c>
      <c r="Q46" s="402" t="b">
        <f>P46=P48+P50+P51+P52+P59+P61+P64+P65+P67+P69+P80+P90+P94+P99+P54+P55+P62+P77+P68+P96+P84+P83+P89+P78+P86+P87</f>
        <v>1</v>
      </c>
      <c r="R46" s="26"/>
    </row>
    <row r="47" spans="1:18" ht="47.25" thickTop="1" thickBot="1" x14ac:dyDescent="0.25">
      <c r="A47" s="346" t="s">
        <v>713</v>
      </c>
      <c r="B47" s="346" t="s">
        <v>714</v>
      </c>
      <c r="C47" s="346"/>
      <c r="D47" s="346" t="s">
        <v>715</v>
      </c>
      <c r="E47" s="393">
        <f>'d3'!E47-d3П!E47</f>
        <v>3092400</v>
      </c>
      <c r="F47" s="393">
        <f>'d3'!F47-d3П!F47</f>
        <v>3092400</v>
      </c>
      <c r="G47" s="393">
        <f>'d3'!G47-d3П!G47</f>
        <v>2443300</v>
      </c>
      <c r="H47" s="393">
        <f>'d3'!H47-d3П!H47</f>
        <v>0</v>
      </c>
      <c r="I47" s="393">
        <f>'d3'!I47-d3П!I47</f>
        <v>0</v>
      </c>
      <c r="J47" s="393">
        <f>'d3'!J47-d3П!J47</f>
        <v>973388</v>
      </c>
      <c r="K47" s="393">
        <f>'d3'!K47-d3П!K47</f>
        <v>1000000</v>
      </c>
      <c r="L47" s="393">
        <f>'d3'!L47-d3П!L47</f>
        <v>-26612</v>
      </c>
      <c r="M47" s="393">
        <f>'d3'!M47-d3П!M47</f>
        <v>0</v>
      </c>
      <c r="N47" s="393">
        <f>'d3'!N47-d3П!N47</f>
        <v>0</v>
      </c>
      <c r="O47" s="393">
        <f>'d3'!O47-d3П!O47</f>
        <v>1000000</v>
      </c>
      <c r="P47" s="393">
        <f>'d3'!P47-d3П!P47</f>
        <v>4065788</v>
      </c>
      <c r="Q47" s="30"/>
      <c r="R47" s="26"/>
    </row>
    <row r="48" spans="1:18" ht="99" customHeight="1" thickTop="1" thickBot="1" x14ac:dyDescent="0.6">
      <c r="A48" s="119" t="s">
        <v>202</v>
      </c>
      <c r="B48" s="119" t="s">
        <v>203</v>
      </c>
      <c r="C48" s="119" t="s">
        <v>205</v>
      </c>
      <c r="D48" s="119" t="s">
        <v>206</v>
      </c>
      <c r="E48" s="393">
        <f>'d3'!E48-d3П!E48</f>
        <v>804479</v>
      </c>
      <c r="F48" s="393">
        <f>'d3'!F48-d3П!F48</f>
        <v>804479</v>
      </c>
      <c r="G48" s="393">
        <f>'d3'!G48-d3П!G48</f>
        <v>649900</v>
      </c>
      <c r="H48" s="393">
        <f>'d3'!H48-d3П!H48</f>
        <v>0</v>
      </c>
      <c r="I48" s="393">
        <f>'d3'!I48-d3П!I48</f>
        <v>0</v>
      </c>
      <c r="J48" s="393">
        <f>'d3'!J48-d3П!J48</f>
        <v>0</v>
      </c>
      <c r="K48" s="393">
        <f>'d3'!K48-d3П!K48</f>
        <v>0</v>
      </c>
      <c r="L48" s="393">
        <f>'d3'!L48-d3П!L48</f>
        <v>0</v>
      </c>
      <c r="M48" s="393">
        <f>'d3'!M48-d3П!M48</f>
        <v>0</v>
      </c>
      <c r="N48" s="393">
        <f>'d3'!N48-d3П!N48</f>
        <v>0</v>
      </c>
      <c r="O48" s="393">
        <f>'d3'!O48-d3П!O48</f>
        <v>0</v>
      </c>
      <c r="P48" s="393">
        <f>'d3'!P48-d3П!P48</f>
        <v>804479</v>
      </c>
      <c r="Q48" s="159"/>
      <c r="R48" s="26"/>
    </row>
    <row r="49" spans="1:20" ht="47.25" thickTop="1" thickBot="1" x14ac:dyDescent="0.6">
      <c r="A49" s="399" t="s">
        <v>207</v>
      </c>
      <c r="B49" s="399" t="s">
        <v>204</v>
      </c>
      <c r="C49" s="399"/>
      <c r="D49" s="399" t="s">
        <v>649</v>
      </c>
      <c r="E49" s="393">
        <f>'d3'!E49-d3П!E49</f>
        <v>1589900</v>
      </c>
      <c r="F49" s="393">
        <f>'d3'!F49-d3П!F49</f>
        <v>1589900</v>
      </c>
      <c r="G49" s="393">
        <f>'d3'!G49-d3П!G49</f>
        <v>1273800</v>
      </c>
      <c r="H49" s="393">
        <f>'d3'!H49-d3П!H49</f>
        <v>0</v>
      </c>
      <c r="I49" s="393">
        <f>'d3'!I49-d3П!I49</f>
        <v>0</v>
      </c>
      <c r="J49" s="393">
        <f>'d3'!J49-d3П!J49</f>
        <v>0</v>
      </c>
      <c r="K49" s="393">
        <f>'d3'!K49-d3П!K49</f>
        <v>0</v>
      </c>
      <c r="L49" s="393">
        <f>'d3'!L49-d3П!L49</f>
        <v>0</v>
      </c>
      <c r="M49" s="393">
        <f>'d3'!M49-d3П!M49</f>
        <v>0</v>
      </c>
      <c r="N49" s="393">
        <f>'d3'!N49-d3П!N49</f>
        <v>0</v>
      </c>
      <c r="O49" s="393">
        <f>'d3'!O49-d3П!O49</f>
        <v>0</v>
      </c>
      <c r="P49" s="393">
        <f>'d3'!P49-d3П!P49</f>
        <v>1589900</v>
      </c>
      <c r="Q49" s="159"/>
      <c r="R49" s="37"/>
    </row>
    <row r="50" spans="1:20" ht="93" thickTop="1" thickBot="1" x14ac:dyDescent="0.6">
      <c r="A50" s="119" t="s">
        <v>647</v>
      </c>
      <c r="B50" s="119" t="s">
        <v>648</v>
      </c>
      <c r="C50" s="119" t="s">
        <v>208</v>
      </c>
      <c r="D50" s="119" t="s">
        <v>1336</v>
      </c>
      <c r="E50" s="393">
        <f>'d3'!E50-d3П!E50</f>
        <v>1537100</v>
      </c>
      <c r="F50" s="393">
        <f>'d3'!F50-d3П!F50</f>
        <v>1537100</v>
      </c>
      <c r="G50" s="393">
        <f>'d3'!G50-d3П!G50</f>
        <v>1223000</v>
      </c>
      <c r="H50" s="393">
        <f>'d3'!H50-d3П!H50</f>
        <v>0</v>
      </c>
      <c r="I50" s="393">
        <f>'d3'!I50-d3П!I50</f>
        <v>0</v>
      </c>
      <c r="J50" s="393">
        <f>'d3'!J50-d3П!J50</f>
        <v>0</v>
      </c>
      <c r="K50" s="393">
        <f>'d3'!K50-d3П!K50</f>
        <v>0</v>
      </c>
      <c r="L50" s="393">
        <f>'d3'!L50-d3П!L50</f>
        <v>0</v>
      </c>
      <c r="M50" s="393">
        <f>'d3'!M50-d3П!M50</f>
        <v>0</v>
      </c>
      <c r="N50" s="393">
        <f>'d3'!N50-d3П!N50</f>
        <v>0</v>
      </c>
      <c r="O50" s="393">
        <f>'d3'!O50-d3П!O50</f>
        <v>0</v>
      </c>
      <c r="P50" s="393">
        <f>'d3'!P50-d3П!P50</f>
        <v>1537100</v>
      </c>
      <c r="Q50" s="159"/>
      <c r="R50" s="26"/>
      <c r="T50" s="38"/>
    </row>
    <row r="51" spans="1:20" ht="138.75" thickTop="1" thickBot="1" x14ac:dyDescent="0.25">
      <c r="A51" s="119" t="s">
        <v>656</v>
      </c>
      <c r="B51" s="119" t="s">
        <v>657</v>
      </c>
      <c r="C51" s="119" t="s">
        <v>211</v>
      </c>
      <c r="D51" s="119" t="s">
        <v>1337</v>
      </c>
      <c r="E51" s="393">
        <f>'d3'!E51-d3П!E51</f>
        <v>0</v>
      </c>
      <c r="F51" s="393">
        <f>'d3'!F51-d3П!F51</f>
        <v>0</v>
      </c>
      <c r="G51" s="393">
        <f>'d3'!G51-d3П!G51</f>
        <v>0</v>
      </c>
      <c r="H51" s="393">
        <f>'d3'!H51-d3П!H51</f>
        <v>0</v>
      </c>
      <c r="I51" s="393">
        <f>'d3'!I51-d3П!I51</f>
        <v>0</v>
      </c>
      <c r="J51" s="393">
        <f>'d3'!J51-d3П!J51</f>
        <v>0</v>
      </c>
      <c r="K51" s="393">
        <f>'d3'!K51-d3П!K51</f>
        <v>0</v>
      </c>
      <c r="L51" s="393">
        <f>'d3'!L51-d3П!L51</f>
        <v>0</v>
      </c>
      <c r="M51" s="393">
        <f>'d3'!M51-d3П!M51</f>
        <v>0</v>
      </c>
      <c r="N51" s="393">
        <f>'d3'!N51-d3П!N51</f>
        <v>0</v>
      </c>
      <c r="O51" s="393">
        <f>'d3'!O51-d3П!O51</f>
        <v>0</v>
      </c>
      <c r="P51" s="393">
        <f>'d3'!P51-d3П!P51</f>
        <v>0</v>
      </c>
      <c r="Q51" s="20"/>
      <c r="R51" s="27"/>
    </row>
    <row r="52" spans="1:20" ht="93" thickTop="1" thickBot="1" x14ac:dyDescent="0.25">
      <c r="A52" s="119" t="s">
        <v>1010</v>
      </c>
      <c r="B52" s="119" t="s">
        <v>1011</v>
      </c>
      <c r="C52" s="119" t="s">
        <v>211</v>
      </c>
      <c r="D52" s="119" t="s">
        <v>1338</v>
      </c>
      <c r="E52" s="393">
        <f>'d3'!E52-d3П!E52</f>
        <v>52800</v>
      </c>
      <c r="F52" s="393">
        <f>'d3'!F52-d3П!F52</f>
        <v>52800</v>
      </c>
      <c r="G52" s="393">
        <f>'d3'!G52-d3П!G52</f>
        <v>50800</v>
      </c>
      <c r="H52" s="393">
        <f>'d3'!H52-d3П!H52</f>
        <v>0</v>
      </c>
      <c r="I52" s="393">
        <f>'d3'!I52-d3П!I52</f>
        <v>0</v>
      </c>
      <c r="J52" s="393">
        <f>'d3'!J52-d3П!J52</f>
        <v>0</v>
      </c>
      <c r="K52" s="393">
        <f>'d3'!K52-d3П!K52</f>
        <v>0</v>
      </c>
      <c r="L52" s="393">
        <f>'d3'!L52-d3П!L52</f>
        <v>0</v>
      </c>
      <c r="M52" s="393">
        <f>'d3'!M52-d3П!M52</f>
        <v>0</v>
      </c>
      <c r="N52" s="393">
        <f>'d3'!N52-d3П!N52</f>
        <v>0</v>
      </c>
      <c r="O52" s="393">
        <f>'d3'!O52-d3П!O52</f>
        <v>0</v>
      </c>
      <c r="P52" s="393">
        <f>'d3'!P52-d3П!P52</f>
        <v>52800</v>
      </c>
      <c r="Q52" s="20"/>
      <c r="R52" s="27"/>
    </row>
    <row r="53" spans="1:20" ht="47.25" thickTop="1" thickBot="1" x14ac:dyDescent="0.25">
      <c r="A53" s="399" t="s">
        <v>502</v>
      </c>
      <c r="B53" s="399" t="s">
        <v>209</v>
      </c>
      <c r="C53" s="399"/>
      <c r="D53" s="399" t="s">
        <v>664</v>
      </c>
      <c r="E53" s="393">
        <f>'d3'!E53-d3П!E53</f>
        <v>0</v>
      </c>
      <c r="F53" s="393">
        <f>'d3'!F53-d3П!F53</f>
        <v>0</v>
      </c>
      <c r="G53" s="393">
        <f>'d3'!G53-d3П!G53</f>
        <v>0</v>
      </c>
      <c r="H53" s="393">
        <f>'d3'!H53-d3П!H53</f>
        <v>0</v>
      </c>
      <c r="I53" s="393">
        <f>'d3'!I53-d3П!I53</f>
        <v>0</v>
      </c>
      <c r="J53" s="393">
        <f>'d3'!J53-d3П!J53</f>
        <v>0</v>
      </c>
      <c r="K53" s="393">
        <f>'d3'!K53-d3П!K53</f>
        <v>0</v>
      </c>
      <c r="L53" s="393">
        <f>'d3'!L53-d3П!L53</f>
        <v>0</v>
      </c>
      <c r="M53" s="393">
        <f>'d3'!M53-d3П!M53</f>
        <v>0</v>
      </c>
      <c r="N53" s="393">
        <f>'d3'!N53-d3П!N53</f>
        <v>0</v>
      </c>
      <c r="O53" s="393">
        <f>'d3'!O53-d3П!O53</f>
        <v>0</v>
      </c>
      <c r="P53" s="393">
        <f>'d3'!P53-d3П!P53</f>
        <v>0</v>
      </c>
      <c r="Q53" s="20"/>
      <c r="R53" s="35"/>
    </row>
    <row r="54" spans="1:20" ht="93" thickTop="1" thickBot="1" x14ac:dyDescent="0.25">
      <c r="A54" s="119" t="s">
        <v>665</v>
      </c>
      <c r="B54" s="119" t="s">
        <v>666</v>
      </c>
      <c r="C54" s="119" t="s">
        <v>208</v>
      </c>
      <c r="D54" s="119" t="s">
        <v>1339</v>
      </c>
      <c r="E54" s="393">
        <f>'d3'!E54-d3П!E54</f>
        <v>30400</v>
      </c>
      <c r="F54" s="393">
        <f>'d3'!F54-d3П!F54</f>
        <v>30400</v>
      </c>
      <c r="G54" s="393">
        <f>'d3'!G54-d3П!G54</f>
        <v>30400</v>
      </c>
      <c r="H54" s="393">
        <f>'d3'!H54-d3П!H54</f>
        <v>0</v>
      </c>
      <c r="I54" s="393">
        <f>'d3'!I54-d3П!I54</f>
        <v>0</v>
      </c>
      <c r="J54" s="393">
        <f>'d3'!J54-d3П!J54</f>
        <v>0</v>
      </c>
      <c r="K54" s="393">
        <f>'d3'!K54-d3П!K54</f>
        <v>0</v>
      </c>
      <c r="L54" s="393">
        <f>'d3'!L54-d3П!L54</f>
        <v>0</v>
      </c>
      <c r="M54" s="393">
        <f>'d3'!M54-d3П!M54</f>
        <v>0</v>
      </c>
      <c r="N54" s="393">
        <f>'d3'!N54-d3П!N54</f>
        <v>0</v>
      </c>
      <c r="O54" s="393">
        <f>'d3'!O54-d3П!O54</f>
        <v>0</v>
      </c>
      <c r="P54" s="393">
        <f>'d3'!P54-d3П!P54</f>
        <v>30400</v>
      </c>
      <c r="Q54" s="20"/>
      <c r="R54" s="30"/>
    </row>
    <row r="55" spans="1:20" ht="93" thickTop="1" thickBot="1" x14ac:dyDescent="0.25">
      <c r="A55" s="119" t="s">
        <v>1151</v>
      </c>
      <c r="B55" s="427" t="s">
        <v>1152</v>
      </c>
      <c r="C55" s="119" t="s">
        <v>211</v>
      </c>
      <c r="D55" s="119" t="s">
        <v>1340</v>
      </c>
      <c r="E55" s="393">
        <f>'d3'!E55-d3П!E55</f>
        <v>-30400</v>
      </c>
      <c r="F55" s="393">
        <f>'d3'!F55-d3П!F55</f>
        <v>-30400</v>
      </c>
      <c r="G55" s="393">
        <f>'d3'!G55-d3П!G55</f>
        <v>-30400</v>
      </c>
      <c r="H55" s="393">
        <f>'d3'!H55-d3П!H55</f>
        <v>0</v>
      </c>
      <c r="I55" s="393">
        <f>'d3'!I55-d3П!I55</f>
        <v>0</v>
      </c>
      <c r="J55" s="393">
        <f>'d3'!J55-d3П!J55</f>
        <v>0</v>
      </c>
      <c r="K55" s="393">
        <f>'d3'!K55-d3П!K55</f>
        <v>0</v>
      </c>
      <c r="L55" s="393">
        <f>'d3'!L55-d3П!L55</f>
        <v>0</v>
      </c>
      <c r="M55" s="393">
        <f>'d3'!M55-d3П!M55</f>
        <v>0</v>
      </c>
      <c r="N55" s="393">
        <f>'d3'!N55-d3П!N55</f>
        <v>0</v>
      </c>
      <c r="O55" s="393">
        <f>'d3'!O55-d3П!O55</f>
        <v>0</v>
      </c>
      <c r="P55" s="393">
        <f>'d3'!P55-d3П!P55</f>
        <v>-30400</v>
      </c>
      <c r="Q55" s="20"/>
      <c r="R55" s="30"/>
    </row>
    <row r="56" spans="1:20" ht="184.5" hidden="1" customHeight="1" thickTop="1" thickBot="1" x14ac:dyDescent="0.7">
      <c r="A56" s="715" t="s">
        <v>939</v>
      </c>
      <c r="B56" s="715" t="s">
        <v>50</v>
      </c>
      <c r="C56" s="715"/>
      <c r="D56" s="428" t="s">
        <v>942</v>
      </c>
      <c r="E56" s="393">
        <f>'d3'!E56-d3П!E56</f>
        <v>0</v>
      </c>
      <c r="F56" s="393">
        <f>'d3'!F56-d3П!F56</f>
        <v>0</v>
      </c>
      <c r="G56" s="393">
        <f>'d3'!G56-d3П!G56</f>
        <v>0</v>
      </c>
      <c r="H56" s="393">
        <f>'d3'!H56-d3П!H56</f>
        <v>0</v>
      </c>
      <c r="I56" s="393">
        <f>'d3'!I56-d3П!I56</f>
        <v>0</v>
      </c>
      <c r="J56" s="393">
        <f>'d3'!J56-d3П!J56</f>
        <v>0</v>
      </c>
      <c r="K56" s="393">
        <f>'d3'!K56-d3П!K56</f>
        <v>0</v>
      </c>
      <c r="L56" s="393">
        <f>'d3'!L56-d3П!L56</f>
        <v>0</v>
      </c>
      <c r="M56" s="393">
        <f>'d3'!M56-d3П!M56</f>
        <v>0</v>
      </c>
      <c r="N56" s="393">
        <f>'d3'!N56-d3П!N56</f>
        <v>0</v>
      </c>
      <c r="O56" s="393">
        <f>'d3'!O56-d3П!O56</f>
        <v>0</v>
      </c>
      <c r="P56" s="393">
        <f>'d3'!P56-d3П!P56</f>
        <v>0</v>
      </c>
      <c r="Q56" s="20"/>
      <c r="R56" s="30"/>
    </row>
    <row r="57" spans="1:20" ht="93" hidden="1" customHeight="1" thickTop="1" thickBot="1" x14ac:dyDescent="0.25">
      <c r="A57" s="677"/>
      <c r="B57" s="677"/>
      <c r="C57" s="677"/>
      <c r="D57" s="429" t="s">
        <v>943</v>
      </c>
      <c r="E57" s="393">
        <f>'d3'!E57-d3П!E57</f>
        <v>0</v>
      </c>
      <c r="F57" s="393">
        <f>'d3'!F57-d3П!F57</f>
        <v>0</v>
      </c>
      <c r="G57" s="393">
        <f>'d3'!G57-d3П!G57</f>
        <v>0</v>
      </c>
      <c r="H57" s="393">
        <f>'d3'!H57-d3П!H57</f>
        <v>0</v>
      </c>
      <c r="I57" s="393">
        <f>'d3'!I57-d3П!I57</f>
        <v>0</v>
      </c>
      <c r="J57" s="393">
        <f>'d3'!J57-d3П!J57</f>
        <v>0</v>
      </c>
      <c r="K57" s="393">
        <f>'d3'!K57-d3П!K57</f>
        <v>0</v>
      </c>
      <c r="L57" s="393">
        <f>'d3'!L57-d3П!L57</f>
        <v>0</v>
      </c>
      <c r="M57" s="393">
        <f>'d3'!M57-d3П!M57</f>
        <v>0</v>
      </c>
      <c r="N57" s="393">
        <f>'d3'!N57-d3П!N57</f>
        <v>0</v>
      </c>
      <c r="O57" s="393">
        <f>'d3'!O57-d3П!O57</f>
        <v>0</v>
      </c>
      <c r="P57" s="393">
        <f>'d3'!P57-d3П!P57</f>
        <v>0</v>
      </c>
      <c r="Q57" s="20"/>
      <c r="R57" s="30"/>
    </row>
    <row r="58" spans="1:20" ht="48" hidden="1" customHeight="1" thickTop="1" thickBot="1" x14ac:dyDescent="0.25">
      <c r="A58" s="396" t="s">
        <v>940</v>
      </c>
      <c r="B58" s="396" t="s">
        <v>941</v>
      </c>
      <c r="C58" s="396" t="s">
        <v>208</v>
      </c>
      <c r="D58" s="396" t="s">
        <v>944</v>
      </c>
      <c r="E58" s="393">
        <f>'d3'!E58-d3П!E58</f>
        <v>0</v>
      </c>
      <c r="F58" s="393">
        <f>'d3'!F58-d3П!F58</f>
        <v>0</v>
      </c>
      <c r="G58" s="393">
        <f>'d3'!G58-d3П!G58</f>
        <v>0</v>
      </c>
      <c r="H58" s="393">
        <f>'d3'!H58-d3П!H58</f>
        <v>0</v>
      </c>
      <c r="I58" s="393">
        <f>'d3'!I58-d3П!I58</f>
        <v>0</v>
      </c>
      <c r="J58" s="393">
        <f>'d3'!J58-d3П!J58</f>
        <v>0</v>
      </c>
      <c r="K58" s="393">
        <f>'d3'!K58-d3П!K58</f>
        <v>0</v>
      </c>
      <c r="L58" s="393">
        <f>'d3'!L58-d3П!L58</f>
        <v>0</v>
      </c>
      <c r="M58" s="393">
        <f>'d3'!M58-d3П!M58</f>
        <v>0</v>
      </c>
      <c r="N58" s="393">
        <f>'d3'!N58-d3П!N58</f>
        <v>0</v>
      </c>
      <c r="O58" s="393">
        <f>'d3'!O58-d3П!O58</f>
        <v>0</v>
      </c>
      <c r="P58" s="393">
        <f>'d3'!P58-d3П!P58</f>
        <v>0</v>
      </c>
      <c r="Q58" s="20"/>
      <c r="R58" s="26"/>
    </row>
    <row r="59" spans="1:20" ht="93" thickTop="1" thickBot="1" x14ac:dyDescent="0.25">
      <c r="A59" s="119" t="s">
        <v>667</v>
      </c>
      <c r="B59" s="119" t="s">
        <v>210</v>
      </c>
      <c r="C59" s="119" t="s">
        <v>185</v>
      </c>
      <c r="D59" s="119" t="s">
        <v>503</v>
      </c>
      <c r="E59" s="393">
        <f>'d3'!E59-d3П!E59</f>
        <v>13300</v>
      </c>
      <c r="F59" s="393">
        <f>'d3'!F59-d3П!F59</f>
        <v>13300</v>
      </c>
      <c r="G59" s="393">
        <f>'d3'!G59-d3П!G59</f>
        <v>0</v>
      </c>
      <c r="H59" s="393">
        <f>'d3'!H59-d3П!H59</f>
        <v>0</v>
      </c>
      <c r="I59" s="393">
        <f>'d3'!I59-d3П!I59</f>
        <v>0</v>
      </c>
      <c r="J59" s="393">
        <f>'d3'!J59-d3П!J59</f>
        <v>0</v>
      </c>
      <c r="K59" s="393">
        <f>'d3'!K59-d3П!K59</f>
        <v>0</v>
      </c>
      <c r="L59" s="393">
        <f>'d3'!L59-d3П!L59</f>
        <v>0</v>
      </c>
      <c r="M59" s="393">
        <f>'d3'!M59-d3П!M59</f>
        <v>0</v>
      </c>
      <c r="N59" s="393">
        <f>'d3'!N59-d3П!N59</f>
        <v>0</v>
      </c>
      <c r="O59" s="393">
        <f>'d3'!O59-d3П!O59</f>
        <v>0</v>
      </c>
      <c r="P59" s="393">
        <f>'d3'!P59-d3П!P59</f>
        <v>13300</v>
      </c>
      <c r="Q59" s="20"/>
      <c r="R59" s="26"/>
    </row>
    <row r="60" spans="1:20" ht="93" thickTop="1" thickBot="1" x14ac:dyDescent="0.25">
      <c r="A60" s="399" t="s">
        <v>212</v>
      </c>
      <c r="B60" s="399" t="s">
        <v>195</v>
      </c>
      <c r="C60" s="399"/>
      <c r="D60" s="399" t="s">
        <v>504</v>
      </c>
      <c r="E60" s="393">
        <f>'d3'!E60-d3П!E60</f>
        <v>515200</v>
      </c>
      <c r="F60" s="393">
        <f>'d3'!F60-d3П!F60</f>
        <v>515200</v>
      </c>
      <c r="G60" s="393">
        <f>'d3'!G60-d3П!G60</f>
        <v>378800</v>
      </c>
      <c r="H60" s="393">
        <f>'d3'!H60-d3П!H60</f>
        <v>0</v>
      </c>
      <c r="I60" s="393">
        <f>'d3'!I60-d3П!I60</f>
        <v>0</v>
      </c>
      <c r="J60" s="393">
        <f>'d3'!J60-d3П!J60</f>
        <v>0</v>
      </c>
      <c r="K60" s="393">
        <f>'d3'!K60-d3П!K60</f>
        <v>0</v>
      </c>
      <c r="L60" s="393">
        <f>'d3'!L60-d3П!L60</f>
        <v>0</v>
      </c>
      <c r="M60" s="393">
        <f>'d3'!M60-d3П!M60</f>
        <v>0</v>
      </c>
      <c r="N60" s="393">
        <f>'d3'!N60-d3П!N60</f>
        <v>0</v>
      </c>
      <c r="O60" s="393">
        <f>'d3'!O60-d3П!O60</f>
        <v>0</v>
      </c>
      <c r="P60" s="393">
        <f>'d3'!P60-d3П!P60</f>
        <v>515200</v>
      </c>
      <c r="Q60" s="20"/>
      <c r="R60" s="35"/>
    </row>
    <row r="61" spans="1:20" ht="93" thickTop="1" thickBot="1" x14ac:dyDescent="0.25">
      <c r="A61" s="119" t="s">
        <v>668</v>
      </c>
      <c r="B61" s="119" t="s">
        <v>669</v>
      </c>
      <c r="C61" s="119" t="s">
        <v>213</v>
      </c>
      <c r="D61" s="119" t="s">
        <v>670</v>
      </c>
      <c r="E61" s="393">
        <f>'d3'!E61-d3П!E61</f>
        <v>515200</v>
      </c>
      <c r="F61" s="393">
        <f>'d3'!F61-d3П!F61</f>
        <v>515200</v>
      </c>
      <c r="G61" s="393">
        <f>'d3'!G61-d3П!G61</f>
        <v>378800</v>
      </c>
      <c r="H61" s="393">
        <f>'d3'!H61-d3П!H61</f>
        <v>0</v>
      </c>
      <c r="I61" s="393">
        <f>'d3'!I61-d3П!I61</f>
        <v>0</v>
      </c>
      <c r="J61" s="393">
        <f>'d3'!J61-d3П!J61</f>
        <v>0</v>
      </c>
      <c r="K61" s="393">
        <f>'d3'!K61-d3П!K61</f>
        <v>0</v>
      </c>
      <c r="L61" s="393">
        <f>'d3'!L61-d3П!L61</f>
        <v>0</v>
      </c>
      <c r="M61" s="393">
        <f>'d3'!M61-d3П!M61</f>
        <v>0</v>
      </c>
      <c r="N61" s="393">
        <f>'d3'!N61-d3П!N61</f>
        <v>0</v>
      </c>
      <c r="O61" s="393">
        <f>'d3'!O61-d3П!O61</f>
        <v>0</v>
      </c>
      <c r="P61" s="393">
        <f>'d3'!P61-d3П!P61</f>
        <v>515200</v>
      </c>
      <c r="Q61" s="20"/>
      <c r="R61" s="26"/>
    </row>
    <row r="62" spans="1:20" ht="93" thickTop="1" thickBot="1" x14ac:dyDescent="0.25">
      <c r="A62" s="119" t="s">
        <v>672</v>
      </c>
      <c r="B62" s="119" t="s">
        <v>671</v>
      </c>
      <c r="C62" s="119" t="s">
        <v>213</v>
      </c>
      <c r="D62" s="119" t="s">
        <v>673</v>
      </c>
      <c r="E62" s="393">
        <f>'d3'!E62-d3П!E62</f>
        <v>0</v>
      </c>
      <c r="F62" s="393">
        <f>'d3'!F62-d3П!F62</f>
        <v>0</v>
      </c>
      <c r="G62" s="393">
        <f>'d3'!G62-d3П!G62</f>
        <v>0</v>
      </c>
      <c r="H62" s="393">
        <f>'d3'!H62-d3П!H62</f>
        <v>0</v>
      </c>
      <c r="I62" s="393">
        <f>'d3'!I62-d3П!I62</f>
        <v>0</v>
      </c>
      <c r="J62" s="393">
        <f>'d3'!J62-d3П!J62</f>
        <v>0</v>
      </c>
      <c r="K62" s="393">
        <f>'d3'!K62-d3П!K62</f>
        <v>0</v>
      </c>
      <c r="L62" s="393">
        <f>'d3'!L62-d3П!L62</f>
        <v>0</v>
      </c>
      <c r="M62" s="393">
        <f>'d3'!M62-d3П!M62</f>
        <v>0</v>
      </c>
      <c r="N62" s="393">
        <f>'d3'!N62-d3П!N62</f>
        <v>0</v>
      </c>
      <c r="O62" s="393">
        <f>'d3'!O62-d3П!O62</f>
        <v>0</v>
      </c>
      <c r="P62" s="393">
        <f>'d3'!P62-d3П!P62</f>
        <v>0</v>
      </c>
      <c r="Q62" s="20"/>
      <c r="R62" s="30"/>
    </row>
    <row r="63" spans="1:20" ht="47.25" thickTop="1" thickBot="1" x14ac:dyDescent="0.25">
      <c r="A63" s="399" t="s">
        <v>675</v>
      </c>
      <c r="B63" s="399" t="s">
        <v>674</v>
      </c>
      <c r="C63" s="399"/>
      <c r="D63" s="399" t="s">
        <v>676</v>
      </c>
      <c r="E63" s="393">
        <f>'d3'!E63-d3П!E63</f>
        <v>151921</v>
      </c>
      <c r="F63" s="393">
        <f>'d3'!F63-d3П!F63</f>
        <v>151921</v>
      </c>
      <c r="G63" s="393">
        <f>'d3'!G63-d3П!G63</f>
        <v>125200</v>
      </c>
      <c r="H63" s="393">
        <f>'d3'!H63-d3П!H63</f>
        <v>0</v>
      </c>
      <c r="I63" s="393">
        <f>'d3'!I63-d3П!I63</f>
        <v>0</v>
      </c>
      <c r="J63" s="393">
        <f>'d3'!J63-d3П!J63</f>
        <v>0</v>
      </c>
      <c r="K63" s="393">
        <f>'d3'!K63-d3П!K63</f>
        <v>0</v>
      </c>
      <c r="L63" s="393">
        <f>'d3'!L63-d3П!L63</f>
        <v>0</v>
      </c>
      <c r="M63" s="393">
        <f>'d3'!M63-d3П!M63</f>
        <v>0</v>
      </c>
      <c r="N63" s="393">
        <f>'d3'!N63-d3П!N63</f>
        <v>0</v>
      </c>
      <c r="O63" s="393">
        <f>'d3'!O63-d3П!O63</f>
        <v>0</v>
      </c>
      <c r="P63" s="393">
        <f>'d3'!P63-d3П!P63</f>
        <v>151921</v>
      </c>
      <c r="Q63" s="20"/>
      <c r="R63" s="35"/>
    </row>
    <row r="64" spans="1:20" ht="47.25" thickTop="1" thickBot="1" x14ac:dyDescent="0.25">
      <c r="A64" s="119" t="s">
        <v>677</v>
      </c>
      <c r="B64" s="119" t="s">
        <v>678</v>
      </c>
      <c r="C64" s="119" t="s">
        <v>214</v>
      </c>
      <c r="D64" s="119" t="s">
        <v>505</v>
      </c>
      <c r="E64" s="393">
        <f>'d3'!E64-d3П!E64</f>
        <v>151921</v>
      </c>
      <c r="F64" s="393">
        <f>'d3'!F64-d3П!F64</f>
        <v>151921</v>
      </c>
      <c r="G64" s="393">
        <f>'d3'!G64-d3П!G64</f>
        <v>125200</v>
      </c>
      <c r="H64" s="393">
        <f>'d3'!H64-d3П!H64</f>
        <v>0</v>
      </c>
      <c r="I64" s="393">
        <f>'d3'!I64-d3П!I64</f>
        <v>0</v>
      </c>
      <c r="J64" s="393">
        <f>'d3'!J64-d3П!J64</f>
        <v>0</v>
      </c>
      <c r="K64" s="393">
        <f>'d3'!K64-d3П!K64</f>
        <v>0</v>
      </c>
      <c r="L64" s="393">
        <f>'d3'!L64-d3П!L64</f>
        <v>0</v>
      </c>
      <c r="M64" s="393">
        <f>'d3'!M64-d3П!M64</f>
        <v>0</v>
      </c>
      <c r="N64" s="393">
        <f>'d3'!N64-d3П!N64</f>
        <v>0</v>
      </c>
      <c r="O64" s="393">
        <f>'d3'!O64-d3П!O64</f>
        <v>0</v>
      </c>
      <c r="P64" s="393">
        <f>'d3'!P64-d3П!P64</f>
        <v>151921</v>
      </c>
      <c r="Q64" s="20"/>
      <c r="R64" s="30"/>
    </row>
    <row r="65" spans="1:18" ht="47.25" thickTop="1" thickBot="1" x14ac:dyDescent="0.25">
      <c r="A65" s="119" t="s">
        <v>679</v>
      </c>
      <c r="B65" s="119" t="s">
        <v>680</v>
      </c>
      <c r="C65" s="119" t="s">
        <v>214</v>
      </c>
      <c r="D65" s="119" t="s">
        <v>341</v>
      </c>
      <c r="E65" s="393">
        <f>'d3'!E65-d3П!E65</f>
        <v>0</v>
      </c>
      <c r="F65" s="393">
        <f>'d3'!F65-d3П!F65</f>
        <v>0</v>
      </c>
      <c r="G65" s="393">
        <f>'d3'!G65-d3П!G65</f>
        <v>0</v>
      </c>
      <c r="H65" s="393">
        <f>'d3'!H65-d3П!H65</f>
        <v>0</v>
      </c>
      <c r="I65" s="393">
        <f>'d3'!I65-d3П!I65</f>
        <v>0</v>
      </c>
      <c r="J65" s="393">
        <f>'d3'!J65-d3П!J65</f>
        <v>0</v>
      </c>
      <c r="K65" s="393">
        <f>'d3'!K65-d3П!K65</f>
        <v>0</v>
      </c>
      <c r="L65" s="393">
        <f>'d3'!L65-d3П!L65</f>
        <v>0</v>
      </c>
      <c r="M65" s="393">
        <f>'d3'!M65-d3П!M65</f>
        <v>0</v>
      </c>
      <c r="N65" s="393">
        <f>'d3'!N65-d3П!N65</f>
        <v>0</v>
      </c>
      <c r="O65" s="393">
        <f>'d3'!O65-d3П!O65</f>
        <v>0</v>
      </c>
      <c r="P65" s="393">
        <f>'d3'!P65-d3П!P65</f>
        <v>0</v>
      </c>
      <c r="Q65" s="20"/>
      <c r="R65" s="30"/>
    </row>
    <row r="66" spans="1:18" ht="47.25" thickTop="1" thickBot="1" x14ac:dyDescent="0.25">
      <c r="A66" s="399" t="s">
        <v>681</v>
      </c>
      <c r="B66" s="399" t="s">
        <v>682</v>
      </c>
      <c r="C66" s="399"/>
      <c r="D66" s="399" t="s">
        <v>433</v>
      </c>
      <c r="E66" s="393">
        <f>'d3'!E66-d3П!E66</f>
        <v>17600</v>
      </c>
      <c r="F66" s="393">
        <f>'d3'!F66-d3П!F66</f>
        <v>17600</v>
      </c>
      <c r="G66" s="393">
        <f>'d3'!G66-d3П!G66</f>
        <v>15600</v>
      </c>
      <c r="H66" s="393">
        <f>'d3'!H66-d3П!H66</f>
        <v>0</v>
      </c>
      <c r="I66" s="393">
        <f>'d3'!I66-d3П!I66</f>
        <v>0</v>
      </c>
      <c r="J66" s="393">
        <f>'d3'!J66-d3П!J66</f>
        <v>0</v>
      </c>
      <c r="K66" s="393">
        <f>'d3'!K66-d3П!K66</f>
        <v>0</v>
      </c>
      <c r="L66" s="393">
        <f>'d3'!L66-d3П!L66</f>
        <v>0</v>
      </c>
      <c r="M66" s="393">
        <f>'d3'!M66-d3П!M66</f>
        <v>0</v>
      </c>
      <c r="N66" s="393">
        <f>'d3'!N66-d3П!N66</f>
        <v>0</v>
      </c>
      <c r="O66" s="393">
        <f>'d3'!O66-d3П!O66</f>
        <v>0</v>
      </c>
      <c r="P66" s="393">
        <f>'d3'!P66-d3П!P66</f>
        <v>17600</v>
      </c>
      <c r="Q66" s="20"/>
      <c r="R66" s="35"/>
    </row>
    <row r="67" spans="1:18" ht="93" thickTop="1" thickBot="1" x14ac:dyDescent="0.25">
      <c r="A67" s="119" t="s">
        <v>683</v>
      </c>
      <c r="B67" s="119" t="s">
        <v>684</v>
      </c>
      <c r="C67" s="119" t="s">
        <v>214</v>
      </c>
      <c r="D67" s="119" t="s">
        <v>685</v>
      </c>
      <c r="E67" s="393">
        <f>'d3'!E67-d3П!E67</f>
        <v>17600</v>
      </c>
      <c r="F67" s="393">
        <f>'d3'!F67-d3П!F67</f>
        <v>17600</v>
      </c>
      <c r="G67" s="393">
        <f>'d3'!G67-d3П!G67</f>
        <v>15600</v>
      </c>
      <c r="H67" s="393">
        <f>'d3'!H67-d3П!H67</f>
        <v>0</v>
      </c>
      <c r="I67" s="393">
        <f>'d3'!I67-d3П!I67</f>
        <v>0</v>
      </c>
      <c r="J67" s="393">
        <f>'d3'!J67-d3П!J67</f>
        <v>0</v>
      </c>
      <c r="K67" s="393">
        <f>'d3'!K67-d3П!K67</f>
        <v>0</v>
      </c>
      <c r="L67" s="393">
        <f>'d3'!L67-d3П!L67</f>
        <v>0</v>
      </c>
      <c r="M67" s="393">
        <f>'d3'!M67-d3П!M67</f>
        <v>0</v>
      </c>
      <c r="N67" s="393">
        <f>'d3'!N67-d3П!N67</f>
        <v>0</v>
      </c>
      <c r="O67" s="393">
        <f>'d3'!O67-d3П!O67</f>
        <v>0</v>
      </c>
      <c r="P67" s="393">
        <f>'d3'!P67-d3П!P67</f>
        <v>17600</v>
      </c>
      <c r="Q67" s="20"/>
      <c r="R67" s="26"/>
    </row>
    <row r="68" spans="1:18" ht="93" thickTop="1" thickBot="1" x14ac:dyDescent="0.25">
      <c r="A68" s="119" t="s">
        <v>686</v>
      </c>
      <c r="B68" s="119" t="s">
        <v>687</v>
      </c>
      <c r="C68" s="119" t="s">
        <v>214</v>
      </c>
      <c r="D68" s="119" t="s">
        <v>688</v>
      </c>
      <c r="E68" s="393">
        <f>'d3'!E68-d3П!E68</f>
        <v>0</v>
      </c>
      <c r="F68" s="393">
        <f>'d3'!F68-d3П!F68</f>
        <v>0</v>
      </c>
      <c r="G68" s="393">
        <f>'d3'!G68-d3П!G68</f>
        <v>0</v>
      </c>
      <c r="H68" s="393">
        <f>'d3'!H68-d3П!H68</f>
        <v>0</v>
      </c>
      <c r="I68" s="393">
        <f>'d3'!I68-d3П!I68</f>
        <v>0</v>
      </c>
      <c r="J68" s="393">
        <f>'d3'!J68-d3П!J68</f>
        <v>0</v>
      </c>
      <c r="K68" s="393">
        <f>'d3'!K68-d3П!K68</f>
        <v>0</v>
      </c>
      <c r="L68" s="393">
        <f>'d3'!L68-d3П!L68</f>
        <v>0</v>
      </c>
      <c r="M68" s="393">
        <f>'d3'!M68-d3П!M68</f>
        <v>0</v>
      </c>
      <c r="N68" s="393">
        <f>'d3'!N68-d3П!N68</f>
        <v>0</v>
      </c>
      <c r="O68" s="393">
        <f>'d3'!O68-d3П!O68</f>
        <v>0</v>
      </c>
      <c r="P68" s="393">
        <f>'d3'!P68-d3П!P68</f>
        <v>0</v>
      </c>
      <c r="Q68" s="20"/>
      <c r="R68" s="30"/>
    </row>
    <row r="69" spans="1:18" ht="93" thickTop="1" thickBot="1" x14ac:dyDescent="0.25">
      <c r="A69" s="119" t="s">
        <v>653</v>
      </c>
      <c r="B69" s="119" t="s">
        <v>654</v>
      </c>
      <c r="C69" s="119" t="s">
        <v>214</v>
      </c>
      <c r="D69" s="119" t="s">
        <v>655</v>
      </c>
      <c r="E69" s="393">
        <f>'d3'!E69-d3П!E69</f>
        <v>0</v>
      </c>
      <c r="F69" s="393">
        <f>'d3'!F69-d3П!F69</f>
        <v>0</v>
      </c>
      <c r="G69" s="393">
        <f>'d3'!G69-d3П!G69</f>
        <v>0</v>
      </c>
      <c r="H69" s="393">
        <f>'d3'!H69-d3П!H69</f>
        <v>0</v>
      </c>
      <c r="I69" s="393">
        <f>'d3'!I69-d3П!I69</f>
        <v>0</v>
      </c>
      <c r="J69" s="393">
        <f>'d3'!J69-d3П!J69</f>
        <v>0</v>
      </c>
      <c r="K69" s="393">
        <f>'d3'!K69-d3П!K69</f>
        <v>0</v>
      </c>
      <c r="L69" s="393">
        <f>'d3'!L69-d3П!L69</f>
        <v>0</v>
      </c>
      <c r="M69" s="393">
        <f>'d3'!M69-d3П!M69</f>
        <v>0</v>
      </c>
      <c r="N69" s="393">
        <f>'d3'!N69-d3П!N69</f>
        <v>0</v>
      </c>
      <c r="O69" s="393">
        <f>'d3'!O69-d3П!O69</f>
        <v>0</v>
      </c>
      <c r="P69" s="393">
        <f>'d3'!P69-d3П!P69</f>
        <v>0</v>
      </c>
      <c r="Q69" s="20"/>
      <c r="R69" s="26"/>
    </row>
    <row r="70" spans="1:18" s="33" customFormat="1" ht="93" hidden="1" customHeight="1" thickTop="1" thickBot="1" x14ac:dyDescent="0.25">
      <c r="A70" s="432" t="s">
        <v>658</v>
      </c>
      <c r="B70" s="432" t="s">
        <v>659</v>
      </c>
      <c r="C70" s="432"/>
      <c r="D70" s="432" t="s">
        <v>660</v>
      </c>
      <c r="E70" s="393">
        <f>'d3'!E70-d3П!E70</f>
        <v>0</v>
      </c>
      <c r="F70" s="393">
        <f>'d3'!F70-d3П!F70</f>
        <v>0</v>
      </c>
      <c r="G70" s="393">
        <f>'d3'!G70-d3П!G70</f>
        <v>0</v>
      </c>
      <c r="H70" s="393">
        <f>'d3'!H70-d3П!H70</f>
        <v>0</v>
      </c>
      <c r="I70" s="393">
        <f>'d3'!I70-d3П!I70</f>
        <v>0</v>
      </c>
      <c r="J70" s="393">
        <f>'d3'!J70-d3П!J70</f>
        <v>0</v>
      </c>
      <c r="K70" s="393">
        <f>'d3'!K70-d3П!K70</f>
        <v>0</v>
      </c>
      <c r="L70" s="393">
        <f>'d3'!L70-d3П!L70</f>
        <v>0</v>
      </c>
      <c r="M70" s="393">
        <f>'d3'!M70-d3П!M70</f>
        <v>0</v>
      </c>
      <c r="N70" s="393">
        <f>'d3'!N70-d3П!N70</f>
        <v>0</v>
      </c>
      <c r="O70" s="393">
        <f>'d3'!O70-d3П!O70</f>
        <v>0</v>
      </c>
      <c r="P70" s="393">
        <f>'d3'!P70-d3П!P70</f>
        <v>0</v>
      </c>
      <c r="Q70" s="36"/>
      <c r="R70" s="37"/>
    </row>
    <row r="71" spans="1:18" s="33" customFormat="1" ht="138.75" hidden="1" customHeight="1" thickTop="1" thickBot="1" x14ac:dyDescent="0.25">
      <c r="A71" s="396" t="s">
        <v>661</v>
      </c>
      <c r="B71" s="396" t="s">
        <v>662</v>
      </c>
      <c r="C71" s="396" t="s">
        <v>214</v>
      </c>
      <c r="D71" s="396" t="s">
        <v>663</v>
      </c>
      <c r="E71" s="393">
        <f>'d3'!E71-d3П!E71</f>
        <v>0</v>
      </c>
      <c r="F71" s="393">
        <f>'d3'!F71-d3П!F71</f>
        <v>0</v>
      </c>
      <c r="G71" s="393">
        <f>'d3'!G71-d3П!G71</f>
        <v>0</v>
      </c>
      <c r="H71" s="393">
        <f>'d3'!H71-d3П!H71</f>
        <v>0</v>
      </c>
      <c r="I71" s="393">
        <f>'d3'!I71-d3П!I71</f>
        <v>0</v>
      </c>
      <c r="J71" s="393">
        <f>'d3'!J71-d3П!J71</f>
        <v>0</v>
      </c>
      <c r="K71" s="393">
        <f>'d3'!K71-d3П!K71</f>
        <v>0</v>
      </c>
      <c r="L71" s="393">
        <f>'d3'!L71-d3П!L71</f>
        <v>0</v>
      </c>
      <c r="M71" s="393">
        <f>'d3'!M71-d3П!M71</f>
        <v>0</v>
      </c>
      <c r="N71" s="393">
        <f>'d3'!N71-d3П!N71</f>
        <v>0</v>
      </c>
      <c r="O71" s="393">
        <f>'d3'!O71-d3П!O71</f>
        <v>0</v>
      </c>
      <c r="P71" s="393">
        <f>'d3'!P71-d3П!P71</f>
        <v>0</v>
      </c>
      <c r="Q71" s="36"/>
      <c r="R71" s="26"/>
    </row>
    <row r="72" spans="1:18" s="33" customFormat="1" ht="138.75" hidden="1" customHeight="1" thickTop="1" thickBot="1" x14ac:dyDescent="0.25">
      <c r="A72" s="396" t="s">
        <v>993</v>
      </c>
      <c r="B72" s="396" t="s">
        <v>994</v>
      </c>
      <c r="C72" s="396" t="s">
        <v>214</v>
      </c>
      <c r="D72" s="396" t="s">
        <v>995</v>
      </c>
      <c r="E72" s="393">
        <f>'d3'!E72-d3П!E72</f>
        <v>0</v>
      </c>
      <c r="F72" s="393">
        <f>'d3'!F72-d3П!F72</f>
        <v>0</v>
      </c>
      <c r="G72" s="393">
        <f>'d3'!G72-d3П!G72</f>
        <v>0</v>
      </c>
      <c r="H72" s="393">
        <f>'d3'!H72-d3П!H72</f>
        <v>0</v>
      </c>
      <c r="I72" s="393">
        <f>'d3'!I72-d3П!I72</f>
        <v>0</v>
      </c>
      <c r="J72" s="393">
        <f>'d3'!J72-d3П!J72</f>
        <v>0</v>
      </c>
      <c r="K72" s="393">
        <f>'d3'!K72-d3П!K72</f>
        <v>0</v>
      </c>
      <c r="L72" s="393">
        <f>'d3'!L72-d3П!L72</f>
        <v>0</v>
      </c>
      <c r="M72" s="393">
        <f>'d3'!M72-d3П!M72</f>
        <v>0</v>
      </c>
      <c r="N72" s="393">
        <f>'d3'!N72-d3П!N72</f>
        <v>0</v>
      </c>
      <c r="O72" s="393">
        <f>'d3'!O72-d3П!O72</f>
        <v>0</v>
      </c>
      <c r="P72" s="393">
        <f>'d3'!P72-d3П!P72</f>
        <v>0</v>
      </c>
      <c r="Q72" s="36"/>
      <c r="R72" s="26"/>
    </row>
    <row r="73" spans="1:18" s="33" customFormat="1" ht="184.5" hidden="1" customHeight="1" thickTop="1" thickBot="1" x14ac:dyDescent="0.25">
      <c r="A73" s="432" t="s">
        <v>1012</v>
      </c>
      <c r="B73" s="432" t="s">
        <v>1014</v>
      </c>
      <c r="C73" s="432"/>
      <c r="D73" s="432" t="s">
        <v>1016</v>
      </c>
      <c r="E73" s="393">
        <f>'d3'!E73-d3П!E73</f>
        <v>0</v>
      </c>
      <c r="F73" s="393">
        <f>'d3'!F73-d3П!F73</f>
        <v>0</v>
      </c>
      <c r="G73" s="393">
        <f>'d3'!G73-d3П!G73</f>
        <v>0</v>
      </c>
      <c r="H73" s="393">
        <f>'d3'!H73-d3П!H73</f>
        <v>0</v>
      </c>
      <c r="I73" s="393">
        <f>'d3'!I73-d3П!I73</f>
        <v>0</v>
      </c>
      <c r="J73" s="393">
        <f>'d3'!J73-d3П!J73</f>
        <v>0</v>
      </c>
      <c r="K73" s="393">
        <f>'d3'!K73-d3П!K73</f>
        <v>0</v>
      </c>
      <c r="L73" s="393">
        <f>'d3'!L73-d3П!L73</f>
        <v>0</v>
      </c>
      <c r="M73" s="393">
        <f>'d3'!M73-d3П!M73</f>
        <v>0</v>
      </c>
      <c r="N73" s="393">
        <f>'d3'!N73-d3П!N73</f>
        <v>0</v>
      </c>
      <c r="O73" s="393">
        <f>'d3'!O73-d3П!O73</f>
        <v>0</v>
      </c>
      <c r="P73" s="393">
        <f>'d3'!P73-d3П!P73</f>
        <v>0</v>
      </c>
      <c r="Q73" s="36"/>
      <c r="R73" s="26"/>
    </row>
    <row r="74" spans="1:18" s="33" customFormat="1" ht="230.25" hidden="1" customHeight="1" thickTop="1" thickBot="1" x14ac:dyDescent="0.25">
      <c r="A74" s="396" t="s">
        <v>1013</v>
      </c>
      <c r="B74" s="396" t="s">
        <v>1015</v>
      </c>
      <c r="C74" s="396" t="s">
        <v>214</v>
      </c>
      <c r="D74" s="396" t="s">
        <v>1017</v>
      </c>
      <c r="E74" s="393">
        <f>'d3'!E74-d3П!E74</f>
        <v>0</v>
      </c>
      <c r="F74" s="393">
        <f>'d3'!F74-d3П!F74</f>
        <v>0</v>
      </c>
      <c r="G74" s="393">
        <f>'d3'!G74-d3П!G74</f>
        <v>0</v>
      </c>
      <c r="H74" s="393">
        <f>'d3'!H74-d3П!H74</f>
        <v>0</v>
      </c>
      <c r="I74" s="393">
        <f>'d3'!I74-d3П!I74</f>
        <v>0</v>
      </c>
      <c r="J74" s="393">
        <f>'d3'!J74-d3П!J74</f>
        <v>0</v>
      </c>
      <c r="K74" s="393">
        <f>'d3'!K74-d3П!K74</f>
        <v>0</v>
      </c>
      <c r="L74" s="393">
        <f>'d3'!L74-d3П!L74</f>
        <v>0</v>
      </c>
      <c r="M74" s="393">
        <f>'d3'!M74-d3П!M74</f>
        <v>0</v>
      </c>
      <c r="N74" s="393">
        <f>'d3'!N74-d3П!N74</f>
        <v>0</v>
      </c>
      <c r="O74" s="393">
        <f>'d3'!O74-d3П!O74</f>
        <v>0</v>
      </c>
      <c r="P74" s="393">
        <f>'d3'!P74-d3П!P74</f>
        <v>0</v>
      </c>
      <c r="Q74" s="36"/>
      <c r="R74" s="26"/>
    </row>
    <row r="75" spans="1:18" s="33" customFormat="1" ht="46.5" hidden="1" customHeight="1" thickTop="1" thickBot="1" x14ac:dyDescent="0.25">
      <c r="A75" s="681" t="s">
        <v>1032</v>
      </c>
      <c r="B75" s="681" t="s">
        <v>1033</v>
      </c>
      <c r="C75" s="681" t="s">
        <v>214</v>
      </c>
      <c r="D75" s="681" t="s">
        <v>1034</v>
      </c>
      <c r="E75" s="393">
        <f>'d3'!E75-d3П!E75</f>
        <v>0</v>
      </c>
      <c r="F75" s="393">
        <f>'d3'!F75-d3П!F75</f>
        <v>0</v>
      </c>
      <c r="G75" s="393">
        <f>'d3'!G75-d3П!G75</f>
        <v>0</v>
      </c>
      <c r="H75" s="393">
        <f>'d3'!H75-d3П!H75</f>
        <v>0</v>
      </c>
      <c r="I75" s="393">
        <f>'d3'!I75-d3П!I75</f>
        <v>0</v>
      </c>
      <c r="J75" s="393">
        <f>'d3'!J75-d3П!J75</f>
        <v>0</v>
      </c>
      <c r="K75" s="393">
        <f>'d3'!K75-d3П!K75</f>
        <v>0</v>
      </c>
      <c r="L75" s="393">
        <f>'d3'!L75-d3П!L75</f>
        <v>0</v>
      </c>
      <c r="M75" s="393">
        <f>'d3'!M75-d3П!M75</f>
        <v>0</v>
      </c>
      <c r="N75" s="393">
        <f>'d3'!N75-d3П!N75</f>
        <v>0</v>
      </c>
      <c r="O75" s="393">
        <f>'d3'!O75-d3П!O75</f>
        <v>0</v>
      </c>
      <c r="P75" s="393">
        <f>'d3'!P75-d3П!P75</f>
        <v>0</v>
      </c>
      <c r="Q75" s="36"/>
      <c r="R75" s="26"/>
    </row>
    <row r="76" spans="1:18" s="33" customFormat="1" ht="46.5" hidden="1" customHeight="1" thickTop="1" thickBot="1" x14ac:dyDescent="0.25">
      <c r="A76" s="677"/>
      <c r="B76" s="677"/>
      <c r="C76" s="677"/>
      <c r="D76" s="677"/>
      <c r="E76" s="393">
        <f>'d3'!E76-d3П!E76</f>
        <v>0</v>
      </c>
      <c r="F76" s="393">
        <f>'d3'!F76-d3П!F76</f>
        <v>0</v>
      </c>
      <c r="G76" s="393">
        <f>'d3'!G76-d3П!G76</f>
        <v>0</v>
      </c>
      <c r="H76" s="393">
        <f>'d3'!H76-d3П!H76</f>
        <v>0</v>
      </c>
      <c r="I76" s="393">
        <f>'d3'!I76-d3П!I76</f>
        <v>0</v>
      </c>
      <c r="J76" s="393">
        <f>'d3'!J76-d3П!J76</f>
        <v>0</v>
      </c>
      <c r="K76" s="393">
        <f>'d3'!K76-d3П!K76</f>
        <v>0</v>
      </c>
      <c r="L76" s="393">
        <f>'d3'!L76-d3П!L76</f>
        <v>0</v>
      </c>
      <c r="M76" s="393">
        <f>'d3'!M76-d3П!M76</f>
        <v>0</v>
      </c>
      <c r="N76" s="393">
        <f>'d3'!N76-d3П!N76</f>
        <v>0</v>
      </c>
      <c r="O76" s="393">
        <f>'d3'!O76-d3П!O76</f>
        <v>0</v>
      </c>
      <c r="P76" s="393">
        <f>'d3'!P76-d3П!P76</f>
        <v>0</v>
      </c>
      <c r="Q76" s="36"/>
      <c r="R76" s="26"/>
    </row>
    <row r="77" spans="1:18" s="33" customFormat="1" ht="138.75" thickTop="1" thickBot="1" x14ac:dyDescent="0.25">
      <c r="A77" s="119" t="s">
        <v>650</v>
      </c>
      <c r="B77" s="119" t="s">
        <v>651</v>
      </c>
      <c r="C77" s="119" t="s">
        <v>214</v>
      </c>
      <c r="D77" s="119" t="s">
        <v>652</v>
      </c>
      <c r="E77" s="393">
        <f>'d3'!E77-d3П!E77</f>
        <v>0</v>
      </c>
      <c r="F77" s="393">
        <f>'d3'!F77-d3П!F77</f>
        <v>0</v>
      </c>
      <c r="G77" s="393">
        <f>'d3'!G77-d3П!G77</f>
        <v>0</v>
      </c>
      <c r="H77" s="393">
        <f>'d3'!H77-d3П!H77</f>
        <v>0</v>
      </c>
      <c r="I77" s="393">
        <f>'d3'!I77-d3П!I77</f>
        <v>0</v>
      </c>
      <c r="J77" s="393">
        <f>'d3'!J77-d3П!J77</f>
        <v>0</v>
      </c>
      <c r="K77" s="393">
        <f>'d3'!K77-d3П!K77</f>
        <v>0</v>
      </c>
      <c r="L77" s="393">
        <f>'d3'!L77-d3П!L77</f>
        <v>0</v>
      </c>
      <c r="M77" s="393">
        <f>'d3'!M77-d3П!M77</f>
        <v>0</v>
      </c>
      <c r="N77" s="393">
        <f>'d3'!N77-d3П!N77</f>
        <v>0</v>
      </c>
      <c r="O77" s="393">
        <f>'d3'!O77-d3П!O77</f>
        <v>0</v>
      </c>
      <c r="P77" s="393">
        <f>'d3'!P77-d3П!P77</f>
        <v>0</v>
      </c>
      <c r="Q77" s="36"/>
      <c r="R77" s="26"/>
    </row>
    <row r="78" spans="1:18" s="33" customFormat="1" ht="138.75" thickTop="1" thickBot="1" x14ac:dyDescent="0.25">
      <c r="A78" s="119" t="s">
        <v>953</v>
      </c>
      <c r="B78" s="119" t="s">
        <v>954</v>
      </c>
      <c r="C78" s="119" t="s">
        <v>214</v>
      </c>
      <c r="D78" s="119" t="s">
        <v>1552</v>
      </c>
      <c r="E78" s="393">
        <f>'d3'!E78-d3П!E78</f>
        <v>0</v>
      </c>
      <c r="F78" s="393">
        <f>'d3'!F78-d3П!F78</f>
        <v>0</v>
      </c>
      <c r="G78" s="393">
        <f>'d3'!G78-d3П!G78</f>
        <v>0</v>
      </c>
      <c r="H78" s="393">
        <f>'d3'!H78-d3П!H78</f>
        <v>0</v>
      </c>
      <c r="I78" s="393">
        <f>'d3'!I78-d3П!I78</f>
        <v>0</v>
      </c>
      <c r="J78" s="393">
        <f>'d3'!J78-d3П!J78</f>
        <v>0</v>
      </c>
      <c r="K78" s="393">
        <f>'d3'!K78-d3П!K78</f>
        <v>0</v>
      </c>
      <c r="L78" s="393">
        <f>'d3'!L78-d3П!L78</f>
        <v>0</v>
      </c>
      <c r="M78" s="393">
        <f>'d3'!M78-d3П!M78</f>
        <v>0</v>
      </c>
      <c r="N78" s="393">
        <f>'d3'!N78-d3П!N78</f>
        <v>0</v>
      </c>
      <c r="O78" s="393">
        <f>'d3'!O78-d3П!O78</f>
        <v>0</v>
      </c>
      <c r="P78" s="393">
        <f>'d3'!P78-d3П!P78</f>
        <v>0</v>
      </c>
      <c r="Q78" s="36"/>
      <c r="R78" s="26"/>
    </row>
    <row r="79" spans="1:18" s="33" customFormat="1" ht="93" thickTop="1" thickBot="1" x14ac:dyDescent="0.25">
      <c r="A79" s="399" t="s">
        <v>1018</v>
      </c>
      <c r="B79" s="399" t="s">
        <v>1020</v>
      </c>
      <c r="C79" s="399"/>
      <c r="D79" s="399" t="s">
        <v>1543</v>
      </c>
      <c r="E79" s="393">
        <f>'d3'!E79-d3П!E79</f>
        <v>0</v>
      </c>
      <c r="F79" s="393">
        <f>'d3'!F79-d3П!F79</f>
        <v>0</v>
      </c>
      <c r="G79" s="393">
        <f>'d3'!G79-d3П!G79</f>
        <v>0</v>
      </c>
      <c r="H79" s="393">
        <f>'d3'!H79-d3П!H79</f>
        <v>0</v>
      </c>
      <c r="I79" s="393">
        <f>'d3'!I79-d3П!I79</f>
        <v>0</v>
      </c>
      <c r="J79" s="393">
        <f>'d3'!J79-d3П!J79</f>
        <v>0</v>
      </c>
      <c r="K79" s="393">
        <f>'d3'!K79-d3П!K79</f>
        <v>0</v>
      </c>
      <c r="L79" s="393">
        <f>'d3'!L79-d3П!L79</f>
        <v>0</v>
      </c>
      <c r="M79" s="393">
        <f>'d3'!M79-d3П!M79</f>
        <v>0</v>
      </c>
      <c r="N79" s="393">
        <f>'d3'!N79-d3П!N79</f>
        <v>0</v>
      </c>
      <c r="O79" s="393">
        <f>'d3'!O79-d3П!O79</f>
        <v>0</v>
      </c>
      <c r="P79" s="393">
        <f>'d3'!P79-d3П!P79</f>
        <v>0</v>
      </c>
      <c r="Q79" s="36"/>
      <c r="R79" s="26"/>
    </row>
    <row r="80" spans="1:18" s="33" customFormat="1" ht="138.75" thickTop="1" thickBot="1" x14ac:dyDescent="0.25">
      <c r="A80" s="119" t="s">
        <v>1019</v>
      </c>
      <c r="B80" s="119" t="s">
        <v>1021</v>
      </c>
      <c r="C80" s="119" t="s">
        <v>214</v>
      </c>
      <c r="D80" s="119" t="s">
        <v>1294</v>
      </c>
      <c r="E80" s="393">
        <f>'d3'!E80-d3П!E80</f>
        <v>0</v>
      </c>
      <c r="F80" s="393">
        <f>'d3'!F80-d3П!F80</f>
        <v>0</v>
      </c>
      <c r="G80" s="393">
        <f>'d3'!G80-d3П!G80</f>
        <v>0</v>
      </c>
      <c r="H80" s="393">
        <f>'d3'!H80-d3П!H80</f>
        <v>0</v>
      </c>
      <c r="I80" s="393">
        <f>'d3'!I80-d3П!I80</f>
        <v>0</v>
      </c>
      <c r="J80" s="393">
        <f>'d3'!J80-d3П!J80</f>
        <v>0</v>
      </c>
      <c r="K80" s="393">
        <f>'d3'!K80-d3П!K80</f>
        <v>0</v>
      </c>
      <c r="L80" s="393">
        <f>'d3'!L80-d3П!L80</f>
        <v>0</v>
      </c>
      <c r="M80" s="393">
        <f>'d3'!M80-d3П!M80</f>
        <v>0</v>
      </c>
      <c r="N80" s="393">
        <f>'d3'!N80-d3П!N80</f>
        <v>0</v>
      </c>
      <c r="O80" s="393">
        <f>'d3'!O80-d3П!O80</f>
        <v>0</v>
      </c>
      <c r="P80" s="393">
        <f>'d3'!P80-d3П!P80</f>
        <v>0</v>
      </c>
      <c r="Q80" s="36"/>
      <c r="R80" s="26"/>
    </row>
    <row r="81" spans="1:18" s="33" customFormat="1" ht="138.75" hidden="1" customHeight="1" thickTop="1" thickBot="1" x14ac:dyDescent="0.25">
      <c r="A81" s="396" t="s">
        <v>1068</v>
      </c>
      <c r="B81" s="396" t="s">
        <v>1069</v>
      </c>
      <c r="C81" s="396" t="s">
        <v>214</v>
      </c>
      <c r="D81" s="396" t="s">
        <v>1067</v>
      </c>
      <c r="E81" s="393">
        <f>'d3'!E81-d3П!E81</f>
        <v>0</v>
      </c>
      <c r="F81" s="393">
        <f>'d3'!F81-d3П!F81</f>
        <v>0</v>
      </c>
      <c r="G81" s="393">
        <f>'d3'!G81-d3П!G81</f>
        <v>0</v>
      </c>
      <c r="H81" s="393">
        <f>'d3'!H81-d3П!H81</f>
        <v>0</v>
      </c>
      <c r="I81" s="393">
        <f>'d3'!I81-d3П!I81</f>
        <v>0</v>
      </c>
      <c r="J81" s="393">
        <f>'d3'!J81-d3П!J81</f>
        <v>0</v>
      </c>
      <c r="K81" s="393">
        <f>'d3'!K81-d3П!K81</f>
        <v>0</v>
      </c>
      <c r="L81" s="393">
        <f>'d3'!L81-d3П!L81</f>
        <v>0</v>
      </c>
      <c r="M81" s="393">
        <f>'d3'!M81-d3П!M81</f>
        <v>0</v>
      </c>
      <c r="N81" s="393">
        <f>'d3'!N81-d3П!N81</f>
        <v>0</v>
      </c>
      <c r="O81" s="393">
        <f>'d3'!O81-d3П!O81</f>
        <v>0</v>
      </c>
      <c r="P81" s="393">
        <f>'d3'!P81-d3П!P81</f>
        <v>0</v>
      </c>
      <c r="Q81" s="36"/>
      <c r="R81" s="26"/>
    </row>
    <row r="82" spans="1:18" s="33" customFormat="1" ht="93" thickTop="1" thickBot="1" x14ac:dyDescent="0.25">
      <c r="A82" s="399" t="s">
        <v>1484</v>
      </c>
      <c r="B82" s="399" t="s">
        <v>1485</v>
      </c>
      <c r="C82" s="399"/>
      <c r="D82" s="399" t="s">
        <v>1483</v>
      </c>
      <c r="E82" s="393">
        <f>'d3'!E82-d3П!E82</f>
        <v>0</v>
      </c>
      <c r="F82" s="393">
        <f>'d3'!F82-d3П!F82</f>
        <v>0</v>
      </c>
      <c r="G82" s="393">
        <f>'d3'!G82-d3П!G82</f>
        <v>0</v>
      </c>
      <c r="H82" s="393">
        <f>'d3'!H82-d3П!H82</f>
        <v>0</v>
      </c>
      <c r="I82" s="393">
        <f>'d3'!I82-d3П!I82</f>
        <v>0</v>
      </c>
      <c r="J82" s="393">
        <f>'d3'!J82-d3П!J82</f>
        <v>1000000</v>
      </c>
      <c r="K82" s="393">
        <f>'d3'!K82-d3П!K82</f>
        <v>1000000</v>
      </c>
      <c r="L82" s="393">
        <f>'d3'!L82-d3П!L82</f>
        <v>0</v>
      </c>
      <c r="M82" s="393">
        <f>'d3'!M82-d3П!M82</f>
        <v>0</v>
      </c>
      <c r="N82" s="393">
        <f>'d3'!N82-d3П!N82</f>
        <v>0</v>
      </c>
      <c r="O82" s="393">
        <f>'d3'!O82-d3П!O82</f>
        <v>1000000</v>
      </c>
      <c r="P82" s="393">
        <f>'d3'!P82-d3П!P82</f>
        <v>1000000</v>
      </c>
      <c r="Q82" s="36"/>
      <c r="R82" s="26"/>
    </row>
    <row r="83" spans="1:18" s="33" customFormat="1" ht="138.75" thickTop="1" thickBot="1" x14ac:dyDescent="0.25">
      <c r="A83" s="119" t="s">
        <v>1486</v>
      </c>
      <c r="B83" s="119" t="s">
        <v>1487</v>
      </c>
      <c r="C83" s="119" t="s">
        <v>214</v>
      </c>
      <c r="D83" s="119" t="s">
        <v>1488</v>
      </c>
      <c r="E83" s="393">
        <f>'d3'!E83-d3П!E83</f>
        <v>0</v>
      </c>
      <c r="F83" s="393">
        <f>'d3'!F83-d3П!F83</f>
        <v>0</v>
      </c>
      <c r="G83" s="393">
        <f>'d3'!G83-d3П!G83</f>
        <v>0</v>
      </c>
      <c r="H83" s="393">
        <f>'d3'!H83-d3П!H83</f>
        <v>0</v>
      </c>
      <c r="I83" s="393">
        <f>'d3'!I83-d3П!I83</f>
        <v>0</v>
      </c>
      <c r="J83" s="393">
        <f>'d3'!J83-d3П!J83</f>
        <v>1000000</v>
      </c>
      <c r="K83" s="393">
        <f>'d3'!K83-d3П!K83</f>
        <v>1000000</v>
      </c>
      <c r="L83" s="393">
        <f>'d3'!L83-d3П!L83</f>
        <v>0</v>
      </c>
      <c r="M83" s="393">
        <f>'d3'!M83-d3П!M83</f>
        <v>0</v>
      </c>
      <c r="N83" s="393">
        <f>'d3'!N83-d3П!N83</f>
        <v>0</v>
      </c>
      <c r="O83" s="393">
        <f>'d3'!O83-d3П!O83</f>
        <v>1000000</v>
      </c>
      <c r="P83" s="393">
        <f>'d3'!P83-d3П!P83</f>
        <v>1000000</v>
      </c>
      <c r="Q83" s="36"/>
      <c r="R83" s="26"/>
    </row>
    <row r="84" spans="1:18" s="33" customFormat="1" ht="138.75" thickTop="1" thickBot="1" x14ac:dyDescent="0.25">
      <c r="A84" s="119" t="s">
        <v>1489</v>
      </c>
      <c r="B84" s="119" t="s">
        <v>1490</v>
      </c>
      <c r="C84" s="119" t="s">
        <v>214</v>
      </c>
      <c r="D84" s="119" t="s">
        <v>1491</v>
      </c>
      <c r="E84" s="393">
        <f>'d3'!E84-d3П!E84</f>
        <v>0</v>
      </c>
      <c r="F84" s="393">
        <f>'d3'!F84-d3П!F84</f>
        <v>0</v>
      </c>
      <c r="G84" s="393">
        <f>'d3'!G84-d3П!G84</f>
        <v>0</v>
      </c>
      <c r="H84" s="393">
        <f>'d3'!H84-d3П!H84</f>
        <v>0</v>
      </c>
      <c r="I84" s="393">
        <f>'d3'!I84-d3П!I84</f>
        <v>0</v>
      </c>
      <c r="J84" s="393">
        <f>'d3'!J84-d3П!J84</f>
        <v>0</v>
      </c>
      <c r="K84" s="393">
        <f>'d3'!K84-d3П!K84</f>
        <v>0</v>
      </c>
      <c r="L84" s="393">
        <f>'d3'!L84-d3П!L84</f>
        <v>0</v>
      </c>
      <c r="M84" s="393">
        <f>'d3'!M84-d3П!M84</f>
        <v>0</v>
      </c>
      <c r="N84" s="393">
        <f>'d3'!N84-d3П!N84</f>
        <v>0</v>
      </c>
      <c r="O84" s="393">
        <f>'d3'!O84-d3П!O84</f>
        <v>0</v>
      </c>
      <c r="P84" s="393">
        <f>'d3'!P84-d3П!P84</f>
        <v>0</v>
      </c>
      <c r="Q84" s="36"/>
      <c r="R84" s="26"/>
    </row>
    <row r="85" spans="1:18" s="33" customFormat="1" ht="138.75" thickTop="1" thickBot="1" x14ac:dyDescent="0.25">
      <c r="A85" s="399" t="s">
        <v>1568</v>
      </c>
      <c r="B85" s="399" t="s">
        <v>1567</v>
      </c>
      <c r="C85" s="399"/>
      <c r="D85" s="399" t="s">
        <v>1569</v>
      </c>
      <c r="E85" s="393">
        <f>'d3'!E85-d3П!E85</f>
        <v>0</v>
      </c>
      <c r="F85" s="393">
        <f>'d3'!F85-d3П!F85</f>
        <v>0</v>
      </c>
      <c r="G85" s="393">
        <f>'d3'!G85-d3П!G85</f>
        <v>0</v>
      </c>
      <c r="H85" s="393">
        <f>'d3'!H85-d3П!H85</f>
        <v>0</v>
      </c>
      <c r="I85" s="393">
        <f>'d3'!I85-d3П!I85</f>
        <v>0</v>
      </c>
      <c r="J85" s="393">
        <f>'d3'!J85-d3П!J85</f>
        <v>-26612</v>
      </c>
      <c r="K85" s="393">
        <f>'d3'!K85-d3П!K85</f>
        <v>0</v>
      </c>
      <c r="L85" s="393">
        <f>'d3'!L85-d3П!L85</f>
        <v>-26612</v>
      </c>
      <c r="M85" s="393">
        <f>'d3'!M85-d3П!M85</f>
        <v>0</v>
      </c>
      <c r="N85" s="393">
        <f>'d3'!N85-d3П!N85</f>
        <v>0</v>
      </c>
      <c r="O85" s="393">
        <f>'d3'!O85-d3П!O85</f>
        <v>0</v>
      </c>
      <c r="P85" s="393">
        <f>'d3'!P85-d3П!P85</f>
        <v>-26612</v>
      </c>
      <c r="Q85" s="36"/>
      <c r="R85" s="26"/>
    </row>
    <row r="86" spans="1:18" s="33" customFormat="1" ht="93" thickTop="1" thickBot="1" x14ac:dyDescent="0.25">
      <c r="A86" s="119" t="s">
        <v>1570</v>
      </c>
      <c r="B86" s="119" t="s">
        <v>1571</v>
      </c>
      <c r="C86" s="119" t="s">
        <v>214</v>
      </c>
      <c r="D86" s="119" t="s">
        <v>1575</v>
      </c>
      <c r="E86" s="393">
        <f>'d3'!E86-d3П!E86</f>
        <v>0</v>
      </c>
      <c r="F86" s="393">
        <f>'d3'!F86-d3П!F86</f>
        <v>0</v>
      </c>
      <c r="G86" s="393">
        <f>'d3'!G86-d3П!G86</f>
        <v>0</v>
      </c>
      <c r="H86" s="393">
        <f>'d3'!H86-d3П!H86</f>
        <v>0</v>
      </c>
      <c r="I86" s="393">
        <f>'d3'!I86-d3П!I86</f>
        <v>0</v>
      </c>
      <c r="J86" s="393">
        <f>'d3'!J86-d3П!J86</f>
        <v>0</v>
      </c>
      <c r="K86" s="393">
        <f>'d3'!K86-d3П!K86</f>
        <v>0</v>
      </c>
      <c r="L86" s="393">
        <f>'d3'!L86-d3П!L86</f>
        <v>0</v>
      </c>
      <c r="M86" s="393">
        <f>'d3'!M86-d3П!M86</f>
        <v>0</v>
      </c>
      <c r="N86" s="393">
        <f>'d3'!N86-d3П!N86</f>
        <v>0</v>
      </c>
      <c r="O86" s="393">
        <f>'d3'!O86-d3П!O86</f>
        <v>0</v>
      </c>
      <c r="P86" s="393">
        <f>'d3'!P86-d3П!P86</f>
        <v>0</v>
      </c>
      <c r="Q86" s="36"/>
      <c r="R86" s="26"/>
    </row>
    <row r="87" spans="1:18" s="33" customFormat="1" ht="138.75" thickTop="1" thickBot="1" x14ac:dyDescent="0.25">
      <c r="A87" s="119" t="s">
        <v>1572</v>
      </c>
      <c r="B87" s="119" t="s">
        <v>1573</v>
      </c>
      <c r="C87" s="119" t="s">
        <v>214</v>
      </c>
      <c r="D87" s="119" t="s">
        <v>1574</v>
      </c>
      <c r="E87" s="393">
        <f>'d3'!E87-d3П!E87</f>
        <v>0</v>
      </c>
      <c r="F87" s="393">
        <f>'d3'!F87-d3П!F87</f>
        <v>0</v>
      </c>
      <c r="G87" s="393">
        <f>'d3'!G87-d3П!G87</f>
        <v>0</v>
      </c>
      <c r="H87" s="393">
        <f>'d3'!H87-d3П!H87</f>
        <v>0</v>
      </c>
      <c r="I87" s="393">
        <f>'d3'!I87-d3П!I87</f>
        <v>0</v>
      </c>
      <c r="J87" s="393">
        <f>'d3'!J87-d3П!J87</f>
        <v>-26612</v>
      </c>
      <c r="K87" s="393">
        <f>'d3'!K87-d3П!K87</f>
        <v>0</v>
      </c>
      <c r="L87" s="393">
        <f>'d3'!L87-d3П!L87</f>
        <v>-26612</v>
      </c>
      <c r="M87" s="393">
        <f>'d3'!M87-d3П!M87</f>
        <v>0</v>
      </c>
      <c r="N87" s="393">
        <f>'d3'!N87-d3П!N87</f>
        <v>0</v>
      </c>
      <c r="O87" s="393">
        <f>'d3'!O87-d3П!O87</f>
        <v>0</v>
      </c>
      <c r="P87" s="393">
        <f>'d3'!P87-d3П!P87</f>
        <v>-26612</v>
      </c>
      <c r="Q87" s="36"/>
      <c r="R87" s="26"/>
    </row>
    <row r="88" spans="1:18" s="33" customFormat="1" ht="47.25" thickTop="1" thickBot="1" x14ac:dyDescent="0.25">
      <c r="A88" s="346" t="s">
        <v>716</v>
      </c>
      <c r="B88" s="346" t="s">
        <v>717</v>
      </c>
      <c r="C88" s="346"/>
      <c r="D88" s="346" t="s">
        <v>718</v>
      </c>
      <c r="E88" s="393">
        <f>'d3'!E88-d3П!E88</f>
        <v>0</v>
      </c>
      <c r="F88" s="393">
        <f>'d3'!F88-d3П!F88</f>
        <v>0</v>
      </c>
      <c r="G88" s="393">
        <f>'d3'!G88-d3П!G88</f>
        <v>0</v>
      </c>
      <c r="H88" s="393">
        <f>'d3'!H88-d3П!H88</f>
        <v>0</v>
      </c>
      <c r="I88" s="393">
        <f>'d3'!I88-d3П!I88</f>
        <v>0</v>
      </c>
      <c r="J88" s="393">
        <f>'d3'!J88-d3П!J88</f>
        <v>0</v>
      </c>
      <c r="K88" s="393">
        <f>'d3'!K88-d3П!K88</f>
        <v>0</v>
      </c>
      <c r="L88" s="393">
        <f>'d3'!L88-d3П!L88</f>
        <v>0</v>
      </c>
      <c r="M88" s="393">
        <f>'d3'!M88-d3П!M88</f>
        <v>0</v>
      </c>
      <c r="N88" s="393">
        <f>'d3'!N88-d3П!N88</f>
        <v>0</v>
      </c>
      <c r="O88" s="393">
        <f>'d3'!O88-d3П!O88</f>
        <v>0</v>
      </c>
      <c r="P88" s="393">
        <f>'d3'!P88-d3П!P88</f>
        <v>0</v>
      </c>
      <c r="Q88" s="36"/>
      <c r="R88" s="26"/>
    </row>
    <row r="89" spans="1:18" s="33" customFormat="1" ht="138.75" thickTop="1" thickBot="1" x14ac:dyDescent="0.25">
      <c r="A89" s="119" t="s">
        <v>435</v>
      </c>
      <c r="B89" s="119" t="s">
        <v>436</v>
      </c>
      <c r="C89" s="119" t="s">
        <v>189</v>
      </c>
      <c r="D89" s="119" t="s">
        <v>434</v>
      </c>
      <c r="E89" s="393">
        <f>'d3'!E89-d3П!E89</f>
        <v>0</v>
      </c>
      <c r="F89" s="393">
        <f>'d3'!F89-d3П!F89</f>
        <v>0</v>
      </c>
      <c r="G89" s="393">
        <f>'d3'!G89-d3П!G89</f>
        <v>0</v>
      </c>
      <c r="H89" s="393">
        <f>'d3'!H89-d3П!H89</f>
        <v>0</v>
      </c>
      <c r="I89" s="393">
        <f>'d3'!I89-d3П!I89</f>
        <v>0</v>
      </c>
      <c r="J89" s="393">
        <f>'d3'!J89-d3П!J89</f>
        <v>0</v>
      </c>
      <c r="K89" s="393">
        <f>'d3'!K89-d3П!K89</f>
        <v>0</v>
      </c>
      <c r="L89" s="393">
        <f>'d3'!L89-d3П!L89</f>
        <v>0</v>
      </c>
      <c r="M89" s="393">
        <f>'d3'!M89-d3П!M89</f>
        <v>0</v>
      </c>
      <c r="N89" s="393">
        <f>'d3'!N89-d3П!N89</f>
        <v>0</v>
      </c>
      <c r="O89" s="393">
        <f>'d3'!O89-d3П!O89</f>
        <v>0</v>
      </c>
      <c r="P89" s="393">
        <f>'d3'!P89-d3П!P89</f>
        <v>0</v>
      </c>
      <c r="Q89" s="36"/>
      <c r="R89" s="39"/>
    </row>
    <row r="90" spans="1:18" s="33" customFormat="1" ht="93" thickTop="1" thickBot="1" x14ac:dyDescent="0.25">
      <c r="A90" s="119" t="s">
        <v>1259</v>
      </c>
      <c r="B90" s="119" t="s">
        <v>1225</v>
      </c>
      <c r="C90" s="119" t="s">
        <v>210</v>
      </c>
      <c r="D90" s="413" t="s">
        <v>1226</v>
      </c>
      <c r="E90" s="393">
        <f>'d3'!E90-d3П!E90</f>
        <v>0</v>
      </c>
      <c r="F90" s="393">
        <f>'d3'!F90-d3П!F90</f>
        <v>0</v>
      </c>
      <c r="G90" s="393">
        <f>'d3'!G90-d3П!G90</f>
        <v>0</v>
      </c>
      <c r="H90" s="393">
        <f>'d3'!H90-d3П!H90</f>
        <v>0</v>
      </c>
      <c r="I90" s="393">
        <f>'d3'!I90-d3П!I90</f>
        <v>0</v>
      </c>
      <c r="J90" s="393">
        <f>'d3'!J90-d3П!J90</f>
        <v>0</v>
      </c>
      <c r="K90" s="393">
        <f>'d3'!K90-d3П!K90</f>
        <v>0</v>
      </c>
      <c r="L90" s="393">
        <f>'d3'!L90-d3П!L90</f>
        <v>0</v>
      </c>
      <c r="M90" s="393">
        <f>'d3'!M90-d3П!M90</f>
        <v>0</v>
      </c>
      <c r="N90" s="393">
        <f>'d3'!N90-d3П!N90</f>
        <v>0</v>
      </c>
      <c r="O90" s="393">
        <f>'d3'!O90-d3П!O90</f>
        <v>0</v>
      </c>
      <c r="P90" s="393">
        <f>'d3'!P90-d3П!P90</f>
        <v>0</v>
      </c>
      <c r="Q90" s="36"/>
      <c r="R90" s="39"/>
    </row>
    <row r="91" spans="1:18" s="33" customFormat="1" ht="47.25" thickTop="1" thickBot="1" x14ac:dyDescent="0.25">
      <c r="A91" s="346" t="s">
        <v>1108</v>
      </c>
      <c r="B91" s="346" t="s">
        <v>754</v>
      </c>
      <c r="C91" s="346"/>
      <c r="D91" s="346" t="s">
        <v>1107</v>
      </c>
      <c r="E91" s="393">
        <f>'d3'!E91-d3П!E91</f>
        <v>0</v>
      </c>
      <c r="F91" s="393">
        <f>'d3'!F91-d3П!F91</f>
        <v>0</v>
      </c>
      <c r="G91" s="393">
        <f>'d3'!G91-d3П!G91</f>
        <v>0</v>
      </c>
      <c r="H91" s="393">
        <f>'d3'!H91-d3П!H91</f>
        <v>0</v>
      </c>
      <c r="I91" s="393">
        <f>'d3'!I91-d3П!I91</f>
        <v>0</v>
      </c>
      <c r="J91" s="393">
        <f>'d3'!J91-d3П!J91</f>
        <v>-4092400</v>
      </c>
      <c r="K91" s="393">
        <f>'d3'!K91-d3П!K91</f>
        <v>-4092400</v>
      </c>
      <c r="L91" s="393">
        <f>'d3'!L91-d3П!L91</f>
        <v>0</v>
      </c>
      <c r="M91" s="393">
        <f>'d3'!M91-d3П!M91</f>
        <v>0</v>
      </c>
      <c r="N91" s="393">
        <f>'d3'!N91-d3П!N91</f>
        <v>0</v>
      </c>
      <c r="O91" s="393">
        <f>'d3'!O91-d3П!O91</f>
        <v>-4092400</v>
      </c>
      <c r="P91" s="393">
        <f>'d3'!P91-d3П!P91</f>
        <v>-4092400</v>
      </c>
      <c r="Q91" s="36"/>
      <c r="R91" s="26"/>
    </row>
    <row r="92" spans="1:18" s="33" customFormat="1" ht="47.25" thickTop="1" thickBot="1" x14ac:dyDescent="0.25">
      <c r="A92" s="348" t="s">
        <v>1106</v>
      </c>
      <c r="B92" s="348" t="s">
        <v>810</v>
      </c>
      <c r="C92" s="348"/>
      <c r="D92" s="348" t="s">
        <v>811</v>
      </c>
      <c r="E92" s="393">
        <f>'d3'!E92-d3П!E92</f>
        <v>0</v>
      </c>
      <c r="F92" s="393">
        <f>'d3'!F92-d3П!F92</f>
        <v>0</v>
      </c>
      <c r="G92" s="393">
        <f>'d3'!G92-d3П!G92</f>
        <v>0</v>
      </c>
      <c r="H92" s="393">
        <f>'d3'!H92-d3П!H92</f>
        <v>0</v>
      </c>
      <c r="I92" s="393">
        <f>'d3'!I92-d3П!I92</f>
        <v>0</v>
      </c>
      <c r="J92" s="393">
        <f>'d3'!J92-d3П!J92</f>
        <v>-1000000</v>
      </c>
      <c r="K92" s="393">
        <f>'d3'!K92-d3П!K92</f>
        <v>-1000000</v>
      </c>
      <c r="L92" s="393">
        <f>'d3'!L92-d3П!L92</f>
        <v>0</v>
      </c>
      <c r="M92" s="393">
        <f>'d3'!M92-d3П!M92</f>
        <v>0</v>
      </c>
      <c r="N92" s="393">
        <f>'d3'!N92-d3П!N92</f>
        <v>0</v>
      </c>
      <c r="O92" s="393">
        <f>'d3'!O92-d3П!O92</f>
        <v>-1000000</v>
      </c>
      <c r="P92" s="393">
        <f>'d3'!P92-d3П!P92</f>
        <v>-1000000</v>
      </c>
      <c r="Q92" s="36"/>
      <c r="R92" s="26"/>
    </row>
    <row r="93" spans="1:18" s="33" customFormat="1" ht="54" thickTop="1" thickBot="1" x14ac:dyDescent="0.25">
      <c r="A93" s="399" t="s">
        <v>1109</v>
      </c>
      <c r="B93" s="399" t="s">
        <v>828</v>
      </c>
      <c r="C93" s="399"/>
      <c r="D93" s="399" t="s">
        <v>1292</v>
      </c>
      <c r="E93" s="393">
        <f>'d3'!E93-d3П!E93</f>
        <v>0</v>
      </c>
      <c r="F93" s="393">
        <f>'d3'!F93-d3П!F93</f>
        <v>0</v>
      </c>
      <c r="G93" s="393">
        <f>'d3'!G93-d3П!G93</f>
        <v>0</v>
      </c>
      <c r="H93" s="393">
        <f>'d3'!H93-d3П!H93</f>
        <v>0</v>
      </c>
      <c r="I93" s="393">
        <f>'d3'!I93-d3П!I93</f>
        <v>0</v>
      </c>
      <c r="J93" s="393">
        <f>'d3'!J93-d3П!J93</f>
        <v>-1000000</v>
      </c>
      <c r="K93" s="393">
        <f>'d3'!K93-d3П!K93</f>
        <v>-1000000</v>
      </c>
      <c r="L93" s="393">
        <f>'d3'!L93-d3П!L93</f>
        <v>0</v>
      </c>
      <c r="M93" s="393">
        <f>'d3'!M93-d3П!M93</f>
        <v>0</v>
      </c>
      <c r="N93" s="393">
        <f>'d3'!N93-d3П!N93</f>
        <v>0</v>
      </c>
      <c r="O93" s="393">
        <f>'d3'!O93-d3П!O93</f>
        <v>-1000000</v>
      </c>
      <c r="P93" s="393">
        <f>'d3'!P93-d3П!P93</f>
        <v>-1000000</v>
      </c>
      <c r="Q93" s="36"/>
      <c r="R93" s="26"/>
    </row>
    <row r="94" spans="1:18" s="33" customFormat="1" ht="54" thickTop="1" thickBot="1" x14ac:dyDescent="0.25">
      <c r="A94" s="119" t="s">
        <v>1121</v>
      </c>
      <c r="B94" s="119" t="s">
        <v>315</v>
      </c>
      <c r="C94" s="119" t="s">
        <v>308</v>
      </c>
      <c r="D94" s="119" t="s">
        <v>1293</v>
      </c>
      <c r="E94" s="393">
        <f>'d3'!E94-d3П!E94</f>
        <v>0</v>
      </c>
      <c r="F94" s="393">
        <f>'d3'!F94-d3П!F94</f>
        <v>0</v>
      </c>
      <c r="G94" s="393">
        <f>'d3'!G94-d3П!G94</f>
        <v>0</v>
      </c>
      <c r="H94" s="393">
        <f>'d3'!H94-d3П!H94</f>
        <v>0</v>
      </c>
      <c r="I94" s="393">
        <f>'d3'!I94-d3П!I94</f>
        <v>0</v>
      </c>
      <c r="J94" s="393">
        <f>'d3'!J94-d3П!J94</f>
        <v>-1000000</v>
      </c>
      <c r="K94" s="393">
        <f>'d3'!K94-d3П!K94</f>
        <v>-1000000</v>
      </c>
      <c r="L94" s="393">
        <f>'d3'!L94-d3П!L94</f>
        <v>0</v>
      </c>
      <c r="M94" s="393">
        <f>'d3'!M94-d3П!M94</f>
        <v>0</v>
      </c>
      <c r="N94" s="393">
        <f>'d3'!N94-d3П!N94</f>
        <v>0</v>
      </c>
      <c r="O94" s="393">
        <f>'d3'!O94-d3П!O94</f>
        <v>-1000000</v>
      </c>
      <c r="P94" s="393">
        <f>'d3'!P94-d3П!P94</f>
        <v>-1000000</v>
      </c>
      <c r="Q94" s="30"/>
      <c r="R94" s="26"/>
    </row>
    <row r="95" spans="1:18" s="33" customFormat="1" ht="47.25" thickTop="1" thickBot="1" x14ac:dyDescent="0.25">
      <c r="A95" s="348" t="s">
        <v>1110</v>
      </c>
      <c r="B95" s="348" t="s">
        <v>697</v>
      </c>
      <c r="C95" s="348"/>
      <c r="D95" s="348" t="s">
        <v>695</v>
      </c>
      <c r="E95" s="393">
        <f>'d3'!E95-d3П!E95</f>
        <v>0</v>
      </c>
      <c r="F95" s="393">
        <f>'d3'!F95-d3П!F95</f>
        <v>0</v>
      </c>
      <c r="G95" s="393">
        <f>'d3'!G95-d3П!G95</f>
        <v>0</v>
      </c>
      <c r="H95" s="393">
        <f>'d3'!H95-d3П!H95</f>
        <v>0</v>
      </c>
      <c r="I95" s="393">
        <f>'d3'!I95-d3П!I95</f>
        <v>0</v>
      </c>
      <c r="J95" s="393">
        <f>'d3'!J95-d3П!J95</f>
        <v>-3092400</v>
      </c>
      <c r="K95" s="393">
        <f>'d3'!K95-d3П!K95</f>
        <v>-3092400</v>
      </c>
      <c r="L95" s="393">
        <f>'d3'!L95-d3П!L95</f>
        <v>0</v>
      </c>
      <c r="M95" s="393">
        <f>'d3'!M95-d3П!M95</f>
        <v>0</v>
      </c>
      <c r="N95" s="393">
        <f>'d3'!N95-d3П!N95</f>
        <v>0</v>
      </c>
      <c r="O95" s="393">
        <f>'d3'!O95-d3П!O95</f>
        <v>-3092400</v>
      </c>
      <c r="P95" s="393">
        <f>'d3'!P95-d3П!P95</f>
        <v>-3092400</v>
      </c>
      <c r="Q95" s="30"/>
      <c r="R95" s="26"/>
    </row>
    <row r="96" spans="1:18" s="33" customFormat="1" ht="47.25" thickTop="1" thickBot="1" x14ac:dyDescent="0.25">
      <c r="A96" s="119" t="s">
        <v>1111</v>
      </c>
      <c r="B96" s="119" t="s">
        <v>216</v>
      </c>
      <c r="C96" s="119" t="s">
        <v>217</v>
      </c>
      <c r="D96" s="119" t="s">
        <v>41</v>
      </c>
      <c r="E96" s="393">
        <f>'d3'!E96-d3П!E96</f>
        <v>0</v>
      </c>
      <c r="F96" s="393">
        <f>'d3'!F96-d3П!F96</f>
        <v>0</v>
      </c>
      <c r="G96" s="393">
        <f>'d3'!G96-d3П!G96</f>
        <v>0</v>
      </c>
      <c r="H96" s="393">
        <f>'d3'!H96-d3П!H96</f>
        <v>0</v>
      </c>
      <c r="I96" s="393">
        <f>'d3'!I96-d3П!I96</f>
        <v>0</v>
      </c>
      <c r="J96" s="393">
        <f>'d3'!J96-d3П!J96</f>
        <v>-3092400</v>
      </c>
      <c r="K96" s="393">
        <f>'d3'!K96-d3П!K96</f>
        <v>-3092400</v>
      </c>
      <c r="L96" s="393">
        <f>'d3'!L96-d3П!L96</f>
        <v>0</v>
      </c>
      <c r="M96" s="393">
        <f>'d3'!M96-d3П!M96</f>
        <v>0</v>
      </c>
      <c r="N96" s="393">
        <f>'d3'!N96-d3П!N96</f>
        <v>0</v>
      </c>
      <c r="O96" s="393">
        <f>'d3'!O96-d3П!O96</f>
        <v>-3092400</v>
      </c>
      <c r="P96" s="393">
        <f>'d3'!P96-d3П!P96</f>
        <v>-3092400</v>
      </c>
      <c r="Q96" s="30"/>
      <c r="R96" s="26"/>
    </row>
    <row r="97" spans="1:18" s="33" customFormat="1" ht="47.25" thickTop="1" thickBot="1" x14ac:dyDescent="0.25">
      <c r="A97" s="346" t="s">
        <v>1249</v>
      </c>
      <c r="B97" s="346" t="s">
        <v>702</v>
      </c>
      <c r="C97" s="346"/>
      <c r="D97" s="346" t="s">
        <v>703</v>
      </c>
      <c r="E97" s="393">
        <f>'d3'!E97-d3П!E97</f>
        <v>0</v>
      </c>
      <c r="F97" s="393">
        <f>'d3'!F97-d3П!F97</f>
        <v>0</v>
      </c>
      <c r="G97" s="393">
        <f>'d3'!G97-d3П!G97</f>
        <v>0</v>
      </c>
      <c r="H97" s="393">
        <f>'d3'!H97-d3П!H97</f>
        <v>0</v>
      </c>
      <c r="I97" s="393">
        <f>'d3'!I97-d3П!I97</f>
        <v>0</v>
      </c>
      <c r="J97" s="393">
        <f>'d3'!J97-d3П!J97</f>
        <v>0</v>
      </c>
      <c r="K97" s="393">
        <f>'d3'!K97-d3П!K97</f>
        <v>0</v>
      </c>
      <c r="L97" s="393">
        <f>'d3'!L97-d3П!L97</f>
        <v>0</v>
      </c>
      <c r="M97" s="393">
        <f>'d3'!M97-d3П!M97</f>
        <v>0</v>
      </c>
      <c r="N97" s="393">
        <f>'d3'!N97-d3П!N97</f>
        <v>0</v>
      </c>
      <c r="O97" s="393">
        <f>'d3'!O97-d3П!O97</f>
        <v>0</v>
      </c>
      <c r="P97" s="393">
        <f>'d3'!P97-d3П!P97</f>
        <v>0</v>
      </c>
      <c r="Q97" s="30"/>
      <c r="R97" s="26"/>
    </row>
    <row r="98" spans="1:18" s="33" customFormat="1" ht="47.25" thickTop="1" thickBot="1" x14ac:dyDescent="0.25">
      <c r="A98" s="348" t="s">
        <v>1250</v>
      </c>
      <c r="B98" s="348" t="s">
        <v>1210</v>
      </c>
      <c r="C98" s="348"/>
      <c r="D98" s="348" t="s">
        <v>1208</v>
      </c>
      <c r="E98" s="393">
        <f>'d3'!E98-d3П!E98</f>
        <v>0</v>
      </c>
      <c r="F98" s="393">
        <f>'d3'!F98-d3П!F98</f>
        <v>0</v>
      </c>
      <c r="G98" s="393">
        <f>'d3'!G98-d3П!G98</f>
        <v>0</v>
      </c>
      <c r="H98" s="393">
        <f>'d3'!H98-d3П!H98</f>
        <v>0</v>
      </c>
      <c r="I98" s="393">
        <f>'d3'!I98-d3П!I98</f>
        <v>0</v>
      </c>
      <c r="J98" s="393">
        <f>'d3'!J98-d3П!J98</f>
        <v>0</v>
      </c>
      <c r="K98" s="393">
        <f>'d3'!K98-d3П!K98</f>
        <v>0</v>
      </c>
      <c r="L98" s="393">
        <f>'d3'!L98-d3П!L98</f>
        <v>0</v>
      </c>
      <c r="M98" s="393">
        <f>'d3'!M98-d3П!M98</f>
        <v>0</v>
      </c>
      <c r="N98" s="393">
        <f>'d3'!N98-d3П!N98</f>
        <v>0</v>
      </c>
      <c r="O98" s="393">
        <f>'d3'!O98-d3П!O98</f>
        <v>0</v>
      </c>
      <c r="P98" s="393">
        <f>'d3'!P98-d3П!P98</f>
        <v>0</v>
      </c>
      <c r="Q98" s="30"/>
      <c r="R98" s="26"/>
    </row>
    <row r="99" spans="1:18" s="33" customFormat="1" ht="47.25" thickTop="1" thickBot="1" x14ac:dyDescent="0.25">
      <c r="A99" s="119" t="s">
        <v>1251</v>
      </c>
      <c r="B99" s="119" t="s">
        <v>1214</v>
      </c>
      <c r="C99" s="119" t="s">
        <v>1212</v>
      </c>
      <c r="D99" s="119" t="s">
        <v>1211</v>
      </c>
      <c r="E99" s="393">
        <f>'d3'!E99-d3П!E99</f>
        <v>0</v>
      </c>
      <c r="F99" s="393">
        <f>'d3'!F99-d3П!F99</f>
        <v>0</v>
      </c>
      <c r="G99" s="393">
        <f>'d3'!G99-d3П!G99</f>
        <v>0</v>
      </c>
      <c r="H99" s="393">
        <f>'d3'!H99-d3П!H99</f>
        <v>0</v>
      </c>
      <c r="I99" s="393">
        <f>'d3'!I99-d3П!I99</f>
        <v>0</v>
      </c>
      <c r="J99" s="393">
        <f>'d3'!J99-d3П!J99</f>
        <v>0</v>
      </c>
      <c r="K99" s="393">
        <f>'d3'!K99-d3П!K99</f>
        <v>0</v>
      </c>
      <c r="L99" s="393">
        <f>'d3'!L99-d3П!L99</f>
        <v>0</v>
      </c>
      <c r="M99" s="393">
        <f>'d3'!M99-d3П!M99</f>
        <v>0</v>
      </c>
      <c r="N99" s="393">
        <f>'d3'!N99-d3П!N99</f>
        <v>0</v>
      </c>
      <c r="O99" s="393">
        <f>'d3'!O99-d3П!O99</f>
        <v>0</v>
      </c>
      <c r="P99" s="393">
        <f>'d3'!P99-d3П!P99</f>
        <v>0</v>
      </c>
      <c r="Q99" s="30"/>
      <c r="R99" s="26"/>
    </row>
    <row r="100" spans="1:18" s="33" customFormat="1" ht="47.25" hidden="1" customHeight="1" thickTop="1" thickBot="1" x14ac:dyDescent="0.25">
      <c r="A100" s="162" t="s">
        <v>1044</v>
      </c>
      <c r="B100" s="162" t="s">
        <v>708</v>
      </c>
      <c r="C100" s="162"/>
      <c r="D100" s="162" t="s">
        <v>709</v>
      </c>
      <c r="E100" s="42">
        <f>E101</f>
        <v>0</v>
      </c>
      <c r="F100" s="42">
        <f t="shared" ref="F100:P101" si="7">F101</f>
        <v>0</v>
      </c>
      <c r="G100" s="42">
        <f t="shared" si="7"/>
        <v>0</v>
      </c>
      <c r="H100" s="42">
        <f t="shared" si="7"/>
        <v>0</v>
      </c>
      <c r="I100" s="42">
        <f t="shared" si="7"/>
        <v>0</v>
      </c>
      <c r="J100" s="42">
        <f t="shared" si="7"/>
        <v>0</v>
      </c>
      <c r="K100" s="42">
        <f t="shared" si="7"/>
        <v>0</v>
      </c>
      <c r="L100" s="42">
        <f t="shared" si="7"/>
        <v>0</v>
      </c>
      <c r="M100" s="42">
        <f t="shared" si="7"/>
        <v>0</v>
      </c>
      <c r="N100" s="42">
        <f t="shared" si="7"/>
        <v>0</v>
      </c>
      <c r="O100" s="42">
        <f t="shared" si="7"/>
        <v>0</v>
      </c>
      <c r="P100" s="42">
        <f t="shared" si="7"/>
        <v>0</v>
      </c>
      <c r="Q100" s="36"/>
      <c r="R100" s="26"/>
    </row>
    <row r="101" spans="1:18" s="33" customFormat="1" ht="91.5" hidden="1" thickTop="1" thickBot="1" x14ac:dyDescent="0.25">
      <c r="A101" s="163" t="s">
        <v>1045</v>
      </c>
      <c r="B101" s="163" t="s">
        <v>711</v>
      </c>
      <c r="C101" s="163"/>
      <c r="D101" s="163" t="s">
        <v>712</v>
      </c>
      <c r="E101" s="164">
        <f>E102</f>
        <v>0</v>
      </c>
      <c r="F101" s="164">
        <f t="shared" si="7"/>
        <v>0</v>
      </c>
      <c r="G101" s="164">
        <f t="shared" si="7"/>
        <v>0</v>
      </c>
      <c r="H101" s="164">
        <f t="shared" si="7"/>
        <v>0</v>
      </c>
      <c r="I101" s="164">
        <f t="shared" si="7"/>
        <v>0</v>
      </c>
      <c r="J101" s="164">
        <f t="shared" si="7"/>
        <v>0</v>
      </c>
      <c r="K101" s="164">
        <f t="shared" si="7"/>
        <v>0</v>
      </c>
      <c r="L101" s="164">
        <f t="shared" si="7"/>
        <v>0</v>
      </c>
      <c r="M101" s="164">
        <f t="shared" si="7"/>
        <v>0</v>
      </c>
      <c r="N101" s="164">
        <f t="shared" si="7"/>
        <v>0</v>
      </c>
      <c r="O101" s="164">
        <f t="shared" si="7"/>
        <v>0</v>
      </c>
      <c r="P101" s="164">
        <f t="shared" si="7"/>
        <v>0</v>
      </c>
      <c r="Q101" s="36"/>
      <c r="R101" s="26"/>
    </row>
    <row r="102" spans="1:18" s="33" customFormat="1" ht="48" hidden="1" thickTop="1" thickBot="1" x14ac:dyDescent="0.25">
      <c r="A102" s="41" t="s">
        <v>1046</v>
      </c>
      <c r="B102" s="41" t="s">
        <v>367</v>
      </c>
      <c r="C102" s="41" t="s">
        <v>43</v>
      </c>
      <c r="D102" s="41" t="s">
        <v>368</v>
      </c>
      <c r="E102" s="42">
        <f t="shared" ref="E102" si="8">F102</f>
        <v>0</v>
      </c>
      <c r="F102" s="43"/>
      <c r="G102" s="43"/>
      <c r="H102" s="43"/>
      <c r="I102" s="43"/>
      <c r="J102" s="42">
        <f>L102+O102</f>
        <v>0</v>
      </c>
      <c r="K102" s="43"/>
      <c r="L102" s="43"/>
      <c r="M102" s="43"/>
      <c r="N102" s="43"/>
      <c r="O102" s="44">
        <f>K102</f>
        <v>0</v>
      </c>
      <c r="P102" s="42">
        <f>E102+J102</f>
        <v>0</v>
      </c>
      <c r="Q102" s="36"/>
      <c r="R102" s="26"/>
    </row>
    <row r="103" spans="1:18" ht="91.5" thickTop="1" thickBot="1" x14ac:dyDescent="0.25">
      <c r="A103" s="403" t="s">
        <v>154</v>
      </c>
      <c r="B103" s="403"/>
      <c r="C103" s="403"/>
      <c r="D103" s="404" t="s">
        <v>18</v>
      </c>
      <c r="E103" s="406">
        <f>E104</f>
        <v>-247600</v>
      </c>
      <c r="F103" s="405">
        <f t="shared" ref="F103:G103" si="9">F104</f>
        <v>-247600</v>
      </c>
      <c r="G103" s="405">
        <f t="shared" si="9"/>
        <v>0</v>
      </c>
      <c r="H103" s="405">
        <f>H104</f>
        <v>0</v>
      </c>
      <c r="I103" s="405">
        <f t="shared" ref="I103" si="10">I104</f>
        <v>0</v>
      </c>
      <c r="J103" s="406">
        <f>J104</f>
        <v>247600</v>
      </c>
      <c r="K103" s="405">
        <f>K104</f>
        <v>247600</v>
      </c>
      <c r="L103" s="405">
        <f>L104</f>
        <v>0</v>
      </c>
      <c r="M103" s="405">
        <f t="shared" ref="M103" si="11">M104</f>
        <v>0</v>
      </c>
      <c r="N103" s="405">
        <f>N104</f>
        <v>0</v>
      </c>
      <c r="O103" s="406">
        <f>O104</f>
        <v>247600</v>
      </c>
      <c r="P103" s="405">
        <f>P104</f>
        <v>0</v>
      </c>
      <c r="Q103" s="20"/>
    </row>
    <row r="104" spans="1:18" ht="91.5" thickTop="1" thickBot="1" x14ac:dyDescent="0.25">
      <c r="A104" s="407" t="s">
        <v>155</v>
      </c>
      <c r="B104" s="407"/>
      <c r="C104" s="407"/>
      <c r="D104" s="408" t="s">
        <v>36</v>
      </c>
      <c r="E104" s="409">
        <f>E105+E108+E123+E121</f>
        <v>-247600</v>
      </c>
      <c r="F104" s="409">
        <f t="shared" ref="F104:P104" si="12">F105+F108+F123+F121</f>
        <v>-247600</v>
      </c>
      <c r="G104" s="409">
        <f t="shared" si="12"/>
        <v>0</v>
      </c>
      <c r="H104" s="409">
        <f t="shared" si="12"/>
        <v>0</v>
      </c>
      <c r="I104" s="409">
        <f t="shared" si="12"/>
        <v>0</v>
      </c>
      <c r="J104" s="409">
        <f t="shared" si="12"/>
        <v>247600</v>
      </c>
      <c r="K104" s="409">
        <f t="shared" si="12"/>
        <v>247600</v>
      </c>
      <c r="L104" s="409">
        <f t="shared" si="12"/>
        <v>0</v>
      </c>
      <c r="M104" s="409">
        <f t="shared" si="12"/>
        <v>0</v>
      </c>
      <c r="N104" s="409">
        <f t="shared" si="12"/>
        <v>0</v>
      </c>
      <c r="O104" s="409">
        <f t="shared" si="12"/>
        <v>247600</v>
      </c>
      <c r="P104" s="409">
        <f t="shared" si="12"/>
        <v>0</v>
      </c>
      <c r="Q104" s="402" t="b">
        <f>P104=P106+P109+P110+P111+P112+P115+P119+P120+P122+P130+P107+P126</f>
        <v>1</v>
      </c>
      <c r="R104" s="26"/>
    </row>
    <row r="105" spans="1:18" ht="47.25" thickTop="1" thickBot="1" x14ac:dyDescent="0.25">
      <c r="A105" s="346" t="s">
        <v>719</v>
      </c>
      <c r="B105" s="346" t="s">
        <v>690</v>
      </c>
      <c r="C105" s="346"/>
      <c r="D105" s="346" t="s">
        <v>691</v>
      </c>
      <c r="E105" s="393">
        <f>'d3'!E105-d3П!E105</f>
        <v>0</v>
      </c>
      <c r="F105" s="393">
        <f>'d3'!F105-d3П!F105</f>
        <v>0</v>
      </c>
      <c r="G105" s="393">
        <f>'d3'!G105-d3П!G105</f>
        <v>0</v>
      </c>
      <c r="H105" s="393">
        <f>'d3'!H105-d3П!H105</f>
        <v>0</v>
      </c>
      <c r="I105" s="393">
        <f>'d3'!I105-d3П!I105</f>
        <v>0</v>
      </c>
      <c r="J105" s="393">
        <f>'d3'!J105-d3П!J105</f>
        <v>100000</v>
      </c>
      <c r="K105" s="393">
        <f>'d3'!K105-d3П!K105</f>
        <v>100000</v>
      </c>
      <c r="L105" s="393">
        <f>'d3'!L105-d3П!L105</f>
        <v>0</v>
      </c>
      <c r="M105" s="393">
        <f>'d3'!M105-d3П!M105</f>
        <v>0</v>
      </c>
      <c r="N105" s="393">
        <f>'d3'!N105-d3П!N105</f>
        <v>0</v>
      </c>
      <c r="O105" s="393">
        <f>'d3'!O105-d3П!O105</f>
        <v>100000</v>
      </c>
      <c r="P105" s="393">
        <f>'d3'!P105-d3П!P105</f>
        <v>100000</v>
      </c>
      <c r="Q105" s="30"/>
      <c r="R105" s="26"/>
    </row>
    <row r="106" spans="1:18" ht="93" thickTop="1" thickBot="1" x14ac:dyDescent="0.25">
      <c r="A106" s="119" t="s">
        <v>420</v>
      </c>
      <c r="B106" s="119" t="s">
        <v>240</v>
      </c>
      <c r="C106" s="119" t="s">
        <v>238</v>
      </c>
      <c r="D106" s="119" t="s">
        <v>239</v>
      </c>
      <c r="E106" s="393">
        <f>'d3'!E106-d3П!E106</f>
        <v>0</v>
      </c>
      <c r="F106" s="393">
        <f>'d3'!F106-d3П!F106</f>
        <v>0</v>
      </c>
      <c r="G106" s="393">
        <f>'d3'!G106-d3П!G106</f>
        <v>0</v>
      </c>
      <c r="H106" s="393">
        <f>'d3'!H106-d3П!H106</f>
        <v>0</v>
      </c>
      <c r="I106" s="393">
        <f>'d3'!I106-d3П!I106</f>
        <v>0</v>
      </c>
      <c r="J106" s="393">
        <f>'d3'!J106-d3П!J106</f>
        <v>100000</v>
      </c>
      <c r="K106" s="393">
        <f>'d3'!K106-d3П!K106</f>
        <v>100000</v>
      </c>
      <c r="L106" s="393">
        <f>'d3'!L106-d3П!L106</f>
        <v>0</v>
      </c>
      <c r="M106" s="393">
        <f>'d3'!M106-d3П!M106</f>
        <v>0</v>
      </c>
      <c r="N106" s="393">
        <f>'d3'!N106-d3П!N106</f>
        <v>0</v>
      </c>
      <c r="O106" s="393">
        <f>'d3'!O106-d3П!O106</f>
        <v>100000</v>
      </c>
      <c r="P106" s="393">
        <f>'d3'!P106-d3П!P106</f>
        <v>100000</v>
      </c>
      <c r="Q106" s="39"/>
      <c r="R106" s="26"/>
    </row>
    <row r="107" spans="1:18" ht="93" thickTop="1" thickBot="1" x14ac:dyDescent="0.25">
      <c r="A107" s="119" t="s">
        <v>1305</v>
      </c>
      <c r="B107" s="119" t="s">
        <v>366</v>
      </c>
      <c r="C107" s="119" t="s">
        <v>631</v>
      </c>
      <c r="D107" s="119" t="s">
        <v>632</v>
      </c>
      <c r="E107" s="393">
        <f>'d3'!E107-d3П!E107</f>
        <v>0</v>
      </c>
      <c r="F107" s="393">
        <f>'d3'!F107-d3П!F107</f>
        <v>0</v>
      </c>
      <c r="G107" s="393">
        <f>'d3'!G107-d3П!G107</f>
        <v>0</v>
      </c>
      <c r="H107" s="393">
        <f>'d3'!H107-d3П!H107</f>
        <v>0</v>
      </c>
      <c r="I107" s="393">
        <f>'d3'!I107-d3П!I107</f>
        <v>0</v>
      </c>
      <c r="J107" s="393">
        <f>'d3'!J107-d3П!J107</f>
        <v>0</v>
      </c>
      <c r="K107" s="393">
        <f>'d3'!K107-d3П!K107</f>
        <v>0</v>
      </c>
      <c r="L107" s="393">
        <f>'d3'!L107-d3П!L107</f>
        <v>0</v>
      </c>
      <c r="M107" s="393">
        <f>'d3'!M107-d3П!M107</f>
        <v>0</v>
      </c>
      <c r="N107" s="393">
        <f>'d3'!N107-d3П!N107</f>
        <v>0</v>
      </c>
      <c r="O107" s="393">
        <f>'d3'!O107-d3П!O107</f>
        <v>0</v>
      </c>
      <c r="P107" s="393">
        <f>'d3'!P107-d3П!P107</f>
        <v>0</v>
      </c>
      <c r="Q107" s="39"/>
      <c r="R107" s="26"/>
    </row>
    <row r="108" spans="1:18" ht="47.25" thickTop="1" thickBot="1" x14ac:dyDescent="0.25">
      <c r="A108" s="346" t="s">
        <v>720</v>
      </c>
      <c r="B108" s="346" t="s">
        <v>721</v>
      </c>
      <c r="C108" s="346"/>
      <c r="D108" s="346" t="s">
        <v>722</v>
      </c>
      <c r="E108" s="393">
        <f>'d3'!E108-d3П!E108</f>
        <v>-247600</v>
      </c>
      <c r="F108" s="393">
        <f>'d3'!F108-d3П!F108</f>
        <v>-247600</v>
      </c>
      <c r="G108" s="393">
        <f>'d3'!G108-d3П!G108</f>
        <v>0</v>
      </c>
      <c r="H108" s="393">
        <f>'d3'!H108-d3П!H108</f>
        <v>0</v>
      </c>
      <c r="I108" s="393">
        <f>'d3'!I108-d3П!I108</f>
        <v>0</v>
      </c>
      <c r="J108" s="393">
        <f>'d3'!J108-d3П!J108</f>
        <v>147600</v>
      </c>
      <c r="K108" s="393">
        <f>'d3'!K108-d3П!K108</f>
        <v>147600</v>
      </c>
      <c r="L108" s="393">
        <f>'d3'!L108-d3П!L108</f>
        <v>0</v>
      </c>
      <c r="M108" s="393">
        <f>'d3'!M108-d3П!M108</f>
        <v>0</v>
      </c>
      <c r="N108" s="393">
        <f>'d3'!N108-d3П!N108</f>
        <v>0</v>
      </c>
      <c r="O108" s="393">
        <f>'d3'!O108-d3П!O108</f>
        <v>147600</v>
      </c>
      <c r="P108" s="393">
        <f>'d3'!P108-d3П!P108</f>
        <v>-100000</v>
      </c>
      <c r="Q108" s="39"/>
      <c r="R108" s="39"/>
    </row>
    <row r="109" spans="1:18" ht="47.25" thickTop="1" thickBot="1" x14ac:dyDescent="0.25">
      <c r="A109" s="119" t="s">
        <v>218</v>
      </c>
      <c r="B109" s="119" t="s">
        <v>215</v>
      </c>
      <c r="C109" s="119" t="s">
        <v>219</v>
      </c>
      <c r="D109" s="119" t="s">
        <v>19</v>
      </c>
      <c r="E109" s="393">
        <f>'d3'!E109-d3П!E109</f>
        <v>0</v>
      </c>
      <c r="F109" s="393">
        <f>'d3'!F109-d3П!F109</f>
        <v>0</v>
      </c>
      <c r="G109" s="393">
        <f>'d3'!G109-d3П!G109</f>
        <v>0</v>
      </c>
      <c r="H109" s="393">
        <f>'d3'!H109-d3П!H109</f>
        <v>0</v>
      </c>
      <c r="I109" s="393">
        <f>'d3'!I109-d3П!I109</f>
        <v>0</v>
      </c>
      <c r="J109" s="393">
        <f>'d3'!J109-d3П!J109</f>
        <v>-100000</v>
      </c>
      <c r="K109" s="393">
        <f>'d3'!K109-d3П!K109</f>
        <v>-100000</v>
      </c>
      <c r="L109" s="393">
        <f>'d3'!L109-d3П!L109</f>
        <v>0</v>
      </c>
      <c r="M109" s="393">
        <f>'d3'!M109-d3П!M109</f>
        <v>0</v>
      </c>
      <c r="N109" s="393">
        <f>'d3'!N109-d3П!N109</f>
        <v>0</v>
      </c>
      <c r="O109" s="393">
        <f>'d3'!O109-d3П!O109</f>
        <v>-100000</v>
      </c>
      <c r="P109" s="393">
        <f>'d3'!P109-d3П!P109</f>
        <v>-100000</v>
      </c>
      <c r="Q109" s="20"/>
      <c r="R109" s="30"/>
    </row>
    <row r="110" spans="1:18" ht="47.25" thickTop="1" thickBot="1" x14ac:dyDescent="0.25">
      <c r="A110" s="119" t="s">
        <v>509</v>
      </c>
      <c r="B110" s="119" t="s">
        <v>512</v>
      </c>
      <c r="C110" s="119" t="s">
        <v>511</v>
      </c>
      <c r="D110" s="119" t="s">
        <v>510</v>
      </c>
      <c r="E110" s="393">
        <f>'d3'!E110-d3П!E110</f>
        <v>0</v>
      </c>
      <c r="F110" s="393">
        <f>'d3'!F110-d3П!F110</f>
        <v>0</v>
      </c>
      <c r="G110" s="393">
        <f>'d3'!G110-d3П!G110</f>
        <v>0</v>
      </c>
      <c r="H110" s="393">
        <f>'d3'!H110-d3П!H110</f>
        <v>0</v>
      </c>
      <c r="I110" s="393">
        <f>'d3'!I110-d3П!I110</f>
        <v>0</v>
      </c>
      <c r="J110" s="393">
        <f>'d3'!J110-d3П!J110</f>
        <v>0</v>
      </c>
      <c r="K110" s="393">
        <f>'d3'!K110-d3П!K110</f>
        <v>0</v>
      </c>
      <c r="L110" s="393">
        <f>'d3'!L110-d3П!L110</f>
        <v>0</v>
      </c>
      <c r="M110" s="393">
        <f>'d3'!M110-d3П!M110</f>
        <v>0</v>
      </c>
      <c r="N110" s="393">
        <f>'d3'!N110-d3П!N110</f>
        <v>0</v>
      </c>
      <c r="O110" s="393">
        <f>'d3'!O110-d3П!O110</f>
        <v>0</v>
      </c>
      <c r="P110" s="393">
        <f>'d3'!P110-d3П!P110</f>
        <v>0</v>
      </c>
      <c r="Q110" s="20"/>
      <c r="R110" s="39"/>
    </row>
    <row r="111" spans="1:18" ht="47.25" thickTop="1" thickBot="1" x14ac:dyDescent="0.25">
      <c r="A111" s="119" t="s">
        <v>220</v>
      </c>
      <c r="B111" s="119" t="s">
        <v>221</v>
      </c>
      <c r="C111" s="119" t="s">
        <v>222</v>
      </c>
      <c r="D111" s="119" t="s">
        <v>223</v>
      </c>
      <c r="E111" s="393">
        <f>'d3'!E111-d3П!E111</f>
        <v>0</v>
      </c>
      <c r="F111" s="393">
        <f>'d3'!F111-d3П!F111</f>
        <v>0</v>
      </c>
      <c r="G111" s="393">
        <f>'d3'!G111-d3П!G111</f>
        <v>0</v>
      </c>
      <c r="H111" s="393">
        <f>'d3'!H111-d3П!H111</f>
        <v>0</v>
      </c>
      <c r="I111" s="393">
        <f>'d3'!I111-d3П!I111</f>
        <v>0</v>
      </c>
      <c r="J111" s="393">
        <f>'d3'!J111-d3П!J111</f>
        <v>0</v>
      </c>
      <c r="K111" s="393">
        <f>'d3'!K111-d3П!K111</f>
        <v>0</v>
      </c>
      <c r="L111" s="393">
        <f>'d3'!L111-d3П!L111</f>
        <v>0</v>
      </c>
      <c r="M111" s="393">
        <f>'d3'!M111-d3П!M111</f>
        <v>0</v>
      </c>
      <c r="N111" s="393">
        <f>'d3'!N111-d3П!N111</f>
        <v>0</v>
      </c>
      <c r="O111" s="393">
        <f>'d3'!O111-d3П!O111</f>
        <v>0</v>
      </c>
      <c r="P111" s="393">
        <f>'d3'!P111-d3П!P111</f>
        <v>0</v>
      </c>
      <c r="Q111" s="20"/>
      <c r="R111" s="39"/>
    </row>
    <row r="112" spans="1:18" ht="93" thickTop="1" thickBot="1" x14ac:dyDescent="0.25">
      <c r="A112" s="119" t="s">
        <v>224</v>
      </c>
      <c r="B112" s="119" t="s">
        <v>225</v>
      </c>
      <c r="C112" s="119" t="s">
        <v>226</v>
      </c>
      <c r="D112" s="119" t="s">
        <v>349</v>
      </c>
      <c r="E112" s="393">
        <f>'d3'!E112-d3П!E112</f>
        <v>-247600</v>
      </c>
      <c r="F112" s="393">
        <f>'d3'!F112-d3П!F112</f>
        <v>-247600</v>
      </c>
      <c r="G112" s="393">
        <f>'d3'!G112-d3П!G112</f>
        <v>0</v>
      </c>
      <c r="H112" s="393">
        <f>'d3'!H112-d3П!H112</f>
        <v>0</v>
      </c>
      <c r="I112" s="393">
        <f>'d3'!I112-d3П!I112</f>
        <v>0</v>
      </c>
      <c r="J112" s="393">
        <f>'d3'!J112-d3П!J112</f>
        <v>247600</v>
      </c>
      <c r="K112" s="393">
        <f>'d3'!K112-d3П!K112</f>
        <v>247600</v>
      </c>
      <c r="L112" s="393">
        <f>'d3'!L112-d3П!L112</f>
        <v>0</v>
      </c>
      <c r="M112" s="393">
        <f>'d3'!M112-d3П!M112</f>
        <v>0</v>
      </c>
      <c r="N112" s="393">
        <f>'d3'!N112-d3П!N112</f>
        <v>0</v>
      </c>
      <c r="O112" s="393">
        <f>'d3'!O112-d3П!O112</f>
        <v>247600</v>
      </c>
      <c r="P112" s="393">
        <f>'d3'!P112-d3П!P112</f>
        <v>0</v>
      </c>
      <c r="Q112" s="20"/>
      <c r="R112" s="39"/>
    </row>
    <row r="113" spans="1:18" ht="47.25" hidden="1" thickTop="1" thickBot="1" x14ac:dyDescent="0.25">
      <c r="A113" s="144" t="s">
        <v>227</v>
      </c>
      <c r="B113" s="144" t="s">
        <v>228</v>
      </c>
      <c r="C113" s="144" t="s">
        <v>229</v>
      </c>
      <c r="D113" s="144" t="s">
        <v>230</v>
      </c>
      <c r="E113" s="393">
        <f>'d3'!E113-d3П!E113</f>
        <v>0</v>
      </c>
      <c r="F113" s="393">
        <f>'d3'!F113-d3П!F113</f>
        <v>0</v>
      </c>
      <c r="G113" s="393">
        <f>'d3'!G113-d3П!G113</f>
        <v>0</v>
      </c>
      <c r="H113" s="393">
        <f>'d3'!H113-d3П!H113</f>
        <v>0</v>
      </c>
      <c r="I113" s="393">
        <f>'d3'!I113-d3П!I113</f>
        <v>0</v>
      </c>
      <c r="J113" s="393">
        <f>'d3'!J113-d3П!J113</f>
        <v>0</v>
      </c>
      <c r="K113" s="393">
        <f>'d3'!K113-d3П!K113</f>
        <v>0</v>
      </c>
      <c r="L113" s="393">
        <f>'d3'!L113-d3П!L113</f>
        <v>0</v>
      </c>
      <c r="M113" s="393">
        <f>'d3'!M113-d3П!M113</f>
        <v>0</v>
      </c>
      <c r="N113" s="393">
        <f>'d3'!N113-d3П!N113</f>
        <v>0</v>
      </c>
      <c r="O113" s="393">
        <f>'d3'!O113-d3П!O113</f>
        <v>0</v>
      </c>
      <c r="P113" s="393">
        <f>'d3'!P113-d3П!P113</f>
        <v>0</v>
      </c>
      <c r="Q113" s="20"/>
      <c r="R113" s="39"/>
    </row>
    <row r="114" spans="1:18" ht="47.25" thickTop="1" thickBot="1" x14ac:dyDescent="0.25">
      <c r="A114" s="399" t="s">
        <v>723</v>
      </c>
      <c r="B114" s="399" t="s">
        <v>724</v>
      </c>
      <c r="C114" s="399"/>
      <c r="D114" s="399" t="s">
        <v>725</v>
      </c>
      <c r="E114" s="393">
        <f>'d3'!E114-d3П!E114</f>
        <v>0</v>
      </c>
      <c r="F114" s="393">
        <f>'d3'!F114-d3П!F114</f>
        <v>0</v>
      </c>
      <c r="G114" s="393">
        <f>'d3'!G114-d3П!G114</f>
        <v>0</v>
      </c>
      <c r="H114" s="393">
        <f>'d3'!H114-d3П!H114</f>
        <v>0</v>
      </c>
      <c r="I114" s="393">
        <f>'d3'!I114-d3П!I114</f>
        <v>0</v>
      </c>
      <c r="J114" s="393">
        <f>'d3'!J114-d3П!J114</f>
        <v>0</v>
      </c>
      <c r="K114" s="393">
        <f>'d3'!K114-d3П!K114</f>
        <v>0</v>
      </c>
      <c r="L114" s="393">
        <f>'d3'!L114-d3П!L114</f>
        <v>0</v>
      </c>
      <c r="M114" s="393">
        <f>'d3'!M114-d3П!M114</f>
        <v>0</v>
      </c>
      <c r="N114" s="393">
        <f>'d3'!N114-d3П!N114</f>
        <v>0</v>
      </c>
      <c r="O114" s="393">
        <f>'d3'!O114-d3П!O114</f>
        <v>0</v>
      </c>
      <c r="P114" s="393">
        <f>'d3'!P114-d3П!P114</f>
        <v>0</v>
      </c>
      <c r="Q114" s="20"/>
      <c r="R114" s="39"/>
    </row>
    <row r="115" spans="1:18" ht="93" thickTop="1" thickBot="1" x14ac:dyDescent="0.25">
      <c r="A115" s="119" t="s">
        <v>231</v>
      </c>
      <c r="B115" s="119" t="s">
        <v>232</v>
      </c>
      <c r="C115" s="119" t="s">
        <v>350</v>
      </c>
      <c r="D115" s="119" t="s">
        <v>233</v>
      </c>
      <c r="E115" s="393">
        <f>'d3'!E115-d3П!E115</f>
        <v>0</v>
      </c>
      <c r="F115" s="393">
        <f>'d3'!F115-d3П!F115</f>
        <v>0</v>
      </c>
      <c r="G115" s="393">
        <f>'d3'!G115-d3П!G115</f>
        <v>0</v>
      </c>
      <c r="H115" s="393">
        <f>'d3'!H115-d3П!H115</f>
        <v>0</v>
      </c>
      <c r="I115" s="393">
        <f>'d3'!I115-d3П!I115</f>
        <v>0</v>
      </c>
      <c r="J115" s="393">
        <f>'d3'!J115-d3П!J115</f>
        <v>0</v>
      </c>
      <c r="K115" s="393">
        <f>'d3'!K115-d3П!K115</f>
        <v>0</v>
      </c>
      <c r="L115" s="393">
        <f>'d3'!L115-d3П!L115</f>
        <v>0</v>
      </c>
      <c r="M115" s="393">
        <f>'d3'!M115-d3П!M115</f>
        <v>0</v>
      </c>
      <c r="N115" s="393">
        <f>'d3'!N115-d3П!N115</f>
        <v>0</v>
      </c>
      <c r="O115" s="393">
        <f>'d3'!O115-d3П!O115</f>
        <v>0</v>
      </c>
      <c r="P115" s="393">
        <f>'d3'!P115-d3П!P115</f>
        <v>0</v>
      </c>
      <c r="Q115" s="20"/>
      <c r="R115" s="39"/>
    </row>
    <row r="116" spans="1:18" ht="47.25" hidden="1" thickTop="1" thickBot="1" x14ac:dyDescent="0.25">
      <c r="A116" s="156" t="s">
        <v>726</v>
      </c>
      <c r="B116" s="156" t="s">
        <v>727</v>
      </c>
      <c r="C116" s="156"/>
      <c r="D116" s="156" t="s">
        <v>728</v>
      </c>
      <c r="E116" s="393">
        <f>'d3'!E116-d3П!E116</f>
        <v>0</v>
      </c>
      <c r="F116" s="393">
        <f>'d3'!F116-d3П!F116</f>
        <v>0</v>
      </c>
      <c r="G116" s="393">
        <f>'d3'!G116-d3П!G116</f>
        <v>0</v>
      </c>
      <c r="H116" s="393">
        <f>'d3'!H116-d3П!H116</f>
        <v>0</v>
      </c>
      <c r="I116" s="393">
        <f>'d3'!I116-d3П!I116</f>
        <v>0</v>
      </c>
      <c r="J116" s="393">
        <f>'d3'!J116-d3П!J116</f>
        <v>0</v>
      </c>
      <c r="K116" s="393">
        <f>'d3'!K116-d3П!K116</f>
        <v>0</v>
      </c>
      <c r="L116" s="393">
        <f>'d3'!L116-d3П!L116</f>
        <v>0</v>
      </c>
      <c r="M116" s="393">
        <f>'d3'!M116-d3П!M116</f>
        <v>0</v>
      </c>
      <c r="N116" s="393">
        <f>'d3'!N116-d3П!N116</f>
        <v>0</v>
      </c>
      <c r="O116" s="393">
        <f>'d3'!O116-d3П!O116</f>
        <v>0</v>
      </c>
      <c r="P116" s="393">
        <f>'d3'!P116-d3П!P116</f>
        <v>0</v>
      </c>
      <c r="Q116" s="20"/>
      <c r="R116" s="39"/>
    </row>
    <row r="117" spans="1:18" ht="47.25" hidden="1" thickTop="1" thickBot="1" x14ac:dyDescent="0.25">
      <c r="A117" s="144" t="s">
        <v>479</v>
      </c>
      <c r="B117" s="144" t="s">
        <v>480</v>
      </c>
      <c r="C117" s="144" t="s">
        <v>234</v>
      </c>
      <c r="D117" s="144" t="s">
        <v>481</v>
      </c>
      <c r="E117" s="393">
        <f>'d3'!E117-d3П!E117</f>
        <v>0</v>
      </c>
      <c r="F117" s="393">
        <f>'d3'!F117-d3П!F117</f>
        <v>0</v>
      </c>
      <c r="G117" s="393">
        <f>'d3'!G117-d3П!G117</f>
        <v>0</v>
      </c>
      <c r="H117" s="393">
        <f>'d3'!H117-d3П!H117</f>
        <v>0</v>
      </c>
      <c r="I117" s="393">
        <f>'d3'!I117-d3П!I117</f>
        <v>0</v>
      </c>
      <c r="J117" s="393">
        <f>'d3'!J117-d3П!J117</f>
        <v>0</v>
      </c>
      <c r="K117" s="393">
        <f>'d3'!K117-d3П!K117</f>
        <v>0</v>
      </c>
      <c r="L117" s="393">
        <f>'d3'!L117-d3П!L117</f>
        <v>0</v>
      </c>
      <c r="M117" s="393">
        <f>'d3'!M117-d3П!M117</f>
        <v>0</v>
      </c>
      <c r="N117" s="393">
        <f>'d3'!N117-d3П!N117</f>
        <v>0</v>
      </c>
      <c r="O117" s="393">
        <f>'d3'!O117-d3П!O117</f>
        <v>0</v>
      </c>
      <c r="P117" s="393">
        <f>'d3'!P117-d3П!P117</f>
        <v>0</v>
      </c>
      <c r="Q117" s="20"/>
      <c r="R117" s="39"/>
    </row>
    <row r="118" spans="1:18" ht="47.25" thickTop="1" thickBot="1" x14ac:dyDescent="0.25">
      <c r="A118" s="399" t="s">
        <v>729</v>
      </c>
      <c r="B118" s="399" t="s">
        <v>730</v>
      </c>
      <c r="C118" s="399"/>
      <c r="D118" s="399" t="s">
        <v>731</v>
      </c>
      <c r="E118" s="393">
        <f>'d3'!E118-d3П!E118</f>
        <v>0</v>
      </c>
      <c r="F118" s="393">
        <f>'d3'!F118-d3П!F118</f>
        <v>0</v>
      </c>
      <c r="G118" s="393">
        <f>'d3'!G118-d3П!G118</f>
        <v>0</v>
      </c>
      <c r="H118" s="393">
        <f>'d3'!H118-d3П!H118</f>
        <v>0</v>
      </c>
      <c r="I118" s="393">
        <f>'d3'!I118-d3П!I118</f>
        <v>0</v>
      </c>
      <c r="J118" s="393">
        <f>'d3'!J118-d3П!J118</f>
        <v>0</v>
      </c>
      <c r="K118" s="393">
        <f>'d3'!K118-d3П!K118</f>
        <v>0</v>
      </c>
      <c r="L118" s="393">
        <f>'d3'!L118-d3П!L118</f>
        <v>0</v>
      </c>
      <c r="M118" s="393">
        <f>'d3'!M118-d3П!M118</f>
        <v>0</v>
      </c>
      <c r="N118" s="393">
        <f>'d3'!N118-d3П!N118</f>
        <v>0</v>
      </c>
      <c r="O118" s="393">
        <f>'d3'!O118-d3П!O118</f>
        <v>0</v>
      </c>
      <c r="P118" s="393">
        <f>'d3'!P118-d3П!P118</f>
        <v>0</v>
      </c>
      <c r="Q118" s="20"/>
      <c r="R118" s="39"/>
    </row>
    <row r="119" spans="1:18" s="33" customFormat="1" ht="47.25" thickTop="1" thickBot="1" x14ac:dyDescent="0.25">
      <c r="A119" s="119" t="s">
        <v>325</v>
      </c>
      <c r="B119" s="119" t="s">
        <v>327</v>
      </c>
      <c r="C119" s="119" t="s">
        <v>234</v>
      </c>
      <c r="D119" s="413" t="s">
        <v>323</v>
      </c>
      <c r="E119" s="393">
        <f>'d3'!E119-d3П!E119</f>
        <v>0</v>
      </c>
      <c r="F119" s="393">
        <f>'d3'!F119-d3П!F119</f>
        <v>0</v>
      </c>
      <c r="G119" s="393">
        <f>'d3'!G119-d3П!G119</f>
        <v>0</v>
      </c>
      <c r="H119" s="393">
        <f>'d3'!H119-d3П!H119</f>
        <v>0</v>
      </c>
      <c r="I119" s="393">
        <f>'d3'!I119-d3П!I119</f>
        <v>0</v>
      </c>
      <c r="J119" s="393">
        <f>'d3'!J119-d3П!J119</f>
        <v>0</v>
      </c>
      <c r="K119" s="393">
        <f>'d3'!K119-d3П!K119</f>
        <v>0</v>
      </c>
      <c r="L119" s="393">
        <f>'d3'!L119-d3П!L119</f>
        <v>0</v>
      </c>
      <c r="M119" s="393">
        <f>'d3'!M119-d3П!M119</f>
        <v>0</v>
      </c>
      <c r="N119" s="393">
        <f>'d3'!N119-d3П!N119</f>
        <v>0</v>
      </c>
      <c r="O119" s="393">
        <f>'d3'!O119-d3П!O119</f>
        <v>0</v>
      </c>
      <c r="P119" s="393">
        <f>'d3'!P119-d3П!P119</f>
        <v>0</v>
      </c>
      <c r="Q119" s="36"/>
      <c r="R119" s="26"/>
    </row>
    <row r="120" spans="1:18" s="33" customFormat="1" ht="47.25" thickTop="1" thickBot="1" x14ac:dyDescent="0.25">
      <c r="A120" s="119" t="s">
        <v>326</v>
      </c>
      <c r="B120" s="119" t="s">
        <v>328</v>
      </c>
      <c r="C120" s="119" t="s">
        <v>234</v>
      </c>
      <c r="D120" s="413" t="s">
        <v>324</v>
      </c>
      <c r="E120" s="393">
        <f>'d3'!E120-d3П!E120</f>
        <v>0</v>
      </c>
      <c r="F120" s="393">
        <f>'d3'!F120-d3П!F120</f>
        <v>0</v>
      </c>
      <c r="G120" s="393">
        <f>'d3'!G120-d3П!G120</f>
        <v>0</v>
      </c>
      <c r="H120" s="393">
        <f>'d3'!H120-d3П!H120</f>
        <v>0</v>
      </c>
      <c r="I120" s="393">
        <f>'d3'!I120-d3П!I120</f>
        <v>0</v>
      </c>
      <c r="J120" s="393">
        <f>'d3'!J120-d3П!J120</f>
        <v>0</v>
      </c>
      <c r="K120" s="393">
        <f>'d3'!K120-d3П!K120</f>
        <v>0</v>
      </c>
      <c r="L120" s="393">
        <f>'d3'!L120-d3П!L120</f>
        <v>0</v>
      </c>
      <c r="M120" s="393">
        <f>'d3'!M120-d3П!M120</f>
        <v>0</v>
      </c>
      <c r="N120" s="393">
        <f>'d3'!N120-d3П!N120</f>
        <v>0</v>
      </c>
      <c r="O120" s="393">
        <f>'d3'!O120-d3П!O120</f>
        <v>0</v>
      </c>
      <c r="P120" s="393">
        <f>'d3'!P120-d3П!P120</f>
        <v>0</v>
      </c>
      <c r="Q120" s="36"/>
      <c r="R120" s="39"/>
    </row>
    <row r="121" spans="1:18" s="33" customFormat="1" ht="47.25" thickTop="1" thickBot="1" x14ac:dyDescent="0.25">
      <c r="A121" s="346" t="s">
        <v>1223</v>
      </c>
      <c r="B121" s="346" t="s">
        <v>717</v>
      </c>
      <c r="C121" s="346"/>
      <c r="D121" s="346" t="s">
        <v>718</v>
      </c>
      <c r="E121" s="393">
        <f>'d3'!E121-d3П!E121</f>
        <v>0</v>
      </c>
      <c r="F121" s="393">
        <f>'d3'!F121-d3П!F121</f>
        <v>0</v>
      </c>
      <c r="G121" s="393">
        <f>'d3'!G121-d3П!G121</f>
        <v>0</v>
      </c>
      <c r="H121" s="393">
        <f>'d3'!H121-d3П!H121</f>
        <v>0</v>
      </c>
      <c r="I121" s="393">
        <f>'d3'!I121-d3П!I121</f>
        <v>0</v>
      </c>
      <c r="J121" s="393">
        <f>'d3'!J121-d3П!J121</f>
        <v>0</v>
      </c>
      <c r="K121" s="393">
        <f>'d3'!K121-d3П!K121</f>
        <v>0</v>
      </c>
      <c r="L121" s="393">
        <f>'d3'!L121-d3П!L121</f>
        <v>0</v>
      </c>
      <c r="M121" s="393">
        <f>'d3'!M121-d3П!M121</f>
        <v>0</v>
      </c>
      <c r="N121" s="393">
        <f>'d3'!N121-d3П!N121</f>
        <v>0</v>
      </c>
      <c r="O121" s="393">
        <f>'d3'!O121-d3П!O121</f>
        <v>0</v>
      </c>
      <c r="P121" s="393">
        <f>'d3'!P121-d3П!P121</f>
        <v>0</v>
      </c>
      <c r="Q121" s="36"/>
      <c r="R121" s="39"/>
    </row>
    <row r="122" spans="1:18" s="33" customFormat="1" ht="93" thickTop="1" thickBot="1" x14ac:dyDescent="0.25">
      <c r="A122" s="119" t="s">
        <v>1224</v>
      </c>
      <c r="B122" s="119" t="s">
        <v>1225</v>
      </c>
      <c r="C122" s="119" t="s">
        <v>210</v>
      </c>
      <c r="D122" s="413" t="s">
        <v>1226</v>
      </c>
      <c r="E122" s="393">
        <f>'d3'!E122-d3П!E122</f>
        <v>0</v>
      </c>
      <c r="F122" s="393">
        <f>'d3'!F122-d3П!F122</f>
        <v>0</v>
      </c>
      <c r="G122" s="393">
        <f>'d3'!G122-d3П!G122</f>
        <v>0</v>
      </c>
      <c r="H122" s="393">
        <f>'d3'!H122-d3П!H122</f>
        <v>0</v>
      </c>
      <c r="I122" s="393">
        <f>'d3'!I122-d3П!I122</f>
        <v>0</v>
      </c>
      <c r="J122" s="393">
        <f>'d3'!J122-d3П!J122</f>
        <v>0</v>
      </c>
      <c r="K122" s="393">
        <f>'d3'!K122-d3П!K122</f>
        <v>0</v>
      </c>
      <c r="L122" s="393">
        <f>'d3'!L122-d3П!L122</f>
        <v>0</v>
      </c>
      <c r="M122" s="393">
        <f>'d3'!M122-d3П!M122</f>
        <v>0</v>
      </c>
      <c r="N122" s="393">
        <f>'d3'!N122-d3П!N122</f>
        <v>0</v>
      </c>
      <c r="O122" s="393">
        <f>'d3'!O122-d3П!O122</f>
        <v>0</v>
      </c>
      <c r="P122" s="393">
        <f>'d3'!P122-d3П!P122</f>
        <v>0</v>
      </c>
      <c r="Q122" s="36"/>
      <c r="R122" s="39"/>
    </row>
    <row r="123" spans="1:18" s="33" customFormat="1" ht="47.25" thickTop="1" thickBot="1" x14ac:dyDescent="0.25">
      <c r="A123" s="346" t="s">
        <v>756</v>
      </c>
      <c r="B123" s="346" t="s">
        <v>754</v>
      </c>
      <c r="C123" s="346"/>
      <c r="D123" s="346" t="s">
        <v>755</v>
      </c>
      <c r="E123" s="393">
        <f>'d3'!E123-d3П!E123</f>
        <v>0</v>
      </c>
      <c r="F123" s="393">
        <f>'d3'!F123-d3П!F123</f>
        <v>0</v>
      </c>
      <c r="G123" s="393">
        <f>'d3'!G123-d3П!G123</f>
        <v>0</v>
      </c>
      <c r="H123" s="393">
        <f>'d3'!H123-d3П!H123</f>
        <v>0</v>
      </c>
      <c r="I123" s="393">
        <f>'d3'!I123-d3П!I123</f>
        <v>0</v>
      </c>
      <c r="J123" s="393">
        <f>'d3'!J123-d3П!J123</f>
        <v>0</v>
      </c>
      <c r="K123" s="393">
        <f>'d3'!K123-d3П!K123</f>
        <v>0</v>
      </c>
      <c r="L123" s="393">
        <f>'d3'!L123-d3П!L123</f>
        <v>0</v>
      </c>
      <c r="M123" s="393">
        <f>'d3'!M123-d3П!M123</f>
        <v>0</v>
      </c>
      <c r="N123" s="393">
        <f>'d3'!N123-d3П!N123</f>
        <v>0</v>
      </c>
      <c r="O123" s="393">
        <f>'d3'!O123-d3П!O123</f>
        <v>0</v>
      </c>
      <c r="P123" s="393">
        <f>'d3'!P123-d3П!P123</f>
        <v>0</v>
      </c>
      <c r="Q123" s="36"/>
      <c r="R123" s="39"/>
    </row>
    <row r="124" spans="1:18" s="33" customFormat="1" ht="47.25" thickTop="1" thickBot="1" x14ac:dyDescent="0.25">
      <c r="A124" s="348" t="s">
        <v>1072</v>
      </c>
      <c r="B124" s="348" t="s">
        <v>810</v>
      </c>
      <c r="C124" s="348"/>
      <c r="D124" s="348" t="s">
        <v>811</v>
      </c>
      <c r="E124" s="393">
        <f>'d3'!E124-d3П!E124</f>
        <v>0</v>
      </c>
      <c r="F124" s="393">
        <f>'d3'!F124-d3П!F124</f>
        <v>0</v>
      </c>
      <c r="G124" s="393">
        <f>'d3'!G124-d3П!G124</f>
        <v>0</v>
      </c>
      <c r="H124" s="393">
        <f>'d3'!H124-d3П!H124</f>
        <v>0</v>
      </c>
      <c r="I124" s="393">
        <f>'d3'!I124-d3П!I124</f>
        <v>0</v>
      </c>
      <c r="J124" s="393">
        <f>'d3'!J124-d3П!J124</f>
        <v>0</v>
      </c>
      <c r="K124" s="393">
        <f>'d3'!K124-d3П!K124</f>
        <v>0</v>
      </c>
      <c r="L124" s="393">
        <f>'d3'!L124-d3П!L124</f>
        <v>0</v>
      </c>
      <c r="M124" s="393">
        <f>'d3'!M124-d3П!M124</f>
        <v>0</v>
      </c>
      <c r="N124" s="393">
        <f>'d3'!N124-d3П!N124</f>
        <v>0</v>
      </c>
      <c r="O124" s="393">
        <f>'d3'!O124-d3П!O124</f>
        <v>0</v>
      </c>
      <c r="P124" s="393">
        <f>'d3'!P124-d3П!P124</f>
        <v>0</v>
      </c>
      <c r="Q124" s="36"/>
      <c r="R124" s="39"/>
    </row>
    <row r="125" spans="1:18" s="33" customFormat="1" ht="54.75" thickTop="1" thickBot="1" x14ac:dyDescent="0.25">
      <c r="A125" s="399" t="s">
        <v>1204</v>
      </c>
      <c r="B125" s="399" t="s">
        <v>828</v>
      </c>
      <c r="C125" s="399"/>
      <c r="D125" s="399" t="s">
        <v>1308</v>
      </c>
      <c r="E125" s="393">
        <f>'d3'!E125-d3П!E125</f>
        <v>0</v>
      </c>
      <c r="F125" s="393">
        <f>'d3'!F125-d3П!F125</f>
        <v>0</v>
      </c>
      <c r="G125" s="393">
        <f>'d3'!G125-d3П!G125</f>
        <v>0</v>
      </c>
      <c r="H125" s="393">
        <f>'d3'!H125-d3П!H125</f>
        <v>0</v>
      </c>
      <c r="I125" s="393">
        <f>'d3'!I125-d3П!I125</f>
        <v>0</v>
      </c>
      <c r="J125" s="393">
        <f>'d3'!J125-d3П!J125</f>
        <v>0</v>
      </c>
      <c r="K125" s="393">
        <f>'d3'!K125-d3П!K125</f>
        <v>0</v>
      </c>
      <c r="L125" s="393">
        <f>'d3'!L125-d3П!L125</f>
        <v>0</v>
      </c>
      <c r="M125" s="393">
        <f>'d3'!M125-d3П!M125</f>
        <v>0</v>
      </c>
      <c r="N125" s="393">
        <f>'d3'!N125-d3П!N125</f>
        <v>0</v>
      </c>
      <c r="O125" s="393">
        <f>'d3'!O125-d3П!O125</f>
        <v>0</v>
      </c>
      <c r="P125" s="393">
        <f>'d3'!P125-d3П!P125</f>
        <v>0</v>
      </c>
      <c r="Q125" s="36"/>
      <c r="R125" s="39"/>
    </row>
    <row r="126" spans="1:18" s="33" customFormat="1" ht="54" thickTop="1" thickBot="1" x14ac:dyDescent="0.25">
      <c r="A126" s="119" t="s">
        <v>1203</v>
      </c>
      <c r="B126" s="119" t="s">
        <v>1205</v>
      </c>
      <c r="C126" s="119" t="s">
        <v>308</v>
      </c>
      <c r="D126" s="119" t="s">
        <v>1307</v>
      </c>
      <c r="E126" s="393">
        <f>'d3'!E126-d3П!E126</f>
        <v>0</v>
      </c>
      <c r="F126" s="393">
        <f>'d3'!F126-d3П!F126</f>
        <v>0</v>
      </c>
      <c r="G126" s="393">
        <f>'d3'!G126-d3П!G126</f>
        <v>0</v>
      </c>
      <c r="H126" s="393">
        <f>'d3'!H126-d3П!H126</f>
        <v>0</v>
      </c>
      <c r="I126" s="393">
        <f>'d3'!I126-d3П!I126</f>
        <v>0</v>
      </c>
      <c r="J126" s="393">
        <f>'d3'!J126-d3П!J126</f>
        <v>0</v>
      </c>
      <c r="K126" s="393">
        <f>'d3'!K126-d3П!K126</f>
        <v>0</v>
      </c>
      <c r="L126" s="393">
        <f>'d3'!L126-d3П!L126</f>
        <v>0</v>
      </c>
      <c r="M126" s="393">
        <f>'d3'!M126-d3П!M126</f>
        <v>0</v>
      </c>
      <c r="N126" s="393">
        <f>'d3'!N126-d3П!N126</f>
        <v>0</v>
      </c>
      <c r="O126" s="393">
        <f>'d3'!O126-d3П!O126</f>
        <v>0</v>
      </c>
      <c r="P126" s="393">
        <f>'d3'!P126-d3П!P126</f>
        <v>0</v>
      </c>
      <c r="Q126" s="36"/>
      <c r="R126" s="39"/>
    </row>
    <row r="127" spans="1:18" s="33" customFormat="1" ht="47.25" hidden="1" thickTop="1" thickBot="1" x14ac:dyDescent="0.25">
      <c r="A127" s="160" t="s">
        <v>1073</v>
      </c>
      <c r="B127" s="160" t="s">
        <v>1071</v>
      </c>
      <c r="C127" s="160"/>
      <c r="D127" s="160" t="s">
        <v>1070</v>
      </c>
      <c r="E127" s="393">
        <f>'d3'!E127-d3П!E127</f>
        <v>0</v>
      </c>
      <c r="F127" s="393">
        <f>'d3'!F127-d3П!F127</f>
        <v>0</v>
      </c>
      <c r="G127" s="393">
        <f>'d3'!G127-d3П!G127</f>
        <v>0</v>
      </c>
      <c r="H127" s="393">
        <f>'d3'!H127-d3П!H127</f>
        <v>0</v>
      </c>
      <c r="I127" s="393">
        <f>'d3'!I127-d3П!I127</f>
        <v>0</v>
      </c>
      <c r="J127" s="393">
        <f>'d3'!J127-d3П!J127</f>
        <v>0</v>
      </c>
      <c r="K127" s="393">
        <f>'d3'!K127-d3П!K127</f>
        <v>0</v>
      </c>
      <c r="L127" s="393">
        <f>'d3'!L127-d3П!L127</f>
        <v>0</v>
      </c>
      <c r="M127" s="393">
        <f>'d3'!M127-d3П!M127</f>
        <v>0</v>
      </c>
      <c r="N127" s="393">
        <f>'d3'!N127-d3П!N127</f>
        <v>0</v>
      </c>
      <c r="O127" s="393">
        <f>'d3'!O127-d3П!O127</f>
        <v>0</v>
      </c>
      <c r="P127" s="393">
        <f>'d3'!P127-d3П!P127</f>
        <v>0</v>
      </c>
      <c r="Q127" s="36"/>
      <c r="R127" s="39"/>
    </row>
    <row r="128" spans="1:18" s="33" customFormat="1" ht="93" hidden="1" thickTop="1" thickBot="1" x14ac:dyDescent="0.25">
      <c r="A128" s="41" t="s">
        <v>1074</v>
      </c>
      <c r="B128" s="41" t="s">
        <v>1075</v>
      </c>
      <c r="C128" s="41" t="s">
        <v>170</v>
      </c>
      <c r="D128" s="41" t="s">
        <v>1076</v>
      </c>
      <c r="E128" s="393">
        <f>'d3'!E128-d3П!E128</f>
        <v>0</v>
      </c>
      <c r="F128" s="393">
        <f>'d3'!F128-d3П!F128</f>
        <v>0</v>
      </c>
      <c r="G128" s="393">
        <f>'d3'!G128-d3П!G128</f>
        <v>0</v>
      </c>
      <c r="H128" s="393">
        <f>'d3'!H128-d3П!H128</f>
        <v>0</v>
      </c>
      <c r="I128" s="393">
        <f>'d3'!I128-d3П!I128</f>
        <v>0</v>
      </c>
      <c r="J128" s="393">
        <f>'d3'!J128-d3П!J128</f>
        <v>0</v>
      </c>
      <c r="K128" s="393">
        <f>'d3'!K128-d3П!K128</f>
        <v>0</v>
      </c>
      <c r="L128" s="393">
        <f>'d3'!L128-d3П!L128</f>
        <v>0</v>
      </c>
      <c r="M128" s="393">
        <f>'d3'!M128-d3П!M128</f>
        <v>0</v>
      </c>
      <c r="N128" s="393">
        <f>'d3'!N128-d3П!N128</f>
        <v>0</v>
      </c>
      <c r="O128" s="393">
        <f>'d3'!O128-d3П!O128</f>
        <v>0</v>
      </c>
      <c r="P128" s="393">
        <f>'d3'!P128-d3П!P128</f>
        <v>0</v>
      </c>
      <c r="Q128" s="36"/>
      <c r="R128" s="26"/>
    </row>
    <row r="129" spans="1:20" s="28" customFormat="1" ht="47.25" thickTop="1" thickBot="1" x14ac:dyDescent="0.25">
      <c r="A129" s="348" t="s">
        <v>732</v>
      </c>
      <c r="B129" s="348" t="s">
        <v>697</v>
      </c>
      <c r="C129" s="348"/>
      <c r="D129" s="348" t="s">
        <v>695</v>
      </c>
      <c r="E129" s="393">
        <f>'d3'!E129-d3П!E129</f>
        <v>0</v>
      </c>
      <c r="F129" s="393">
        <f>'d3'!F129-d3П!F129</f>
        <v>0</v>
      </c>
      <c r="G129" s="393">
        <f>'d3'!G129-d3П!G129</f>
        <v>0</v>
      </c>
      <c r="H129" s="393">
        <f>'d3'!H129-d3П!H129</f>
        <v>0</v>
      </c>
      <c r="I129" s="393">
        <f>'d3'!I129-d3П!I129</f>
        <v>0</v>
      </c>
      <c r="J129" s="393">
        <f>'d3'!J129-d3П!J129</f>
        <v>0</v>
      </c>
      <c r="K129" s="393">
        <f>'d3'!K129-d3П!K129</f>
        <v>0</v>
      </c>
      <c r="L129" s="393">
        <f>'d3'!L129-d3П!L129</f>
        <v>0</v>
      </c>
      <c r="M129" s="393">
        <f>'d3'!M129-d3П!M129</f>
        <v>0</v>
      </c>
      <c r="N129" s="393">
        <f>'d3'!N129-d3П!N129</f>
        <v>0</v>
      </c>
      <c r="O129" s="393">
        <f>'d3'!O129-d3П!O129</f>
        <v>0</v>
      </c>
      <c r="P129" s="393">
        <f>'d3'!P129-d3П!P129</f>
        <v>0</v>
      </c>
      <c r="Q129" s="165"/>
      <c r="R129" s="40"/>
    </row>
    <row r="130" spans="1:20" s="28" customFormat="1" ht="47.25" thickTop="1" thickBot="1" x14ac:dyDescent="0.25">
      <c r="A130" s="119" t="s">
        <v>1303</v>
      </c>
      <c r="B130" s="119" t="s">
        <v>216</v>
      </c>
      <c r="C130" s="119" t="s">
        <v>217</v>
      </c>
      <c r="D130" s="119" t="s">
        <v>41</v>
      </c>
      <c r="E130" s="393">
        <f>'d3'!E130-d3П!E130</f>
        <v>0</v>
      </c>
      <c r="F130" s="393">
        <f>'d3'!F130-d3П!F130</f>
        <v>0</v>
      </c>
      <c r="G130" s="393">
        <f>'d3'!G130-d3П!G130</f>
        <v>0</v>
      </c>
      <c r="H130" s="393">
        <f>'d3'!H130-d3П!H130</f>
        <v>0</v>
      </c>
      <c r="I130" s="393">
        <f>'d3'!I130-d3П!I130</f>
        <v>0</v>
      </c>
      <c r="J130" s="393">
        <f>'d3'!J130-d3П!J130</f>
        <v>0</v>
      </c>
      <c r="K130" s="393">
        <f>'d3'!K130-d3П!K130</f>
        <v>0</v>
      </c>
      <c r="L130" s="393">
        <f>'d3'!L130-d3П!L130</f>
        <v>0</v>
      </c>
      <c r="M130" s="393">
        <f>'d3'!M130-d3П!M130</f>
        <v>0</v>
      </c>
      <c r="N130" s="393">
        <f>'d3'!N130-d3П!N130</f>
        <v>0</v>
      </c>
      <c r="O130" s="393">
        <f>'d3'!O130-d3П!O130</f>
        <v>0</v>
      </c>
      <c r="P130" s="393">
        <f>'d3'!P130-d3П!P130</f>
        <v>0</v>
      </c>
      <c r="Q130" s="165"/>
      <c r="R130" s="40"/>
    </row>
    <row r="131" spans="1:20" s="33" customFormat="1" ht="48" hidden="1" thickTop="1" thickBot="1" x14ac:dyDescent="0.25">
      <c r="A131" s="41" t="s">
        <v>439</v>
      </c>
      <c r="B131" s="41" t="s">
        <v>201</v>
      </c>
      <c r="C131" s="41" t="s">
        <v>170</v>
      </c>
      <c r="D131" s="41" t="s">
        <v>34</v>
      </c>
      <c r="E131" s="42">
        <f t="shared" ref="E131:E132" si="13">F131</f>
        <v>0</v>
      </c>
      <c r="F131" s="43"/>
      <c r="G131" s="43"/>
      <c r="H131" s="43"/>
      <c r="I131" s="43"/>
      <c r="J131" s="42">
        <f t="shared" ref="J131:J132" si="14">L131+O131</f>
        <v>0</v>
      </c>
      <c r="K131" s="43"/>
      <c r="L131" s="43"/>
      <c r="M131" s="43"/>
      <c r="N131" s="43"/>
      <c r="O131" s="44">
        <f t="shared" ref="O131:O132" si="15">K131</f>
        <v>0</v>
      </c>
      <c r="P131" s="42">
        <f t="shared" ref="P131:P132" si="16">E131+J131</f>
        <v>0</v>
      </c>
      <c r="Q131" s="36"/>
      <c r="R131" s="26"/>
    </row>
    <row r="132" spans="1:20" s="33" customFormat="1" ht="48" hidden="1" thickTop="1" thickBot="1" x14ac:dyDescent="0.25">
      <c r="A132" s="41" t="s">
        <v>513</v>
      </c>
      <c r="B132" s="41" t="s">
        <v>367</v>
      </c>
      <c r="C132" s="41" t="s">
        <v>43</v>
      </c>
      <c r="D132" s="41" t="s">
        <v>368</v>
      </c>
      <c r="E132" s="42">
        <f t="shared" si="13"/>
        <v>0</v>
      </c>
      <c r="F132" s="43"/>
      <c r="G132" s="43"/>
      <c r="H132" s="43"/>
      <c r="I132" s="43"/>
      <c r="J132" s="42">
        <f t="shared" si="14"/>
        <v>0</v>
      </c>
      <c r="K132" s="43"/>
      <c r="L132" s="43"/>
      <c r="M132" s="43"/>
      <c r="N132" s="43"/>
      <c r="O132" s="44">
        <f t="shared" si="15"/>
        <v>0</v>
      </c>
      <c r="P132" s="42">
        <f t="shared" si="16"/>
        <v>0</v>
      </c>
      <c r="Q132" s="36"/>
      <c r="R132" s="30"/>
    </row>
    <row r="133" spans="1:20" ht="91.5" thickTop="1" thickBot="1" x14ac:dyDescent="0.25">
      <c r="A133" s="403" t="s">
        <v>156</v>
      </c>
      <c r="B133" s="403"/>
      <c r="C133" s="403"/>
      <c r="D133" s="404" t="s">
        <v>37</v>
      </c>
      <c r="E133" s="406">
        <f>E134</f>
        <v>4644520</v>
      </c>
      <c r="F133" s="405">
        <f t="shared" ref="F133:G133" si="17">F134</f>
        <v>4644520</v>
      </c>
      <c r="G133" s="405">
        <f t="shared" si="17"/>
        <v>3168190</v>
      </c>
      <c r="H133" s="405">
        <f>H134</f>
        <v>-226100</v>
      </c>
      <c r="I133" s="405">
        <f t="shared" ref="I133" si="18">I134</f>
        <v>0</v>
      </c>
      <c r="J133" s="406">
        <f>J134</f>
        <v>-13394470</v>
      </c>
      <c r="K133" s="405">
        <f>K134</f>
        <v>-13394470</v>
      </c>
      <c r="L133" s="405">
        <f>L134</f>
        <v>0</v>
      </c>
      <c r="M133" s="405">
        <f t="shared" ref="M133" si="19">M134</f>
        <v>0</v>
      </c>
      <c r="N133" s="405">
        <f>N134</f>
        <v>0</v>
      </c>
      <c r="O133" s="406">
        <f>O134</f>
        <v>-13394470</v>
      </c>
      <c r="P133" s="405">
        <f>P134</f>
        <v>-8749950</v>
      </c>
      <c r="Q133" s="20"/>
    </row>
    <row r="134" spans="1:20" ht="91.5" thickTop="1" thickBot="1" x14ac:dyDescent="0.25">
      <c r="A134" s="407" t="s">
        <v>157</v>
      </c>
      <c r="B134" s="407"/>
      <c r="C134" s="407"/>
      <c r="D134" s="408" t="s">
        <v>38</v>
      </c>
      <c r="E134" s="409">
        <f>E135+E139+E180+E184</f>
        <v>4644520</v>
      </c>
      <c r="F134" s="409">
        <f>F135+F139+F180+F184</f>
        <v>4644520</v>
      </c>
      <c r="G134" s="409">
        <f>G135+G139+G180+G184</f>
        <v>3168190</v>
      </c>
      <c r="H134" s="409">
        <f>H135+H139+H180+H184</f>
        <v>-226100</v>
      </c>
      <c r="I134" s="409">
        <f>I135+I139+I180+I184</f>
        <v>0</v>
      </c>
      <c r="J134" s="409">
        <f t="shared" ref="J134" si="20">L134+O134</f>
        <v>-13394470</v>
      </c>
      <c r="K134" s="409">
        <f>K135+K139+K180+K184</f>
        <v>-13394470</v>
      </c>
      <c r="L134" s="409">
        <f>L135+L139+L180+L184</f>
        <v>0</v>
      </c>
      <c r="M134" s="409">
        <f>M135+M139+M180+M184</f>
        <v>0</v>
      </c>
      <c r="N134" s="409">
        <f>N135+N139+N180+N184</f>
        <v>0</v>
      </c>
      <c r="O134" s="409">
        <f>O135+O139+O180+O184</f>
        <v>-13394470</v>
      </c>
      <c r="P134" s="409">
        <f>E134+J134</f>
        <v>-8749950</v>
      </c>
      <c r="Q134" s="353" t="b">
        <f>P134=P136+P137+P138+P141+P142+P143+P144+P145+P147+P150+P151+P153+P154+P157+P159+P176+P178+P179+P182+P160+P146+P148+P156+P189+P162+P166+P170+P187</f>
        <v>1</v>
      </c>
      <c r="R134" s="46"/>
      <c r="S134" s="46"/>
      <c r="T134" s="45"/>
    </row>
    <row r="135" spans="1:20" ht="47.25" thickTop="1" thickBot="1" x14ac:dyDescent="0.25">
      <c r="A135" s="346" t="s">
        <v>733</v>
      </c>
      <c r="B135" s="346" t="s">
        <v>690</v>
      </c>
      <c r="C135" s="346"/>
      <c r="D135" s="346" t="s">
        <v>691</v>
      </c>
      <c r="E135" s="393">
        <f>'d3'!E135-d3П!E135</f>
        <v>2535000</v>
      </c>
      <c r="F135" s="393">
        <f>'d3'!F135-d3П!F135</f>
        <v>2535000</v>
      </c>
      <c r="G135" s="393">
        <f>'d3'!G135-d3П!G135</f>
        <v>2735000</v>
      </c>
      <c r="H135" s="393">
        <f>'d3'!H135-d3П!H135</f>
        <v>0</v>
      </c>
      <c r="I135" s="393">
        <f>'d3'!I135-d3П!I135</f>
        <v>0</v>
      </c>
      <c r="J135" s="393">
        <f>'d3'!J135-d3П!J135</f>
        <v>0</v>
      </c>
      <c r="K135" s="393">
        <f>'d3'!K135-d3П!K135</f>
        <v>0</v>
      </c>
      <c r="L135" s="393">
        <f>'d3'!L135-d3П!L135</f>
        <v>0</v>
      </c>
      <c r="M135" s="393">
        <f>'d3'!M135-d3П!M135</f>
        <v>0</v>
      </c>
      <c r="N135" s="393">
        <f>'d3'!N135-d3П!N135</f>
        <v>0</v>
      </c>
      <c r="O135" s="393">
        <f>'d3'!O135-d3П!O135</f>
        <v>0</v>
      </c>
      <c r="P135" s="393">
        <f>'d3'!P135-d3П!P135</f>
        <v>2535000</v>
      </c>
      <c r="Q135" s="47"/>
      <c r="R135" s="46"/>
      <c r="T135" s="45"/>
    </row>
    <row r="136" spans="1:20" ht="93" thickTop="1" thickBot="1" x14ac:dyDescent="0.25">
      <c r="A136" s="119" t="s">
        <v>419</v>
      </c>
      <c r="B136" s="119" t="s">
        <v>240</v>
      </c>
      <c r="C136" s="119" t="s">
        <v>238</v>
      </c>
      <c r="D136" s="119" t="s">
        <v>239</v>
      </c>
      <c r="E136" s="393">
        <f>'d3'!E136-d3П!E136</f>
        <v>2535000</v>
      </c>
      <c r="F136" s="393">
        <f>'d3'!F136-d3П!F136</f>
        <v>2535000</v>
      </c>
      <c r="G136" s="393">
        <f>'d3'!G136-d3П!G136</f>
        <v>2735000</v>
      </c>
      <c r="H136" s="393">
        <f>'d3'!H136-d3П!H136</f>
        <v>0</v>
      </c>
      <c r="I136" s="393">
        <f>'d3'!I136-d3П!I136</f>
        <v>0</v>
      </c>
      <c r="J136" s="393">
        <f>'d3'!J136-d3П!J136</f>
        <v>0</v>
      </c>
      <c r="K136" s="393">
        <f>'d3'!K136-d3П!K136</f>
        <v>0</v>
      </c>
      <c r="L136" s="393">
        <f>'d3'!L136-d3П!L136</f>
        <v>0</v>
      </c>
      <c r="M136" s="393">
        <f>'d3'!M136-d3П!M136</f>
        <v>0</v>
      </c>
      <c r="N136" s="393">
        <f>'d3'!N136-d3П!N136</f>
        <v>0</v>
      </c>
      <c r="O136" s="393">
        <f>'d3'!O136-d3П!O136</f>
        <v>0</v>
      </c>
      <c r="P136" s="393">
        <f>'d3'!P136-d3П!P136</f>
        <v>2535000</v>
      </c>
      <c r="Q136" s="47"/>
      <c r="R136" s="46"/>
      <c r="T136" s="45"/>
    </row>
    <row r="137" spans="1:20" ht="93" thickTop="1" thickBot="1" x14ac:dyDescent="0.25">
      <c r="A137" s="119" t="s">
        <v>634</v>
      </c>
      <c r="B137" s="119" t="s">
        <v>366</v>
      </c>
      <c r="C137" s="119" t="s">
        <v>631</v>
      </c>
      <c r="D137" s="119" t="s">
        <v>632</v>
      </c>
      <c r="E137" s="393">
        <f>'d3'!E137-d3П!E137</f>
        <v>0</v>
      </c>
      <c r="F137" s="393">
        <f>'d3'!F137-d3П!F137</f>
        <v>0</v>
      </c>
      <c r="G137" s="393">
        <f>'d3'!G137-d3П!G137</f>
        <v>0</v>
      </c>
      <c r="H137" s="393">
        <f>'d3'!H137-d3П!H137</f>
        <v>0</v>
      </c>
      <c r="I137" s="393">
        <f>'d3'!I137-d3П!I137</f>
        <v>0</v>
      </c>
      <c r="J137" s="393">
        <f>'d3'!J137-d3П!J137</f>
        <v>0</v>
      </c>
      <c r="K137" s="393">
        <f>'d3'!K137-d3П!K137</f>
        <v>0</v>
      </c>
      <c r="L137" s="393">
        <f>'d3'!L137-d3П!L137</f>
        <v>0</v>
      </c>
      <c r="M137" s="393">
        <f>'d3'!M137-d3П!M137</f>
        <v>0</v>
      </c>
      <c r="N137" s="393">
        <f>'d3'!N137-d3П!N137</f>
        <v>0</v>
      </c>
      <c r="O137" s="393">
        <f>'d3'!O137-d3П!O137</f>
        <v>0</v>
      </c>
      <c r="P137" s="393">
        <f>'d3'!P137-d3П!P137</f>
        <v>0</v>
      </c>
      <c r="Q137" s="47"/>
      <c r="R137" s="46"/>
      <c r="T137" s="45"/>
    </row>
    <row r="138" spans="1:20" ht="47.25" thickTop="1" thickBot="1" x14ac:dyDescent="0.25">
      <c r="A138" s="119" t="s">
        <v>928</v>
      </c>
      <c r="B138" s="119" t="s">
        <v>43</v>
      </c>
      <c r="C138" s="119" t="s">
        <v>42</v>
      </c>
      <c r="D138" s="119" t="s">
        <v>252</v>
      </c>
      <c r="E138" s="393">
        <f>'d3'!E138-d3П!E138</f>
        <v>0</v>
      </c>
      <c r="F138" s="393">
        <f>'d3'!F138-d3П!F138</f>
        <v>0</v>
      </c>
      <c r="G138" s="393">
        <f>'d3'!G138-d3П!G138</f>
        <v>0</v>
      </c>
      <c r="H138" s="393">
        <f>'d3'!H138-d3П!H138</f>
        <v>0</v>
      </c>
      <c r="I138" s="393">
        <f>'d3'!I138-d3П!I138</f>
        <v>0</v>
      </c>
      <c r="J138" s="393">
        <f>'d3'!J138-d3П!J138</f>
        <v>0</v>
      </c>
      <c r="K138" s="393">
        <f>'d3'!K138-d3П!K138</f>
        <v>0</v>
      </c>
      <c r="L138" s="393">
        <f>'d3'!L138-d3П!L138</f>
        <v>0</v>
      </c>
      <c r="M138" s="393">
        <f>'d3'!M138-d3П!M138</f>
        <v>0</v>
      </c>
      <c r="N138" s="393">
        <f>'d3'!N138-d3П!N138</f>
        <v>0</v>
      </c>
      <c r="O138" s="393">
        <f>'d3'!O138-d3П!O138</f>
        <v>0</v>
      </c>
      <c r="P138" s="393">
        <f>'d3'!P138-d3П!P138</f>
        <v>0</v>
      </c>
      <c r="Q138" s="47"/>
      <c r="R138" s="46"/>
      <c r="T138" s="45"/>
    </row>
    <row r="139" spans="1:20" ht="47.25" thickTop="1" thickBot="1" x14ac:dyDescent="0.25">
      <c r="A139" s="346" t="s">
        <v>734</v>
      </c>
      <c r="B139" s="346" t="s">
        <v>717</v>
      </c>
      <c r="C139" s="346"/>
      <c r="D139" s="346" t="s">
        <v>718</v>
      </c>
      <c r="E139" s="393">
        <f>'d3'!E139-d3П!E139</f>
        <v>2109520</v>
      </c>
      <c r="F139" s="393">
        <f>'d3'!F139-d3П!F139</f>
        <v>2109520</v>
      </c>
      <c r="G139" s="393">
        <f>'d3'!G139-d3П!G139</f>
        <v>433190</v>
      </c>
      <c r="H139" s="393">
        <f>'d3'!H139-d3П!H139</f>
        <v>-226100</v>
      </c>
      <c r="I139" s="393">
        <f>'d3'!I139-d3П!I139</f>
        <v>0</v>
      </c>
      <c r="J139" s="393">
        <f>'d3'!J139-d3П!J139</f>
        <v>-13394470</v>
      </c>
      <c r="K139" s="393">
        <f>'d3'!K139-d3П!K139</f>
        <v>-13394470</v>
      </c>
      <c r="L139" s="393">
        <f>'d3'!L139-d3П!L139</f>
        <v>0</v>
      </c>
      <c r="M139" s="393">
        <f>'d3'!M139-d3П!M139</f>
        <v>0</v>
      </c>
      <c r="N139" s="393">
        <f>'d3'!N139-d3П!N139</f>
        <v>0</v>
      </c>
      <c r="O139" s="393">
        <f>'d3'!O139-d3П!O139</f>
        <v>-13394470</v>
      </c>
      <c r="P139" s="393">
        <f>'d3'!P139-d3П!P139</f>
        <v>-11284950</v>
      </c>
      <c r="Q139" s="47"/>
      <c r="R139" s="46"/>
      <c r="T139" s="45"/>
    </row>
    <row r="140" spans="1:20" ht="138.75" thickTop="1" thickBot="1" x14ac:dyDescent="0.25">
      <c r="A140" s="399" t="s">
        <v>735</v>
      </c>
      <c r="B140" s="399" t="s">
        <v>736</v>
      </c>
      <c r="C140" s="399"/>
      <c r="D140" s="399" t="s">
        <v>737</v>
      </c>
      <c r="E140" s="393">
        <f>'d3'!E140-d3П!E140</f>
        <v>0</v>
      </c>
      <c r="F140" s="393">
        <f>'d3'!F140-d3П!F140</f>
        <v>0</v>
      </c>
      <c r="G140" s="393">
        <f>'d3'!G140-d3П!G140</f>
        <v>0</v>
      </c>
      <c r="H140" s="393">
        <f>'d3'!H140-d3П!H140</f>
        <v>0</v>
      </c>
      <c r="I140" s="393">
        <f>'d3'!I140-d3П!I140</f>
        <v>0</v>
      </c>
      <c r="J140" s="393">
        <f>'d3'!J140-d3П!J140</f>
        <v>0</v>
      </c>
      <c r="K140" s="393">
        <f>'d3'!K140-d3П!K140</f>
        <v>0</v>
      </c>
      <c r="L140" s="393">
        <f>'d3'!L140-d3П!L140</f>
        <v>0</v>
      </c>
      <c r="M140" s="393">
        <f>'d3'!M140-d3П!M140</f>
        <v>0</v>
      </c>
      <c r="N140" s="393">
        <f>'d3'!N140-d3П!N140</f>
        <v>0</v>
      </c>
      <c r="O140" s="393">
        <f>'d3'!O140-d3П!O140</f>
        <v>0</v>
      </c>
      <c r="P140" s="393">
        <f>'d3'!P140-d3П!P140</f>
        <v>0</v>
      </c>
      <c r="Q140" s="166"/>
      <c r="R140" s="48"/>
      <c r="T140" s="49"/>
    </row>
    <row r="141" spans="1:20" s="33" customFormat="1" ht="93" thickTop="1" thickBot="1" x14ac:dyDescent="0.25">
      <c r="A141" s="119" t="s">
        <v>273</v>
      </c>
      <c r="B141" s="119" t="s">
        <v>274</v>
      </c>
      <c r="C141" s="119" t="s">
        <v>209</v>
      </c>
      <c r="D141" s="401" t="s">
        <v>275</v>
      </c>
      <c r="E141" s="393">
        <f>'d3'!E141-d3П!E141</f>
        <v>0</v>
      </c>
      <c r="F141" s="393">
        <f>'d3'!F141-d3П!F141</f>
        <v>0</v>
      </c>
      <c r="G141" s="393">
        <f>'d3'!G141-d3П!G141</f>
        <v>0</v>
      </c>
      <c r="H141" s="393">
        <f>'d3'!H141-d3П!H141</f>
        <v>0</v>
      </c>
      <c r="I141" s="393">
        <f>'d3'!I141-d3П!I141</f>
        <v>0</v>
      </c>
      <c r="J141" s="393">
        <f>'d3'!J141-d3П!J141</f>
        <v>0</v>
      </c>
      <c r="K141" s="393">
        <f>'d3'!K141-d3П!K141</f>
        <v>0</v>
      </c>
      <c r="L141" s="393">
        <f>'d3'!L141-d3П!L141</f>
        <v>0</v>
      </c>
      <c r="M141" s="393">
        <f>'d3'!M141-d3П!M141</f>
        <v>0</v>
      </c>
      <c r="N141" s="393">
        <f>'d3'!N141-d3П!N141</f>
        <v>0</v>
      </c>
      <c r="O141" s="393">
        <f>'d3'!O141-d3П!O141</f>
        <v>0</v>
      </c>
      <c r="P141" s="393">
        <f>'d3'!P141-d3П!P141</f>
        <v>0</v>
      </c>
      <c r="Q141" s="36"/>
      <c r="R141" s="46"/>
    </row>
    <row r="142" spans="1:20" s="33" customFormat="1" ht="47.25" thickTop="1" thickBot="1" x14ac:dyDescent="0.25">
      <c r="A142" s="119" t="s">
        <v>276</v>
      </c>
      <c r="B142" s="119" t="s">
        <v>277</v>
      </c>
      <c r="C142" s="119" t="s">
        <v>210</v>
      </c>
      <c r="D142" s="119" t="s">
        <v>6</v>
      </c>
      <c r="E142" s="393">
        <f>'d3'!E142-d3П!E142</f>
        <v>0</v>
      </c>
      <c r="F142" s="393">
        <f>'d3'!F142-d3П!F142</f>
        <v>0</v>
      </c>
      <c r="G142" s="393">
        <f>'d3'!G142-d3П!G142</f>
        <v>0</v>
      </c>
      <c r="H142" s="393">
        <f>'d3'!H142-d3П!H142</f>
        <v>0</v>
      </c>
      <c r="I142" s="393">
        <f>'d3'!I142-d3П!I142</f>
        <v>0</v>
      </c>
      <c r="J142" s="393">
        <f>'d3'!J142-d3П!J142</f>
        <v>0</v>
      </c>
      <c r="K142" s="393">
        <f>'d3'!K142-d3П!K142</f>
        <v>0</v>
      </c>
      <c r="L142" s="393">
        <f>'d3'!L142-d3П!L142</f>
        <v>0</v>
      </c>
      <c r="M142" s="393">
        <f>'d3'!M142-d3П!M142</f>
        <v>0</v>
      </c>
      <c r="N142" s="393">
        <f>'d3'!N142-d3П!N142</f>
        <v>0</v>
      </c>
      <c r="O142" s="393">
        <f>'d3'!O142-d3П!O142</f>
        <v>0</v>
      </c>
      <c r="P142" s="393">
        <f>'d3'!P142-d3П!P142</f>
        <v>0</v>
      </c>
      <c r="Q142" s="36"/>
      <c r="R142" s="50"/>
    </row>
    <row r="143" spans="1:20" s="33" customFormat="1" ht="93" thickTop="1" thickBot="1" x14ac:dyDescent="0.25">
      <c r="A143" s="119" t="s">
        <v>279</v>
      </c>
      <c r="B143" s="119" t="s">
        <v>280</v>
      </c>
      <c r="C143" s="119" t="s">
        <v>210</v>
      </c>
      <c r="D143" s="119" t="s">
        <v>7</v>
      </c>
      <c r="E143" s="393">
        <f>'d3'!E143-d3П!E143</f>
        <v>0</v>
      </c>
      <c r="F143" s="393">
        <f>'d3'!F143-d3П!F143</f>
        <v>0</v>
      </c>
      <c r="G143" s="393">
        <f>'d3'!G143-d3П!G143</f>
        <v>0</v>
      </c>
      <c r="H143" s="393">
        <f>'d3'!H143-d3П!H143</f>
        <v>0</v>
      </c>
      <c r="I143" s="393">
        <f>'d3'!I143-d3П!I143</f>
        <v>0</v>
      </c>
      <c r="J143" s="393">
        <f>'d3'!J143-d3П!J143</f>
        <v>0</v>
      </c>
      <c r="K143" s="393">
        <f>'d3'!K143-d3П!K143</f>
        <v>0</v>
      </c>
      <c r="L143" s="393">
        <f>'d3'!L143-d3П!L143</f>
        <v>0</v>
      </c>
      <c r="M143" s="393">
        <f>'d3'!M143-d3П!M143</f>
        <v>0</v>
      </c>
      <c r="N143" s="393">
        <f>'d3'!N143-d3П!N143</f>
        <v>0</v>
      </c>
      <c r="O143" s="393">
        <f>'d3'!O143-d3П!O143</f>
        <v>0</v>
      </c>
      <c r="P143" s="393">
        <f>'d3'!P143-d3П!P143</f>
        <v>0</v>
      </c>
      <c r="Q143" s="36"/>
      <c r="R143" s="50"/>
    </row>
    <row r="144" spans="1:20" s="33" customFormat="1" ht="93" thickTop="1" thickBot="1" x14ac:dyDescent="0.25">
      <c r="A144" s="119" t="s">
        <v>281</v>
      </c>
      <c r="B144" s="119" t="s">
        <v>278</v>
      </c>
      <c r="C144" s="119" t="s">
        <v>210</v>
      </c>
      <c r="D144" s="119" t="s">
        <v>8</v>
      </c>
      <c r="E144" s="393">
        <f>'d3'!E144-d3П!E144</f>
        <v>0</v>
      </c>
      <c r="F144" s="393">
        <f>'d3'!F144-d3П!F144</f>
        <v>0</v>
      </c>
      <c r="G144" s="393">
        <f>'d3'!G144-d3П!G144</f>
        <v>0</v>
      </c>
      <c r="H144" s="393">
        <f>'d3'!H144-d3П!H144</f>
        <v>0</v>
      </c>
      <c r="I144" s="393">
        <f>'d3'!I144-d3П!I144</f>
        <v>0</v>
      </c>
      <c r="J144" s="393">
        <f>'d3'!J144-d3П!J144</f>
        <v>0</v>
      </c>
      <c r="K144" s="393">
        <f>'d3'!K144-d3П!K144</f>
        <v>0</v>
      </c>
      <c r="L144" s="393">
        <f>'d3'!L144-d3П!L144</f>
        <v>0</v>
      </c>
      <c r="M144" s="393">
        <f>'d3'!M144-d3П!M144</f>
        <v>0</v>
      </c>
      <c r="N144" s="393">
        <f>'d3'!N144-d3П!N144</f>
        <v>0</v>
      </c>
      <c r="O144" s="393">
        <f>'d3'!O144-d3П!O144</f>
        <v>0</v>
      </c>
      <c r="P144" s="393">
        <f>'d3'!P144-d3П!P144</f>
        <v>0</v>
      </c>
      <c r="Q144" s="36"/>
      <c r="R144" s="50"/>
    </row>
    <row r="145" spans="1:18" s="33" customFormat="1" ht="93" thickTop="1" thickBot="1" x14ac:dyDescent="0.25">
      <c r="A145" s="119" t="s">
        <v>282</v>
      </c>
      <c r="B145" s="119" t="s">
        <v>283</v>
      </c>
      <c r="C145" s="119" t="s">
        <v>210</v>
      </c>
      <c r="D145" s="119" t="s">
        <v>9</v>
      </c>
      <c r="E145" s="393">
        <f>'d3'!E145-d3П!E145</f>
        <v>0</v>
      </c>
      <c r="F145" s="393">
        <f>'d3'!F145-d3П!F145</f>
        <v>0</v>
      </c>
      <c r="G145" s="393">
        <f>'d3'!G145-d3П!G145</f>
        <v>0</v>
      </c>
      <c r="H145" s="393">
        <f>'d3'!H145-d3П!H145</f>
        <v>0</v>
      </c>
      <c r="I145" s="393">
        <f>'d3'!I145-d3П!I145</f>
        <v>0</v>
      </c>
      <c r="J145" s="393">
        <f>'d3'!J145-d3П!J145</f>
        <v>0</v>
      </c>
      <c r="K145" s="393">
        <f>'d3'!K145-d3П!K145</f>
        <v>0</v>
      </c>
      <c r="L145" s="393">
        <f>'d3'!L145-d3П!L145</f>
        <v>0</v>
      </c>
      <c r="M145" s="393">
        <f>'d3'!M145-d3П!M145</f>
        <v>0</v>
      </c>
      <c r="N145" s="393">
        <f>'d3'!N145-d3П!N145</f>
        <v>0</v>
      </c>
      <c r="O145" s="393">
        <f>'d3'!O145-d3П!O145</f>
        <v>0</v>
      </c>
      <c r="P145" s="393">
        <f>'d3'!P145-d3П!P145</f>
        <v>0</v>
      </c>
      <c r="Q145" s="36"/>
      <c r="R145" s="50"/>
    </row>
    <row r="146" spans="1:18" s="33" customFormat="1" ht="93" thickTop="1" thickBot="1" x14ac:dyDescent="0.25">
      <c r="A146" s="119" t="s">
        <v>482</v>
      </c>
      <c r="B146" s="119" t="s">
        <v>483</v>
      </c>
      <c r="C146" s="119" t="s">
        <v>210</v>
      </c>
      <c r="D146" s="119" t="s">
        <v>484</v>
      </c>
      <c r="E146" s="393">
        <f>'d3'!E146-d3П!E146</f>
        <v>0</v>
      </c>
      <c r="F146" s="393">
        <f>'d3'!F146-d3П!F146</f>
        <v>0</v>
      </c>
      <c r="G146" s="393">
        <f>'d3'!G146-d3П!G146</f>
        <v>0</v>
      </c>
      <c r="H146" s="393">
        <f>'d3'!H146-d3П!H146</f>
        <v>0</v>
      </c>
      <c r="I146" s="393">
        <f>'d3'!I146-d3П!I146</f>
        <v>0</v>
      </c>
      <c r="J146" s="393">
        <f>'d3'!J146-d3П!J146</f>
        <v>0</v>
      </c>
      <c r="K146" s="393">
        <f>'d3'!K146-d3П!K146</f>
        <v>0</v>
      </c>
      <c r="L146" s="393">
        <f>'d3'!L146-d3П!L146</f>
        <v>0</v>
      </c>
      <c r="M146" s="393">
        <f>'d3'!M146-d3П!M146</f>
        <v>0</v>
      </c>
      <c r="N146" s="393">
        <f>'d3'!N146-d3П!N146</f>
        <v>0</v>
      </c>
      <c r="O146" s="393">
        <f>'d3'!O146-d3П!O146</f>
        <v>0</v>
      </c>
      <c r="P146" s="393">
        <f>'d3'!P146-d3П!P146</f>
        <v>0</v>
      </c>
      <c r="Q146" s="36"/>
      <c r="R146" s="50"/>
    </row>
    <row r="147" spans="1:18" s="33" customFormat="1" ht="93" thickTop="1" thickBot="1" x14ac:dyDescent="0.25">
      <c r="A147" s="119" t="s">
        <v>929</v>
      </c>
      <c r="B147" s="119" t="s">
        <v>930</v>
      </c>
      <c r="C147" s="119" t="s">
        <v>210</v>
      </c>
      <c r="D147" s="119" t="s">
        <v>931</v>
      </c>
      <c r="E147" s="393">
        <f>'d3'!E147-d3П!E147</f>
        <v>0</v>
      </c>
      <c r="F147" s="393">
        <f>'d3'!F147-d3П!F147</f>
        <v>0</v>
      </c>
      <c r="G147" s="393">
        <f>'d3'!G147-d3П!G147</f>
        <v>0</v>
      </c>
      <c r="H147" s="393">
        <f>'d3'!H147-d3П!H147</f>
        <v>0</v>
      </c>
      <c r="I147" s="393">
        <f>'d3'!I147-d3П!I147</f>
        <v>0</v>
      </c>
      <c r="J147" s="393">
        <f>'d3'!J147-d3П!J147</f>
        <v>0</v>
      </c>
      <c r="K147" s="393">
        <f>'d3'!K147-d3П!K147</f>
        <v>0</v>
      </c>
      <c r="L147" s="393">
        <f>'d3'!L147-d3П!L147</f>
        <v>0</v>
      </c>
      <c r="M147" s="393">
        <f>'d3'!M147-d3П!M147</f>
        <v>0</v>
      </c>
      <c r="N147" s="393">
        <f>'d3'!N147-d3П!N147</f>
        <v>0</v>
      </c>
      <c r="O147" s="393">
        <f>'d3'!O147-d3П!O147</f>
        <v>0</v>
      </c>
      <c r="P147" s="393">
        <f>'d3'!P147-d3П!P147</f>
        <v>0</v>
      </c>
      <c r="Q147" s="36"/>
      <c r="R147" s="50"/>
    </row>
    <row r="148" spans="1:18" ht="93" thickTop="1" thickBot="1" x14ac:dyDescent="0.25">
      <c r="A148" s="119" t="s">
        <v>485</v>
      </c>
      <c r="B148" s="119" t="s">
        <v>486</v>
      </c>
      <c r="C148" s="119" t="s">
        <v>209</v>
      </c>
      <c r="D148" s="119" t="s">
        <v>487</v>
      </c>
      <c r="E148" s="393">
        <f>'d3'!E148-d3П!E148</f>
        <v>0</v>
      </c>
      <c r="F148" s="393">
        <f>'d3'!F148-d3П!F148</f>
        <v>0</v>
      </c>
      <c r="G148" s="393">
        <f>'d3'!G148-d3П!G148</f>
        <v>0</v>
      </c>
      <c r="H148" s="393">
        <f>'d3'!H148-d3П!H148</f>
        <v>0</v>
      </c>
      <c r="I148" s="393">
        <f>'d3'!I148-d3П!I148</f>
        <v>0</v>
      </c>
      <c r="J148" s="393">
        <f>'d3'!J148-d3П!J148</f>
        <v>0</v>
      </c>
      <c r="K148" s="393">
        <f>'d3'!K148-d3П!K148</f>
        <v>0</v>
      </c>
      <c r="L148" s="393">
        <f>'d3'!L148-d3П!L148</f>
        <v>0</v>
      </c>
      <c r="M148" s="393">
        <f>'d3'!M148-d3П!M148</f>
        <v>0</v>
      </c>
      <c r="N148" s="393">
        <f>'d3'!N148-d3П!N148</f>
        <v>0</v>
      </c>
      <c r="O148" s="393">
        <f>'d3'!O148-d3П!O148</f>
        <v>0</v>
      </c>
      <c r="P148" s="393">
        <f>'d3'!P148-d3П!P148</f>
        <v>0</v>
      </c>
      <c r="Q148" s="20"/>
      <c r="R148" s="50"/>
    </row>
    <row r="149" spans="1:18" s="33" customFormat="1" ht="138.75" thickTop="1" thickBot="1" x14ac:dyDescent="0.25">
      <c r="A149" s="399" t="s">
        <v>738</v>
      </c>
      <c r="B149" s="399" t="s">
        <v>739</v>
      </c>
      <c r="C149" s="399"/>
      <c r="D149" s="399" t="s">
        <v>740</v>
      </c>
      <c r="E149" s="393">
        <f>'d3'!E149-d3П!E149</f>
        <v>-471070</v>
      </c>
      <c r="F149" s="393">
        <f>'d3'!F149-d3П!F149</f>
        <v>-471070</v>
      </c>
      <c r="G149" s="393">
        <f>'d3'!G149-d3П!G149</f>
        <v>324930</v>
      </c>
      <c r="H149" s="393">
        <f>'d3'!H149-d3П!H149</f>
        <v>-226100</v>
      </c>
      <c r="I149" s="393">
        <f>'d3'!I149-d3П!I149</f>
        <v>0</v>
      </c>
      <c r="J149" s="393">
        <f>'d3'!J149-d3П!J149</f>
        <v>0</v>
      </c>
      <c r="K149" s="393">
        <f>'d3'!K149-d3П!K149</f>
        <v>0</v>
      </c>
      <c r="L149" s="393">
        <f>'d3'!L149-d3П!L149</f>
        <v>0</v>
      </c>
      <c r="M149" s="393">
        <f>'d3'!M149-d3П!M149</f>
        <v>0</v>
      </c>
      <c r="N149" s="393">
        <f>'d3'!N149-d3П!N149</f>
        <v>0</v>
      </c>
      <c r="O149" s="393">
        <f>'d3'!O149-d3П!O149</f>
        <v>0</v>
      </c>
      <c r="P149" s="393">
        <f>'d3'!P149-d3П!P149</f>
        <v>-471070</v>
      </c>
      <c r="Q149" s="36"/>
      <c r="R149" s="51"/>
    </row>
    <row r="150" spans="1:18" ht="138.75" thickTop="1" thickBot="1" x14ac:dyDescent="0.25">
      <c r="A150" s="119" t="s">
        <v>271</v>
      </c>
      <c r="B150" s="119" t="s">
        <v>269</v>
      </c>
      <c r="C150" s="119" t="s">
        <v>204</v>
      </c>
      <c r="D150" s="119" t="s">
        <v>17</v>
      </c>
      <c r="E150" s="393">
        <f>'d3'!E150-d3П!E150</f>
        <v>-471070</v>
      </c>
      <c r="F150" s="393">
        <f>'d3'!F150-d3П!F150</f>
        <v>-471070</v>
      </c>
      <c r="G150" s="393">
        <f>'d3'!G150-d3П!G150</f>
        <v>324930</v>
      </c>
      <c r="H150" s="393">
        <f>'d3'!H150-d3П!H150</f>
        <v>-196000</v>
      </c>
      <c r="I150" s="393">
        <f>'d3'!I150-d3П!I150</f>
        <v>0</v>
      </c>
      <c r="J150" s="393">
        <f>'d3'!J150-d3П!J150</f>
        <v>0</v>
      </c>
      <c r="K150" s="393">
        <f>'d3'!K150-d3П!K150</f>
        <v>0</v>
      </c>
      <c r="L150" s="393">
        <f>'d3'!L150-d3П!L150</f>
        <v>0</v>
      </c>
      <c r="M150" s="393">
        <f>'d3'!M150-d3П!M150</f>
        <v>0</v>
      </c>
      <c r="N150" s="393">
        <f>'d3'!N150-d3П!N150</f>
        <v>0</v>
      </c>
      <c r="O150" s="393">
        <f>'d3'!O150-d3П!O150</f>
        <v>0</v>
      </c>
      <c r="P150" s="393">
        <f>'d3'!P150-d3П!P150</f>
        <v>-471070</v>
      </c>
      <c r="Q150" s="20"/>
      <c r="R150" s="46"/>
    </row>
    <row r="151" spans="1:18" ht="93" thickTop="1" thickBot="1" x14ac:dyDescent="0.25">
      <c r="A151" s="119" t="s">
        <v>272</v>
      </c>
      <c r="B151" s="119" t="s">
        <v>270</v>
      </c>
      <c r="C151" s="119" t="s">
        <v>203</v>
      </c>
      <c r="D151" s="119" t="s">
        <v>459</v>
      </c>
      <c r="E151" s="393">
        <f>'d3'!E151-d3П!E151</f>
        <v>0</v>
      </c>
      <c r="F151" s="393">
        <f>'d3'!F151-d3П!F151</f>
        <v>0</v>
      </c>
      <c r="G151" s="393">
        <f>'d3'!G151-d3П!G151</f>
        <v>0</v>
      </c>
      <c r="H151" s="393">
        <f>'d3'!H151-d3П!H151</f>
        <v>-30100</v>
      </c>
      <c r="I151" s="393">
        <f>'d3'!I151-d3П!I151</f>
        <v>0</v>
      </c>
      <c r="J151" s="393">
        <f>'d3'!J151-d3П!J151</f>
        <v>0</v>
      </c>
      <c r="K151" s="393">
        <f>'d3'!K151-d3П!K151</f>
        <v>0</v>
      </c>
      <c r="L151" s="393">
        <f>'d3'!L151-d3П!L151</f>
        <v>0</v>
      </c>
      <c r="M151" s="393">
        <f>'d3'!M151-d3П!M151</f>
        <v>0</v>
      </c>
      <c r="N151" s="393">
        <f>'d3'!N151-d3П!N151</f>
        <v>0</v>
      </c>
      <c r="O151" s="393">
        <f>'d3'!O151-d3П!O151</f>
        <v>0</v>
      </c>
      <c r="P151" s="393">
        <f>'d3'!P151-d3П!P151</f>
        <v>0</v>
      </c>
      <c r="Q151" s="20"/>
      <c r="R151" s="46"/>
    </row>
    <row r="152" spans="1:18" ht="47.25" thickTop="1" thickBot="1" x14ac:dyDescent="0.25">
      <c r="A152" s="399" t="s">
        <v>1035</v>
      </c>
      <c r="B152" s="399" t="s">
        <v>771</v>
      </c>
      <c r="C152" s="399"/>
      <c r="D152" s="399" t="s">
        <v>772</v>
      </c>
      <c r="E152" s="393">
        <f>'d3'!E152-d3П!E152</f>
        <v>131590</v>
      </c>
      <c r="F152" s="393">
        <f>'d3'!F152-d3П!F152</f>
        <v>131590</v>
      </c>
      <c r="G152" s="393">
        <f>'d3'!G152-d3П!G152</f>
        <v>107860</v>
      </c>
      <c r="H152" s="393">
        <f>'d3'!H152-d3П!H152</f>
        <v>0</v>
      </c>
      <c r="I152" s="393">
        <f>'d3'!I152-d3П!I152</f>
        <v>0</v>
      </c>
      <c r="J152" s="393">
        <f>'d3'!J152-d3П!J152</f>
        <v>0</v>
      </c>
      <c r="K152" s="393">
        <f>'d3'!K152-d3П!K152</f>
        <v>0</v>
      </c>
      <c r="L152" s="393">
        <f>'d3'!L152-d3П!L152</f>
        <v>0</v>
      </c>
      <c r="M152" s="393">
        <f>'d3'!M152-d3П!M152</f>
        <v>0</v>
      </c>
      <c r="N152" s="393">
        <f>'d3'!N152-d3П!N152</f>
        <v>0</v>
      </c>
      <c r="O152" s="393">
        <f>'d3'!O152-d3П!O152</f>
        <v>0</v>
      </c>
      <c r="P152" s="393">
        <f>'d3'!P152-d3П!P152</f>
        <v>131590</v>
      </c>
      <c r="Q152" s="20"/>
      <c r="R152" s="46"/>
    </row>
    <row r="153" spans="1:18" ht="47.25" thickTop="1" thickBot="1" x14ac:dyDescent="0.25">
      <c r="A153" s="119" t="s">
        <v>1240</v>
      </c>
      <c r="B153" s="119" t="s">
        <v>188</v>
      </c>
      <c r="C153" s="119" t="s">
        <v>189</v>
      </c>
      <c r="D153" s="119" t="s">
        <v>644</v>
      </c>
      <c r="E153" s="393">
        <f>'d3'!E153-d3П!E153</f>
        <v>131590</v>
      </c>
      <c r="F153" s="393">
        <f>'d3'!F153-d3П!F153</f>
        <v>131590</v>
      </c>
      <c r="G153" s="393">
        <f>'d3'!G153-d3П!G153</f>
        <v>107860</v>
      </c>
      <c r="H153" s="393">
        <f>'d3'!H153-d3П!H153</f>
        <v>0</v>
      </c>
      <c r="I153" s="393">
        <f>'d3'!I153-d3П!I153</f>
        <v>0</v>
      </c>
      <c r="J153" s="393">
        <f>'d3'!J153-d3П!J153</f>
        <v>0</v>
      </c>
      <c r="K153" s="393">
        <f>'d3'!K153-d3П!K153</f>
        <v>0</v>
      </c>
      <c r="L153" s="393">
        <f>'d3'!L153-d3П!L153</f>
        <v>0</v>
      </c>
      <c r="M153" s="393">
        <f>'d3'!M153-d3П!M153</f>
        <v>0</v>
      </c>
      <c r="N153" s="393">
        <f>'d3'!N153-d3П!N153</f>
        <v>0</v>
      </c>
      <c r="O153" s="393">
        <f>'d3'!O153-d3П!O153</f>
        <v>0</v>
      </c>
      <c r="P153" s="393">
        <f>'d3'!P153-d3П!P153</f>
        <v>131590</v>
      </c>
      <c r="Q153" s="20"/>
      <c r="R153" s="46"/>
    </row>
    <row r="154" spans="1:18" ht="184.5" thickTop="1" thickBot="1" x14ac:dyDescent="0.25">
      <c r="A154" s="119" t="s">
        <v>267</v>
      </c>
      <c r="B154" s="119" t="s">
        <v>268</v>
      </c>
      <c r="C154" s="119" t="s">
        <v>203</v>
      </c>
      <c r="D154" s="119" t="s">
        <v>457</v>
      </c>
      <c r="E154" s="393">
        <f>'d3'!E154-d3П!E154</f>
        <v>0</v>
      </c>
      <c r="F154" s="393">
        <f>'d3'!F154-d3П!F154</f>
        <v>0</v>
      </c>
      <c r="G154" s="393">
        <f>'d3'!G154-d3П!G154</f>
        <v>0</v>
      </c>
      <c r="H154" s="393">
        <f>'d3'!H154-d3П!H154</f>
        <v>0</v>
      </c>
      <c r="I154" s="393">
        <f>'d3'!I154-d3П!I154</f>
        <v>0</v>
      </c>
      <c r="J154" s="393">
        <f>'d3'!J154-d3П!J154</f>
        <v>0</v>
      </c>
      <c r="K154" s="393">
        <f>'d3'!K154-d3П!K154</f>
        <v>0</v>
      </c>
      <c r="L154" s="393">
        <f>'d3'!L154-d3П!L154</f>
        <v>0</v>
      </c>
      <c r="M154" s="393">
        <f>'d3'!M154-d3П!M154</f>
        <v>0</v>
      </c>
      <c r="N154" s="393">
        <f>'d3'!N154-d3П!N154</f>
        <v>0</v>
      </c>
      <c r="O154" s="393">
        <f>'d3'!O154-d3П!O154</f>
        <v>0</v>
      </c>
      <c r="P154" s="393">
        <f>'d3'!P154-d3П!P154</f>
        <v>0</v>
      </c>
      <c r="Q154" s="20"/>
      <c r="R154" s="50"/>
    </row>
    <row r="155" spans="1:18" ht="47.25" thickTop="1" thickBot="1" x14ac:dyDescent="0.25">
      <c r="A155" s="399" t="s">
        <v>889</v>
      </c>
      <c r="B155" s="399" t="s">
        <v>890</v>
      </c>
      <c r="C155" s="399"/>
      <c r="D155" s="399" t="s">
        <v>891</v>
      </c>
      <c r="E155" s="393">
        <f>'d3'!E155-d3П!E155</f>
        <v>0</v>
      </c>
      <c r="F155" s="393">
        <f>'d3'!F155-d3П!F155</f>
        <v>0</v>
      </c>
      <c r="G155" s="393">
        <f>'d3'!G155-d3П!G155</f>
        <v>0</v>
      </c>
      <c r="H155" s="393">
        <f>'d3'!H155-d3П!H155</f>
        <v>0</v>
      </c>
      <c r="I155" s="393">
        <f>'d3'!I155-d3П!I155</f>
        <v>0</v>
      </c>
      <c r="J155" s="393">
        <f>'d3'!J155-d3П!J155</f>
        <v>0</v>
      </c>
      <c r="K155" s="393">
        <f>'d3'!K155-d3П!K155</f>
        <v>0</v>
      </c>
      <c r="L155" s="393">
        <f>'d3'!L155-d3П!L155</f>
        <v>0</v>
      </c>
      <c r="M155" s="393">
        <f>'d3'!M155-d3П!M155</f>
        <v>0</v>
      </c>
      <c r="N155" s="393">
        <f>'d3'!N155-d3П!N155</f>
        <v>0</v>
      </c>
      <c r="O155" s="393">
        <f>'d3'!O155-d3П!O155</f>
        <v>0</v>
      </c>
      <c r="P155" s="393">
        <f>'d3'!P155-d3П!P155</f>
        <v>0</v>
      </c>
      <c r="Q155" s="20"/>
      <c r="R155" s="50"/>
    </row>
    <row r="156" spans="1:18" ht="93" thickTop="1" thickBot="1" x14ac:dyDescent="0.25">
      <c r="A156" s="119" t="s">
        <v>488</v>
      </c>
      <c r="B156" s="119" t="s">
        <v>489</v>
      </c>
      <c r="C156" s="119" t="s">
        <v>203</v>
      </c>
      <c r="D156" s="119" t="s">
        <v>490</v>
      </c>
      <c r="E156" s="393">
        <f>'d3'!E156-d3П!E156</f>
        <v>0</v>
      </c>
      <c r="F156" s="393">
        <f>'d3'!F156-d3П!F156</f>
        <v>0</v>
      </c>
      <c r="G156" s="393">
        <f>'d3'!G156-d3П!G156</f>
        <v>0</v>
      </c>
      <c r="H156" s="393">
        <f>'d3'!H156-d3П!H156</f>
        <v>0</v>
      </c>
      <c r="I156" s="393">
        <f>'d3'!I156-d3П!I156</f>
        <v>0</v>
      </c>
      <c r="J156" s="393">
        <f>'d3'!J156-d3П!J156</f>
        <v>0</v>
      </c>
      <c r="K156" s="393">
        <f>'d3'!K156-d3П!K156</f>
        <v>0</v>
      </c>
      <c r="L156" s="393">
        <f>'d3'!L156-d3П!L156</f>
        <v>0</v>
      </c>
      <c r="M156" s="393">
        <f>'d3'!M156-d3П!M156</f>
        <v>0</v>
      </c>
      <c r="N156" s="393">
        <f>'d3'!N156-d3П!N156</f>
        <v>0</v>
      </c>
      <c r="O156" s="393">
        <f>'d3'!O156-d3П!O156</f>
        <v>0</v>
      </c>
      <c r="P156" s="393">
        <f>'d3'!P156-d3П!P156</f>
        <v>0</v>
      </c>
      <c r="Q156" s="20"/>
      <c r="R156" s="50"/>
    </row>
    <row r="157" spans="1:18" ht="138.75" thickTop="1" thickBot="1" x14ac:dyDescent="0.25">
      <c r="A157" s="119" t="s">
        <v>352</v>
      </c>
      <c r="B157" s="119" t="s">
        <v>351</v>
      </c>
      <c r="C157" s="119" t="s">
        <v>50</v>
      </c>
      <c r="D157" s="119" t="s">
        <v>458</v>
      </c>
      <c r="E157" s="393">
        <f>'d3'!E157-d3П!E157</f>
        <v>0</v>
      </c>
      <c r="F157" s="393">
        <f>'d3'!F157-d3П!F157</f>
        <v>0</v>
      </c>
      <c r="G157" s="393">
        <f>'d3'!G157-d3П!G157</f>
        <v>0</v>
      </c>
      <c r="H157" s="393">
        <f>'d3'!H157-d3П!H157</f>
        <v>0</v>
      </c>
      <c r="I157" s="393">
        <f>'d3'!I157-d3П!I157</f>
        <v>0</v>
      </c>
      <c r="J157" s="393">
        <f>'d3'!J157-d3П!J157</f>
        <v>0</v>
      </c>
      <c r="K157" s="393">
        <f>'d3'!K157-d3П!K157</f>
        <v>0</v>
      </c>
      <c r="L157" s="393">
        <f>'d3'!L157-d3П!L157</f>
        <v>0</v>
      </c>
      <c r="M157" s="393">
        <f>'d3'!M157-d3П!M157</f>
        <v>0</v>
      </c>
      <c r="N157" s="393">
        <f>'d3'!N157-d3П!N157</f>
        <v>0</v>
      </c>
      <c r="O157" s="393">
        <f>'d3'!O157-d3П!O157</f>
        <v>0</v>
      </c>
      <c r="P157" s="393">
        <f>'d3'!P157-d3П!P157</f>
        <v>0</v>
      </c>
      <c r="Q157" s="20"/>
      <c r="R157" s="50"/>
    </row>
    <row r="158" spans="1:18" s="33" customFormat="1" ht="47.25" thickTop="1" thickBot="1" x14ac:dyDescent="0.25">
      <c r="A158" s="399" t="s">
        <v>741</v>
      </c>
      <c r="B158" s="399" t="s">
        <v>742</v>
      </c>
      <c r="C158" s="399"/>
      <c r="D158" s="399" t="s">
        <v>743</v>
      </c>
      <c r="E158" s="393">
        <f>'d3'!E158-d3П!E158</f>
        <v>0</v>
      </c>
      <c r="F158" s="393">
        <f>'d3'!F158-d3П!F158</f>
        <v>0</v>
      </c>
      <c r="G158" s="393">
        <f>'d3'!G158-d3П!G158</f>
        <v>0</v>
      </c>
      <c r="H158" s="393">
        <f>'d3'!H158-d3П!H158</f>
        <v>0</v>
      </c>
      <c r="I158" s="393">
        <f>'d3'!I158-d3П!I158</f>
        <v>0</v>
      </c>
      <c r="J158" s="393">
        <f>'d3'!J158-d3П!J158</f>
        <v>0</v>
      </c>
      <c r="K158" s="393">
        <f>'d3'!K158-d3П!K158</f>
        <v>0</v>
      </c>
      <c r="L158" s="393">
        <f>'d3'!L158-d3П!L158</f>
        <v>0</v>
      </c>
      <c r="M158" s="393">
        <f>'d3'!M158-d3П!M158</f>
        <v>0</v>
      </c>
      <c r="N158" s="393">
        <f>'d3'!N158-d3П!N158</f>
        <v>0</v>
      </c>
      <c r="O158" s="393">
        <f>'d3'!O158-d3П!O158</f>
        <v>0</v>
      </c>
      <c r="P158" s="393">
        <f>'d3'!P158-d3П!P158</f>
        <v>0</v>
      </c>
      <c r="Q158" s="36"/>
      <c r="R158" s="51"/>
    </row>
    <row r="159" spans="1:18" ht="93" thickTop="1" thickBot="1" x14ac:dyDescent="0.25">
      <c r="A159" s="119" t="s">
        <v>329</v>
      </c>
      <c r="B159" s="119" t="s">
        <v>330</v>
      </c>
      <c r="C159" s="119" t="s">
        <v>209</v>
      </c>
      <c r="D159" s="119" t="s">
        <v>641</v>
      </c>
      <c r="E159" s="393">
        <f>'d3'!E159-d3П!E159</f>
        <v>0</v>
      </c>
      <c r="F159" s="393">
        <f>'d3'!F159-d3П!F159</f>
        <v>0</v>
      </c>
      <c r="G159" s="393">
        <f>'d3'!G159-d3П!G159</f>
        <v>0</v>
      </c>
      <c r="H159" s="393">
        <f>'d3'!H159-d3П!H159</f>
        <v>0</v>
      </c>
      <c r="I159" s="393">
        <f>'d3'!I159-d3П!I159</f>
        <v>0</v>
      </c>
      <c r="J159" s="393">
        <f>'d3'!J159-d3П!J159</f>
        <v>0</v>
      </c>
      <c r="K159" s="393">
        <f>'d3'!K159-d3П!K159</f>
        <v>0</v>
      </c>
      <c r="L159" s="393">
        <f>'d3'!L159-d3П!L159</f>
        <v>0</v>
      </c>
      <c r="M159" s="393">
        <f>'d3'!M159-d3П!M159</f>
        <v>0</v>
      </c>
      <c r="N159" s="393">
        <f>'d3'!N159-d3П!N159</f>
        <v>0</v>
      </c>
      <c r="O159" s="393">
        <f>'d3'!O159-d3П!O159</f>
        <v>0</v>
      </c>
      <c r="P159" s="393">
        <f>'d3'!P159-d3П!P159</f>
        <v>0</v>
      </c>
      <c r="Q159" s="20"/>
      <c r="R159" s="50"/>
    </row>
    <row r="160" spans="1:18" ht="47.25" thickTop="1" thickBot="1" x14ac:dyDescent="0.25">
      <c r="A160" s="119" t="s">
        <v>432</v>
      </c>
      <c r="B160" s="119" t="s">
        <v>376</v>
      </c>
      <c r="C160" s="119" t="s">
        <v>377</v>
      </c>
      <c r="D160" s="119" t="s">
        <v>375</v>
      </c>
      <c r="E160" s="393">
        <f>'d3'!E160-d3П!E160</f>
        <v>0</v>
      </c>
      <c r="F160" s="393">
        <f>'d3'!F160-d3П!F160</f>
        <v>0</v>
      </c>
      <c r="G160" s="393">
        <f>'d3'!G160-d3П!G160</f>
        <v>400</v>
      </c>
      <c r="H160" s="393">
        <f>'d3'!H160-d3П!H160</f>
        <v>0</v>
      </c>
      <c r="I160" s="393">
        <f>'d3'!I160-d3П!I160</f>
        <v>0</v>
      </c>
      <c r="J160" s="393">
        <f>'d3'!J160-d3П!J160</f>
        <v>0</v>
      </c>
      <c r="K160" s="393">
        <f>'d3'!K160-d3П!K160</f>
        <v>0</v>
      </c>
      <c r="L160" s="393">
        <f>'d3'!L160-d3П!L160</f>
        <v>0</v>
      </c>
      <c r="M160" s="393">
        <f>'d3'!M160-d3П!M160</f>
        <v>0</v>
      </c>
      <c r="N160" s="393">
        <f>'d3'!N160-d3П!N160</f>
        <v>0</v>
      </c>
      <c r="O160" s="393">
        <f>'d3'!O160-d3П!O160</f>
        <v>0</v>
      </c>
      <c r="P160" s="393">
        <f>'d3'!P160-d3П!P160</f>
        <v>0</v>
      </c>
      <c r="Q160" s="20"/>
      <c r="R160" s="50"/>
    </row>
    <row r="161" spans="1:18" ht="93" thickTop="1" thickBot="1" x14ac:dyDescent="0.25">
      <c r="A161" s="399" t="s">
        <v>1078</v>
      </c>
      <c r="B161" s="399" t="s">
        <v>1079</v>
      </c>
      <c r="C161" s="399"/>
      <c r="D161" s="399" t="s">
        <v>1077</v>
      </c>
      <c r="E161" s="393">
        <f>'d3'!E161-d3П!E161</f>
        <v>0</v>
      </c>
      <c r="F161" s="393">
        <f>'d3'!F161-d3П!F161</f>
        <v>0</v>
      </c>
      <c r="G161" s="393">
        <f>'d3'!G161-d3П!G161</f>
        <v>0</v>
      </c>
      <c r="H161" s="393">
        <f>'d3'!H161-d3П!H161</f>
        <v>0</v>
      </c>
      <c r="I161" s="393">
        <f>'d3'!I161-d3П!I161</f>
        <v>0</v>
      </c>
      <c r="J161" s="393">
        <f>'d3'!J161-d3П!J161</f>
        <v>0</v>
      </c>
      <c r="K161" s="393">
        <f>'d3'!K161-d3П!K161</f>
        <v>0</v>
      </c>
      <c r="L161" s="393">
        <f>'d3'!L161-d3П!L161</f>
        <v>0</v>
      </c>
      <c r="M161" s="393">
        <f>'d3'!M161-d3П!M161</f>
        <v>0</v>
      </c>
      <c r="N161" s="393">
        <f>'d3'!N161-d3П!N161</f>
        <v>0</v>
      </c>
      <c r="O161" s="393">
        <f>'d3'!O161-d3П!O161</f>
        <v>0</v>
      </c>
      <c r="P161" s="393">
        <f>'d3'!P161-d3П!P161</f>
        <v>0</v>
      </c>
      <c r="Q161" s="20"/>
      <c r="R161" s="50"/>
    </row>
    <row r="162" spans="1:18" ht="256.5" customHeight="1" thickTop="1" x14ac:dyDescent="0.65">
      <c r="A162" s="694" t="s">
        <v>1080</v>
      </c>
      <c r="B162" s="694" t="s">
        <v>1081</v>
      </c>
      <c r="C162" s="694" t="s">
        <v>50</v>
      </c>
      <c r="D162" s="631" t="s">
        <v>1533</v>
      </c>
      <c r="E162" s="682">
        <f>'d3'!E162-d3П!E162</f>
        <v>0</v>
      </c>
      <c r="F162" s="682">
        <f>'d3'!F162-d3П!F162</f>
        <v>0</v>
      </c>
      <c r="G162" s="682">
        <f>'d3'!G162-d3П!G162</f>
        <v>0</v>
      </c>
      <c r="H162" s="682">
        <f>'d3'!H162-d3П!H162</f>
        <v>0</v>
      </c>
      <c r="I162" s="682">
        <f>'d3'!I162-d3П!I162</f>
        <v>0</v>
      </c>
      <c r="J162" s="682">
        <f>'d3'!J162-d3П!J162</f>
        <v>0</v>
      </c>
      <c r="K162" s="682">
        <f>'d3'!K162-d3П!K162</f>
        <v>0</v>
      </c>
      <c r="L162" s="682">
        <f>'d3'!L162-d3П!L162</f>
        <v>0</v>
      </c>
      <c r="M162" s="682">
        <f>'d3'!M162-d3П!M162</f>
        <v>0</v>
      </c>
      <c r="N162" s="682">
        <f>'d3'!N162-d3П!N162</f>
        <v>0</v>
      </c>
      <c r="O162" s="682">
        <f>'d3'!O162-d3П!O162</f>
        <v>0</v>
      </c>
      <c r="P162" s="682">
        <f>'d3'!P162-d3П!P162</f>
        <v>0</v>
      </c>
      <c r="Q162" s="697"/>
      <c r="R162" s="679"/>
    </row>
    <row r="163" spans="1:18" ht="238.5" customHeight="1" x14ac:dyDescent="0.2">
      <c r="A163" s="683"/>
      <c r="B163" s="683"/>
      <c r="C163" s="683"/>
      <c r="D163" s="632" t="s">
        <v>1534</v>
      </c>
      <c r="E163" s="846"/>
      <c r="F163" s="846">
        <f>'d3'!F163-d3П!F163</f>
        <v>0</v>
      </c>
      <c r="G163" s="846">
        <f>'d3'!G163-d3П!G163</f>
        <v>0</v>
      </c>
      <c r="H163" s="846">
        <f>'d3'!H163-d3П!H163</f>
        <v>0</v>
      </c>
      <c r="I163" s="846">
        <f>'d3'!I163-d3П!I163</f>
        <v>0</v>
      </c>
      <c r="J163" s="846">
        <f>'d3'!J163-d3П!J163</f>
        <v>0</v>
      </c>
      <c r="K163" s="846">
        <f>'d3'!K163-d3П!K163</f>
        <v>0</v>
      </c>
      <c r="L163" s="846">
        <f>'d3'!L163-d3П!L163</f>
        <v>0</v>
      </c>
      <c r="M163" s="846">
        <f>'d3'!M163-d3П!M163</f>
        <v>0</v>
      </c>
      <c r="N163" s="846">
        <f>'d3'!N163-d3П!N163</f>
        <v>0</v>
      </c>
      <c r="O163" s="846">
        <f>'d3'!O163-d3П!O163</f>
        <v>0</v>
      </c>
      <c r="P163" s="846">
        <f>'d3'!P163-d3П!P163</f>
        <v>0</v>
      </c>
      <c r="Q163" s="697"/>
      <c r="R163" s="680"/>
    </row>
    <row r="164" spans="1:18" ht="220.5" customHeight="1" x14ac:dyDescent="0.2">
      <c r="A164" s="683"/>
      <c r="B164" s="683"/>
      <c r="C164" s="683"/>
      <c r="D164" s="632" t="s">
        <v>1535</v>
      </c>
      <c r="E164" s="846"/>
      <c r="F164" s="846">
        <f>'d3'!F164-d3П!F164</f>
        <v>0</v>
      </c>
      <c r="G164" s="846">
        <f>'d3'!G164-d3П!G164</f>
        <v>0</v>
      </c>
      <c r="H164" s="846">
        <f>'d3'!H164-d3П!H164</f>
        <v>0</v>
      </c>
      <c r="I164" s="846">
        <f>'d3'!I164-d3П!I164</f>
        <v>0</v>
      </c>
      <c r="J164" s="846">
        <f>'d3'!J164-d3П!J164</f>
        <v>0</v>
      </c>
      <c r="K164" s="846">
        <f>'d3'!K164-d3П!K164</f>
        <v>0</v>
      </c>
      <c r="L164" s="846">
        <f>'d3'!L164-d3П!L164</f>
        <v>0</v>
      </c>
      <c r="M164" s="846">
        <f>'d3'!M164-d3П!M164</f>
        <v>0</v>
      </c>
      <c r="N164" s="846">
        <f>'d3'!N164-d3П!N164</f>
        <v>0</v>
      </c>
      <c r="O164" s="846">
        <f>'d3'!O164-d3П!O164</f>
        <v>0</v>
      </c>
      <c r="P164" s="846">
        <f>'d3'!P164-d3П!P164</f>
        <v>0</v>
      </c>
      <c r="Q164" s="697"/>
      <c r="R164" s="680"/>
    </row>
    <row r="165" spans="1:18" ht="166.5" customHeight="1" thickBot="1" x14ac:dyDescent="0.25">
      <c r="A165" s="684"/>
      <c r="B165" s="684"/>
      <c r="C165" s="684"/>
      <c r="D165" s="633" t="s">
        <v>1536</v>
      </c>
      <c r="E165" s="736"/>
      <c r="F165" s="736">
        <f>'d3'!F165-d3П!F165</f>
        <v>0</v>
      </c>
      <c r="G165" s="736">
        <f>'d3'!G165-d3П!G165</f>
        <v>0</v>
      </c>
      <c r="H165" s="736">
        <f>'d3'!H165-d3П!H165</f>
        <v>0</v>
      </c>
      <c r="I165" s="736">
        <f>'d3'!I165-d3П!I165</f>
        <v>0</v>
      </c>
      <c r="J165" s="736">
        <f>'d3'!J165-d3П!J165</f>
        <v>0</v>
      </c>
      <c r="K165" s="736">
        <f>'d3'!K165-d3П!K165</f>
        <v>0</v>
      </c>
      <c r="L165" s="736">
        <f>'d3'!L165-d3П!L165</f>
        <v>0</v>
      </c>
      <c r="M165" s="736">
        <f>'d3'!M165-d3П!M165</f>
        <v>0</v>
      </c>
      <c r="N165" s="736">
        <f>'d3'!N165-d3П!N165</f>
        <v>0</v>
      </c>
      <c r="O165" s="736">
        <f>'d3'!O165-d3П!O165</f>
        <v>0</v>
      </c>
      <c r="P165" s="736">
        <f>'d3'!P165-d3П!P165</f>
        <v>0</v>
      </c>
      <c r="Q165" s="697"/>
      <c r="R165" s="680"/>
    </row>
    <row r="166" spans="1:18" ht="277.5" customHeight="1" thickTop="1" x14ac:dyDescent="0.65">
      <c r="A166" s="694" t="s">
        <v>1083</v>
      </c>
      <c r="B166" s="694" t="s">
        <v>1084</v>
      </c>
      <c r="C166" s="694" t="s">
        <v>50</v>
      </c>
      <c r="D166" s="631" t="s">
        <v>1082</v>
      </c>
      <c r="E166" s="682">
        <f>'d3'!E166-d3П!E166</f>
        <v>0</v>
      </c>
      <c r="F166" s="682">
        <f>'d3'!F166-d3П!F166</f>
        <v>0</v>
      </c>
      <c r="G166" s="682">
        <f>'d3'!G166-d3П!G166</f>
        <v>0</v>
      </c>
      <c r="H166" s="682">
        <f>'d3'!H166-d3П!H166</f>
        <v>0</v>
      </c>
      <c r="I166" s="682">
        <f>'d3'!I166-d3П!I166</f>
        <v>0</v>
      </c>
      <c r="J166" s="682">
        <f>'d3'!J166-d3П!J166</f>
        <v>0</v>
      </c>
      <c r="K166" s="682">
        <f>'d3'!K166-d3П!K166</f>
        <v>0</v>
      </c>
      <c r="L166" s="682">
        <f>'d3'!L166-d3П!L166</f>
        <v>0</v>
      </c>
      <c r="M166" s="682">
        <f>'d3'!M166-d3П!M166</f>
        <v>0</v>
      </c>
      <c r="N166" s="682">
        <f>'d3'!N166-d3П!N166</f>
        <v>0</v>
      </c>
      <c r="O166" s="682">
        <f>'d3'!O166-d3П!O166</f>
        <v>0</v>
      </c>
      <c r="P166" s="682">
        <f>'d3'!P166-d3П!P166</f>
        <v>0</v>
      </c>
      <c r="Q166" s="20"/>
      <c r="R166" s="679"/>
    </row>
    <row r="167" spans="1:18" ht="298.5" customHeight="1" x14ac:dyDescent="0.2">
      <c r="A167" s="683"/>
      <c r="B167" s="683"/>
      <c r="C167" s="683"/>
      <c r="D167" s="632" t="s">
        <v>1537</v>
      </c>
      <c r="E167" s="846"/>
      <c r="F167" s="846"/>
      <c r="G167" s="846">
        <f>'d3'!G167-d3П!G167</f>
        <v>0</v>
      </c>
      <c r="H167" s="846">
        <f>'d3'!H167-d3П!H167</f>
        <v>0</v>
      </c>
      <c r="I167" s="846">
        <f>'d3'!I167-d3П!I167</f>
        <v>0</v>
      </c>
      <c r="J167" s="846">
        <f>'d3'!J167-d3П!J167</f>
        <v>0</v>
      </c>
      <c r="K167" s="846">
        <f>'d3'!K167-d3П!K167</f>
        <v>0</v>
      </c>
      <c r="L167" s="846">
        <f>'d3'!L167-d3П!L167</f>
        <v>0</v>
      </c>
      <c r="M167" s="846">
        <f>'d3'!M167-d3П!M167</f>
        <v>0</v>
      </c>
      <c r="N167" s="846">
        <f>'d3'!N167-d3П!N167</f>
        <v>0</v>
      </c>
      <c r="O167" s="846">
        <f>'d3'!O167-d3П!O167</f>
        <v>0</v>
      </c>
      <c r="P167" s="846">
        <f>'d3'!P167-d3П!P167</f>
        <v>0</v>
      </c>
      <c r="Q167" s="20"/>
      <c r="R167" s="696"/>
    </row>
    <row r="168" spans="1:18" ht="283.5" customHeight="1" x14ac:dyDescent="0.2">
      <c r="A168" s="683"/>
      <c r="B168" s="683"/>
      <c r="C168" s="683"/>
      <c r="D168" s="632" t="s">
        <v>1538</v>
      </c>
      <c r="E168" s="846"/>
      <c r="F168" s="846"/>
      <c r="G168" s="846">
        <f>'d3'!G168-d3П!G168</f>
        <v>0</v>
      </c>
      <c r="H168" s="846">
        <f>'d3'!H168-d3П!H168</f>
        <v>0</v>
      </c>
      <c r="I168" s="846">
        <f>'d3'!I168-d3П!I168</f>
        <v>0</v>
      </c>
      <c r="J168" s="846">
        <f>'d3'!J168-d3П!J168</f>
        <v>0</v>
      </c>
      <c r="K168" s="846">
        <f>'d3'!K168-d3П!K168</f>
        <v>0</v>
      </c>
      <c r="L168" s="846">
        <f>'d3'!L168-d3П!L168</f>
        <v>0</v>
      </c>
      <c r="M168" s="846">
        <f>'d3'!M168-d3П!M168</f>
        <v>0</v>
      </c>
      <c r="N168" s="846">
        <f>'d3'!N168-d3П!N168</f>
        <v>0</v>
      </c>
      <c r="O168" s="846">
        <f>'d3'!O168-d3П!O168</f>
        <v>0</v>
      </c>
      <c r="P168" s="846">
        <f>'d3'!P168-d3П!P168</f>
        <v>0</v>
      </c>
      <c r="Q168" s="20"/>
      <c r="R168" s="696"/>
    </row>
    <row r="169" spans="1:18" ht="92.25" thickBot="1" x14ac:dyDescent="0.25">
      <c r="A169" s="684"/>
      <c r="B169" s="684"/>
      <c r="C169" s="684"/>
      <c r="D169" s="633" t="s">
        <v>1539</v>
      </c>
      <c r="E169" s="736"/>
      <c r="F169" s="736"/>
      <c r="G169" s="736">
        <f>'d3'!G169-d3П!G169</f>
        <v>0</v>
      </c>
      <c r="H169" s="736">
        <f>'d3'!H169-d3П!H169</f>
        <v>0</v>
      </c>
      <c r="I169" s="736">
        <f>'d3'!I169-d3П!I169</f>
        <v>0</v>
      </c>
      <c r="J169" s="736">
        <f>'d3'!J169-d3П!J169</f>
        <v>0</v>
      </c>
      <c r="K169" s="736">
        <f>'d3'!K169-d3П!K169</f>
        <v>0</v>
      </c>
      <c r="L169" s="736">
        <f>'d3'!L169-d3П!L169</f>
        <v>0</v>
      </c>
      <c r="M169" s="736">
        <f>'d3'!M169-d3П!M169</f>
        <v>0</v>
      </c>
      <c r="N169" s="736">
        <f>'d3'!N169-d3П!N169</f>
        <v>0</v>
      </c>
      <c r="O169" s="736">
        <f>'d3'!O169-d3П!O169</f>
        <v>0</v>
      </c>
      <c r="P169" s="736">
        <f>'d3'!P169-d3П!P169</f>
        <v>0</v>
      </c>
      <c r="Q169" s="20"/>
      <c r="R169" s="696"/>
    </row>
    <row r="170" spans="1:18" ht="310.5" customHeight="1" thickTop="1" x14ac:dyDescent="0.65">
      <c r="A170" s="694" t="s">
        <v>1085</v>
      </c>
      <c r="B170" s="694" t="s">
        <v>1086</v>
      </c>
      <c r="C170" s="694" t="s">
        <v>50</v>
      </c>
      <c r="D170" s="631" t="s">
        <v>1540</v>
      </c>
      <c r="E170" s="682">
        <f>'d3'!E170-d3П!E170</f>
        <v>0</v>
      </c>
      <c r="F170" s="682">
        <f>'d3'!F170-d3П!F170</f>
        <v>0</v>
      </c>
      <c r="G170" s="682">
        <f>'d3'!G170-d3П!G170</f>
        <v>0</v>
      </c>
      <c r="H170" s="682">
        <f>'d3'!H170-d3П!H170</f>
        <v>0</v>
      </c>
      <c r="I170" s="682">
        <f>'d3'!I170-d3П!I170</f>
        <v>0</v>
      </c>
      <c r="J170" s="682">
        <f>'d3'!J170-d3П!J170</f>
        <v>0</v>
      </c>
      <c r="K170" s="682">
        <f>'d3'!K170-d3П!K170</f>
        <v>0</v>
      </c>
      <c r="L170" s="682">
        <f>'d3'!L170-d3П!L170</f>
        <v>0</v>
      </c>
      <c r="M170" s="682">
        <f>'d3'!M170-d3П!M170</f>
        <v>0</v>
      </c>
      <c r="N170" s="682">
        <f>'d3'!N170-d3П!N170</f>
        <v>0</v>
      </c>
      <c r="O170" s="682">
        <f>'d3'!O170-d3П!O170</f>
        <v>0</v>
      </c>
      <c r="P170" s="682">
        <f>'d3'!P170-d3П!P170</f>
        <v>0</v>
      </c>
      <c r="Q170" s="20"/>
      <c r="R170" s="679"/>
    </row>
    <row r="171" spans="1:18" ht="268.5" customHeight="1" x14ac:dyDescent="0.2">
      <c r="A171" s="683"/>
      <c r="B171" s="683"/>
      <c r="C171" s="683"/>
      <c r="D171" s="632" t="s">
        <v>1541</v>
      </c>
      <c r="E171" s="846"/>
      <c r="F171" s="846">
        <f>'d3'!F171-d3П!F171</f>
        <v>0</v>
      </c>
      <c r="G171" s="846">
        <f>'d3'!G171-d3П!G171</f>
        <v>0</v>
      </c>
      <c r="H171" s="846">
        <f>'d3'!H171-d3П!H171</f>
        <v>0</v>
      </c>
      <c r="I171" s="846">
        <f>'d3'!I171-d3П!I171</f>
        <v>0</v>
      </c>
      <c r="J171" s="846">
        <f>'d3'!J171-d3П!J171</f>
        <v>0</v>
      </c>
      <c r="K171" s="846">
        <f>'d3'!K171-d3П!K171</f>
        <v>0</v>
      </c>
      <c r="L171" s="846">
        <f>'d3'!L171-d3П!L171</f>
        <v>0</v>
      </c>
      <c r="M171" s="846">
        <f>'d3'!M171-d3П!M171</f>
        <v>0</v>
      </c>
      <c r="N171" s="846">
        <f>'d3'!N171-d3П!N171</f>
        <v>0</v>
      </c>
      <c r="O171" s="846">
        <f>'d3'!O171-d3П!O171</f>
        <v>0</v>
      </c>
      <c r="P171" s="846">
        <f>'d3'!P171-d3П!P171</f>
        <v>0</v>
      </c>
      <c r="Q171" s="20"/>
      <c r="R171" s="680"/>
    </row>
    <row r="172" spans="1:18" ht="92.25" thickBot="1" x14ac:dyDescent="0.25">
      <c r="A172" s="684"/>
      <c r="B172" s="684"/>
      <c r="C172" s="684"/>
      <c r="D172" s="633" t="s">
        <v>1087</v>
      </c>
      <c r="E172" s="736"/>
      <c r="F172" s="736">
        <f>'d3'!F172-d3П!F172</f>
        <v>0</v>
      </c>
      <c r="G172" s="736">
        <f>'d3'!G172-d3П!G172</f>
        <v>0</v>
      </c>
      <c r="H172" s="736">
        <f>'d3'!H172-d3П!H172</f>
        <v>0</v>
      </c>
      <c r="I172" s="736">
        <f>'d3'!I172-d3П!I172</f>
        <v>0</v>
      </c>
      <c r="J172" s="736">
        <f>'d3'!J172-d3П!J172</f>
        <v>0</v>
      </c>
      <c r="K172" s="736">
        <f>'d3'!K172-d3П!K172</f>
        <v>0</v>
      </c>
      <c r="L172" s="736">
        <f>'d3'!L172-d3П!L172</f>
        <v>0</v>
      </c>
      <c r="M172" s="736">
        <f>'d3'!M172-d3П!M172</f>
        <v>0</v>
      </c>
      <c r="N172" s="736">
        <f>'d3'!N172-d3П!N172</f>
        <v>0</v>
      </c>
      <c r="O172" s="736">
        <f>'d3'!O172-d3П!O172</f>
        <v>0</v>
      </c>
      <c r="P172" s="736">
        <f>'d3'!P172-d3П!P172</f>
        <v>0</v>
      </c>
      <c r="Q172" s="20"/>
      <c r="R172" s="680"/>
    </row>
    <row r="173" spans="1:18" ht="184.5" hidden="1" customHeight="1" thickTop="1" thickBot="1" x14ac:dyDescent="0.7">
      <c r="A173" s="681" t="s">
        <v>1091</v>
      </c>
      <c r="B173" s="681" t="s">
        <v>1092</v>
      </c>
      <c r="C173" s="681" t="s">
        <v>50</v>
      </c>
      <c r="D173" s="484" t="s">
        <v>1088</v>
      </c>
      <c r="E173" s="393">
        <f>'d3'!E173-d3П!E173</f>
        <v>0</v>
      </c>
      <c r="F173" s="682">
        <f>'d3'!F173-d3П!F173</f>
        <v>0</v>
      </c>
      <c r="G173" s="682">
        <f>'d3'!G173-d3П!G173</f>
        <v>0</v>
      </c>
      <c r="H173" s="682">
        <f>'d3'!H173-d3П!H173</f>
        <v>0</v>
      </c>
      <c r="I173" s="682">
        <f>'d3'!I173-d3П!I173</f>
        <v>0</v>
      </c>
      <c r="J173" s="682">
        <f>'d3'!J173-d3П!J173</f>
        <v>0</v>
      </c>
      <c r="K173" s="682">
        <f>'d3'!K173-d3П!K173</f>
        <v>0</v>
      </c>
      <c r="L173" s="682">
        <f>'d3'!L173-d3П!L173</f>
        <v>0</v>
      </c>
      <c r="M173" s="682">
        <f>'d3'!M173-d3П!M173</f>
        <v>0</v>
      </c>
      <c r="N173" s="682">
        <f>'d3'!N173-d3П!N173</f>
        <v>0</v>
      </c>
      <c r="O173" s="682">
        <f>'d3'!O173-d3П!O173</f>
        <v>0</v>
      </c>
      <c r="P173" s="682">
        <f>'d3'!P173-d3П!P173</f>
        <v>0</v>
      </c>
      <c r="Q173" s="20"/>
      <c r="R173" s="679"/>
    </row>
    <row r="174" spans="1:18" ht="184.5" hidden="1" customHeight="1" thickTop="1" thickBot="1" x14ac:dyDescent="0.25">
      <c r="A174" s="676"/>
      <c r="B174" s="676"/>
      <c r="C174" s="676"/>
      <c r="D174" s="485" t="s">
        <v>1089</v>
      </c>
      <c r="E174" s="393">
        <f>'d3'!E174-d3П!E174</f>
        <v>0</v>
      </c>
      <c r="F174" s="846">
        <f>'d3'!F174-d3П!F174</f>
        <v>0</v>
      </c>
      <c r="G174" s="846">
        <f>'d3'!G174-d3П!G174</f>
        <v>0</v>
      </c>
      <c r="H174" s="846">
        <f>'d3'!H174-d3П!H174</f>
        <v>0</v>
      </c>
      <c r="I174" s="846">
        <f>'d3'!I174-d3П!I174</f>
        <v>0</v>
      </c>
      <c r="J174" s="846">
        <f>'d3'!J174-d3П!J174</f>
        <v>0</v>
      </c>
      <c r="K174" s="846">
        <f>'d3'!K174-d3П!K174</f>
        <v>0</v>
      </c>
      <c r="L174" s="846">
        <f>'d3'!L174-d3П!L174</f>
        <v>0</v>
      </c>
      <c r="M174" s="846">
        <f>'d3'!M174-d3П!M174</f>
        <v>0</v>
      </c>
      <c r="N174" s="846">
        <f>'d3'!N174-d3П!N174</f>
        <v>0</v>
      </c>
      <c r="O174" s="846">
        <f>'d3'!O174-d3П!O174</f>
        <v>0</v>
      </c>
      <c r="P174" s="846">
        <f>'d3'!P174-d3П!P174</f>
        <v>0</v>
      </c>
      <c r="Q174" s="20"/>
      <c r="R174" s="680"/>
    </row>
    <row r="175" spans="1:18" ht="47.25" hidden="1" customHeight="1" thickTop="1" thickBot="1" x14ac:dyDescent="0.25">
      <c r="A175" s="677"/>
      <c r="B175" s="677"/>
      <c r="C175" s="677"/>
      <c r="D175" s="486" t="s">
        <v>1090</v>
      </c>
      <c r="E175" s="393">
        <f>'d3'!E175-d3П!E175</f>
        <v>0</v>
      </c>
      <c r="F175" s="736">
        <f>'d3'!F175-d3П!F175</f>
        <v>0</v>
      </c>
      <c r="G175" s="736">
        <f>'d3'!G175-d3П!G175</f>
        <v>0</v>
      </c>
      <c r="H175" s="736">
        <f>'d3'!H175-d3П!H175</f>
        <v>0</v>
      </c>
      <c r="I175" s="736">
        <f>'d3'!I175-d3П!I175</f>
        <v>0</v>
      </c>
      <c r="J175" s="736">
        <f>'d3'!J175-d3П!J175</f>
        <v>0</v>
      </c>
      <c r="K175" s="736">
        <f>'d3'!K175-d3П!K175</f>
        <v>0</v>
      </c>
      <c r="L175" s="736">
        <f>'d3'!L175-d3П!L175</f>
        <v>0</v>
      </c>
      <c r="M175" s="736">
        <f>'d3'!M175-d3П!M175</f>
        <v>0</v>
      </c>
      <c r="N175" s="736">
        <f>'d3'!N175-d3П!N175</f>
        <v>0</v>
      </c>
      <c r="O175" s="736">
        <f>'d3'!O175-d3П!O175</f>
        <v>0</v>
      </c>
      <c r="P175" s="736">
        <f>'d3'!P175-d3П!P175</f>
        <v>0</v>
      </c>
      <c r="Q175" s="20"/>
      <c r="R175" s="680"/>
    </row>
    <row r="176" spans="1:18" ht="93" thickTop="1" thickBot="1" x14ac:dyDescent="0.25">
      <c r="A176" s="119" t="s">
        <v>1228</v>
      </c>
      <c r="B176" s="119" t="s">
        <v>1225</v>
      </c>
      <c r="C176" s="119" t="s">
        <v>210</v>
      </c>
      <c r="D176" s="413" t="s">
        <v>1226</v>
      </c>
      <c r="E176" s="393">
        <f>'d3'!E176-d3П!E176</f>
        <v>0</v>
      </c>
      <c r="F176" s="393">
        <f>'d3'!F176-d3П!F176</f>
        <v>0</v>
      </c>
      <c r="G176" s="393">
        <f>'d3'!G176-d3П!G176</f>
        <v>0</v>
      </c>
      <c r="H176" s="393">
        <f>'d3'!H176-d3П!H176</f>
        <v>0</v>
      </c>
      <c r="I176" s="393">
        <f>'d3'!I176-d3П!I176</f>
        <v>0</v>
      </c>
      <c r="J176" s="393">
        <f>'d3'!J176-d3П!J176</f>
        <v>-13394470</v>
      </c>
      <c r="K176" s="393">
        <f>'d3'!K176-d3П!K176</f>
        <v>-13394470</v>
      </c>
      <c r="L176" s="393">
        <f>'d3'!L176-d3П!L176</f>
        <v>0</v>
      </c>
      <c r="M176" s="393">
        <f>'d3'!M176-d3П!M176</f>
        <v>0</v>
      </c>
      <c r="N176" s="393">
        <f>'d3'!N176-d3П!N176</f>
        <v>0</v>
      </c>
      <c r="O176" s="393">
        <f>'d3'!O176-d3П!O176</f>
        <v>-13394470</v>
      </c>
      <c r="P176" s="393">
        <f>'d3'!P176-d3П!P176</f>
        <v>-13394470</v>
      </c>
      <c r="Q176" s="20"/>
      <c r="R176" s="21"/>
    </row>
    <row r="177" spans="1:18" s="33" customFormat="1" ht="47.25" thickTop="1" thickBot="1" x14ac:dyDescent="0.25">
      <c r="A177" s="399" t="s">
        <v>744</v>
      </c>
      <c r="B177" s="399" t="s">
        <v>745</v>
      </c>
      <c r="C177" s="399"/>
      <c r="D177" s="399" t="s">
        <v>746</v>
      </c>
      <c r="E177" s="393">
        <f>'d3'!E177-d3П!E177</f>
        <v>2449000</v>
      </c>
      <c r="F177" s="393">
        <f>'d3'!F177-d3П!F177</f>
        <v>2449000</v>
      </c>
      <c r="G177" s="393">
        <f>'d3'!G177-d3П!G177</f>
        <v>0</v>
      </c>
      <c r="H177" s="393">
        <f>'d3'!H177-d3П!H177</f>
        <v>0</v>
      </c>
      <c r="I177" s="393">
        <f>'d3'!I177-d3П!I177</f>
        <v>0</v>
      </c>
      <c r="J177" s="393">
        <f>'d3'!J177-d3П!J177</f>
        <v>0</v>
      </c>
      <c r="K177" s="393">
        <f>'d3'!K177-d3П!K177</f>
        <v>0</v>
      </c>
      <c r="L177" s="393">
        <f>'d3'!L177-d3П!L177</f>
        <v>0</v>
      </c>
      <c r="M177" s="393">
        <f>'d3'!M177-d3П!M177</f>
        <v>0</v>
      </c>
      <c r="N177" s="393">
        <f>'d3'!N177-d3П!N177</f>
        <v>0</v>
      </c>
      <c r="O177" s="393">
        <f>'d3'!O177-d3П!O177</f>
        <v>0</v>
      </c>
      <c r="P177" s="393">
        <f>'d3'!P177-d3П!P177</f>
        <v>2449000</v>
      </c>
      <c r="Q177" s="36"/>
      <c r="R177" s="51"/>
    </row>
    <row r="178" spans="1:18" ht="93" thickTop="1" thickBot="1" x14ac:dyDescent="0.25">
      <c r="A178" s="119" t="s">
        <v>331</v>
      </c>
      <c r="B178" s="119" t="s">
        <v>333</v>
      </c>
      <c r="C178" s="119" t="s">
        <v>195</v>
      </c>
      <c r="D178" s="413" t="s">
        <v>335</v>
      </c>
      <c r="E178" s="393">
        <f>'d3'!E178-d3П!E178</f>
        <v>499000</v>
      </c>
      <c r="F178" s="393">
        <f>'d3'!F178-d3П!F178</f>
        <v>499000</v>
      </c>
      <c r="G178" s="393">
        <f>'d3'!G178-d3П!G178</f>
        <v>0</v>
      </c>
      <c r="H178" s="393">
        <f>'d3'!H178-d3П!H178</f>
        <v>0</v>
      </c>
      <c r="I178" s="393">
        <f>'d3'!I178-d3П!I178</f>
        <v>0</v>
      </c>
      <c r="J178" s="393">
        <f>'d3'!J178-d3П!J178</f>
        <v>0</v>
      </c>
      <c r="K178" s="393">
        <f>'d3'!K178-d3П!K178</f>
        <v>0</v>
      </c>
      <c r="L178" s="393">
        <f>'d3'!L178-d3П!L178</f>
        <v>0</v>
      </c>
      <c r="M178" s="393">
        <f>'d3'!M178-d3П!M178</f>
        <v>0</v>
      </c>
      <c r="N178" s="393">
        <f>'d3'!N178-d3П!N178</f>
        <v>0</v>
      </c>
      <c r="O178" s="393">
        <f>'d3'!O178-d3П!O178</f>
        <v>0</v>
      </c>
      <c r="P178" s="393">
        <f>'d3'!P178-d3П!P178</f>
        <v>499000</v>
      </c>
      <c r="Q178" s="20"/>
      <c r="R178" s="46"/>
    </row>
    <row r="179" spans="1:18" ht="47.25" thickTop="1" thickBot="1" x14ac:dyDescent="0.25">
      <c r="A179" s="119" t="s">
        <v>332</v>
      </c>
      <c r="B179" s="119" t="s">
        <v>334</v>
      </c>
      <c r="C179" s="119" t="s">
        <v>195</v>
      </c>
      <c r="D179" s="413" t="s">
        <v>336</v>
      </c>
      <c r="E179" s="393">
        <f>'d3'!E179-d3П!E179</f>
        <v>1950000</v>
      </c>
      <c r="F179" s="393">
        <f>'d3'!F179-d3П!F179</f>
        <v>1950000</v>
      </c>
      <c r="G179" s="393">
        <f>'d3'!G179-d3П!G179</f>
        <v>0</v>
      </c>
      <c r="H179" s="393">
        <f>'d3'!H179-d3П!H179</f>
        <v>0</v>
      </c>
      <c r="I179" s="393">
        <f>'d3'!I179-d3П!I179</f>
        <v>0</v>
      </c>
      <c r="J179" s="393">
        <f>'d3'!J179-d3П!J179</f>
        <v>0</v>
      </c>
      <c r="K179" s="393">
        <f>'d3'!K179-d3П!K179</f>
        <v>0</v>
      </c>
      <c r="L179" s="393">
        <f>'d3'!L179-d3П!L179</f>
        <v>0</v>
      </c>
      <c r="M179" s="393">
        <f>'d3'!M179-d3П!M179</f>
        <v>0</v>
      </c>
      <c r="N179" s="393">
        <f>'d3'!N179-d3П!N179</f>
        <v>0</v>
      </c>
      <c r="O179" s="393">
        <f>'d3'!O179-d3П!O179</f>
        <v>0</v>
      </c>
      <c r="P179" s="393">
        <f>'d3'!P179-d3П!P179</f>
        <v>1950000</v>
      </c>
      <c r="Q179" s="20"/>
      <c r="R179" s="46"/>
    </row>
    <row r="180" spans="1:18" ht="47.25" thickTop="1" thickBot="1" x14ac:dyDescent="0.25">
      <c r="A180" s="346" t="s">
        <v>747</v>
      </c>
      <c r="B180" s="346" t="s">
        <v>748</v>
      </c>
      <c r="C180" s="346"/>
      <c r="D180" s="476" t="s">
        <v>749</v>
      </c>
      <c r="E180" s="393">
        <f>'d3'!E180-d3П!E180</f>
        <v>0</v>
      </c>
      <c r="F180" s="393">
        <f>'d3'!F180-d3П!F180</f>
        <v>0</v>
      </c>
      <c r="G180" s="393">
        <f>'d3'!G180-d3П!G180</f>
        <v>0</v>
      </c>
      <c r="H180" s="393">
        <f>'d3'!H180-d3П!H180</f>
        <v>0</v>
      </c>
      <c r="I180" s="393">
        <f>'d3'!I180-d3П!I180</f>
        <v>0</v>
      </c>
      <c r="J180" s="393">
        <f>'d3'!J180-d3П!J180</f>
        <v>0</v>
      </c>
      <c r="K180" s="393">
        <f>'d3'!K180-d3П!K180</f>
        <v>0</v>
      </c>
      <c r="L180" s="393">
        <f>'d3'!L180-d3П!L180</f>
        <v>0</v>
      </c>
      <c r="M180" s="393">
        <f>'d3'!M180-d3П!M180</f>
        <v>0</v>
      </c>
      <c r="N180" s="393">
        <f>'d3'!N180-d3П!N180</f>
        <v>0</v>
      </c>
      <c r="O180" s="393">
        <f>'d3'!O180-d3П!O180</f>
        <v>0</v>
      </c>
      <c r="P180" s="393">
        <f>'d3'!P180-d3П!P180</f>
        <v>0</v>
      </c>
      <c r="Q180" s="20"/>
      <c r="R180" s="46"/>
    </row>
    <row r="181" spans="1:18" s="33" customFormat="1" ht="48" thickTop="1" thickBot="1" x14ac:dyDescent="0.25">
      <c r="A181" s="399" t="s">
        <v>750</v>
      </c>
      <c r="B181" s="399" t="s">
        <v>751</v>
      </c>
      <c r="C181" s="399"/>
      <c r="D181" s="487" t="s">
        <v>752</v>
      </c>
      <c r="E181" s="393">
        <f>'d3'!E181-d3П!E181</f>
        <v>0</v>
      </c>
      <c r="F181" s="393">
        <f>'d3'!F181-d3П!F181</f>
        <v>0</v>
      </c>
      <c r="G181" s="393">
        <f>'d3'!G181-d3П!G181</f>
        <v>0</v>
      </c>
      <c r="H181" s="393">
        <f>'d3'!H181-d3П!H181</f>
        <v>0</v>
      </c>
      <c r="I181" s="393">
        <f>'d3'!I181-d3П!I181</f>
        <v>0</v>
      </c>
      <c r="J181" s="393">
        <f>'d3'!J181-d3П!J181</f>
        <v>0</v>
      </c>
      <c r="K181" s="393">
        <f>'d3'!K181-d3П!K181</f>
        <v>0</v>
      </c>
      <c r="L181" s="393">
        <f>'d3'!L181-d3П!L181</f>
        <v>0</v>
      </c>
      <c r="M181" s="393">
        <f>'d3'!M181-d3П!M181</f>
        <v>0</v>
      </c>
      <c r="N181" s="393">
        <f>'d3'!N181-d3П!N181</f>
        <v>0</v>
      </c>
      <c r="O181" s="393">
        <f>'d3'!O181-d3П!O181</f>
        <v>0</v>
      </c>
      <c r="P181" s="393">
        <f>'d3'!P181-d3П!P181</f>
        <v>0</v>
      </c>
      <c r="Q181" s="36"/>
      <c r="R181" s="52"/>
    </row>
    <row r="182" spans="1:18" ht="93" thickTop="1" thickBot="1" x14ac:dyDescent="0.25">
      <c r="A182" s="119" t="s">
        <v>371</v>
      </c>
      <c r="B182" s="119" t="s">
        <v>369</v>
      </c>
      <c r="C182" s="119" t="s">
        <v>344</v>
      </c>
      <c r="D182" s="413" t="s">
        <v>370</v>
      </c>
      <c r="E182" s="393">
        <f>'d3'!E182-d3П!E182</f>
        <v>0</v>
      </c>
      <c r="F182" s="393">
        <f>'d3'!F182-d3П!F182</f>
        <v>0</v>
      </c>
      <c r="G182" s="393">
        <f>'d3'!G182-d3П!G182</f>
        <v>0</v>
      </c>
      <c r="H182" s="393">
        <f>'d3'!H182-d3П!H182</f>
        <v>0</v>
      </c>
      <c r="I182" s="393">
        <f>'d3'!I182-d3П!I182</f>
        <v>0</v>
      </c>
      <c r="J182" s="393">
        <f>'d3'!J182-d3П!J182</f>
        <v>0</v>
      </c>
      <c r="K182" s="393">
        <f>'d3'!K182-d3П!K182</f>
        <v>0</v>
      </c>
      <c r="L182" s="393">
        <f>'d3'!L182-d3П!L182</f>
        <v>0</v>
      </c>
      <c r="M182" s="393">
        <f>'d3'!M182-d3П!M182</f>
        <v>0</v>
      </c>
      <c r="N182" s="393">
        <f>'d3'!N182-d3П!N182</f>
        <v>0</v>
      </c>
      <c r="O182" s="393">
        <f>'d3'!O182-d3П!O182</f>
        <v>0</v>
      </c>
      <c r="P182" s="393">
        <f>'d3'!P182-d3П!P182</f>
        <v>0</v>
      </c>
      <c r="Q182" s="20"/>
      <c r="R182" s="46"/>
    </row>
    <row r="183" spans="1:18" ht="184.5" hidden="1" customHeight="1" thickTop="1" thickBot="1" x14ac:dyDescent="0.25">
      <c r="A183" s="41" t="s">
        <v>1093</v>
      </c>
      <c r="B183" s="41" t="s">
        <v>1094</v>
      </c>
      <c r="C183" s="41" t="s">
        <v>344</v>
      </c>
      <c r="D183" s="170" t="s">
        <v>1095</v>
      </c>
      <c r="E183" s="393">
        <f>'d3'!E183-d3П!E183</f>
        <v>0</v>
      </c>
      <c r="F183" s="393">
        <f>'d3'!F183-d3П!F183</f>
        <v>0</v>
      </c>
      <c r="G183" s="393">
        <f>'d3'!G183-d3П!G183</f>
        <v>0</v>
      </c>
      <c r="H183" s="393">
        <f>'d3'!H183-d3П!H183</f>
        <v>0</v>
      </c>
      <c r="I183" s="393">
        <f>'d3'!I183-d3П!I183</f>
        <v>0</v>
      </c>
      <c r="J183" s="393">
        <f>'d3'!J183-d3П!J183</f>
        <v>0</v>
      </c>
      <c r="K183" s="393">
        <f>'d3'!K183-d3П!K183</f>
        <v>0</v>
      </c>
      <c r="L183" s="393">
        <f>'d3'!L183-d3П!L183</f>
        <v>0</v>
      </c>
      <c r="M183" s="393">
        <f>'d3'!M183-d3П!M183</f>
        <v>0</v>
      </c>
      <c r="N183" s="393">
        <f>'d3'!N183-d3П!N183</f>
        <v>0</v>
      </c>
      <c r="O183" s="393">
        <f>'d3'!O183-d3П!O183</f>
        <v>0</v>
      </c>
      <c r="P183" s="393">
        <f>'d3'!P183-d3П!P183</f>
        <v>0</v>
      </c>
      <c r="Q183" s="20"/>
      <c r="R183" s="46"/>
    </row>
    <row r="184" spans="1:18" ht="47.25" thickTop="1" thickBot="1" x14ac:dyDescent="0.25">
      <c r="A184" s="346" t="s">
        <v>757</v>
      </c>
      <c r="B184" s="346" t="s">
        <v>754</v>
      </c>
      <c r="C184" s="346"/>
      <c r="D184" s="346" t="s">
        <v>755</v>
      </c>
      <c r="E184" s="393">
        <f>'d3'!E184-d3П!E184</f>
        <v>0</v>
      </c>
      <c r="F184" s="393">
        <f>'d3'!F184-d3П!F184</f>
        <v>0</v>
      </c>
      <c r="G184" s="393">
        <f>'d3'!G184-d3П!G184</f>
        <v>0</v>
      </c>
      <c r="H184" s="393">
        <f>'d3'!H184-d3П!H184</f>
        <v>0</v>
      </c>
      <c r="I184" s="393">
        <f>'d3'!I184-d3П!I184</f>
        <v>0</v>
      </c>
      <c r="J184" s="393">
        <f>'d3'!J184-d3П!J184</f>
        <v>0</v>
      </c>
      <c r="K184" s="393">
        <f>'d3'!K184-d3П!K184</f>
        <v>0</v>
      </c>
      <c r="L184" s="393">
        <f>'d3'!L184-d3П!L184</f>
        <v>0</v>
      </c>
      <c r="M184" s="393">
        <f>'d3'!M184-d3П!M184</f>
        <v>0</v>
      </c>
      <c r="N184" s="393">
        <f>'d3'!N184-d3П!N184</f>
        <v>0</v>
      </c>
      <c r="O184" s="393">
        <f>'d3'!O184-d3П!O184</f>
        <v>0</v>
      </c>
      <c r="P184" s="393">
        <f>'d3'!P184-d3П!P184</f>
        <v>0</v>
      </c>
      <c r="Q184" s="20"/>
      <c r="R184" s="46"/>
    </row>
    <row r="185" spans="1:18" ht="47.25" thickTop="1" thickBot="1" x14ac:dyDescent="0.25">
      <c r="A185" s="348" t="s">
        <v>935</v>
      </c>
      <c r="B185" s="348" t="s">
        <v>810</v>
      </c>
      <c r="C185" s="348"/>
      <c r="D185" s="348" t="s">
        <v>811</v>
      </c>
      <c r="E185" s="393">
        <f>'d3'!E185-d3П!E185</f>
        <v>0</v>
      </c>
      <c r="F185" s="393">
        <f>'d3'!F185-d3П!F185</f>
        <v>0</v>
      </c>
      <c r="G185" s="393">
        <f>'d3'!G185-d3П!G185</f>
        <v>0</v>
      </c>
      <c r="H185" s="393">
        <f>'d3'!H185-d3П!H185</f>
        <v>0</v>
      </c>
      <c r="I185" s="393">
        <f>'d3'!I185-d3П!I185</f>
        <v>0</v>
      </c>
      <c r="J185" s="393">
        <f>'d3'!J185-d3П!J185</f>
        <v>0</v>
      </c>
      <c r="K185" s="393">
        <f>'d3'!K185-d3П!K185</f>
        <v>0</v>
      </c>
      <c r="L185" s="393">
        <f>'d3'!L185-d3П!L185</f>
        <v>0</v>
      </c>
      <c r="M185" s="393">
        <f>'d3'!M185-d3П!M185</f>
        <v>0</v>
      </c>
      <c r="N185" s="393">
        <f>'d3'!N185-d3П!N185</f>
        <v>0</v>
      </c>
      <c r="O185" s="393">
        <f>'d3'!O185-d3П!O185</f>
        <v>0</v>
      </c>
      <c r="P185" s="393">
        <f>'d3'!P185-d3П!P185</f>
        <v>0</v>
      </c>
      <c r="Q185" s="20"/>
      <c r="R185" s="46"/>
    </row>
    <row r="186" spans="1:18" ht="54.75" thickTop="1" thickBot="1" x14ac:dyDescent="0.25">
      <c r="A186" s="399" t="s">
        <v>932</v>
      </c>
      <c r="B186" s="399" t="s">
        <v>828</v>
      </c>
      <c r="C186" s="399"/>
      <c r="D186" s="399" t="s">
        <v>1308</v>
      </c>
      <c r="E186" s="393">
        <f>'d3'!E186-d3П!E186</f>
        <v>0</v>
      </c>
      <c r="F186" s="393">
        <f>'d3'!F186-d3П!F186</f>
        <v>0</v>
      </c>
      <c r="G186" s="393">
        <f>'d3'!G186-d3П!G186</f>
        <v>0</v>
      </c>
      <c r="H186" s="393">
        <f>'d3'!H186-d3П!H186</f>
        <v>0</v>
      </c>
      <c r="I186" s="393">
        <f>'d3'!I186-d3П!I186</f>
        <v>0</v>
      </c>
      <c r="J186" s="393">
        <f>'d3'!J186-d3П!J186</f>
        <v>0</v>
      </c>
      <c r="K186" s="393">
        <f>'d3'!K186-d3П!K186</f>
        <v>0</v>
      </c>
      <c r="L186" s="393">
        <f>'d3'!L186-d3П!L186</f>
        <v>0</v>
      </c>
      <c r="M186" s="393">
        <f>'d3'!M186-d3П!M186</f>
        <v>0</v>
      </c>
      <c r="N186" s="393">
        <f>'d3'!N186-d3П!N186</f>
        <v>0</v>
      </c>
      <c r="O186" s="393">
        <f>'d3'!O186-d3П!O186</f>
        <v>0</v>
      </c>
      <c r="P186" s="393">
        <f>'d3'!P186-d3П!P186</f>
        <v>0</v>
      </c>
      <c r="Q186" s="20"/>
      <c r="R186" s="46"/>
    </row>
    <row r="187" spans="1:18" ht="54" thickTop="1" thickBot="1" x14ac:dyDescent="0.25">
      <c r="A187" s="119" t="s">
        <v>933</v>
      </c>
      <c r="B187" s="119" t="s">
        <v>934</v>
      </c>
      <c r="C187" s="119" t="s">
        <v>308</v>
      </c>
      <c r="D187" s="119" t="s">
        <v>1561</v>
      </c>
      <c r="E187" s="393">
        <f>'d3'!E187-d3П!E187</f>
        <v>0</v>
      </c>
      <c r="F187" s="393">
        <f>'d3'!F187-d3П!F187</f>
        <v>0</v>
      </c>
      <c r="G187" s="393">
        <f>'d3'!G187-d3П!G187</f>
        <v>0</v>
      </c>
      <c r="H187" s="393">
        <f>'d3'!H187-d3П!H187</f>
        <v>0</v>
      </c>
      <c r="I187" s="393">
        <f>'d3'!I187-d3П!I187</f>
        <v>0</v>
      </c>
      <c r="J187" s="393">
        <f>'d3'!J187-d3П!J187</f>
        <v>0</v>
      </c>
      <c r="K187" s="393">
        <f>'d3'!K187-d3П!K187</f>
        <v>0</v>
      </c>
      <c r="L187" s="393">
        <f>'d3'!L187-d3П!L187</f>
        <v>0</v>
      </c>
      <c r="M187" s="393">
        <f>'d3'!M187-d3П!M187</f>
        <v>0</v>
      </c>
      <c r="N187" s="393">
        <f>'d3'!N187-d3П!N187</f>
        <v>0</v>
      </c>
      <c r="O187" s="393">
        <f>'d3'!O187-d3П!O187</f>
        <v>0</v>
      </c>
      <c r="P187" s="393">
        <f>'d3'!P187-d3П!P187</f>
        <v>0</v>
      </c>
      <c r="Q187" s="20"/>
      <c r="R187" s="46"/>
    </row>
    <row r="188" spans="1:18" ht="47.25" thickTop="1" thickBot="1" x14ac:dyDescent="0.25">
      <c r="A188" s="348" t="s">
        <v>759</v>
      </c>
      <c r="B188" s="348" t="s">
        <v>697</v>
      </c>
      <c r="C188" s="348"/>
      <c r="D188" s="348" t="s">
        <v>695</v>
      </c>
      <c r="E188" s="393">
        <f>'d3'!E188-d3П!E188</f>
        <v>0</v>
      </c>
      <c r="F188" s="393">
        <f>'d3'!F188-d3П!F188</f>
        <v>0</v>
      </c>
      <c r="G188" s="393">
        <f>'d3'!G188-d3П!G188</f>
        <v>0</v>
      </c>
      <c r="H188" s="393">
        <f>'d3'!H188-d3П!H188</f>
        <v>0</v>
      </c>
      <c r="I188" s="393">
        <f>'d3'!I188-d3П!I188</f>
        <v>0</v>
      </c>
      <c r="J188" s="393">
        <f>'d3'!J188-d3П!J188</f>
        <v>0</v>
      </c>
      <c r="K188" s="393">
        <f>'d3'!K188-d3П!K188</f>
        <v>0</v>
      </c>
      <c r="L188" s="393">
        <f>'d3'!L188-d3П!L188</f>
        <v>0</v>
      </c>
      <c r="M188" s="393">
        <f>'d3'!M188-d3П!M188</f>
        <v>0</v>
      </c>
      <c r="N188" s="393">
        <f>'d3'!N188-d3П!N188</f>
        <v>0</v>
      </c>
      <c r="O188" s="393">
        <f>'d3'!O188-d3П!O188</f>
        <v>0</v>
      </c>
      <c r="P188" s="393">
        <f>'d3'!P188-d3П!P188</f>
        <v>0</v>
      </c>
      <c r="Q188" s="20"/>
      <c r="R188" s="46"/>
    </row>
    <row r="189" spans="1:18" ht="47.25" thickTop="1" thickBot="1" x14ac:dyDescent="0.25">
      <c r="A189" s="119" t="s">
        <v>1386</v>
      </c>
      <c r="B189" s="119" t="s">
        <v>216</v>
      </c>
      <c r="C189" s="119" t="s">
        <v>217</v>
      </c>
      <c r="D189" s="119" t="s">
        <v>41</v>
      </c>
      <c r="E189" s="393">
        <f>'d3'!E189-d3П!E189</f>
        <v>0</v>
      </c>
      <c r="F189" s="393">
        <f>'d3'!F189-d3П!F189</f>
        <v>0</v>
      </c>
      <c r="G189" s="393">
        <f>'d3'!G189-d3П!G189</f>
        <v>0</v>
      </c>
      <c r="H189" s="393">
        <f>'d3'!H189-d3П!H189</f>
        <v>0</v>
      </c>
      <c r="I189" s="393">
        <f>'d3'!I189-d3П!I189</f>
        <v>0</v>
      </c>
      <c r="J189" s="393">
        <f>'d3'!J189-d3П!J189</f>
        <v>0</v>
      </c>
      <c r="K189" s="393">
        <f>'d3'!K189-d3П!K189</f>
        <v>0</v>
      </c>
      <c r="L189" s="393">
        <f>'d3'!L189-d3П!L189</f>
        <v>0</v>
      </c>
      <c r="M189" s="393">
        <f>'d3'!M189-d3П!M189</f>
        <v>0</v>
      </c>
      <c r="N189" s="393">
        <f>'d3'!N189-d3П!N189</f>
        <v>0</v>
      </c>
      <c r="O189" s="393">
        <f>'d3'!O189-d3П!O189</f>
        <v>0</v>
      </c>
      <c r="P189" s="393">
        <f>'d3'!P189-d3П!P189</f>
        <v>0</v>
      </c>
      <c r="Q189" s="20"/>
      <c r="R189" s="46"/>
    </row>
    <row r="190" spans="1:18" ht="48" hidden="1" thickTop="1" thickBot="1" x14ac:dyDescent="0.25">
      <c r="A190" s="156" t="s">
        <v>758</v>
      </c>
      <c r="B190" s="156" t="s">
        <v>700</v>
      </c>
      <c r="C190" s="156"/>
      <c r="D190" s="169" t="s">
        <v>698</v>
      </c>
      <c r="E190" s="157">
        <f>E191</f>
        <v>0</v>
      </c>
      <c r="F190" s="157">
        <f t="shared" ref="F190:P190" si="21">F191</f>
        <v>0</v>
      </c>
      <c r="G190" s="157">
        <f t="shared" si="21"/>
        <v>0</v>
      </c>
      <c r="H190" s="157">
        <f t="shared" si="21"/>
        <v>0</v>
      </c>
      <c r="I190" s="157">
        <f t="shared" si="21"/>
        <v>0</v>
      </c>
      <c r="J190" s="157">
        <f t="shared" si="21"/>
        <v>0</v>
      </c>
      <c r="K190" s="157">
        <f t="shared" si="21"/>
        <v>0</v>
      </c>
      <c r="L190" s="157">
        <f t="shared" si="21"/>
        <v>0</v>
      </c>
      <c r="M190" s="157">
        <f t="shared" si="21"/>
        <v>0</v>
      </c>
      <c r="N190" s="157">
        <f t="shared" si="21"/>
        <v>0</v>
      </c>
      <c r="O190" s="157">
        <f t="shared" si="21"/>
        <v>0</v>
      </c>
      <c r="P190" s="157">
        <f t="shared" si="21"/>
        <v>0</v>
      </c>
      <c r="Q190" s="20"/>
      <c r="R190" s="46"/>
    </row>
    <row r="191" spans="1:18" ht="184.5" hidden="1" thickTop="1" thickBot="1" x14ac:dyDescent="0.7">
      <c r="A191" s="713" t="s">
        <v>427</v>
      </c>
      <c r="B191" s="713" t="s">
        <v>342</v>
      </c>
      <c r="C191" s="713" t="s">
        <v>170</v>
      </c>
      <c r="D191" s="171" t="s">
        <v>444</v>
      </c>
      <c r="E191" s="712">
        <f t="shared" ref="E191" si="22">F191</f>
        <v>0</v>
      </c>
      <c r="F191" s="687"/>
      <c r="G191" s="687"/>
      <c r="H191" s="687"/>
      <c r="I191" s="687"/>
      <c r="J191" s="712">
        <f t="shared" ref="J191" si="23">L191+O191</f>
        <v>0</v>
      </c>
      <c r="K191" s="687"/>
      <c r="L191" s="687"/>
      <c r="M191" s="687"/>
      <c r="N191" s="687"/>
      <c r="O191" s="690">
        <f t="shared" ref="O191" si="24">K191</f>
        <v>0</v>
      </c>
      <c r="P191" s="692">
        <f t="shared" ref="P191" si="25">E191+J191</f>
        <v>0</v>
      </c>
      <c r="Q191" s="20"/>
      <c r="R191" s="50"/>
    </row>
    <row r="192" spans="1:18" ht="93" hidden="1" thickTop="1" thickBot="1" x14ac:dyDescent="0.25">
      <c r="A192" s="688"/>
      <c r="B192" s="714"/>
      <c r="C192" s="688"/>
      <c r="D192" s="172" t="s">
        <v>445</v>
      </c>
      <c r="E192" s="688"/>
      <c r="F192" s="689"/>
      <c r="G192" s="689"/>
      <c r="H192" s="689"/>
      <c r="I192" s="689"/>
      <c r="J192" s="688"/>
      <c r="K192" s="688"/>
      <c r="L192" s="689"/>
      <c r="M192" s="689"/>
      <c r="N192" s="689"/>
      <c r="O192" s="691"/>
      <c r="P192" s="693"/>
      <c r="Q192" s="20"/>
      <c r="R192" s="50"/>
    </row>
    <row r="193" spans="1:18" ht="91.5" thickTop="1" thickBot="1" x14ac:dyDescent="0.25">
      <c r="A193" s="403">
        <v>1000000</v>
      </c>
      <c r="B193" s="403"/>
      <c r="C193" s="403"/>
      <c r="D193" s="404" t="s">
        <v>24</v>
      </c>
      <c r="E193" s="406">
        <f>E194</f>
        <v>-41500</v>
      </c>
      <c r="F193" s="405">
        <f t="shared" ref="F193:G193" si="26">F194</f>
        <v>-41500</v>
      </c>
      <c r="G193" s="405">
        <f t="shared" si="26"/>
        <v>0</v>
      </c>
      <c r="H193" s="405">
        <f>H194</f>
        <v>0</v>
      </c>
      <c r="I193" s="405">
        <f>I194</f>
        <v>0</v>
      </c>
      <c r="J193" s="406">
        <f>J194</f>
        <v>41500</v>
      </c>
      <c r="K193" s="405">
        <f>K194</f>
        <v>41500</v>
      </c>
      <c r="L193" s="405">
        <f>L194</f>
        <v>0</v>
      </c>
      <c r="M193" s="405">
        <f t="shared" ref="M193" si="27">M194</f>
        <v>0</v>
      </c>
      <c r="N193" s="405">
        <f>N194</f>
        <v>0</v>
      </c>
      <c r="O193" s="406">
        <f>O194</f>
        <v>41500</v>
      </c>
      <c r="P193" s="405">
        <f t="shared" ref="P193" si="28">P194</f>
        <v>0</v>
      </c>
      <c r="Q193" s="20"/>
    </row>
    <row r="194" spans="1:18" ht="91.5" thickTop="1" thickBot="1" x14ac:dyDescent="0.25">
      <c r="A194" s="407">
        <v>1010000</v>
      </c>
      <c r="B194" s="407"/>
      <c r="C194" s="407"/>
      <c r="D194" s="408" t="s">
        <v>39</v>
      </c>
      <c r="E194" s="409">
        <f>E195+E197+E212+E206</f>
        <v>-41500</v>
      </c>
      <c r="F194" s="409">
        <f>F195+F197+F212+F206</f>
        <v>-41500</v>
      </c>
      <c r="G194" s="409">
        <f>G195+G197+G212+G206</f>
        <v>0</v>
      </c>
      <c r="H194" s="409">
        <f>H195+H197+H212+H206</f>
        <v>0</v>
      </c>
      <c r="I194" s="409">
        <f>I195+I197+I212+I206</f>
        <v>0</v>
      </c>
      <c r="J194" s="409">
        <f t="shared" ref="J194" si="29">L194+O194</f>
        <v>41500</v>
      </c>
      <c r="K194" s="409">
        <f>K195+K197+K212+K206</f>
        <v>41500</v>
      </c>
      <c r="L194" s="409">
        <f>L195+L197+L212+L206</f>
        <v>0</v>
      </c>
      <c r="M194" s="409">
        <f>M195+M197+M212+M206</f>
        <v>0</v>
      </c>
      <c r="N194" s="409">
        <f>N195+N197+N212+N206</f>
        <v>0</v>
      </c>
      <c r="O194" s="409">
        <f>O195+O197+O212+O206</f>
        <v>41500</v>
      </c>
      <c r="P194" s="409">
        <f t="shared" ref="P194" si="30">E194+J194</f>
        <v>0</v>
      </c>
      <c r="Q194" s="353" t="b">
        <f>P194=P196+P198+P199+P200+P201+P204+P205+P209+P210+P202+P211</f>
        <v>1</v>
      </c>
      <c r="R194" s="46"/>
    </row>
    <row r="195" spans="1:18" ht="47.25" thickTop="1" thickBot="1" x14ac:dyDescent="0.25">
      <c r="A195" s="346" t="s">
        <v>760</v>
      </c>
      <c r="B195" s="346" t="s">
        <v>714</v>
      </c>
      <c r="C195" s="346"/>
      <c r="D195" s="346" t="s">
        <v>715</v>
      </c>
      <c r="E195" s="393">
        <f>'d3'!E195-d3П!E195</f>
        <v>0</v>
      </c>
      <c r="F195" s="393">
        <f>'d3'!F195-d3П!F195</f>
        <v>0</v>
      </c>
      <c r="G195" s="393">
        <f>'d3'!G195-d3П!G195</f>
        <v>0</v>
      </c>
      <c r="H195" s="393">
        <f>'d3'!H195-d3П!H195</f>
        <v>0</v>
      </c>
      <c r="I195" s="393">
        <f>'d3'!I195-d3П!I195</f>
        <v>0</v>
      </c>
      <c r="J195" s="393">
        <f>'d3'!J195-d3П!J195</f>
        <v>0</v>
      </c>
      <c r="K195" s="393">
        <f>'d3'!K195-d3П!K195</f>
        <v>0</v>
      </c>
      <c r="L195" s="393">
        <f>'d3'!L195-d3П!L195</f>
        <v>0</v>
      </c>
      <c r="M195" s="393">
        <f>'d3'!M195-d3П!M195</f>
        <v>0</v>
      </c>
      <c r="N195" s="393">
        <f>'d3'!N195-d3П!N195</f>
        <v>0</v>
      </c>
      <c r="O195" s="393">
        <f>'d3'!O195-d3П!O195</f>
        <v>0</v>
      </c>
      <c r="P195" s="393">
        <f>'d3'!P195-d3П!P195</f>
        <v>0</v>
      </c>
      <c r="Q195" s="47"/>
      <c r="R195" s="46"/>
    </row>
    <row r="196" spans="1:18" ht="47.25" thickTop="1" thickBot="1" x14ac:dyDescent="0.25">
      <c r="A196" s="119" t="s">
        <v>642</v>
      </c>
      <c r="B196" s="119" t="s">
        <v>643</v>
      </c>
      <c r="C196" s="119" t="s">
        <v>185</v>
      </c>
      <c r="D196" s="119" t="s">
        <v>1140</v>
      </c>
      <c r="E196" s="393">
        <f>'d3'!E196-d3П!E196</f>
        <v>0</v>
      </c>
      <c r="F196" s="393">
        <f>'d3'!F196-d3П!F196</f>
        <v>0</v>
      </c>
      <c r="G196" s="393">
        <f>'d3'!G196-d3П!G196</f>
        <v>0</v>
      </c>
      <c r="H196" s="393">
        <f>'d3'!H196-d3П!H196</f>
        <v>0</v>
      </c>
      <c r="I196" s="393">
        <f>'d3'!I196-d3П!I196</f>
        <v>0</v>
      </c>
      <c r="J196" s="393">
        <f>'d3'!J196-d3П!J196</f>
        <v>0</v>
      </c>
      <c r="K196" s="393">
        <f>'d3'!K196-d3П!K196</f>
        <v>0</v>
      </c>
      <c r="L196" s="393">
        <f>'d3'!L196-d3П!L196</f>
        <v>0</v>
      </c>
      <c r="M196" s="393">
        <f>'d3'!M196-d3П!M196</f>
        <v>0</v>
      </c>
      <c r="N196" s="393">
        <f>'d3'!N196-d3П!N196</f>
        <v>0</v>
      </c>
      <c r="O196" s="393">
        <f>'d3'!O196-d3П!O196</f>
        <v>0</v>
      </c>
      <c r="P196" s="393">
        <f>'d3'!P196-d3П!P196</f>
        <v>0</v>
      </c>
      <c r="Q196" s="20"/>
      <c r="R196" s="46"/>
    </row>
    <row r="197" spans="1:18" s="24" customFormat="1" ht="47.25" thickTop="1" thickBot="1" x14ac:dyDescent="0.25">
      <c r="A197" s="346" t="s">
        <v>761</v>
      </c>
      <c r="B197" s="346" t="s">
        <v>762</v>
      </c>
      <c r="C197" s="346"/>
      <c r="D197" s="346" t="s">
        <v>763</v>
      </c>
      <c r="E197" s="393">
        <f>'d3'!E197-d3П!E197</f>
        <v>-41500</v>
      </c>
      <c r="F197" s="393">
        <f>'d3'!F197-d3П!F197</f>
        <v>-41500</v>
      </c>
      <c r="G197" s="393">
        <f>'d3'!G197-d3П!G197</f>
        <v>0</v>
      </c>
      <c r="H197" s="393">
        <f>'d3'!H197-d3П!H197</f>
        <v>0</v>
      </c>
      <c r="I197" s="393">
        <f>'d3'!I197-d3П!I197</f>
        <v>0</v>
      </c>
      <c r="J197" s="393">
        <f>'d3'!J197-d3П!J197</f>
        <v>41500</v>
      </c>
      <c r="K197" s="393">
        <f>'d3'!K197-d3П!K197</f>
        <v>41500</v>
      </c>
      <c r="L197" s="393">
        <f>'d3'!L197-d3П!L197</f>
        <v>0</v>
      </c>
      <c r="M197" s="393">
        <f>'d3'!M197-d3П!M197</f>
        <v>0</v>
      </c>
      <c r="N197" s="393">
        <f>'d3'!N197-d3П!N197</f>
        <v>0</v>
      </c>
      <c r="O197" s="393">
        <f>'d3'!O197-d3П!O197</f>
        <v>41500</v>
      </c>
      <c r="P197" s="393">
        <f>'d3'!P197-d3П!P197</f>
        <v>0</v>
      </c>
      <c r="Q197" s="25"/>
      <c r="R197" s="50"/>
    </row>
    <row r="198" spans="1:18" ht="47.25" thickTop="1" thickBot="1" x14ac:dyDescent="0.25">
      <c r="A198" s="119" t="s">
        <v>171</v>
      </c>
      <c r="B198" s="119" t="s">
        <v>172</v>
      </c>
      <c r="C198" s="119" t="s">
        <v>174</v>
      </c>
      <c r="D198" s="119" t="s">
        <v>175</v>
      </c>
      <c r="E198" s="393">
        <f>'d3'!E198-d3П!E198</f>
        <v>0</v>
      </c>
      <c r="F198" s="393">
        <f>'d3'!F198-d3П!F198</f>
        <v>0</v>
      </c>
      <c r="G198" s="393">
        <f>'d3'!G198-d3П!G198</f>
        <v>0</v>
      </c>
      <c r="H198" s="393">
        <f>'d3'!H198-d3П!H198</f>
        <v>0</v>
      </c>
      <c r="I198" s="393">
        <f>'d3'!I198-d3П!I198</f>
        <v>0</v>
      </c>
      <c r="J198" s="393">
        <f>'d3'!J198-d3П!J198</f>
        <v>0</v>
      </c>
      <c r="K198" s="393">
        <f>'d3'!K198-d3П!K198</f>
        <v>0</v>
      </c>
      <c r="L198" s="393">
        <f>'d3'!L198-d3П!L198</f>
        <v>0</v>
      </c>
      <c r="M198" s="393">
        <f>'d3'!M198-d3П!M198</f>
        <v>0</v>
      </c>
      <c r="N198" s="393">
        <f>'d3'!N198-d3П!N198</f>
        <v>0</v>
      </c>
      <c r="O198" s="393">
        <f>'d3'!O198-d3П!O198</f>
        <v>0</v>
      </c>
      <c r="P198" s="393">
        <f>'d3'!P198-d3П!P198</f>
        <v>0</v>
      </c>
      <c r="Q198" s="20"/>
      <c r="R198" s="50"/>
    </row>
    <row r="199" spans="1:18" ht="47.25" thickTop="1" thickBot="1" x14ac:dyDescent="0.25">
      <c r="A199" s="119" t="s">
        <v>176</v>
      </c>
      <c r="B199" s="119" t="s">
        <v>177</v>
      </c>
      <c r="C199" s="119" t="s">
        <v>178</v>
      </c>
      <c r="D199" s="119" t="s">
        <v>179</v>
      </c>
      <c r="E199" s="393">
        <f>'d3'!E199-d3П!E199</f>
        <v>0</v>
      </c>
      <c r="F199" s="393">
        <f>'d3'!F199-d3П!F199</f>
        <v>0</v>
      </c>
      <c r="G199" s="393">
        <f>'d3'!G199-d3П!G199</f>
        <v>0</v>
      </c>
      <c r="H199" s="393">
        <f>'d3'!H199-d3П!H199</f>
        <v>0</v>
      </c>
      <c r="I199" s="393">
        <f>'d3'!I199-d3П!I199</f>
        <v>0</v>
      </c>
      <c r="J199" s="393">
        <f>'d3'!J199-d3П!J199</f>
        <v>0</v>
      </c>
      <c r="K199" s="393">
        <f>'d3'!K199-d3П!K199</f>
        <v>0</v>
      </c>
      <c r="L199" s="393">
        <f>'d3'!L199-d3П!L199</f>
        <v>0</v>
      </c>
      <c r="M199" s="393">
        <f>'d3'!M199-d3П!M199</f>
        <v>0</v>
      </c>
      <c r="N199" s="393">
        <f>'d3'!N199-d3П!N199</f>
        <v>0</v>
      </c>
      <c r="O199" s="393">
        <f>'d3'!O199-d3П!O199</f>
        <v>0</v>
      </c>
      <c r="P199" s="393">
        <f>'d3'!P199-d3П!P199</f>
        <v>0</v>
      </c>
      <c r="Q199" s="20"/>
      <c r="R199" s="46"/>
    </row>
    <row r="200" spans="1:18" ht="47.25" thickTop="1" thickBot="1" x14ac:dyDescent="0.25">
      <c r="A200" s="119" t="s">
        <v>180</v>
      </c>
      <c r="B200" s="119" t="s">
        <v>181</v>
      </c>
      <c r="C200" s="119" t="s">
        <v>178</v>
      </c>
      <c r="D200" s="119" t="s">
        <v>467</v>
      </c>
      <c r="E200" s="393">
        <f>'d3'!E200-d3П!E200</f>
        <v>0</v>
      </c>
      <c r="F200" s="393">
        <f>'d3'!F200-d3П!F200</f>
        <v>0</v>
      </c>
      <c r="G200" s="393">
        <f>'d3'!G200-d3П!G200</f>
        <v>0</v>
      </c>
      <c r="H200" s="393">
        <f>'d3'!H200-d3П!H200</f>
        <v>0</v>
      </c>
      <c r="I200" s="393">
        <f>'d3'!I200-d3П!I200</f>
        <v>0</v>
      </c>
      <c r="J200" s="393">
        <f>'d3'!J200-d3П!J200</f>
        <v>0</v>
      </c>
      <c r="K200" s="393">
        <f>'d3'!K200-d3П!K200</f>
        <v>0</v>
      </c>
      <c r="L200" s="393">
        <f>'d3'!L200-d3П!L200</f>
        <v>0</v>
      </c>
      <c r="M200" s="393">
        <f>'d3'!M200-d3П!M200</f>
        <v>0</v>
      </c>
      <c r="N200" s="393">
        <f>'d3'!N200-d3П!N200</f>
        <v>0</v>
      </c>
      <c r="O200" s="393">
        <f>'d3'!O200-d3П!O200</f>
        <v>0</v>
      </c>
      <c r="P200" s="393">
        <f>'d3'!P200-d3П!P200</f>
        <v>0</v>
      </c>
      <c r="Q200" s="20"/>
      <c r="R200" s="46"/>
    </row>
    <row r="201" spans="1:18" ht="93" thickTop="1" thickBot="1" x14ac:dyDescent="0.25">
      <c r="A201" s="119" t="s">
        <v>182</v>
      </c>
      <c r="B201" s="119" t="s">
        <v>173</v>
      </c>
      <c r="C201" s="119" t="s">
        <v>183</v>
      </c>
      <c r="D201" s="119" t="s">
        <v>184</v>
      </c>
      <c r="E201" s="393">
        <f>'d3'!E201-d3П!E201</f>
        <v>21000</v>
      </c>
      <c r="F201" s="393">
        <f>'d3'!F201-d3П!F201</f>
        <v>21000</v>
      </c>
      <c r="G201" s="393">
        <f>'d3'!G201-d3П!G201</f>
        <v>0</v>
      </c>
      <c r="H201" s="393">
        <f>'d3'!H201-d3П!H201</f>
        <v>0</v>
      </c>
      <c r="I201" s="393">
        <f>'d3'!I201-d3П!I201</f>
        <v>0</v>
      </c>
      <c r="J201" s="393">
        <f>'d3'!J201-d3П!J201</f>
        <v>0</v>
      </c>
      <c r="K201" s="393">
        <f>'d3'!K201-d3П!K201</f>
        <v>0</v>
      </c>
      <c r="L201" s="393">
        <f>'d3'!L201-d3П!L201</f>
        <v>0</v>
      </c>
      <c r="M201" s="393">
        <f>'d3'!M201-d3П!M201</f>
        <v>0</v>
      </c>
      <c r="N201" s="393">
        <f>'d3'!N201-d3П!N201</f>
        <v>0</v>
      </c>
      <c r="O201" s="393">
        <f>'d3'!O201-d3П!O201</f>
        <v>0</v>
      </c>
      <c r="P201" s="393">
        <f>'d3'!P201-d3П!P201</f>
        <v>21000</v>
      </c>
      <c r="Q201" s="20"/>
      <c r="R201" s="46"/>
    </row>
    <row r="202" spans="1:18" ht="47.25" thickTop="1" thickBot="1" x14ac:dyDescent="0.25">
      <c r="A202" s="119" t="s">
        <v>1219</v>
      </c>
      <c r="B202" s="119" t="s">
        <v>1220</v>
      </c>
      <c r="C202" s="119" t="s">
        <v>1222</v>
      </c>
      <c r="D202" s="119" t="s">
        <v>1221</v>
      </c>
      <c r="E202" s="393">
        <f>'d3'!E202-d3П!E202</f>
        <v>0</v>
      </c>
      <c r="F202" s="393">
        <f>'d3'!F202-d3П!F202</f>
        <v>0</v>
      </c>
      <c r="G202" s="393">
        <f>'d3'!G202-d3П!G202</f>
        <v>0</v>
      </c>
      <c r="H202" s="393">
        <f>'d3'!H202-d3П!H202</f>
        <v>0</v>
      </c>
      <c r="I202" s="393">
        <f>'d3'!I202-d3П!I202</f>
        <v>0</v>
      </c>
      <c r="J202" s="393">
        <f>'d3'!J202-d3П!J202</f>
        <v>0</v>
      </c>
      <c r="K202" s="393">
        <f>'d3'!K202-d3П!K202</f>
        <v>0</v>
      </c>
      <c r="L202" s="393">
        <f>'d3'!L202-d3П!L202</f>
        <v>0</v>
      </c>
      <c r="M202" s="393">
        <f>'d3'!M202-d3П!M202</f>
        <v>0</v>
      </c>
      <c r="N202" s="393">
        <f>'d3'!N202-d3П!N202</f>
        <v>0</v>
      </c>
      <c r="O202" s="393">
        <f>'d3'!O202-d3П!O202</f>
        <v>0</v>
      </c>
      <c r="P202" s="393">
        <f>'d3'!P202-d3П!P202</f>
        <v>0</v>
      </c>
      <c r="Q202" s="20"/>
      <c r="R202" s="46"/>
    </row>
    <row r="203" spans="1:18" ht="47.25" thickTop="1" thickBot="1" x14ac:dyDescent="0.25">
      <c r="A203" s="399" t="s">
        <v>764</v>
      </c>
      <c r="B203" s="399" t="s">
        <v>765</v>
      </c>
      <c r="C203" s="399"/>
      <c r="D203" s="399" t="s">
        <v>766</v>
      </c>
      <c r="E203" s="393">
        <f>'d3'!E203-d3П!E203</f>
        <v>-62500</v>
      </c>
      <c r="F203" s="393">
        <f>'d3'!F203-d3П!F203</f>
        <v>-62500</v>
      </c>
      <c r="G203" s="393">
        <f>'d3'!G203-d3П!G203</f>
        <v>0</v>
      </c>
      <c r="H203" s="393">
        <f>'d3'!H203-d3П!H203</f>
        <v>0</v>
      </c>
      <c r="I203" s="393">
        <f>'d3'!I203-d3П!I203</f>
        <v>0</v>
      </c>
      <c r="J203" s="393">
        <f>'d3'!J203-d3П!J203</f>
        <v>41500</v>
      </c>
      <c r="K203" s="393">
        <f>'d3'!K203-d3П!K203</f>
        <v>41500</v>
      </c>
      <c r="L203" s="393">
        <f>'d3'!L203-d3П!L203</f>
        <v>0</v>
      </c>
      <c r="M203" s="393">
        <f>'d3'!M203-d3П!M203</f>
        <v>0</v>
      </c>
      <c r="N203" s="393">
        <f>'d3'!N203-d3П!N203</f>
        <v>0</v>
      </c>
      <c r="O203" s="393">
        <f>'d3'!O203-d3П!O203</f>
        <v>41500</v>
      </c>
      <c r="P203" s="393">
        <f>'d3'!P203-d3П!P203</f>
        <v>-21000</v>
      </c>
      <c r="Q203" s="20"/>
      <c r="R203" s="46"/>
    </row>
    <row r="204" spans="1:18" ht="47.25" thickTop="1" thickBot="1" x14ac:dyDescent="0.25">
      <c r="A204" s="119" t="s">
        <v>337</v>
      </c>
      <c r="B204" s="119" t="s">
        <v>338</v>
      </c>
      <c r="C204" s="119" t="s">
        <v>186</v>
      </c>
      <c r="D204" s="119" t="s">
        <v>468</v>
      </c>
      <c r="E204" s="393">
        <f>'d3'!E204-d3П!E204</f>
        <v>60000</v>
      </c>
      <c r="F204" s="393">
        <f>'d3'!F204-d3П!F204</f>
        <v>60000</v>
      </c>
      <c r="G204" s="393">
        <f>'d3'!G204-d3П!G204</f>
        <v>0</v>
      </c>
      <c r="H204" s="393">
        <f>'d3'!H204-d3П!H204</f>
        <v>0</v>
      </c>
      <c r="I204" s="393">
        <f>'d3'!I204-d3П!I204</f>
        <v>0</v>
      </c>
      <c r="J204" s="393">
        <f>'d3'!J204-d3П!J204</f>
        <v>41500</v>
      </c>
      <c r="K204" s="393">
        <f>'d3'!K204-d3П!K204</f>
        <v>41500</v>
      </c>
      <c r="L204" s="393">
        <f>'d3'!L204-d3П!L204</f>
        <v>0</v>
      </c>
      <c r="M204" s="393">
        <f>'d3'!M204-d3П!M204</f>
        <v>0</v>
      </c>
      <c r="N204" s="393">
        <f>'d3'!N204-d3П!N204</f>
        <v>0</v>
      </c>
      <c r="O204" s="393">
        <f>'d3'!O204-d3П!O204</f>
        <v>41500</v>
      </c>
      <c r="P204" s="393">
        <f>'d3'!P204-d3П!P204</f>
        <v>101500</v>
      </c>
      <c r="Q204" s="20"/>
      <c r="R204" s="46"/>
    </row>
    <row r="205" spans="1:18" ht="47.25" thickTop="1" thickBot="1" x14ac:dyDescent="0.25">
      <c r="A205" s="119" t="s">
        <v>339</v>
      </c>
      <c r="B205" s="119" t="s">
        <v>340</v>
      </c>
      <c r="C205" s="119" t="s">
        <v>186</v>
      </c>
      <c r="D205" s="119" t="s">
        <v>469</v>
      </c>
      <c r="E205" s="393">
        <f>'d3'!E205-d3П!E205</f>
        <v>-122500</v>
      </c>
      <c r="F205" s="393">
        <f>'d3'!F205-d3П!F205</f>
        <v>-122500</v>
      </c>
      <c r="G205" s="393">
        <f>'d3'!G205-d3П!G205</f>
        <v>0</v>
      </c>
      <c r="H205" s="393">
        <f>'d3'!H205-d3П!H205</f>
        <v>0</v>
      </c>
      <c r="I205" s="393">
        <f>'d3'!I205-d3П!I205</f>
        <v>0</v>
      </c>
      <c r="J205" s="393">
        <f>'d3'!J205-d3П!J205</f>
        <v>0</v>
      </c>
      <c r="K205" s="393">
        <f>'d3'!K205-d3П!K205</f>
        <v>0</v>
      </c>
      <c r="L205" s="393">
        <f>'d3'!L205-d3П!L205</f>
        <v>0</v>
      </c>
      <c r="M205" s="393">
        <f>'d3'!M205-d3П!M205</f>
        <v>0</v>
      </c>
      <c r="N205" s="393">
        <f>'d3'!N205-d3П!N205</f>
        <v>0</v>
      </c>
      <c r="O205" s="393">
        <f>'d3'!O205-d3П!O205</f>
        <v>0</v>
      </c>
      <c r="P205" s="393">
        <f>'d3'!P205-d3П!P205</f>
        <v>-122500</v>
      </c>
      <c r="Q205" s="20"/>
      <c r="R205" s="50"/>
    </row>
    <row r="206" spans="1:18" ht="47.25" thickTop="1" thickBot="1" x14ac:dyDescent="0.25">
      <c r="A206" s="346" t="s">
        <v>924</v>
      </c>
      <c r="B206" s="346" t="s">
        <v>754</v>
      </c>
      <c r="C206" s="346"/>
      <c r="D206" s="346" t="s">
        <v>755</v>
      </c>
      <c r="E206" s="393">
        <f>'d3'!E206-d3П!E206</f>
        <v>0</v>
      </c>
      <c r="F206" s="393">
        <f>'d3'!F206-d3П!F206</f>
        <v>0</v>
      </c>
      <c r="G206" s="393">
        <f>'d3'!G206-d3П!G206</f>
        <v>0</v>
      </c>
      <c r="H206" s="393">
        <f>'d3'!H206-d3П!H206</f>
        <v>0</v>
      </c>
      <c r="I206" s="393">
        <f>'d3'!I206-d3П!I206</f>
        <v>0</v>
      </c>
      <c r="J206" s="393">
        <f>'d3'!J206-d3П!J206</f>
        <v>0</v>
      </c>
      <c r="K206" s="393">
        <f>'d3'!K206-d3П!K206</f>
        <v>0</v>
      </c>
      <c r="L206" s="393">
        <f>'d3'!L206-d3П!L206</f>
        <v>0</v>
      </c>
      <c r="M206" s="393">
        <f>'d3'!M206-d3П!M206</f>
        <v>0</v>
      </c>
      <c r="N206" s="393">
        <f>'d3'!N206-d3П!N206</f>
        <v>0</v>
      </c>
      <c r="O206" s="393">
        <f>'d3'!O206-d3П!O206</f>
        <v>0</v>
      </c>
      <c r="P206" s="393">
        <f>'d3'!P206-d3П!P206</f>
        <v>0</v>
      </c>
      <c r="Q206" s="20"/>
      <c r="R206" s="50"/>
    </row>
    <row r="207" spans="1:18" ht="47.25" thickTop="1" thickBot="1" x14ac:dyDescent="0.25">
      <c r="A207" s="348" t="s">
        <v>925</v>
      </c>
      <c r="B207" s="348" t="s">
        <v>697</v>
      </c>
      <c r="C207" s="348"/>
      <c r="D207" s="348" t="s">
        <v>695</v>
      </c>
      <c r="E207" s="393">
        <f>'d3'!E207-d3П!E207</f>
        <v>0</v>
      </c>
      <c r="F207" s="393">
        <f>'d3'!F207-d3П!F207</f>
        <v>0</v>
      </c>
      <c r="G207" s="393">
        <f>'d3'!G207-d3П!G207</f>
        <v>0</v>
      </c>
      <c r="H207" s="393">
        <f>'d3'!H207-d3П!H207</f>
        <v>0</v>
      </c>
      <c r="I207" s="393">
        <f>'d3'!I207-d3П!I207</f>
        <v>0</v>
      </c>
      <c r="J207" s="393">
        <f>'d3'!J207-d3П!J207</f>
        <v>0</v>
      </c>
      <c r="K207" s="393">
        <f>'d3'!K207-d3П!K207</f>
        <v>0</v>
      </c>
      <c r="L207" s="393">
        <f>'d3'!L207-d3П!L207</f>
        <v>0</v>
      </c>
      <c r="M207" s="393">
        <f>'d3'!M207-d3П!M207</f>
        <v>0</v>
      </c>
      <c r="N207" s="393">
        <f>'d3'!N207-d3П!N207</f>
        <v>0</v>
      </c>
      <c r="O207" s="393">
        <f>'d3'!O207-d3П!O207</f>
        <v>0</v>
      </c>
      <c r="P207" s="393">
        <f>'d3'!P207-d3П!P207</f>
        <v>0</v>
      </c>
      <c r="Q207" s="20"/>
      <c r="R207" s="50"/>
    </row>
    <row r="208" spans="1:18" ht="47.25" thickTop="1" thickBot="1" x14ac:dyDescent="0.25">
      <c r="A208" s="399" t="s">
        <v>1048</v>
      </c>
      <c r="B208" s="399" t="s">
        <v>1049</v>
      </c>
      <c r="C208" s="399"/>
      <c r="D208" s="399" t="s">
        <v>1047</v>
      </c>
      <c r="E208" s="393">
        <f>'d3'!E208-d3П!E208</f>
        <v>0</v>
      </c>
      <c r="F208" s="393">
        <f>'d3'!F208-d3П!F208</f>
        <v>0</v>
      </c>
      <c r="G208" s="393">
        <f>'d3'!G208-d3П!G208</f>
        <v>0</v>
      </c>
      <c r="H208" s="393">
        <f>'d3'!H208-d3П!H208</f>
        <v>0</v>
      </c>
      <c r="I208" s="393">
        <f>'d3'!I208-d3П!I208</f>
        <v>0</v>
      </c>
      <c r="J208" s="393">
        <f>'d3'!J208-d3П!J208</f>
        <v>0</v>
      </c>
      <c r="K208" s="393">
        <f>'d3'!K208-d3П!K208</f>
        <v>0</v>
      </c>
      <c r="L208" s="393">
        <f>'d3'!L208-d3П!L208</f>
        <v>0</v>
      </c>
      <c r="M208" s="393">
        <f>'d3'!M208-d3П!M208</f>
        <v>0</v>
      </c>
      <c r="N208" s="393">
        <f>'d3'!N208-d3П!N208</f>
        <v>0</v>
      </c>
      <c r="O208" s="393">
        <f>'d3'!O208-d3П!O208</f>
        <v>0</v>
      </c>
      <c r="P208" s="393">
        <f>'d3'!P208-d3П!P208</f>
        <v>0</v>
      </c>
      <c r="Q208" s="20"/>
      <c r="R208" s="50"/>
    </row>
    <row r="209" spans="1:18" ht="47.25" thickTop="1" thickBot="1" x14ac:dyDescent="0.25">
      <c r="A209" s="119" t="s">
        <v>1051</v>
      </c>
      <c r="B209" s="119" t="s">
        <v>1052</v>
      </c>
      <c r="C209" s="119" t="s">
        <v>217</v>
      </c>
      <c r="D209" s="119" t="s">
        <v>1050</v>
      </c>
      <c r="E209" s="393">
        <f>'d3'!E209-d3П!E209</f>
        <v>0</v>
      </c>
      <c r="F209" s="393">
        <f>'d3'!F209-d3П!F209</f>
        <v>0</v>
      </c>
      <c r="G209" s="393">
        <f>'d3'!G209-d3П!G209</f>
        <v>0</v>
      </c>
      <c r="H209" s="393">
        <f>'d3'!H209-d3П!H209</f>
        <v>0</v>
      </c>
      <c r="I209" s="393">
        <f>'d3'!I209-d3П!I209</f>
        <v>0</v>
      </c>
      <c r="J209" s="393">
        <f>'d3'!J209-d3П!J209</f>
        <v>0</v>
      </c>
      <c r="K209" s="393">
        <f>'d3'!K209-d3П!K209</f>
        <v>0</v>
      </c>
      <c r="L209" s="393">
        <f>'d3'!L209-d3П!L209</f>
        <v>0</v>
      </c>
      <c r="M209" s="393">
        <f>'d3'!M209-d3П!M209</f>
        <v>0</v>
      </c>
      <c r="N209" s="393">
        <f>'d3'!N209-d3П!N209</f>
        <v>0</v>
      </c>
      <c r="O209" s="393">
        <f>'d3'!O209-d3П!O209</f>
        <v>0</v>
      </c>
      <c r="P209" s="393">
        <f>'d3'!P209-d3П!P209</f>
        <v>0</v>
      </c>
      <c r="Q209" s="20"/>
      <c r="R209" s="50"/>
    </row>
    <row r="210" spans="1:18" ht="47.25" thickTop="1" thickBot="1" x14ac:dyDescent="0.25">
      <c r="A210" s="119" t="s">
        <v>1319</v>
      </c>
      <c r="B210" s="119" t="s">
        <v>216</v>
      </c>
      <c r="C210" s="119" t="s">
        <v>217</v>
      </c>
      <c r="D210" s="119" t="s">
        <v>41</v>
      </c>
      <c r="E210" s="393">
        <f>'d3'!E210-d3П!E210</f>
        <v>0</v>
      </c>
      <c r="F210" s="393">
        <f>'d3'!F210-d3П!F210</f>
        <v>0</v>
      </c>
      <c r="G210" s="393">
        <f>'d3'!G210-d3П!G210</f>
        <v>0</v>
      </c>
      <c r="H210" s="393">
        <f>'d3'!H210-d3П!H210</f>
        <v>0</v>
      </c>
      <c r="I210" s="393">
        <f>'d3'!I210-d3П!I210</f>
        <v>0</v>
      </c>
      <c r="J210" s="393">
        <f>'d3'!J210-d3П!J210</f>
        <v>0</v>
      </c>
      <c r="K210" s="393">
        <f>'d3'!K210-d3П!K210</f>
        <v>0</v>
      </c>
      <c r="L210" s="393">
        <f>'d3'!L210-d3П!L210</f>
        <v>0</v>
      </c>
      <c r="M210" s="393">
        <f>'d3'!M210-d3П!M210</f>
        <v>0</v>
      </c>
      <c r="N210" s="393">
        <f>'d3'!N210-d3П!N210</f>
        <v>0</v>
      </c>
      <c r="O210" s="393">
        <f>'d3'!O210-d3П!O210</f>
        <v>0</v>
      </c>
      <c r="P210" s="393">
        <f>'d3'!P210-d3П!P210</f>
        <v>0</v>
      </c>
      <c r="Q210" s="20"/>
      <c r="R210" s="50"/>
    </row>
    <row r="211" spans="1:18" ht="48" hidden="1" thickTop="1" thickBot="1" x14ac:dyDescent="0.25">
      <c r="A211" s="119" t="s">
        <v>926</v>
      </c>
      <c r="B211" s="119" t="s">
        <v>201</v>
      </c>
      <c r="C211" s="119" t="s">
        <v>170</v>
      </c>
      <c r="D211" s="119" t="s">
        <v>34</v>
      </c>
      <c r="E211" s="393">
        <f t="shared" ref="E211" si="31">F211</f>
        <v>0</v>
      </c>
      <c r="F211" s="350"/>
      <c r="G211" s="350"/>
      <c r="H211" s="350"/>
      <c r="I211" s="350"/>
      <c r="J211" s="393">
        <f t="shared" ref="J211" si="32">L211+O211</f>
        <v>0</v>
      </c>
      <c r="K211" s="350">
        <f>940242-455475-484767</f>
        <v>0</v>
      </c>
      <c r="L211" s="350"/>
      <c r="M211" s="350"/>
      <c r="N211" s="350"/>
      <c r="O211" s="351">
        <f t="shared" ref="O211" si="33">K211</f>
        <v>0</v>
      </c>
      <c r="P211" s="393">
        <f t="shared" ref="P211" si="34">E211+J211</f>
        <v>0</v>
      </c>
      <c r="Q211" s="20"/>
      <c r="R211" s="46"/>
    </row>
    <row r="212" spans="1:18" ht="47.25" hidden="1" thickTop="1" thickBot="1" x14ac:dyDescent="0.25">
      <c r="A212" s="162" t="s">
        <v>767</v>
      </c>
      <c r="B212" s="162" t="s">
        <v>708</v>
      </c>
      <c r="C212" s="162"/>
      <c r="D212" s="162" t="s">
        <v>709</v>
      </c>
      <c r="E212" s="42">
        <f>E213</f>
        <v>0</v>
      </c>
      <c r="F212" s="42">
        <f t="shared" ref="F212:P213" si="35">F213</f>
        <v>0</v>
      </c>
      <c r="G212" s="42">
        <f t="shared" si="35"/>
        <v>0</v>
      </c>
      <c r="H212" s="42">
        <f t="shared" si="35"/>
        <v>0</v>
      </c>
      <c r="I212" s="42">
        <f t="shared" si="35"/>
        <v>0</v>
      </c>
      <c r="J212" s="42">
        <f t="shared" si="35"/>
        <v>0</v>
      </c>
      <c r="K212" s="42">
        <f t="shared" si="35"/>
        <v>0</v>
      </c>
      <c r="L212" s="42">
        <f t="shared" si="35"/>
        <v>0</v>
      </c>
      <c r="M212" s="42">
        <f t="shared" si="35"/>
        <v>0</v>
      </c>
      <c r="N212" s="42">
        <f t="shared" si="35"/>
        <v>0</v>
      </c>
      <c r="O212" s="42">
        <f t="shared" si="35"/>
        <v>0</v>
      </c>
      <c r="P212" s="42">
        <f t="shared" si="35"/>
        <v>0</v>
      </c>
      <c r="Q212" s="20"/>
      <c r="R212" s="50"/>
    </row>
    <row r="213" spans="1:18" ht="91.5" hidden="1" thickTop="1" thickBot="1" x14ac:dyDescent="0.25">
      <c r="A213" s="163" t="s">
        <v>768</v>
      </c>
      <c r="B213" s="163" t="s">
        <v>711</v>
      </c>
      <c r="C213" s="163"/>
      <c r="D213" s="163" t="s">
        <v>712</v>
      </c>
      <c r="E213" s="164">
        <f>E214</f>
        <v>0</v>
      </c>
      <c r="F213" s="164">
        <f t="shared" si="35"/>
        <v>0</v>
      </c>
      <c r="G213" s="164">
        <f t="shared" si="35"/>
        <v>0</v>
      </c>
      <c r="H213" s="164">
        <f t="shared" si="35"/>
        <v>0</v>
      </c>
      <c r="I213" s="164">
        <f t="shared" si="35"/>
        <v>0</v>
      </c>
      <c r="J213" s="164">
        <f t="shared" si="35"/>
        <v>0</v>
      </c>
      <c r="K213" s="164">
        <f t="shared" si="35"/>
        <v>0</v>
      </c>
      <c r="L213" s="164">
        <f t="shared" si="35"/>
        <v>0</v>
      </c>
      <c r="M213" s="164">
        <f t="shared" si="35"/>
        <v>0</v>
      </c>
      <c r="N213" s="164">
        <f t="shared" si="35"/>
        <v>0</v>
      </c>
      <c r="O213" s="164">
        <f t="shared" si="35"/>
        <v>0</v>
      </c>
      <c r="P213" s="164">
        <f t="shared" si="35"/>
        <v>0</v>
      </c>
      <c r="Q213" s="20"/>
      <c r="R213" s="50"/>
    </row>
    <row r="214" spans="1:18" ht="48" hidden="1" thickTop="1" thickBot="1" x14ac:dyDescent="0.25">
      <c r="A214" s="41" t="s">
        <v>591</v>
      </c>
      <c r="B214" s="41" t="s">
        <v>367</v>
      </c>
      <c r="C214" s="41" t="s">
        <v>43</v>
      </c>
      <c r="D214" s="41" t="s">
        <v>368</v>
      </c>
      <c r="E214" s="42">
        <f t="shared" ref="E214" si="36">F214</f>
        <v>0</v>
      </c>
      <c r="F214" s="43">
        <v>0</v>
      </c>
      <c r="G214" s="43"/>
      <c r="H214" s="43"/>
      <c r="I214" s="43"/>
      <c r="J214" s="42">
        <f>L214+O214</f>
        <v>0</v>
      </c>
      <c r="K214" s="43"/>
      <c r="L214" s="43"/>
      <c r="M214" s="43"/>
      <c r="N214" s="43"/>
      <c r="O214" s="44">
        <f>K214</f>
        <v>0</v>
      </c>
      <c r="P214" s="42">
        <f>E214+J214</f>
        <v>0</v>
      </c>
      <c r="Q214" s="20"/>
      <c r="R214" s="50"/>
    </row>
    <row r="215" spans="1:18" ht="91.5" thickTop="1" thickBot="1" x14ac:dyDescent="0.25">
      <c r="A215" s="403" t="s">
        <v>22</v>
      </c>
      <c r="B215" s="403"/>
      <c r="C215" s="403"/>
      <c r="D215" s="404" t="s">
        <v>23</v>
      </c>
      <c r="E215" s="406">
        <f>E216</f>
        <v>0</v>
      </c>
      <c r="F215" s="405">
        <f t="shared" ref="F215:G215" si="37">F216</f>
        <v>0</v>
      </c>
      <c r="G215" s="405">
        <f t="shared" si="37"/>
        <v>-100600</v>
      </c>
      <c r="H215" s="405">
        <f>H216</f>
        <v>-615698</v>
      </c>
      <c r="I215" s="405">
        <f t="shared" ref="I215" si="38">I216</f>
        <v>0</v>
      </c>
      <c r="J215" s="406">
        <f>J216</f>
        <v>0</v>
      </c>
      <c r="K215" s="405">
        <f>K216</f>
        <v>0</v>
      </c>
      <c r="L215" s="405">
        <f>L216</f>
        <v>0</v>
      </c>
      <c r="M215" s="405">
        <f t="shared" ref="M215" si="39">M216</f>
        <v>0</v>
      </c>
      <c r="N215" s="405">
        <f>N216</f>
        <v>0</v>
      </c>
      <c r="O215" s="406">
        <f>O216</f>
        <v>0</v>
      </c>
      <c r="P215" s="405">
        <f t="shared" ref="P215" si="40">P216</f>
        <v>0</v>
      </c>
      <c r="Q215" s="20"/>
    </row>
    <row r="216" spans="1:18" ht="178.5" customHeight="1" thickTop="1" thickBot="1" x14ac:dyDescent="0.25">
      <c r="A216" s="407" t="s">
        <v>21</v>
      </c>
      <c r="B216" s="407"/>
      <c r="C216" s="407"/>
      <c r="D216" s="408" t="s">
        <v>35</v>
      </c>
      <c r="E216" s="409">
        <f>E217+E223+E238+E241+E248</f>
        <v>0</v>
      </c>
      <c r="F216" s="409">
        <f t="shared" ref="F216:I216" si="41">F217+F223+F238+F241+F248</f>
        <v>0</v>
      </c>
      <c r="G216" s="409">
        <f t="shared" si="41"/>
        <v>-100600</v>
      </c>
      <c r="H216" s="409">
        <f t="shared" si="41"/>
        <v>-615698</v>
      </c>
      <c r="I216" s="409">
        <f t="shared" si="41"/>
        <v>0</v>
      </c>
      <c r="J216" s="409">
        <f>L216+O216</f>
        <v>0</v>
      </c>
      <c r="K216" s="409">
        <f t="shared" ref="K216:O216" si="42">K217+K223+K238+K241+K248</f>
        <v>0</v>
      </c>
      <c r="L216" s="409">
        <f t="shared" si="42"/>
        <v>0</v>
      </c>
      <c r="M216" s="409">
        <f t="shared" si="42"/>
        <v>0</v>
      </c>
      <c r="N216" s="409">
        <f t="shared" si="42"/>
        <v>0</v>
      </c>
      <c r="O216" s="409">
        <f t="shared" si="42"/>
        <v>0</v>
      </c>
      <c r="P216" s="409">
        <f>E216+J216</f>
        <v>0</v>
      </c>
      <c r="Q216" s="353" t="b">
        <f>P216=P221+P222+P225+P226+P228+P230+P231+P235+P236+P237+P240+P244+P246+P233+P247</f>
        <v>1</v>
      </c>
      <c r="R216" s="46"/>
    </row>
    <row r="217" spans="1:18" ht="47.25" thickTop="1" thickBot="1" x14ac:dyDescent="0.25">
      <c r="A217" s="346" t="s">
        <v>769</v>
      </c>
      <c r="B217" s="346" t="s">
        <v>717</v>
      </c>
      <c r="C217" s="346"/>
      <c r="D217" s="346" t="s">
        <v>718</v>
      </c>
      <c r="E217" s="393">
        <f>'d3'!E217-d3П!E217</f>
        <v>-18700</v>
      </c>
      <c r="F217" s="393">
        <f>'d3'!F217-d3П!F217</f>
        <v>-18700</v>
      </c>
      <c r="G217" s="393">
        <f>'d3'!G217-d3П!G217</f>
        <v>-52800</v>
      </c>
      <c r="H217" s="393">
        <f>'d3'!H217-d3П!H217</f>
        <v>0</v>
      </c>
      <c r="I217" s="393">
        <f>'d3'!I217-d3П!I217</f>
        <v>0</v>
      </c>
      <c r="J217" s="393">
        <f>'d3'!J217-d3П!J217</f>
        <v>0</v>
      </c>
      <c r="K217" s="393">
        <f>'d3'!K217-d3П!K217</f>
        <v>0</v>
      </c>
      <c r="L217" s="393">
        <f>'d3'!L217-d3П!L217</f>
        <v>0</v>
      </c>
      <c r="M217" s="393">
        <f>'d3'!M217-d3П!M217</f>
        <v>0</v>
      </c>
      <c r="N217" s="393">
        <f>'d3'!N217-d3П!N217</f>
        <v>0</v>
      </c>
      <c r="O217" s="393">
        <f>'d3'!O217-d3П!O217</f>
        <v>0</v>
      </c>
      <c r="P217" s="393">
        <f>'d3'!P217-d3П!P217</f>
        <v>-18700</v>
      </c>
      <c r="Q217" s="47"/>
      <c r="R217" s="46"/>
    </row>
    <row r="218" spans="1:18" s="33" customFormat="1" ht="48" hidden="1" thickTop="1" thickBot="1" x14ac:dyDescent="0.25">
      <c r="A218" s="399" t="s">
        <v>770</v>
      </c>
      <c r="B218" s="399" t="s">
        <v>771</v>
      </c>
      <c r="C218" s="399"/>
      <c r="D218" s="399" t="s">
        <v>772</v>
      </c>
      <c r="E218" s="393">
        <f>'d3'!E218-d3П!E218</f>
        <v>0</v>
      </c>
      <c r="F218" s="393">
        <f>'d3'!F218-d3П!F218</f>
        <v>0</v>
      </c>
      <c r="G218" s="393">
        <f>'d3'!G218-d3П!G218</f>
        <v>0</v>
      </c>
      <c r="H218" s="393">
        <f>'d3'!H218-d3П!H218</f>
        <v>0</v>
      </c>
      <c r="I218" s="393">
        <f>'d3'!I218-d3П!I218</f>
        <v>0</v>
      </c>
      <c r="J218" s="393">
        <f>'d3'!J218-d3П!J218</f>
        <v>0</v>
      </c>
      <c r="K218" s="393">
        <f>'d3'!K218-d3П!K218</f>
        <v>0</v>
      </c>
      <c r="L218" s="393">
        <f>'d3'!L218-d3П!L218</f>
        <v>0</v>
      </c>
      <c r="M218" s="393">
        <f>'d3'!M218-d3П!M218</f>
        <v>0</v>
      </c>
      <c r="N218" s="393">
        <f>'d3'!N218-d3П!N218</f>
        <v>0</v>
      </c>
      <c r="O218" s="393">
        <f>'d3'!O218-d3П!O218</f>
        <v>0</v>
      </c>
      <c r="P218" s="393">
        <f>'d3'!P218-d3П!P218</f>
        <v>0</v>
      </c>
      <c r="Q218" s="173"/>
      <c r="R218" s="52"/>
    </row>
    <row r="219" spans="1:18" ht="47.25" hidden="1" thickTop="1" thickBot="1" x14ac:dyDescent="0.25">
      <c r="A219" s="119" t="s">
        <v>187</v>
      </c>
      <c r="B219" s="119" t="s">
        <v>188</v>
      </c>
      <c r="C219" s="119" t="s">
        <v>189</v>
      </c>
      <c r="D219" s="119" t="s">
        <v>644</v>
      </c>
      <c r="E219" s="393">
        <f>'d3'!E219-d3П!E219</f>
        <v>0</v>
      </c>
      <c r="F219" s="393">
        <f>'d3'!F219-d3П!F219</f>
        <v>0</v>
      </c>
      <c r="G219" s="393">
        <f>'d3'!G219-d3П!G219</f>
        <v>0</v>
      </c>
      <c r="H219" s="393">
        <f>'d3'!H219-d3П!H219</f>
        <v>0</v>
      </c>
      <c r="I219" s="393">
        <f>'d3'!I219-d3П!I219</f>
        <v>0</v>
      </c>
      <c r="J219" s="393">
        <f>'d3'!J219-d3П!J219</f>
        <v>0</v>
      </c>
      <c r="K219" s="393">
        <f>'d3'!K219-d3П!K219</f>
        <v>0</v>
      </c>
      <c r="L219" s="393">
        <f>'d3'!L219-d3П!L219</f>
        <v>0</v>
      </c>
      <c r="M219" s="393">
        <f>'d3'!M219-d3П!M219</f>
        <v>0</v>
      </c>
      <c r="N219" s="393">
        <f>'d3'!N219-d3П!N219</f>
        <v>0</v>
      </c>
      <c r="O219" s="393">
        <f>'d3'!O219-d3П!O219</f>
        <v>0</v>
      </c>
      <c r="P219" s="393">
        <f>'d3'!P219-d3П!P219</f>
        <v>0</v>
      </c>
      <c r="Q219" s="50"/>
      <c r="R219" s="50"/>
    </row>
    <row r="220" spans="1:18" s="33" customFormat="1" ht="47.25" thickTop="1" thickBot="1" x14ac:dyDescent="0.25">
      <c r="A220" s="399" t="s">
        <v>773</v>
      </c>
      <c r="B220" s="399" t="s">
        <v>774</v>
      </c>
      <c r="C220" s="399"/>
      <c r="D220" s="399" t="s">
        <v>775</v>
      </c>
      <c r="E220" s="393">
        <f>'d3'!E220-d3П!E220</f>
        <v>-18700</v>
      </c>
      <c r="F220" s="393">
        <f>'d3'!F220-d3П!F220</f>
        <v>-18700</v>
      </c>
      <c r="G220" s="393">
        <f>'d3'!G220-d3П!G220</f>
        <v>-52800</v>
      </c>
      <c r="H220" s="393">
        <f>'d3'!H220-d3П!H220</f>
        <v>0</v>
      </c>
      <c r="I220" s="393">
        <f>'d3'!I220-d3П!I220</f>
        <v>0</v>
      </c>
      <c r="J220" s="393">
        <f>'d3'!J220-d3П!J220</f>
        <v>0</v>
      </c>
      <c r="K220" s="393">
        <f>'d3'!K220-d3П!K220</f>
        <v>0</v>
      </c>
      <c r="L220" s="393">
        <f>'d3'!L220-d3П!L220</f>
        <v>0</v>
      </c>
      <c r="M220" s="393">
        <f>'d3'!M220-d3П!M220</f>
        <v>0</v>
      </c>
      <c r="N220" s="393">
        <f>'d3'!N220-d3П!N220</f>
        <v>0</v>
      </c>
      <c r="O220" s="393">
        <f>'d3'!O220-d3П!O220</f>
        <v>0</v>
      </c>
      <c r="P220" s="393">
        <f>'d3'!P220-d3П!P220</f>
        <v>-18700</v>
      </c>
      <c r="Q220" s="51"/>
      <c r="R220" s="51"/>
    </row>
    <row r="221" spans="1:18" ht="47.25" thickTop="1" thickBot="1" x14ac:dyDescent="0.25">
      <c r="A221" s="119" t="s">
        <v>193</v>
      </c>
      <c r="B221" s="119" t="s">
        <v>194</v>
      </c>
      <c r="C221" s="119" t="s">
        <v>189</v>
      </c>
      <c r="D221" s="119" t="s">
        <v>10</v>
      </c>
      <c r="E221" s="393">
        <f>'d3'!E221-d3П!E221</f>
        <v>81300</v>
      </c>
      <c r="F221" s="393">
        <f>'d3'!F221-d3П!F221</f>
        <v>81300</v>
      </c>
      <c r="G221" s="393">
        <f>'d3'!G221-d3П!G221</f>
        <v>47200</v>
      </c>
      <c r="H221" s="393">
        <f>'d3'!H221-d3П!H221</f>
        <v>0</v>
      </c>
      <c r="I221" s="393">
        <f>'d3'!I221-d3П!I221</f>
        <v>0</v>
      </c>
      <c r="J221" s="393">
        <f>'d3'!J221-d3П!J221</f>
        <v>0</v>
      </c>
      <c r="K221" s="393">
        <f>'d3'!K221-d3П!K221</f>
        <v>0</v>
      </c>
      <c r="L221" s="393">
        <f>'d3'!L221-d3П!L221</f>
        <v>0</v>
      </c>
      <c r="M221" s="393">
        <f>'d3'!M221-d3П!M221</f>
        <v>0</v>
      </c>
      <c r="N221" s="393">
        <f>'d3'!N221-d3П!N221</f>
        <v>0</v>
      </c>
      <c r="O221" s="393">
        <f>'d3'!O221-d3П!O221</f>
        <v>0</v>
      </c>
      <c r="P221" s="393">
        <f>'d3'!P221-d3П!P221</f>
        <v>81300</v>
      </c>
      <c r="Q221" s="20"/>
      <c r="R221" s="46"/>
    </row>
    <row r="222" spans="1:18" ht="47.25" thickTop="1" thickBot="1" x14ac:dyDescent="0.25">
      <c r="A222" s="119" t="s">
        <v>355</v>
      </c>
      <c r="B222" s="119" t="s">
        <v>356</v>
      </c>
      <c r="C222" s="119" t="s">
        <v>189</v>
      </c>
      <c r="D222" s="119" t="s">
        <v>357</v>
      </c>
      <c r="E222" s="393">
        <f>'d3'!E222-d3П!E222</f>
        <v>-100000</v>
      </c>
      <c r="F222" s="393">
        <f>'d3'!F222-d3П!F222</f>
        <v>-100000</v>
      </c>
      <c r="G222" s="393">
        <f>'d3'!G222-d3П!G222</f>
        <v>-100000</v>
      </c>
      <c r="H222" s="393">
        <f>'d3'!H222-d3П!H222</f>
        <v>0</v>
      </c>
      <c r="I222" s="393">
        <f>'d3'!I222-d3П!I222</f>
        <v>0</v>
      </c>
      <c r="J222" s="393">
        <f>'d3'!J222-d3П!J222</f>
        <v>0</v>
      </c>
      <c r="K222" s="393">
        <f>'d3'!K222-d3П!K222</f>
        <v>0</v>
      </c>
      <c r="L222" s="393">
        <f>'d3'!L222-d3П!L222</f>
        <v>0</v>
      </c>
      <c r="M222" s="393">
        <f>'d3'!M222-d3П!M222</f>
        <v>0</v>
      </c>
      <c r="N222" s="393">
        <f>'d3'!N222-d3П!N222</f>
        <v>0</v>
      </c>
      <c r="O222" s="393">
        <f>'d3'!O222-d3П!O222</f>
        <v>0</v>
      </c>
      <c r="P222" s="393">
        <f>'d3'!P222-d3П!P222</f>
        <v>-100000</v>
      </c>
      <c r="Q222" s="20"/>
      <c r="R222" s="46"/>
    </row>
    <row r="223" spans="1:18" ht="47.25" thickTop="1" thickBot="1" x14ac:dyDescent="0.25">
      <c r="A223" s="346" t="s">
        <v>776</v>
      </c>
      <c r="B223" s="346" t="s">
        <v>777</v>
      </c>
      <c r="C223" s="119"/>
      <c r="D223" s="346" t="s">
        <v>778</v>
      </c>
      <c r="E223" s="393">
        <f>'d3'!E223-d3П!E223</f>
        <v>18700</v>
      </c>
      <c r="F223" s="393">
        <f>'d3'!F223-d3П!F223</f>
        <v>18700</v>
      </c>
      <c r="G223" s="393">
        <f>'d3'!G223-d3П!G223</f>
        <v>-47800</v>
      </c>
      <c r="H223" s="393">
        <f>'d3'!H223-d3П!H223</f>
        <v>-615698</v>
      </c>
      <c r="I223" s="393">
        <f>'d3'!I223-d3П!I223</f>
        <v>0</v>
      </c>
      <c r="J223" s="393">
        <f>'d3'!J223-d3П!J223</f>
        <v>0</v>
      </c>
      <c r="K223" s="393">
        <f>'d3'!K223-d3П!K223</f>
        <v>0</v>
      </c>
      <c r="L223" s="393">
        <f>'d3'!L223-d3П!L223</f>
        <v>0</v>
      </c>
      <c r="M223" s="393">
        <f>'d3'!M223-d3П!M223</f>
        <v>0</v>
      </c>
      <c r="N223" s="393">
        <f>'d3'!N223-d3П!N223</f>
        <v>0</v>
      </c>
      <c r="O223" s="393">
        <f>'d3'!O223-d3П!O223</f>
        <v>0</v>
      </c>
      <c r="P223" s="393">
        <f>'d3'!P223-d3П!P223</f>
        <v>18700</v>
      </c>
      <c r="Q223" s="20"/>
      <c r="R223" s="46"/>
    </row>
    <row r="224" spans="1:18" s="33" customFormat="1" ht="48" thickTop="1" thickBot="1" x14ac:dyDescent="0.25">
      <c r="A224" s="399" t="s">
        <v>779</v>
      </c>
      <c r="B224" s="399" t="s">
        <v>780</v>
      </c>
      <c r="C224" s="399"/>
      <c r="D224" s="399" t="s">
        <v>781</v>
      </c>
      <c r="E224" s="393">
        <f>'d3'!E224-d3П!E224</f>
        <v>400000</v>
      </c>
      <c r="F224" s="393">
        <f>'d3'!F224-d3П!F224</f>
        <v>400000</v>
      </c>
      <c r="G224" s="393">
        <f>'d3'!G224-d3П!G224</f>
        <v>0</v>
      </c>
      <c r="H224" s="393">
        <f>'d3'!H224-d3П!H224</f>
        <v>0</v>
      </c>
      <c r="I224" s="393">
        <f>'d3'!I224-d3П!I224</f>
        <v>0</v>
      </c>
      <c r="J224" s="393">
        <f>'d3'!J224-d3П!J224</f>
        <v>0</v>
      </c>
      <c r="K224" s="393">
        <f>'d3'!K224-d3П!K224</f>
        <v>0</v>
      </c>
      <c r="L224" s="393">
        <f>'d3'!L224-d3П!L224</f>
        <v>0</v>
      </c>
      <c r="M224" s="393">
        <f>'d3'!M224-d3П!M224</f>
        <v>0</v>
      </c>
      <c r="N224" s="393">
        <f>'d3'!N224-d3П!N224</f>
        <v>0</v>
      </c>
      <c r="O224" s="393">
        <f>'d3'!O224-d3П!O224</f>
        <v>0</v>
      </c>
      <c r="P224" s="393">
        <f>'d3'!P224-d3П!P224</f>
        <v>400000</v>
      </c>
      <c r="Q224" s="36"/>
      <c r="R224" s="52"/>
    </row>
    <row r="225" spans="1:18" ht="93" thickTop="1" thickBot="1" x14ac:dyDescent="0.25">
      <c r="A225" s="119" t="s">
        <v>44</v>
      </c>
      <c r="B225" s="119" t="s">
        <v>190</v>
      </c>
      <c r="C225" s="119" t="s">
        <v>199</v>
      </c>
      <c r="D225" s="119" t="s">
        <v>45</v>
      </c>
      <c r="E225" s="393">
        <f>'d3'!E225-d3П!E225</f>
        <v>400000</v>
      </c>
      <c r="F225" s="393">
        <f>'d3'!F225-d3П!F225</f>
        <v>400000</v>
      </c>
      <c r="G225" s="393">
        <f>'d3'!G225-d3П!G225</f>
        <v>0</v>
      </c>
      <c r="H225" s="393">
        <f>'d3'!H225-d3П!H225</f>
        <v>0</v>
      </c>
      <c r="I225" s="393">
        <f>'d3'!I225-d3П!I225</f>
        <v>0</v>
      </c>
      <c r="J225" s="393">
        <f>'d3'!J225-d3П!J225</f>
        <v>0</v>
      </c>
      <c r="K225" s="393">
        <f>'d3'!K225-d3П!K225</f>
        <v>0</v>
      </c>
      <c r="L225" s="393">
        <f>'d3'!L225-d3П!L225</f>
        <v>0</v>
      </c>
      <c r="M225" s="393">
        <f>'d3'!M225-d3П!M225</f>
        <v>0</v>
      </c>
      <c r="N225" s="393">
        <f>'d3'!N225-d3П!N225</f>
        <v>0</v>
      </c>
      <c r="O225" s="393">
        <f>'d3'!O225-d3П!O225</f>
        <v>0</v>
      </c>
      <c r="P225" s="393">
        <f>'d3'!P225-d3П!P225</f>
        <v>400000</v>
      </c>
      <c r="Q225" s="20"/>
      <c r="R225" s="46"/>
    </row>
    <row r="226" spans="1:18" ht="93" thickTop="1" thickBot="1" x14ac:dyDescent="0.25">
      <c r="A226" s="119" t="s">
        <v>46</v>
      </c>
      <c r="B226" s="119" t="s">
        <v>191</v>
      </c>
      <c r="C226" s="119" t="s">
        <v>199</v>
      </c>
      <c r="D226" s="119" t="s">
        <v>4</v>
      </c>
      <c r="E226" s="393">
        <f>'d3'!E226-d3П!E226</f>
        <v>0</v>
      </c>
      <c r="F226" s="393">
        <f>'d3'!F226-d3П!F226</f>
        <v>0</v>
      </c>
      <c r="G226" s="393">
        <f>'d3'!G226-d3П!G226</f>
        <v>0</v>
      </c>
      <c r="H226" s="393">
        <f>'d3'!H226-d3П!H226</f>
        <v>0</v>
      </c>
      <c r="I226" s="393">
        <f>'d3'!I226-d3П!I226</f>
        <v>0</v>
      </c>
      <c r="J226" s="393">
        <f>'d3'!J226-d3П!J226</f>
        <v>0</v>
      </c>
      <c r="K226" s="393">
        <f>'d3'!K226-d3П!K226</f>
        <v>0</v>
      </c>
      <c r="L226" s="393">
        <f>'d3'!L226-d3П!L226</f>
        <v>0</v>
      </c>
      <c r="M226" s="393">
        <f>'d3'!M226-d3П!M226</f>
        <v>0</v>
      </c>
      <c r="N226" s="393">
        <f>'d3'!N226-d3П!N226</f>
        <v>0</v>
      </c>
      <c r="O226" s="393">
        <f>'d3'!O226-d3П!O226</f>
        <v>0</v>
      </c>
      <c r="P226" s="393">
        <f>'d3'!P226-d3П!P226</f>
        <v>0</v>
      </c>
      <c r="Q226" s="20"/>
      <c r="R226" s="46"/>
    </row>
    <row r="227" spans="1:18" s="33" customFormat="1" ht="93" thickTop="1" thickBot="1" x14ac:dyDescent="0.25">
      <c r="A227" s="399" t="s">
        <v>782</v>
      </c>
      <c r="B227" s="399" t="s">
        <v>783</v>
      </c>
      <c r="C227" s="399"/>
      <c r="D227" s="399" t="s">
        <v>784</v>
      </c>
      <c r="E227" s="393">
        <f>'d3'!E227-d3П!E227</f>
        <v>0</v>
      </c>
      <c r="F227" s="393">
        <f>'d3'!F227-d3П!F227</f>
        <v>0</v>
      </c>
      <c r="G227" s="393">
        <f>'d3'!G227-d3П!G227</f>
        <v>0</v>
      </c>
      <c r="H227" s="393">
        <f>'d3'!H227-d3П!H227</f>
        <v>0</v>
      </c>
      <c r="I227" s="393">
        <f>'d3'!I227-d3П!I227</f>
        <v>0</v>
      </c>
      <c r="J227" s="393">
        <f>'d3'!J227-d3П!J227</f>
        <v>0</v>
      </c>
      <c r="K227" s="393">
        <f>'d3'!K227-d3П!K227</f>
        <v>0</v>
      </c>
      <c r="L227" s="393">
        <f>'d3'!L227-d3П!L227</f>
        <v>0</v>
      </c>
      <c r="M227" s="393">
        <f>'d3'!M227-d3П!M227</f>
        <v>0</v>
      </c>
      <c r="N227" s="393">
        <f>'d3'!N227-d3П!N227</f>
        <v>0</v>
      </c>
      <c r="O227" s="393">
        <f>'d3'!O227-d3П!O227</f>
        <v>0</v>
      </c>
      <c r="P227" s="393">
        <f>'d3'!P227-d3П!P227</f>
        <v>0</v>
      </c>
      <c r="Q227" s="36"/>
      <c r="R227" s="53"/>
    </row>
    <row r="228" spans="1:18" ht="93" thickTop="1" thickBot="1" x14ac:dyDescent="0.25">
      <c r="A228" s="119" t="s">
        <v>47</v>
      </c>
      <c r="B228" s="119" t="s">
        <v>192</v>
      </c>
      <c r="C228" s="119" t="s">
        <v>199</v>
      </c>
      <c r="D228" s="119" t="s">
        <v>353</v>
      </c>
      <c r="E228" s="393">
        <f>'d3'!E228-d3П!E228</f>
        <v>0</v>
      </c>
      <c r="F228" s="393">
        <f>'d3'!F228-d3П!F228</f>
        <v>0</v>
      </c>
      <c r="G228" s="393">
        <f>'d3'!G228-d3П!G228</f>
        <v>0</v>
      </c>
      <c r="H228" s="393">
        <f>'d3'!H228-d3П!H228</f>
        <v>0</v>
      </c>
      <c r="I228" s="393">
        <f>'d3'!I228-d3П!I228</f>
        <v>0</v>
      </c>
      <c r="J228" s="393">
        <f>'d3'!J228-d3П!J228</f>
        <v>0</v>
      </c>
      <c r="K228" s="393">
        <f>'d3'!K228-d3П!K228</f>
        <v>0</v>
      </c>
      <c r="L228" s="393">
        <f>'d3'!L228-d3П!L228</f>
        <v>0</v>
      </c>
      <c r="M228" s="393">
        <f>'d3'!M228-d3П!M228</f>
        <v>0</v>
      </c>
      <c r="N228" s="393">
        <f>'d3'!N228-d3П!N228</f>
        <v>0</v>
      </c>
      <c r="O228" s="393">
        <f>'d3'!O228-d3П!O228</f>
        <v>0</v>
      </c>
      <c r="P228" s="393">
        <f>'d3'!P228-d3П!P228</f>
        <v>0</v>
      </c>
      <c r="Q228" s="20"/>
      <c r="R228" s="46"/>
    </row>
    <row r="229" spans="1:18" ht="47.25" thickTop="1" thickBot="1" x14ac:dyDescent="0.25">
      <c r="A229" s="399" t="s">
        <v>785</v>
      </c>
      <c r="B229" s="399" t="s">
        <v>786</v>
      </c>
      <c r="C229" s="399"/>
      <c r="D229" s="399" t="s">
        <v>787</v>
      </c>
      <c r="E229" s="393">
        <f>'d3'!E229-d3П!E229</f>
        <v>-448814</v>
      </c>
      <c r="F229" s="393">
        <f>'d3'!F229-d3П!F229</f>
        <v>-448814</v>
      </c>
      <c r="G229" s="393">
        <f>'d3'!G229-d3П!G229</f>
        <v>-100814</v>
      </c>
      <c r="H229" s="393">
        <f>'d3'!H229-d3П!H229</f>
        <v>-615698</v>
      </c>
      <c r="I229" s="393">
        <f>'d3'!I229-d3П!I229</f>
        <v>0</v>
      </c>
      <c r="J229" s="393">
        <f>'d3'!J229-d3П!J229</f>
        <v>0</v>
      </c>
      <c r="K229" s="393">
        <f>'d3'!K229-d3П!K229</f>
        <v>0</v>
      </c>
      <c r="L229" s="393">
        <f>'d3'!L229-d3П!L229</f>
        <v>0</v>
      </c>
      <c r="M229" s="393">
        <f>'d3'!M229-d3П!M229</f>
        <v>0</v>
      </c>
      <c r="N229" s="393">
        <f>'d3'!N229-d3П!N229</f>
        <v>0</v>
      </c>
      <c r="O229" s="393">
        <f>'d3'!O229-d3П!O229</f>
        <v>0</v>
      </c>
      <c r="P229" s="393">
        <f>'d3'!P229-d3П!P229</f>
        <v>-448814</v>
      </c>
      <c r="Q229" s="20"/>
      <c r="R229" s="46"/>
    </row>
    <row r="230" spans="1:18" ht="93" thickTop="1" thickBot="1" x14ac:dyDescent="0.25">
      <c r="A230" s="119" t="s">
        <v>28</v>
      </c>
      <c r="B230" s="119" t="s">
        <v>196</v>
      </c>
      <c r="C230" s="119" t="s">
        <v>199</v>
      </c>
      <c r="D230" s="119" t="s">
        <v>48</v>
      </c>
      <c r="E230" s="393">
        <f>'d3'!E230-d3П!E230</f>
        <v>-448814</v>
      </c>
      <c r="F230" s="393">
        <f>'d3'!F230-d3П!F230</f>
        <v>-448814</v>
      </c>
      <c r="G230" s="393">
        <f>'d3'!G230-d3П!G230</f>
        <v>-100814</v>
      </c>
      <c r="H230" s="393">
        <f>'d3'!H230-d3П!H230</f>
        <v>-615698</v>
      </c>
      <c r="I230" s="393">
        <f>'d3'!I230-d3П!I230</f>
        <v>0</v>
      </c>
      <c r="J230" s="393">
        <f>'d3'!J230-d3П!J230</f>
        <v>0</v>
      </c>
      <c r="K230" s="393">
        <f>'d3'!K230-d3П!K230</f>
        <v>0</v>
      </c>
      <c r="L230" s="393">
        <f>'d3'!L230-d3П!L230</f>
        <v>0</v>
      </c>
      <c r="M230" s="393">
        <f>'d3'!M230-d3П!M230</f>
        <v>0</v>
      </c>
      <c r="N230" s="393">
        <f>'d3'!N230-d3П!N230</f>
        <v>0</v>
      </c>
      <c r="O230" s="393">
        <f>'d3'!O230-d3П!O230</f>
        <v>0</v>
      </c>
      <c r="P230" s="393">
        <f>'d3'!P230-d3П!P230</f>
        <v>-448814</v>
      </c>
      <c r="Q230" s="20"/>
      <c r="R230" s="46"/>
    </row>
    <row r="231" spans="1:18" ht="93" thickTop="1" thickBot="1" x14ac:dyDescent="0.25">
      <c r="A231" s="119" t="s">
        <v>29</v>
      </c>
      <c r="B231" s="119" t="s">
        <v>197</v>
      </c>
      <c r="C231" s="119" t="s">
        <v>199</v>
      </c>
      <c r="D231" s="119" t="s">
        <v>49</v>
      </c>
      <c r="E231" s="393">
        <f>'d3'!E231-d3П!E231</f>
        <v>0</v>
      </c>
      <c r="F231" s="393">
        <f>'d3'!F231-d3П!F231</f>
        <v>0</v>
      </c>
      <c r="G231" s="393">
        <f>'d3'!G231-d3П!G231</f>
        <v>0</v>
      </c>
      <c r="H231" s="393">
        <f>'d3'!H231-d3П!H231</f>
        <v>0</v>
      </c>
      <c r="I231" s="393">
        <f>'d3'!I231-d3П!I231</f>
        <v>0</v>
      </c>
      <c r="J231" s="393">
        <f>'d3'!J231-d3П!J231</f>
        <v>0</v>
      </c>
      <c r="K231" s="393">
        <f>'d3'!K231-d3П!K231</f>
        <v>0</v>
      </c>
      <c r="L231" s="393">
        <f>'d3'!L231-d3П!L231</f>
        <v>0</v>
      </c>
      <c r="M231" s="393">
        <f>'d3'!M231-d3П!M231</f>
        <v>0</v>
      </c>
      <c r="N231" s="393">
        <f>'d3'!N231-d3П!N231</f>
        <v>0</v>
      </c>
      <c r="O231" s="393">
        <f>'d3'!O231-d3П!O231</f>
        <v>0</v>
      </c>
      <c r="P231" s="393">
        <f>'d3'!P231-d3П!P231</f>
        <v>0</v>
      </c>
      <c r="Q231" s="20"/>
      <c r="R231" s="46"/>
    </row>
    <row r="232" spans="1:18" ht="47.25" thickTop="1" thickBot="1" x14ac:dyDescent="0.25">
      <c r="A232" s="477" t="s">
        <v>1469</v>
      </c>
      <c r="B232" s="399" t="s">
        <v>823</v>
      </c>
      <c r="C232" s="399"/>
      <c r="D232" s="399" t="s">
        <v>824</v>
      </c>
      <c r="E232" s="393">
        <f>'d3'!E232-d3П!E232</f>
        <v>0</v>
      </c>
      <c r="F232" s="393">
        <f>'d3'!F232-d3П!F232</f>
        <v>0</v>
      </c>
      <c r="G232" s="393">
        <f>'d3'!G232-d3П!G232</f>
        <v>0</v>
      </c>
      <c r="H232" s="393">
        <f>'d3'!H232-d3П!H232</f>
        <v>0</v>
      </c>
      <c r="I232" s="393">
        <f>'d3'!I232-d3П!I232</f>
        <v>0</v>
      </c>
      <c r="J232" s="393">
        <f>'d3'!J232-d3П!J232</f>
        <v>0</v>
      </c>
      <c r="K232" s="393">
        <f>'d3'!K232-d3П!K232</f>
        <v>0</v>
      </c>
      <c r="L232" s="393">
        <f>'d3'!L232-d3П!L232</f>
        <v>0</v>
      </c>
      <c r="M232" s="393">
        <f>'d3'!M232-d3П!M232</f>
        <v>0</v>
      </c>
      <c r="N232" s="393">
        <f>'d3'!N232-d3П!N232</f>
        <v>0</v>
      </c>
      <c r="O232" s="393">
        <f>'d3'!O232-d3П!O232</f>
        <v>0</v>
      </c>
      <c r="P232" s="393">
        <f>'d3'!P232-d3П!P232</f>
        <v>0</v>
      </c>
      <c r="Q232" s="20"/>
      <c r="R232" s="46"/>
    </row>
    <row r="233" spans="1:18" ht="93" thickTop="1" thickBot="1" x14ac:dyDescent="0.25">
      <c r="A233" s="119" t="s">
        <v>1470</v>
      </c>
      <c r="B233" s="119" t="s">
        <v>1471</v>
      </c>
      <c r="C233" s="119" t="s">
        <v>199</v>
      </c>
      <c r="D233" s="119" t="s">
        <v>1472</v>
      </c>
      <c r="E233" s="393">
        <f>'d3'!E233-d3П!E233</f>
        <v>0</v>
      </c>
      <c r="F233" s="393">
        <f>'d3'!F233-d3П!F233</f>
        <v>0</v>
      </c>
      <c r="G233" s="393">
        <f>'d3'!G233-d3П!G233</f>
        <v>0</v>
      </c>
      <c r="H233" s="393">
        <f>'d3'!H233-d3П!H233</f>
        <v>0</v>
      </c>
      <c r="I233" s="393">
        <f>'d3'!I233-d3П!I233</f>
        <v>0</v>
      </c>
      <c r="J233" s="393">
        <f>'d3'!J233-d3П!J233</f>
        <v>0</v>
      </c>
      <c r="K233" s="393">
        <f>'d3'!K233-d3П!K233</f>
        <v>0</v>
      </c>
      <c r="L233" s="393">
        <f>'d3'!L233-d3П!L233</f>
        <v>0</v>
      </c>
      <c r="M233" s="393">
        <f>'d3'!M233-d3П!M233</f>
        <v>0</v>
      </c>
      <c r="N233" s="393">
        <f>'d3'!N233-d3П!N233</f>
        <v>0</v>
      </c>
      <c r="O233" s="393">
        <f>'d3'!O233-d3П!O233</f>
        <v>0</v>
      </c>
      <c r="P233" s="393">
        <f>'d3'!P233-d3П!P233</f>
        <v>0</v>
      </c>
      <c r="Q233" s="20"/>
      <c r="R233" s="46"/>
    </row>
    <row r="234" spans="1:18" ht="47.25" thickTop="1" thickBot="1" x14ac:dyDescent="0.25">
      <c r="A234" s="477" t="s">
        <v>788</v>
      </c>
      <c r="B234" s="399" t="s">
        <v>789</v>
      </c>
      <c r="C234" s="399"/>
      <c r="D234" s="399" t="s">
        <v>790</v>
      </c>
      <c r="E234" s="393">
        <f>'d3'!E234-d3П!E234</f>
        <v>67514</v>
      </c>
      <c r="F234" s="393">
        <f>'d3'!F234-d3П!F234</f>
        <v>67514</v>
      </c>
      <c r="G234" s="393">
        <f>'d3'!G234-d3П!G234</f>
        <v>53014</v>
      </c>
      <c r="H234" s="393">
        <f>'d3'!H234-d3П!H234</f>
        <v>0</v>
      </c>
      <c r="I234" s="393">
        <f>'d3'!I234-d3П!I234</f>
        <v>0</v>
      </c>
      <c r="J234" s="393">
        <f>'d3'!J234-d3П!J234</f>
        <v>0</v>
      </c>
      <c r="K234" s="393">
        <f>'d3'!K234-d3П!K234</f>
        <v>0</v>
      </c>
      <c r="L234" s="393">
        <f>'d3'!L234-d3П!L234</f>
        <v>0</v>
      </c>
      <c r="M234" s="393">
        <f>'d3'!M234-d3П!M234</f>
        <v>0</v>
      </c>
      <c r="N234" s="393">
        <f>'d3'!N234-d3П!N234</f>
        <v>0</v>
      </c>
      <c r="O234" s="393">
        <f>'d3'!O234-d3П!O234</f>
        <v>0</v>
      </c>
      <c r="P234" s="393">
        <f>'d3'!P234-d3П!P234</f>
        <v>67514</v>
      </c>
      <c r="Q234" s="20"/>
      <c r="R234" s="46"/>
    </row>
    <row r="235" spans="1:18" ht="138.75" thickTop="1" thickBot="1" x14ac:dyDescent="0.25">
      <c r="A235" s="445" t="s">
        <v>30</v>
      </c>
      <c r="B235" s="445" t="s">
        <v>198</v>
      </c>
      <c r="C235" s="445" t="s">
        <v>199</v>
      </c>
      <c r="D235" s="119" t="s">
        <v>31</v>
      </c>
      <c r="E235" s="393">
        <f>'d3'!E235-d3П!E235</f>
        <v>0</v>
      </c>
      <c r="F235" s="393">
        <f>'d3'!F235-d3П!F235</f>
        <v>0</v>
      </c>
      <c r="G235" s="393">
        <f>'d3'!G235-d3П!G235</f>
        <v>0</v>
      </c>
      <c r="H235" s="393">
        <f>'d3'!H235-d3П!H235</f>
        <v>0</v>
      </c>
      <c r="I235" s="393">
        <f>'d3'!I235-d3П!I235</f>
        <v>0</v>
      </c>
      <c r="J235" s="393">
        <f>'d3'!J235-d3П!J235</f>
        <v>0</v>
      </c>
      <c r="K235" s="393">
        <f>'d3'!K235-d3П!K235</f>
        <v>0</v>
      </c>
      <c r="L235" s="393">
        <f>'d3'!L235-d3П!L235</f>
        <v>0</v>
      </c>
      <c r="M235" s="393">
        <f>'d3'!M235-d3П!M235</f>
        <v>0</v>
      </c>
      <c r="N235" s="393">
        <f>'d3'!N235-d3П!N235</f>
        <v>0</v>
      </c>
      <c r="O235" s="393">
        <f>'d3'!O235-d3П!O235</f>
        <v>0</v>
      </c>
      <c r="P235" s="393">
        <f>'d3'!P235-d3П!P235</f>
        <v>0</v>
      </c>
      <c r="Q235" s="20"/>
      <c r="R235" s="46"/>
    </row>
    <row r="236" spans="1:18" ht="93" thickTop="1" thickBot="1" x14ac:dyDescent="0.25">
      <c r="A236" s="445" t="s">
        <v>516</v>
      </c>
      <c r="B236" s="445" t="s">
        <v>514</v>
      </c>
      <c r="C236" s="445" t="s">
        <v>199</v>
      </c>
      <c r="D236" s="119" t="s">
        <v>515</v>
      </c>
      <c r="E236" s="393">
        <f>'d3'!E236-d3П!E236</f>
        <v>0</v>
      </c>
      <c r="F236" s="393">
        <f>'d3'!F236-d3П!F236</f>
        <v>0</v>
      </c>
      <c r="G236" s="393">
        <f>'d3'!G236-d3П!G236</f>
        <v>0</v>
      </c>
      <c r="H236" s="393">
        <f>'d3'!H236-d3П!H236</f>
        <v>0</v>
      </c>
      <c r="I236" s="393">
        <f>'d3'!I236-d3П!I236</f>
        <v>0</v>
      </c>
      <c r="J236" s="393">
        <f>'d3'!J236-d3П!J236</f>
        <v>0</v>
      </c>
      <c r="K236" s="393">
        <f>'d3'!K236-d3П!K236</f>
        <v>0</v>
      </c>
      <c r="L236" s="393">
        <f>'d3'!L236-d3П!L236</f>
        <v>0</v>
      </c>
      <c r="M236" s="393">
        <f>'d3'!M236-d3П!M236</f>
        <v>0</v>
      </c>
      <c r="N236" s="393">
        <f>'d3'!N236-d3П!N236</f>
        <v>0</v>
      </c>
      <c r="O236" s="393">
        <f>'d3'!O236-d3П!O236</f>
        <v>0</v>
      </c>
      <c r="P236" s="393">
        <f>'d3'!P236-d3П!P236</f>
        <v>0</v>
      </c>
      <c r="Q236" s="20"/>
      <c r="R236" s="46"/>
    </row>
    <row r="237" spans="1:18" ht="47.25" thickTop="1" thickBot="1" x14ac:dyDescent="0.25">
      <c r="A237" s="445" t="s">
        <v>32</v>
      </c>
      <c r="B237" s="445" t="s">
        <v>200</v>
      </c>
      <c r="C237" s="445" t="s">
        <v>199</v>
      </c>
      <c r="D237" s="119" t="s">
        <v>33</v>
      </c>
      <c r="E237" s="393">
        <f>'d3'!E237-d3П!E237</f>
        <v>67514</v>
      </c>
      <c r="F237" s="393">
        <f>'d3'!F237-d3П!F237</f>
        <v>67514</v>
      </c>
      <c r="G237" s="393">
        <f>'d3'!G237-d3П!G237</f>
        <v>53014</v>
      </c>
      <c r="H237" s="393">
        <f>'d3'!H237-d3П!H237</f>
        <v>0</v>
      </c>
      <c r="I237" s="393">
        <f>'d3'!I237-d3П!I237</f>
        <v>0</v>
      </c>
      <c r="J237" s="393">
        <f>'d3'!J237-d3П!J237</f>
        <v>0</v>
      </c>
      <c r="K237" s="393">
        <f>'d3'!K237-d3П!K237</f>
        <v>0</v>
      </c>
      <c r="L237" s="393">
        <f>'d3'!L237-d3П!L237</f>
        <v>0</v>
      </c>
      <c r="M237" s="393">
        <f>'d3'!M237-d3П!M237</f>
        <v>0</v>
      </c>
      <c r="N237" s="393">
        <f>'d3'!N237-d3П!N237</f>
        <v>0</v>
      </c>
      <c r="O237" s="393">
        <f>'d3'!O237-d3П!O237</f>
        <v>0</v>
      </c>
      <c r="P237" s="393">
        <f>'d3'!P237-d3П!P237</f>
        <v>67514</v>
      </c>
      <c r="Q237" s="20"/>
      <c r="R237" s="46"/>
    </row>
    <row r="238" spans="1:18" ht="47.25" thickTop="1" thickBot="1" x14ac:dyDescent="0.25">
      <c r="A238" s="346" t="s">
        <v>791</v>
      </c>
      <c r="B238" s="346" t="s">
        <v>748</v>
      </c>
      <c r="C238" s="346"/>
      <c r="D238" s="476" t="s">
        <v>749</v>
      </c>
      <c r="E238" s="393">
        <f>'d3'!E238-d3П!E238</f>
        <v>0</v>
      </c>
      <c r="F238" s="393">
        <f>'d3'!F238-d3П!F238</f>
        <v>0</v>
      </c>
      <c r="G238" s="393">
        <f>'d3'!G238-d3П!G238</f>
        <v>0</v>
      </c>
      <c r="H238" s="393">
        <f>'d3'!H238-d3П!H238</f>
        <v>0</v>
      </c>
      <c r="I238" s="393">
        <f>'d3'!I238-d3П!I238</f>
        <v>0</v>
      </c>
      <c r="J238" s="393">
        <f>'d3'!J238-d3П!J238</f>
        <v>0</v>
      </c>
      <c r="K238" s="393">
        <f>'d3'!K238-d3П!K238</f>
        <v>0</v>
      </c>
      <c r="L238" s="393">
        <f>'d3'!L238-d3П!L238</f>
        <v>0</v>
      </c>
      <c r="M238" s="393">
        <f>'d3'!M238-d3П!M238</f>
        <v>0</v>
      </c>
      <c r="N238" s="393">
        <f>'d3'!N238-d3П!N238</f>
        <v>0</v>
      </c>
      <c r="O238" s="393">
        <f>'d3'!O238-d3П!O238</f>
        <v>0</v>
      </c>
      <c r="P238" s="393">
        <f>'d3'!P238-d3П!P238</f>
        <v>0</v>
      </c>
      <c r="Q238" s="20"/>
      <c r="R238" s="46"/>
    </row>
    <row r="239" spans="1:18" ht="47.25" thickTop="1" thickBot="1" x14ac:dyDescent="0.25">
      <c r="A239" s="477" t="s">
        <v>792</v>
      </c>
      <c r="B239" s="477" t="s">
        <v>751</v>
      </c>
      <c r="C239" s="477"/>
      <c r="D239" s="399" t="s">
        <v>752</v>
      </c>
      <c r="E239" s="393">
        <f>'d3'!E239-d3П!E239</f>
        <v>0</v>
      </c>
      <c r="F239" s="393">
        <f>'d3'!F239-d3П!F239</f>
        <v>0</v>
      </c>
      <c r="G239" s="393">
        <f>'d3'!G239-d3П!G239</f>
        <v>0</v>
      </c>
      <c r="H239" s="393">
        <f>'d3'!H239-d3П!H239</f>
        <v>0</v>
      </c>
      <c r="I239" s="393">
        <f>'d3'!I239-d3П!I239</f>
        <v>0</v>
      </c>
      <c r="J239" s="393">
        <f>'d3'!J239-d3П!J239</f>
        <v>0</v>
      </c>
      <c r="K239" s="393">
        <f>'d3'!K239-d3П!K239</f>
        <v>0</v>
      </c>
      <c r="L239" s="393">
        <f>'d3'!L239-d3П!L239</f>
        <v>0</v>
      </c>
      <c r="M239" s="393">
        <f>'d3'!M239-d3П!M239</f>
        <v>0</v>
      </c>
      <c r="N239" s="393">
        <f>'d3'!N239-d3П!N239</f>
        <v>0</v>
      </c>
      <c r="O239" s="393">
        <f>'d3'!O239-d3П!O239</f>
        <v>0</v>
      </c>
      <c r="P239" s="393">
        <f>'d3'!P239-d3П!P239</f>
        <v>0</v>
      </c>
      <c r="Q239" s="20"/>
      <c r="R239" s="46"/>
    </row>
    <row r="240" spans="1:18" ht="138.75" thickTop="1" thickBot="1" x14ac:dyDescent="0.25">
      <c r="A240" s="445" t="s">
        <v>346</v>
      </c>
      <c r="B240" s="445" t="s">
        <v>345</v>
      </c>
      <c r="C240" s="445" t="s">
        <v>344</v>
      </c>
      <c r="D240" s="119" t="s">
        <v>645</v>
      </c>
      <c r="E240" s="393">
        <f>'d3'!E240-d3П!E240</f>
        <v>0</v>
      </c>
      <c r="F240" s="393">
        <f>'d3'!F240-d3П!F240</f>
        <v>0</v>
      </c>
      <c r="G240" s="393">
        <f>'d3'!G240-d3П!G240</f>
        <v>0</v>
      </c>
      <c r="H240" s="393">
        <f>'d3'!H240-d3П!H240</f>
        <v>0</v>
      </c>
      <c r="I240" s="393">
        <f>'d3'!I240-d3П!I240</f>
        <v>0</v>
      </c>
      <c r="J240" s="393">
        <f>'d3'!J240-d3П!J240</f>
        <v>0</v>
      </c>
      <c r="K240" s="393">
        <f>'d3'!K240-d3П!K240</f>
        <v>0</v>
      </c>
      <c r="L240" s="393">
        <f>'d3'!L240-d3П!L240</f>
        <v>0</v>
      </c>
      <c r="M240" s="393">
        <f>'d3'!M240-d3П!M240</f>
        <v>0</v>
      </c>
      <c r="N240" s="393">
        <f>'d3'!N240-d3П!N240</f>
        <v>0</v>
      </c>
      <c r="O240" s="393">
        <f>'d3'!O240-d3П!O240</f>
        <v>0</v>
      </c>
      <c r="P240" s="393">
        <f>'d3'!P240-d3П!P240</f>
        <v>0</v>
      </c>
      <c r="Q240" s="20"/>
      <c r="R240" s="50"/>
    </row>
    <row r="241" spans="1:18" ht="47.25" thickTop="1" thickBot="1" x14ac:dyDescent="0.25">
      <c r="A241" s="346" t="s">
        <v>793</v>
      </c>
      <c r="B241" s="346" t="s">
        <v>754</v>
      </c>
      <c r="C241" s="346"/>
      <c r="D241" s="346" t="s">
        <v>755</v>
      </c>
      <c r="E241" s="393">
        <f>'d3'!E241-d3П!E241</f>
        <v>0</v>
      </c>
      <c r="F241" s="393">
        <f>'d3'!F241-d3П!F241</f>
        <v>0</v>
      </c>
      <c r="G241" s="393">
        <f>'d3'!G241-d3П!G241</f>
        <v>0</v>
      </c>
      <c r="H241" s="393">
        <f>'d3'!H241-d3П!H241</f>
        <v>0</v>
      </c>
      <c r="I241" s="393">
        <f>'d3'!I241-d3П!I241</f>
        <v>0</v>
      </c>
      <c r="J241" s="393">
        <f>'d3'!J241-d3П!J241</f>
        <v>0</v>
      </c>
      <c r="K241" s="393">
        <f>'d3'!K241-d3П!K241</f>
        <v>0</v>
      </c>
      <c r="L241" s="393">
        <f>'d3'!L241-d3П!L241</f>
        <v>0</v>
      </c>
      <c r="M241" s="393">
        <f>'d3'!M241-d3П!M241</f>
        <v>0</v>
      </c>
      <c r="N241" s="393">
        <f>'d3'!N241-d3П!N241</f>
        <v>0</v>
      </c>
      <c r="O241" s="393">
        <f>'d3'!O241-d3П!O241</f>
        <v>0</v>
      </c>
      <c r="P241" s="393">
        <f>'d3'!P241-d3П!P241</f>
        <v>0</v>
      </c>
      <c r="Q241" s="20"/>
      <c r="R241" s="50"/>
    </row>
    <row r="242" spans="1:18" ht="47.25" hidden="1" thickTop="1" thickBot="1" x14ac:dyDescent="0.25">
      <c r="A242" s="348" t="s">
        <v>1118</v>
      </c>
      <c r="B242" s="348" t="s">
        <v>810</v>
      </c>
      <c r="C242" s="348"/>
      <c r="D242" s="348" t="s">
        <v>811</v>
      </c>
      <c r="E242" s="393">
        <f>'d3'!E242-d3П!E242</f>
        <v>0</v>
      </c>
      <c r="F242" s="393">
        <f>'d3'!F242-d3П!F242</f>
        <v>0</v>
      </c>
      <c r="G242" s="393">
        <f>'d3'!G242-d3П!G242</f>
        <v>0</v>
      </c>
      <c r="H242" s="393">
        <f>'d3'!H242-d3П!H242</f>
        <v>0</v>
      </c>
      <c r="I242" s="393">
        <f>'d3'!I242-d3П!I242</f>
        <v>0</v>
      </c>
      <c r="J242" s="393">
        <f>'d3'!J242-d3П!J242</f>
        <v>0</v>
      </c>
      <c r="K242" s="393">
        <f>'d3'!K242-d3П!K242</f>
        <v>0</v>
      </c>
      <c r="L242" s="393">
        <f>'d3'!L242-d3П!L242</f>
        <v>0</v>
      </c>
      <c r="M242" s="393">
        <f>'d3'!M242-d3П!M242</f>
        <v>0</v>
      </c>
      <c r="N242" s="393">
        <f>'d3'!N242-d3П!N242</f>
        <v>0</v>
      </c>
      <c r="O242" s="393">
        <f>'d3'!O242-d3П!O242</f>
        <v>0</v>
      </c>
      <c r="P242" s="393">
        <f>'d3'!P242-d3П!P242</f>
        <v>0</v>
      </c>
      <c r="Q242" s="20"/>
      <c r="R242" s="50"/>
    </row>
    <row r="243" spans="1:18" ht="54" hidden="1" thickTop="1" thickBot="1" x14ac:dyDescent="0.25">
      <c r="A243" s="399" t="s">
        <v>1119</v>
      </c>
      <c r="B243" s="399" t="s">
        <v>828</v>
      </c>
      <c r="C243" s="399"/>
      <c r="D243" s="399" t="s">
        <v>1292</v>
      </c>
      <c r="E243" s="393">
        <f>'d3'!E243-d3П!E243</f>
        <v>0</v>
      </c>
      <c r="F243" s="393">
        <f>'d3'!F243-d3П!F243</f>
        <v>0</v>
      </c>
      <c r="G243" s="393">
        <f>'d3'!G243-d3П!G243</f>
        <v>0</v>
      </c>
      <c r="H243" s="393">
        <f>'d3'!H243-d3П!H243</f>
        <v>0</v>
      </c>
      <c r="I243" s="393">
        <f>'d3'!I243-d3П!I243</f>
        <v>0</v>
      </c>
      <c r="J243" s="393">
        <f>'d3'!J243-d3П!J243</f>
        <v>0</v>
      </c>
      <c r="K243" s="393">
        <f>'d3'!K243-d3П!K243</f>
        <v>0</v>
      </c>
      <c r="L243" s="393">
        <f>'d3'!L243-d3П!L243</f>
        <v>0</v>
      </c>
      <c r="M243" s="393">
        <f>'d3'!M243-d3П!M243</f>
        <v>0</v>
      </c>
      <c r="N243" s="393">
        <f>'d3'!N243-d3П!N243</f>
        <v>0</v>
      </c>
      <c r="O243" s="393">
        <f>'d3'!O243-d3П!O243</f>
        <v>0</v>
      </c>
      <c r="P243" s="393">
        <f>'d3'!P243-d3П!P243</f>
        <v>0</v>
      </c>
      <c r="Q243" s="20"/>
      <c r="R243" s="50"/>
    </row>
    <row r="244" spans="1:18" ht="54" hidden="1" thickTop="1" thickBot="1" x14ac:dyDescent="0.25">
      <c r="A244" s="119" t="s">
        <v>1120</v>
      </c>
      <c r="B244" s="119" t="s">
        <v>317</v>
      </c>
      <c r="C244" s="119" t="s">
        <v>308</v>
      </c>
      <c r="D244" s="119" t="s">
        <v>1300</v>
      </c>
      <c r="E244" s="393">
        <f>'d3'!E244-d3П!E244</f>
        <v>0</v>
      </c>
      <c r="F244" s="393">
        <f>'d3'!F244-d3П!F244</f>
        <v>0</v>
      </c>
      <c r="G244" s="393">
        <f>'d3'!G244-d3П!G244</f>
        <v>0</v>
      </c>
      <c r="H244" s="393">
        <f>'d3'!H244-d3П!H244</f>
        <v>0</v>
      </c>
      <c r="I244" s="393">
        <f>'d3'!I244-d3П!I244</f>
        <v>0</v>
      </c>
      <c r="J244" s="393">
        <f>'d3'!J244-d3П!J244</f>
        <v>0</v>
      </c>
      <c r="K244" s="393">
        <f>'d3'!K244-d3П!K244</f>
        <v>0</v>
      </c>
      <c r="L244" s="393">
        <f>'d3'!L244-d3П!L244</f>
        <v>0</v>
      </c>
      <c r="M244" s="393">
        <f>'d3'!M244-d3П!M244</f>
        <v>0</v>
      </c>
      <c r="N244" s="393">
        <f>'d3'!N244-d3П!N244</f>
        <v>0</v>
      </c>
      <c r="O244" s="393">
        <f>'d3'!O244-d3П!O244</f>
        <v>0</v>
      </c>
      <c r="P244" s="393">
        <f>'d3'!P244-d3П!P244</f>
        <v>0</v>
      </c>
      <c r="Q244" s="20"/>
      <c r="R244" s="50"/>
    </row>
    <row r="245" spans="1:18" ht="47.25" thickTop="1" thickBot="1" x14ac:dyDescent="0.25">
      <c r="A245" s="348" t="s">
        <v>794</v>
      </c>
      <c r="B245" s="348" t="s">
        <v>697</v>
      </c>
      <c r="C245" s="348"/>
      <c r="D245" s="348" t="s">
        <v>695</v>
      </c>
      <c r="E245" s="393">
        <f>'d3'!E245-d3П!E245</f>
        <v>0</v>
      </c>
      <c r="F245" s="393">
        <f>'d3'!F245-d3П!F245</f>
        <v>0</v>
      </c>
      <c r="G245" s="393">
        <f>'d3'!G245-d3П!G245</f>
        <v>0</v>
      </c>
      <c r="H245" s="393">
        <f>'d3'!H245-d3П!H245</f>
        <v>0</v>
      </c>
      <c r="I245" s="393">
        <f>'d3'!I245-d3П!I245</f>
        <v>0</v>
      </c>
      <c r="J245" s="393">
        <f>'d3'!J245-d3П!J245</f>
        <v>0</v>
      </c>
      <c r="K245" s="393">
        <f>'d3'!K245-d3П!K245</f>
        <v>0</v>
      </c>
      <c r="L245" s="393">
        <f>'d3'!L245-d3П!L245</f>
        <v>0</v>
      </c>
      <c r="M245" s="393">
        <f>'d3'!M245-d3П!M245</f>
        <v>0</v>
      </c>
      <c r="N245" s="393">
        <f>'d3'!N245-d3П!N245</f>
        <v>0</v>
      </c>
      <c r="O245" s="393">
        <f>'d3'!O245-d3П!O245</f>
        <v>0</v>
      </c>
      <c r="P245" s="393">
        <f>'d3'!P245-d3П!P245</f>
        <v>0</v>
      </c>
      <c r="Q245" s="20"/>
      <c r="R245" s="50"/>
    </row>
    <row r="246" spans="1:18" ht="47.25" thickTop="1" thickBot="1" x14ac:dyDescent="0.25">
      <c r="A246" s="445" t="s">
        <v>1425</v>
      </c>
      <c r="B246" s="445" t="s">
        <v>216</v>
      </c>
      <c r="C246" s="445"/>
      <c r="D246" s="119" t="s">
        <v>41</v>
      </c>
      <c r="E246" s="393">
        <f>'d3'!E246-d3П!E246</f>
        <v>0</v>
      </c>
      <c r="F246" s="393">
        <f>'d3'!F246-d3П!F246</f>
        <v>0</v>
      </c>
      <c r="G246" s="393">
        <f>'d3'!G246-d3П!G246</f>
        <v>0</v>
      </c>
      <c r="H246" s="393">
        <f>'d3'!H246-d3П!H246</f>
        <v>0</v>
      </c>
      <c r="I246" s="393">
        <f>'d3'!I246-d3П!I246</f>
        <v>0</v>
      </c>
      <c r="J246" s="393">
        <f>'d3'!J246-d3П!J246</f>
        <v>0</v>
      </c>
      <c r="K246" s="393">
        <f>'d3'!K246-d3П!K246</f>
        <v>0</v>
      </c>
      <c r="L246" s="393">
        <f>'d3'!L246-d3П!L246</f>
        <v>0</v>
      </c>
      <c r="M246" s="393">
        <f>'d3'!M246-d3П!M246</f>
        <v>0</v>
      </c>
      <c r="N246" s="393">
        <f>'d3'!N246-d3П!N246</f>
        <v>0</v>
      </c>
      <c r="O246" s="393">
        <f>'d3'!O246-d3П!O246</f>
        <v>0</v>
      </c>
      <c r="P246" s="393">
        <f>'d3'!P246-d3П!P246</f>
        <v>0</v>
      </c>
      <c r="Q246" s="20"/>
      <c r="R246" s="50"/>
    </row>
    <row r="247" spans="1:18" ht="47.25" thickTop="1" thickBot="1" x14ac:dyDescent="0.25">
      <c r="A247" s="119" t="s">
        <v>613</v>
      </c>
      <c r="B247" s="119" t="s">
        <v>201</v>
      </c>
      <c r="C247" s="119" t="s">
        <v>170</v>
      </c>
      <c r="D247" s="119" t="s">
        <v>34</v>
      </c>
      <c r="E247" s="393">
        <f>'d3'!E247-d3П!E247</f>
        <v>0</v>
      </c>
      <c r="F247" s="393">
        <f>'d3'!F247-d3П!F247</f>
        <v>0</v>
      </c>
      <c r="G247" s="393">
        <f>'d3'!G247-d3П!G247</f>
        <v>0</v>
      </c>
      <c r="H247" s="393">
        <f>'d3'!H247-d3П!H247</f>
        <v>0</v>
      </c>
      <c r="I247" s="393">
        <f>'d3'!I247-d3П!I247</f>
        <v>0</v>
      </c>
      <c r="J247" s="393">
        <f>'d3'!J247-d3П!J247</f>
        <v>0</v>
      </c>
      <c r="K247" s="393">
        <f>'d3'!K247-d3П!K247</f>
        <v>0</v>
      </c>
      <c r="L247" s="393">
        <f>'d3'!L247-d3П!L247</f>
        <v>0</v>
      </c>
      <c r="M247" s="393">
        <f>'d3'!M247-d3П!M247</f>
        <v>0</v>
      </c>
      <c r="N247" s="393">
        <f>'d3'!N247-d3П!N247</f>
        <v>0</v>
      </c>
      <c r="O247" s="393">
        <f>'d3'!O247-d3П!O247</f>
        <v>0</v>
      </c>
      <c r="P247" s="393">
        <f>'d3'!P247-d3П!P247</f>
        <v>0</v>
      </c>
      <c r="Q247" s="20"/>
      <c r="R247" s="46"/>
    </row>
    <row r="248" spans="1:18" ht="47.25" hidden="1" thickTop="1" thickBot="1" x14ac:dyDescent="0.25">
      <c r="A248" s="162" t="s">
        <v>1127</v>
      </c>
      <c r="B248" s="162" t="s">
        <v>708</v>
      </c>
      <c r="C248" s="162"/>
      <c r="D248" s="162" t="s">
        <v>709</v>
      </c>
      <c r="E248" s="42">
        <f>E249</f>
        <v>0</v>
      </c>
      <c r="F248" s="42">
        <f t="shared" ref="F248:P249" si="43">F249</f>
        <v>0</v>
      </c>
      <c r="G248" s="42">
        <f t="shared" si="43"/>
        <v>0</v>
      </c>
      <c r="H248" s="42">
        <f t="shared" si="43"/>
        <v>0</v>
      </c>
      <c r="I248" s="42">
        <f t="shared" si="43"/>
        <v>0</v>
      </c>
      <c r="J248" s="42">
        <f t="shared" si="43"/>
        <v>0</v>
      </c>
      <c r="K248" s="42">
        <f t="shared" si="43"/>
        <v>0</v>
      </c>
      <c r="L248" s="42">
        <f t="shared" si="43"/>
        <v>0</v>
      </c>
      <c r="M248" s="42">
        <f t="shared" si="43"/>
        <v>0</v>
      </c>
      <c r="N248" s="42">
        <f t="shared" si="43"/>
        <v>0</v>
      </c>
      <c r="O248" s="42">
        <f t="shared" si="43"/>
        <v>0</v>
      </c>
      <c r="P248" s="42">
        <f t="shared" si="43"/>
        <v>0</v>
      </c>
      <c r="Q248" s="20"/>
      <c r="R248" s="46"/>
    </row>
    <row r="249" spans="1:18" ht="91.5" hidden="1" thickTop="1" thickBot="1" x14ac:dyDescent="0.25">
      <c r="A249" s="163" t="s">
        <v>1128</v>
      </c>
      <c r="B249" s="163" t="s">
        <v>711</v>
      </c>
      <c r="C249" s="163"/>
      <c r="D249" s="163" t="s">
        <v>712</v>
      </c>
      <c r="E249" s="164">
        <f>E250</f>
        <v>0</v>
      </c>
      <c r="F249" s="164">
        <f t="shared" si="43"/>
        <v>0</v>
      </c>
      <c r="G249" s="164">
        <f t="shared" si="43"/>
        <v>0</v>
      </c>
      <c r="H249" s="164">
        <f t="shared" si="43"/>
        <v>0</v>
      </c>
      <c r="I249" s="164">
        <f t="shared" si="43"/>
        <v>0</v>
      </c>
      <c r="J249" s="164">
        <f t="shared" si="43"/>
        <v>0</v>
      </c>
      <c r="K249" s="164">
        <f t="shared" si="43"/>
        <v>0</v>
      </c>
      <c r="L249" s="164">
        <f t="shared" si="43"/>
        <v>0</v>
      </c>
      <c r="M249" s="164">
        <f t="shared" si="43"/>
        <v>0</v>
      </c>
      <c r="N249" s="164">
        <f t="shared" si="43"/>
        <v>0</v>
      </c>
      <c r="O249" s="164">
        <f t="shared" si="43"/>
        <v>0</v>
      </c>
      <c r="P249" s="164">
        <f t="shared" si="43"/>
        <v>0</v>
      </c>
      <c r="Q249" s="20"/>
      <c r="R249" s="46"/>
    </row>
    <row r="250" spans="1:18" ht="48" hidden="1" thickTop="1" thickBot="1" x14ac:dyDescent="0.25">
      <c r="A250" s="41" t="s">
        <v>1129</v>
      </c>
      <c r="B250" s="41" t="s">
        <v>367</v>
      </c>
      <c r="C250" s="41" t="s">
        <v>43</v>
      </c>
      <c r="D250" s="41" t="s">
        <v>368</v>
      </c>
      <c r="E250" s="42">
        <f t="shared" ref="E250" si="44">F250</f>
        <v>0</v>
      </c>
      <c r="F250" s="43">
        <v>0</v>
      </c>
      <c r="G250" s="43"/>
      <c r="H250" s="43"/>
      <c r="I250" s="43"/>
      <c r="J250" s="42">
        <f>L250+O250</f>
        <v>0</v>
      </c>
      <c r="K250" s="43">
        <v>0</v>
      </c>
      <c r="L250" s="43"/>
      <c r="M250" s="43"/>
      <c r="N250" s="43"/>
      <c r="O250" s="44">
        <f>K250</f>
        <v>0</v>
      </c>
      <c r="P250" s="42">
        <f>E250+J250</f>
        <v>0</v>
      </c>
      <c r="Q250" s="20"/>
      <c r="R250" s="46"/>
    </row>
    <row r="251" spans="1:18" ht="91.5" thickTop="1" thickBot="1" x14ac:dyDescent="0.25">
      <c r="A251" s="403" t="s">
        <v>158</v>
      </c>
      <c r="B251" s="403"/>
      <c r="C251" s="403"/>
      <c r="D251" s="404" t="s">
        <v>566</v>
      </c>
      <c r="E251" s="406">
        <f>E252</f>
        <v>4900000</v>
      </c>
      <c r="F251" s="405">
        <f t="shared" ref="F251:G251" si="45">F252</f>
        <v>4900000</v>
      </c>
      <c r="G251" s="405">
        <f t="shared" si="45"/>
        <v>0</v>
      </c>
      <c r="H251" s="405">
        <f>H252</f>
        <v>0</v>
      </c>
      <c r="I251" s="405">
        <f t="shared" ref="I251" si="46">I252</f>
        <v>0</v>
      </c>
      <c r="J251" s="406">
        <f>J252</f>
        <v>0</v>
      </c>
      <c r="K251" s="405">
        <f>K252</f>
        <v>0</v>
      </c>
      <c r="L251" s="405">
        <f>L252</f>
        <v>0</v>
      </c>
      <c r="M251" s="405">
        <f t="shared" ref="M251" si="47">M252</f>
        <v>0</v>
      </c>
      <c r="N251" s="405">
        <f>N252</f>
        <v>0</v>
      </c>
      <c r="O251" s="406">
        <f>O252</f>
        <v>0</v>
      </c>
      <c r="P251" s="405">
        <f>P252</f>
        <v>4900000</v>
      </c>
      <c r="Q251" s="20"/>
      <c r="R251" s="50"/>
    </row>
    <row r="252" spans="1:18" ht="91.5" thickTop="1" thickBot="1" x14ac:dyDescent="0.25">
      <c r="A252" s="407" t="s">
        <v>159</v>
      </c>
      <c r="B252" s="407"/>
      <c r="C252" s="407"/>
      <c r="D252" s="408" t="s">
        <v>567</v>
      </c>
      <c r="E252" s="409">
        <f>E253+E257+E265+E274</f>
        <v>4900000</v>
      </c>
      <c r="F252" s="409">
        <f>F253+F257+F265+F274</f>
        <v>4900000</v>
      </c>
      <c r="G252" s="409">
        <f>G253+G257+G265+G274</f>
        <v>0</v>
      </c>
      <c r="H252" s="409">
        <f>H253+H257+H265+H274</f>
        <v>0</v>
      </c>
      <c r="I252" s="409">
        <f>I253+I257+I265+I274</f>
        <v>0</v>
      </c>
      <c r="J252" s="409">
        <f t="shared" ref="J252" si="48">L252+O252</f>
        <v>0</v>
      </c>
      <c r="K252" s="409">
        <f>K253+K257+K265+K274</f>
        <v>0</v>
      </c>
      <c r="L252" s="409">
        <f>L253+L257+L265+L274</f>
        <v>0</v>
      </c>
      <c r="M252" s="409">
        <f>M253+M257+M265+M274</f>
        <v>0</v>
      </c>
      <c r="N252" s="409">
        <f>N253+N257+N265+N274</f>
        <v>0</v>
      </c>
      <c r="O252" s="409">
        <f>O253+O257+O265+O274</f>
        <v>0</v>
      </c>
      <c r="P252" s="409">
        <f>E252+J252</f>
        <v>4900000</v>
      </c>
      <c r="Q252" s="353" t="b">
        <f>P252=P254+P255+P259+P260+P264+P270+P269+P272+P262+P267+P263+P261+P256</f>
        <v>1</v>
      </c>
      <c r="R252" s="54"/>
    </row>
    <row r="253" spans="1:18" ht="47.25" thickTop="1" thickBot="1" x14ac:dyDescent="0.25">
      <c r="A253" s="346" t="s">
        <v>795</v>
      </c>
      <c r="B253" s="346" t="s">
        <v>690</v>
      </c>
      <c r="C253" s="346"/>
      <c r="D253" s="346" t="s">
        <v>691</v>
      </c>
      <c r="E253" s="393">
        <f>'d3'!E253-d3П!E253</f>
        <v>0</v>
      </c>
      <c r="F253" s="393">
        <f>'d3'!F253-d3П!F253</f>
        <v>0</v>
      </c>
      <c r="G253" s="393">
        <f>'d3'!G253-d3П!G253</f>
        <v>0</v>
      </c>
      <c r="H253" s="393">
        <f>'d3'!H253-d3П!H253</f>
        <v>0</v>
      </c>
      <c r="I253" s="393">
        <f>'d3'!I253-d3П!I253</f>
        <v>0</v>
      </c>
      <c r="J253" s="393">
        <f>'d3'!J253-d3П!J253</f>
        <v>0</v>
      </c>
      <c r="K253" s="393">
        <f>'d3'!K253-d3П!K253</f>
        <v>0</v>
      </c>
      <c r="L253" s="393">
        <f>'d3'!L253-d3П!L253</f>
        <v>0</v>
      </c>
      <c r="M253" s="393">
        <f>'d3'!M253-d3П!M253</f>
        <v>0</v>
      </c>
      <c r="N253" s="393">
        <f>'d3'!N253-d3П!N253</f>
        <v>0</v>
      </c>
      <c r="O253" s="393">
        <f>'d3'!O253-d3П!O253</f>
        <v>0</v>
      </c>
      <c r="P253" s="393">
        <f>'d3'!P253-d3П!P253</f>
        <v>0</v>
      </c>
      <c r="Q253" s="47"/>
      <c r="R253" s="54"/>
    </row>
    <row r="254" spans="1:18" ht="93" thickTop="1" thickBot="1" x14ac:dyDescent="0.25">
      <c r="A254" s="119" t="s">
        <v>425</v>
      </c>
      <c r="B254" s="119" t="s">
        <v>240</v>
      </c>
      <c r="C254" s="119" t="s">
        <v>238</v>
      </c>
      <c r="D254" s="119" t="s">
        <v>239</v>
      </c>
      <c r="E254" s="393">
        <f>'d3'!E254-d3П!E254</f>
        <v>0</v>
      </c>
      <c r="F254" s="393">
        <f>'d3'!F254-d3П!F254</f>
        <v>0</v>
      </c>
      <c r="G254" s="393">
        <f>'d3'!G254-d3П!G254</f>
        <v>0</v>
      </c>
      <c r="H254" s="393">
        <f>'d3'!H254-d3П!H254</f>
        <v>0</v>
      </c>
      <c r="I254" s="393">
        <f>'d3'!I254-d3П!I254</f>
        <v>0</v>
      </c>
      <c r="J254" s="393">
        <f>'d3'!J254-d3П!J254</f>
        <v>0</v>
      </c>
      <c r="K254" s="393">
        <f>'d3'!K254-d3П!K254</f>
        <v>0</v>
      </c>
      <c r="L254" s="393">
        <f>'d3'!L254-d3П!L254</f>
        <v>0</v>
      </c>
      <c r="M254" s="393">
        <f>'d3'!M254-d3П!M254</f>
        <v>0</v>
      </c>
      <c r="N254" s="393">
        <f>'d3'!N254-d3П!N254</f>
        <v>0</v>
      </c>
      <c r="O254" s="393">
        <f>'d3'!O254-d3П!O254</f>
        <v>0</v>
      </c>
      <c r="P254" s="393">
        <f>'d3'!P254-d3П!P254</f>
        <v>0</v>
      </c>
      <c r="Q254" s="20"/>
      <c r="R254" s="54"/>
    </row>
    <row r="255" spans="1:18" ht="93" thickTop="1" thickBot="1" x14ac:dyDescent="0.25">
      <c r="A255" s="119" t="s">
        <v>633</v>
      </c>
      <c r="B255" s="119" t="s">
        <v>366</v>
      </c>
      <c r="C255" s="119" t="s">
        <v>631</v>
      </c>
      <c r="D255" s="119" t="s">
        <v>632</v>
      </c>
      <c r="E255" s="393">
        <f>'d3'!E255-d3П!E255</f>
        <v>0</v>
      </c>
      <c r="F255" s="393">
        <f>'d3'!F255-d3П!F255</f>
        <v>0</v>
      </c>
      <c r="G255" s="393">
        <f>'d3'!G255-d3П!G255</f>
        <v>0</v>
      </c>
      <c r="H255" s="393">
        <f>'d3'!H255-d3П!H255</f>
        <v>0</v>
      </c>
      <c r="I255" s="393">
        <f>'d3'!I255-d3П!I255</f>
        <v>0</v>
      </c>
      <c r="J255" s="393">
        <f>'d3'!J255-d3П!J255</f>
        <v>0</v>
      </c>
      <c r="K255" s="393">
        <f>'d3'!K255-d3П!K255</f>
        <v>0</v>
      </c>
      <c r="L255" s="393">
        <f>'d3'!L255-d3П!L255</f>
        <v>0</v>
      </c>
      <c r="M255" s="393">
        <f>'d3'!M255-d3П!M255</f>
        <v>0</v>
      </c>
      <c r="N255" s="393">
        <f>'d3'!N255-d3П!N255</f>
        <v>0</v>
      </c>
      <c r="O255" s="393">
        <f>'d3'!O255-d3П!O255</f>
        <v>0</v>
      </c>
      <c r="P255" s="393">
        <f>'d3'!P255-d3П!P255</f>
        <v>0</v>
      </c>
      <c r="Q255" s="20"/>
      <c r="R255" s="54"/>
    </row>
    <row r="256" spans="1:18" ht="48" hidden="1" customHeight="1" thickTop="1" thickBot="1" x14ac:dyDescent="0.25">
      <c r="A256" s="119" t="s">
        <v>1164</v>
      </c>
      <c r="B256" s="119" t="s">
        <v>43</v>
      </c>
      <c r="C256" s="119" t="s">
        <v>42</v>
      </c>
      <c r="D256" s="119" t="s">
        <v>252</v>
      </c>
      <c r="E256" s="393">
        <f>'d3'!E256-d3П!E256</f>
        <v>0</v>
      </c>
      <c r="F256" s="393">
        <f>'d3'!F256-d3П!F256</f>
        <v>0</v>
      </c>
      <c r="G256" s="393">
        <f>'d3'!G256-d3П!G256</f>
        <v>0</v>
      </c>
      <c r="H256" s="393">
        <f>'d3'!H256-d3П!H256</f>
        <v>0</v>
      </c>
      <c r="I256" s="393">
        <f>'d3'!I256-d3П!I256</f>
        <v>0</v>
      </c>
      <c r="J256" s="393">
        <f>'d3'!J256-d3П!J256</f>
        <v>0</v>
      </c>
      <c r="K256" s="393">
        <f>'d3'!K256-d3П!K256</f>
        <v>0</v>
      </c>
      <c r="L256" s="393">
        <f>'d3'!L256-d3П!L256</f>
        <v>0</v>
      </c>
      <c r="M256" s="393">
        <f>'d3'!M256-d3П!M256</f>
        <v>0</v>
      </c>
      <c r="N256" s="393">
        <f>'d3'!N256-d3П!N256</f>
        <v>0</v>
      </c>
      <c r="O256" s="393">
        <f>'d3'!O256-d3П!O256</f>
        <v>0</v>
      </c>
      <c r="P256" s="393">
        <f>'d3'!P256-d3П!P256</f>
        <v>0</v>
      </c>
      <c r="Q256" s="20"/>
      <c r="R256" s="54"/>
    </row>
    <row r="257" spans="1:18" ht="47.25" thickTop="1" thickBot="1" x14ac:dyDescent="0.25">
      <c r="A257" s="346" t="s">
        <v>796</v>
      </c>
      <c r="B257" s="346" t="s">
        <v>748</v>
      </c>
      <c r="C257" s="346"/>
      <c r="D257" s="476" t="s">
        <v>749</v>
      </c>
      <c r="E257" s="393">
        <f>'d3'!E257-d3П!E257</f>
        <v>0</v>
      </c>
      <c r="F257" s="393">
        <f>'d3'!F257-d3П!F257</f>
        <v>0</v>
      </c>
      <c r="G257" s="393">
        <f>'d3'!G257-d3П!G257</f>
        <v>0</v>
      </c>
      <c r="H257" s="393">
        <f>'d3'!H257-d3П!H257</f>
        <v>0</v>
      </c>
      <c r="I257" s="393">
        <f>'d3'!I257-d3П!I257</f>
        <v>0</v>
      </c>
      <c r="J257" s="393">
        <f>'d3'!J257-d3П!J257</f>
        <v>0</v>
      </c>
      <c r="K257" s="393">
        <f>'d3'!K257-d3П!K257</f>
        <v>0</v>
      </c>
      <c r="L257" s="393">
        <f>'d3'!L257-d3П!L257</f>
        <v>0</v>
      </c>
      <c r="M257" s="393">
        <f>'d3'!M257-d3П!M257</f>
        <v>0</v>
      </c>
      <c r="N257" s="393">
        <f>'d3'!N257-d3П!N257</f>
        <v>0</v>
      </c>
      <c r="O257" s="393">
        <f>'d3'!O257-d3П!O257</f>
        <v>0</v>
      </c>
      <c r="P257" s="393">
        <f>'d3'!P257-d3П!P257</f>
        <v>0</v>
      </c>
      <c r="Q257" s="20"/>
      <c r="R257" s="54"/>
    </row>
    <row r="258" spans="1:18" s="33" customFormat="1" ht="93" thickTop="1" thickBot="1" x14ac:dyDescent="0.25">
      <c r="A258" s="399" t="s">
        <v>797</v>
      </c>
      <c r="B258" s="399" t="s">
        <v>798</v>
      </c>
      <c r="C258" s="399"/>
      <c r="D258" s="399" t="s">
        <v>799</v>
      </c>
      <c r="E258" s="393">
        <f>'d3'!E258-d3П!E258</f>
        <v>0</v>
      </c>
      <c r="F258" s="393">
        <f>'d3'!F258-d3П!F258</f>
        <v>0</v>
      </c>
      <c r="G258" s="393">
        <f>'d3'!G258-d3П!G258</f>
        <v>0</v>
      </c>
      <c r="H258" s="393">
        <f>'d3'!H258-d3П!H258</f>
        <v>0</v>
      </c>
      <c r="I258" s="393">
        <f>'d3'!I258-d3П!I258</f>
        <v>0</v>
      </c>
      <c r="J258" s="393">
        <f>'d3'!J258-d3П!J258</f>
        <v>0</v>
      </c>
      <c r="K258" s="393">
        <f>'d3'!K258-d3П!K258</f>
        <v>0</v>
      </c>
      <c r="L258" s="393">
        <f>'d3'!L258-d3П!L258</f>
        <v>0</v>
      </c>
      <c r="M258" s="393">
        <f>'d3'!M258-d3П!M258</f>
        <v>0</v>
      </c>
      <c r="N258" s="393">
        <f>'d3'!N258-d3П!N258</f>
        <v>0</v>
      </c>
      <c r="O258" s="393">
        <f>'d3'!O258-d3П!O258</f>
        <v>0</v>
      </c>
      <c r="P258" s="393">
        <f>'d3'!P258-d3П!P258</f>
        <v>0</v>
      </c>
      <c r="Q258" s="36"/>
      <c r="R258" s="54"/>
    </row>
    <row r="259" spans="1:18" ht="47.25" thickTop="1" thickBot="1" x14ac:dyDescent="0.25">
      <c r="A259" s="119" t="s">
        <v>284</v>
      </c>
      <c r="B259" s="119" t="s">
        <v>285</v>
      </c>
      <c r="C259" s="119" t="s">
        <v>344</v>
      </c>
      <c r="D259" s="119" t="s">
        <v>286</v>
      </c>
      <c r="E259" s="393">
        <f>'d3'!E259-d3П!E259</f>
        <v>0</v>
      </c>
      <c r="F259" s="393">
        <f>'d3'!F259-d3П!F259</f>
        <v>0</v>
      </c>
      <c r="G259" s="393">
        <f>'d3'!G259-d3П!G259</f>
        <v>0</v>
      </c>
      <c r="H259" s="393">
        <f>'d3'!H259-d3П!H259</f>
        <v>0</v>
      </c>
      <c r="I259" s="393">
        <f>'d3'!I259-d3П!I259</f>
        <v>0</v>
      </c>
      <c r="J259" s="393">
        <f>'d3'!J259-d3П!J259</f>
        <v>0</v>
      </c>
      <c r="K259" s="393">
        <f>'d3'!K259-d3П!K259</f>
        <v>0</v>
      </c>
      <c r="L259" s="393">
        <f>'d3'!L259-d3П!L259</f>
        <v>0</v>
      </c>
      <c r="M259" s="393">
        <f>'d3'!M259-d3П!M259</f>
        <v>0</v>
      </c>
      <c r="N259" s="393">
        <f>'d3'!N259-d3П!N259</f>
        <v>0</v>
      </c>
      <c r="O259" s="393">
        <f>'d3'!O259-d3П!O259</f>
        <v>0</v>
      </c>
      <c r="P259" s="393">
        <f>'d3'!P259-d3П!P259</f>
        <v>0</v>
      </c>
      <c r="Q259" s="20"/>
      <c r="R259" s="54"/>
    </row>
    <row r="260" spans="1:18" ht="47.25" thickTop="1" thickBot="1" x14ac:dyDescent="0.25">
      <c r="A260" s="119" t="s">
        <v>305</v>
      </c>
      <c r="B260" s="119" t="s">
        <v>306</v>
      </c>
      <c r="C260" s="119" t="s">
        <v>287</v>
      </c>
      <c r="D260" s="119" t="s">
        <v>307</v>
      </c>
      <c r="E260" s="393">
        <f>'d3'!E260-d3П!E260</f>
        <v>0</v>
      </c>
      <c r="F260" s="393">
        <f>'d3'!F260-d3П!F260</f>
        <v>0</v>
      </c>
      <c r="G260" s="393">
        <f>'d3'!G260-d3П!G260</f>
        <v>0</v>
      </c>
      <c r="H260" s="393">
        <f>'d3'!H260-d3П!H260</f>
        <v>0</v>
      </c>
      <c r="I260" s="393">
        <f>'d3'!I260-d3П!I260</f>
        <v>0</v>
      </c>
      <c r="J260" s="393">
        <f>'d3'!J260-d3П!J260</f>
        <v>0</v>
      </c>
      <c r="K260" s="393">
        <f>'d3'!K260-d3П!K260</f>
        <v>0</v>
      </c>
      <c r="L260" s="393">
        <f>'d3'!L260-d3П!L260</f>
        <v>0</v>
      </c>
      <c r="M260" s="393">
        <f>'d3'!M260-d3П!M260</f>
        <v>0</v>
      </c>
      <c r="N260" s="393">
        <f>'d3'!N260-d3П!N260</f>
        <v>0</v>
      </c>
      <c r="O260" s="393">
        <f>'d3'!O260-d3П!O260</f>
        <v>0</v>
      </c>
      <c r="P260" s="393">
        <f>'d3'!P260-d3П!P260</f>
        <v>0</v>
      </c>
      <c r="Q260" s="20"/>
      <c r="R260" s="54"/>
    </row>
    <row r="261" spans="1:18" ht="93" thickTop="1" thickBot="1" x14ac:dyDescent="0.25">
      <c r="A261" s="119" t="s">
        <v>288</v>
      </c>
      <c r="B261" s="119" t="s">
        <v>289</v>
      </c>
      <c r="C261" s="119" t="s">
        <v>287</v>
      </c>
      <c r="D261" s="119" t="s">
        <v>470</v>
      </c>
      <c r="E261" s="393">
        <f>'d3'!E261-d3П!E261</f>
        <v>0</v>
      </c>
      <c r="F261" s="393">
        <f>'d3'!F261-d3П!F261</f>
        <v>0</v>
      </c>
      <c r="G261" s="393">
        <f>'d3'!G261-d3П!G261</f>
        <v>0</v>
      </c>
      <c r="H261" s="393">
        <f>'d3'!H261-d3П!H261</f>
        <v>0</v>
      </c>
      <c r="I261" s="393">
        <f>'d3'!I261-d3П!I261</f>
        <v>0</v>
      </c>
      <c r="J261" s="393">
        <f>'d3'!J261-d3П!J261</f>
        <v>0</v>
      </c>
      <c r="K261" s="393">
        <f>'d3'!K261-d3П!K261</f>
        <v>0</v>
      </c>
      <c r="L261" s="393">
        <f>'d3'!L261-d3П!L261</f>
        <v>0</v>
      </c>
      <c r="M261" s="393">
        <f>'d3'!M261-d3П!M261</f>
        <v>0</v>
      </c>
      <c r="N261" s="393">
        <f>'d3'!N261-d3П!N261</f>
        <v>0</v>
      </c>
      <c r="O261" s="393">
        <f>'d3'!O261-d3П!O261</f>
        <v>0</v>
      </c>
      <c r="P261" s="393">
        <f>'d3'!P261-d3П!P261</f>
        <v>0</v>
      </c>
      <c r="Q261" s="20"/>
      <c r="R261" s="54"/>
    </row>
    <row r="262" spans="1:18" ht="93" thickTop="1" thickBot="1" x14ac:dyDescent="0.25">
      <c r="A262" s="119" t="s">
        <v>938</v>
      </c>
      <c r="B262" s="119" t="s">
        <v>301</v>
      </c>
      <c r="C262" s="119" t="s">
        <v>287</v>
      </c>
      <c r="D262" s="119" t="s">
        <v>302</v>
      </c>
      <c r="E262" s="393">
        <f>'d3'!E262-d3П!E262</f>
        <v>0</v>
      </c>
      <c r="F262" s="393">
        <f>'d3'!F262-d3П!F262</f>
        <v>0</v>
      </c>
      <c r="G262" s="393">
        <f>'d3'!G262-d3П!G262</f>
        <v>0</v>
      </c>
      <c r="H262" s="393">
        <f>'d3'!H262-d3П!H262</f>
        <v>0</v>
      </c>
      <c r="I262" s="393">
        <f>'d3'!I262-d3П!I262</f>
        <v>0</v>
      </c>
      <c r="J262" s="393">
        <f>'d3'!J262-d3П!J262</f>
        <v>0</v>
      </c>
      <c r="K262" s="393">
        <f>'d3'!K262-d3П!K262</f>
        <v>0</v>
      </c>
      <c r="L262" s="393">
        <f>'d3'!L262-d3П!L262</f>
        <v>0</v>
      </c>
      <c r="M262" s="393">
        <f>'d3'!M262-d3П!M262</f>
        <v>0</v>
      </c>
      <c r="N262" s="393">
        <f>'d3'!N262-d3П!N262</f>
        <v>0</v>
      </c>
      <c r="O262" s="393">
        <f>'d3'!O262-d3П!O262</f>
        <v>0</v>
      </c>
      <c r="P262" s="393">
        <f>'d3'!P262-d3П!P262</f>
        <v>0</v>
      </c>
      <c r="Q262" s="20"/>
      <c r="R262" s="54"/>
    </row>
    <row r="263" spans="1:18" ht="47.25" thickTop="1" thickBot="1" x14ac:dyDescent="0.25">
      <c r="A263" s="119" t="s">
        <v>292</v>
      </c>
      <c r="B263" s="119" t="s">
        <v>293</v>
      </c>
      <c r="C263" s="119" t="s">
        <v>287</v>
      </c>
      <c r="D263" s="119" t="s">
        <v>294</v>
      </c>
      <c r="E263" s="393">
        <f>'d3'!E263-d3П!E263</f>
        <v>0</v>
      </c>
      <c r="F263" s="393">
        <f>'d3'!F263-d3П!F263</f>
        <v>0</v>
      </c>
      <c r="G263" s="393">
        <f>'d3'!G263-d3П!G263</f>
        <v>0</v>
      </c>
      <c r="H263" s="393">
        <f>'d3'!H263-d3П!H263</f>
        <v>0</v>
      </c>
      <c r="I263" s="393">
        <f>'d3'!I263-d3П!I263</f>
        <v>0</v>
      </c>
      <c r="J263" s="393">
        <f>'d3'!J263-d3П!J263</f>
        <v>0</v>
      </c>
      <c r="K263" s="393">
        <f>'d3'!K263-d3П!K263</f>
        <v>0</v>
      </c>
      <c r="L263" s="393">
        <f>'d3'!L263-d3П!L263</f>
        <v>0</v>
      </c>
      <c r="M263" s="393">
        <f>'d3'!M263-d3П!M263</f>
        <v>0</v>
      </c>
      <c r="N263" s="393">
        <f>'d3'!N263-d3П!N263</f>
        <v>0</v>
      </c>
      <c r="O263" s="393">
        <f>'d3'!O263-d3П!O263</f>
        <v>0</v>
      </c>
      <c r="P263" s="393">
        <f>'d3'!P263-d3П!P263</f>
        <v>0</v>
      </c>
      <c r="Q263" s="20"/>
      <c r="R263" s="50"/>
    </row>
    <row r="264" spans="1:18" ht="47.25" thickTop="1" thickBot="1" x14ac:dyDescent="0.25">
      <c r="A264" s="119" t="s">
        <v>1313</v>
      </c>
      <c r="B264" s="119" t="s">
        <v>1170</v>
      </c>
      <c r="C264" s="119" t="s">
        <v>1171</v>
      </c>
      <c r="D264" s="119" t="s">
        <v>1168</v>
      </c>
      <c r="E264" s="393">
        <f>'d3'!E264-d3П!E264</f>
        <v>0</v>
      </c>
      <c r="F264" s="393">
        <f>'d3'!F264-d3П!F264</f>
        <v>0</v>
      </c>
      <c r="G264" s="393">
        <f>'d3'!G264-d3П!G264</f>
        <v>0</v>
      </c>
      <c r="H264" s="393">
        <f>'d3'!H264-d3П!H264</f>
        <v>0</v>
      </c>
      <c r="I264" s="393">
        <f>'d3'!I264-d3П!I264</f>
        <v>0</v>
      </c>
      <c r="J264" s="393">
        <f>'d3'!J264-d3П!J264</f>
        <v>0</v>
      </c>
      <c r="K264" s="393">
        <f>'d3'!K264-d3П!K264</f>
        <v>0</v>
      </c>
      <c r="L264" s="393">
        <f>'d3'!L264-d3П!L264</f>
        <v>0</v>
      </c>
      <c r="M264" s="393">
        <f>'d3'!M264-d3П!M264</f>
        <v>0</v>
      </c>
      <c r="N264" s="393">
        <f>'d3'!N264-d3П!N264</f>
        <v>0</v>
      </c>
      <c r="O264" s="393">
        <f>'d3'!O264-d3П!O264</f>
        <v>0</v>
      </c>
      <c r="P264" s="393">
        <f>'d3'!P264-d3П!P264</f>
        <v>0</v>
      </c>
      <c r="Q264" s="20"/>
      <c r="R264" s="50"/>
    </row>
    <row r="265" spans="1:18" ht="47.25" thickTop="1" thickBot="1" x14ac:dyDescent="0.25">
      <c r="A265" s="346" t="s">
        <v>800</v>
      </c>
      <c r="B265" s="346" t="s">
        <v>754</v>
      </c>
      <c r="C265" s="346"/>
      <c r="D265" s="346" t="s">
        <v>801</v>
      </c>
      <c r="E265" s="393">
        <f>'d3'!E265-d3П!E265</f>
        <v>4900000</v>
      </c>
      <c r="F265" s="393">
        <f>'d3'!F265-d3П!F265</f>
        <v>4900000</v>
      </c>
      <c r="G265" s="393">
        <f>'d3'!G265-d3П!G265</f>
        <v>0</v>
      </c>
      <c r="H265" s="393">
        <f>'d3'!H265-d3П!H265</f>
        <v>0</v>
      </c>
      <c r="I265" s="393">
        <f>'d3'!I265-d3П!I265</f>
        <v>0</v>
      </c>
      <c r="J265" s="393">
        <f>'d3'!J265-d3П!J265</f>
        <v>0</v>
      </c>
      <c r="K265" s="393">
        <f>'d3'!K265-d3П!K265</f>
        <v>0</v>
      </c>
      <c r="L265" s="393">
        <f>'d3'!L265-d3П!L265</f>
        <v>0</v>
      </c>
      <c r="M265" s="393">
        <f>'d3'!M265-d3П!M265</f>
        <v>0</v>
      </c>
      <c r="N265" s="393">
        <f>'d3'!N265-d3П!N265</f>
        <v>0</v>
      </c>
      <c r="O265" s="393">
        <f>'d3'!O265-d3П!O265</f>
        <v>0</v>
      </c>
      <c r="P265" s="393">
        <f>'d3'!P265-d3П!P265</f>
        <v>4900000</v>
      </c>
      <c r="Q265" s="20"/>
      <c r="R265" s="50"/>
    </row>
    <row r="266" spans="1:18" ht="47.25" thickTop="1" thickBot="1" x14ac:dyDescent="0.25">
      <c r="A266" s="348" t="s">
        <v>1166</v>
      </c>
      <c r="B266" s="348" t="s">
        <v>810</v>
      </c>
      <c r="C266" s="348"/>
      <c r="D266" s="348" t="s">
        <v>811</v>
      </c>
      <c r="E266" s="393">
        <f>'d3'!E266-d3П!E266</f>
        <v>0</v>
      </c>
      <c r="F266" s="393">
        <f>'d3'!F266-d3П!F266</f>
        <v>0</v>
      </c>
      <c r="G266" s="393">
        <f>'d3'!G266-d3П!G266</f>
        <v>0</v>
      </c>
      <c r="H266" s="393">
        <f>'d3'!H266-d3П!H266</f>
        <v>0</v>
      </c>
      <c r="I266" s="393">
        <f>'d3'!I266-d3П!I266</f>
        <v>0</v>
      </c>
      <c r="J266" s="393">
        <f>'d3'!J266-d3П!J266</f>
        <v>0</v>
      </c>
      <c r="K266" s="393">
        <f>'d3'!K266-d3П!K266</f>
        <v>0</v>
      </c>
      <c r="L266" s="393">
        <f>'d3'!L266-d3П!L266</f>
        <v>0</v>
      </c>
      <c r="M266" s="393">
        <f>'d3'!M266-d3П!M266</f>
        <v>0</v>
      </c>
      <c r="N266" s="393">
        <f>'d3'!N266-d3П!N266</f>
        <v>0</v>
      </c>
      <c r="O266" s="393">
        <f>'d3'!O266-d3П!O266</f>
        <v>0</v>
      </c>
      <c r="P266" s="393">
        <f>'d3'!P266-d3П!P266</f>
        <v>0</v>
      </c>
      <c r="Q266" s="20"/>
      <c r="R266" s="50"/>
    </row>
    <row r="267" spans="1:18" ht="54" thickTop="1" thickBot="1" x14ac:dyDescent="0.25">
      <c r="A267" s="119" t="s">
        <v>1167</v>
      </c>
      <c r="B267" s="119" t="s">
        <v>309</v>
      </c>
      <c r="C267" s="119" t="s">
        <v>308</v>
      </c>
      <c r="D267" s="119" t="s">
        <v>1315</v>
      </c>
      <c r="E267" s="393">
        <f>'d3'!E267-d3П!E267</f>
        <v>0</v>
      </c>
      <c r="F267" s="393">
        <f>'d3'!F267-d3П!F267</f>
        <v>0</v>
      </c>
      <c r="G267" s="393">
        <f>'d3'!G267-d3П!G267</f>
        <v>0</v>
      </c>
      <c r="H267" s="393">
        <f>'d3'!H267-d3П!H267</f>
        <v>0</v>
      </c>
      <c r="I267" s="393">
        <f>'d3'!I267-d3П!I267</f>
        <v>0</v>
      </c>
      <c r="J267" s="393">
        <f>'d3'!J267-d3П!J267</f>
        <v>0</v>
      </c>
      <c r="K267" s="393">
        <f>'d3'!K267-d3П!K267</f>
        <v>0</v>
      </c>
      <c r="L267" s="393">
        <f>'d3'!L267-d3П!L267</f>
        <v>0</v>
      </c>
      <c r="M267" s="393">
        <f>'d3'!M267-d3П!M267</f>
        <v>0</v>
      </c>
      <c r="N267" s="393">
        <f>'d3'!N267-d3П!N267</f>
        <v>0</v>
      </c>
      <c r="O267" s="393">
        <f>'d3'!O267-d3П!O267</f>
        <v>0</v>
      </c>
      <c r="P267" s="393">
        <f>'d3'!P267-d3П!P267</f>
        <v>0</v>
      </c>
      <c r="Q267" s="20"/>
      <c r="R267" s="50"/>
    </row>
    <row r="268" spans="1:18" ht="47.25" thickTop="1" thickBot="1" x14ac:dyDescent="0.25">
      <c r="A268" s="348" t="s">
        <v>802</v>
      </c>
      <c r="B268" s="348" t="s">
        <v>697</v>
      </c>
      <c r="C268" s="348"/>
      <c r="D268" s="348" t="s">
        <v>695</v>
      </c>
      <c r="E268" s="393">
        <f>'d3'!E268-d3П!E268</f>
        <v>4900000</v>
      </c>
      <c r="F268" s="393">
        <f>'d3'!F268-d3П!F268</f>
        <v>4900000</v>
      </c>
      <c r="G268" s="393">
        <f>'d3'!G268-d3П!G268</f>
        <v>0</v>
      </c>
      <c r="H268" s="393">
        <f>'d3'!H268-d3П!H268</f>
        <v>0</v>
      </c>
      <c r="I268" s="393">
        <f>'d3'!I268-d3П!I268</f>
        <v>0</v>
      </c>
      <c r="J268" s="393">
        <f>'d3'!J268-d3П!J268</f>
        <v>0</v>
      </c>
      <c r="K268" s="393">
        <f>'d3'!K268-d3П!K268</f>
        <v>0</v>
      </c>
      <c r="L268" s="393">
        <f>'d3'!L268-d3П!L268</f>
        <v>0</v>
      </c>
      <c r="M268" s="393">
        <f>'d3'!M268-d3П!M268</f>
        <v>0</v>
      </c>
      <c r="N268" s="393">
        <f>'d3'!N268-d3П!N268</f>
        <v>0</v>
      </c>
      <c r="O268" s="393">
        <f>'d3'!O268-d3П!O268</f>
        <v>0</v>
      </c>
      <c r="P268" s="393">
        <f>'d3'!P268-d3П!P268</f>
        <v>4900000</v>
      </c>
      <c r="Q268" s="20"/>
      <c r="R268" s="50"/>
    </row>
    <row r="269" spans="1:18" ht="47.25" thickTop="1" thickBot="1" x14ac:dyDescent="0.25">
      <c r="A269" s="119" t="s">
        <v>300</v>
      </c>
      <c r="B269" s="119" t="s">
        <v>216</v>
      </c>
      <c r="C269" s="119" t="s">
        <v>217</v>
      </c>
      <c r="D269" s="119" t="s">
        <v>41</v>
      </c>
      <c r="E269" s="393">
        <f>'d3'!E269-d3П!E269</f>
        <v>4900000</v>
      </c>
      <c r="F269" s="393">
        <f>'d3'!F269-d3П!F269</f>
        <v>4900000</v>
      </c>
      <c r="G269" s="393">
        <f>'d3'!G269-d3П!G269</f>
        <v>0</v>
      </c>
      <c r="H269" s="393">
        <f>'d3'!H269-d3П!H269</f>
        <v>0</v>
      </c>
      <c r="I269" s="393">
        <f>'d3'!I269-d3П!I269</f>
        <v>0</v>
      </c>
      <c r="J269" s="393">
        <f>'d3'!J269-d3П!J269</f>
        <v>0</v>
      </c>
      <c r="K269" s="393">
        <f>'d3'!K269-d3П!K269</f>
        <v>0</v>
      </c>
      <c r="L269" s="393">
        <f>'d3'!L269-d3П!L269</f>
        <v>0</v>
      </c>
      <c r="M269" s="393">
        <f>'d3'!M269-d3П!M269</f>
        <v>0</v>
      </c>
      <c r="N269" s="393">
        <f>'d3'!N269-d3П!N269</f>
        <v>0</v>
      </c>
      <c r="O269" s="393">
        <f>'d3'!O269-d3П!O269</f>
        <v>0</v>
      </c>
      <c r="P269" s="393">
        <f>'d3'!P269-d3П!P269</f>
        <v>4900000</v>
      </c>
      <c r="Q269" s="20"/>
      <c r="R269" s="54"/>
    </row>
    <row r="270" spans="1:18" ht="47.25" thickTop="1" thickBot="1" x14ac:dyDescent="0.25">
      <c r="A270" s="119" t="s">
        <v>927</v>
      </c>
      <c r="B270" s="119" t="s">
        <v>201</v>
      </c>
      <c r="C270" s="119" t="s">
        <v>170</v>
      </c>
      <c r="D270" s="119" t="s">
        <v>34</v>
      </c>
      <c r="E270" s="393">
        <f>'d3'!E270-d3П!E270</f>
        <v>0</v>
      </c>
      <c r="F270" s="393">
        <f>'d3'!F270-d3П!F270</f>
        <v>0</v>
      </c>
      <c r="G270" s="393">
        <f>'d3'!G270-d3П!G270</f>
        <v>0</v>
      </c>
      <c r="H270" s="393">
        <f>'d3'!H270-d3П!H270</f>
        <v>0</v>
      </c>
      <c r="I270" s="393">
        <f>'d3'!I270-d3П!I270</f>
        <v>0</v>
      </c>
      <c r="J270" s="393">
        <f>'d3'!J270-d3П!J270</f>
        <v>0</v>
      </c>
      <c r="K270" s="393">
        <f>'d3'!K270-d3П!K270</f>
        <v>0</v>
      </c>
      <c r="L270" s="393">
        <f>'d3'!L270-d3П!L270</f>
        <v>0</v>
      </c>
      <c r="M270" s="393">
        <f>'d3'!M270-d3П!M270</f>
        <v>0</v>
      </c>
      <c r="N270" s="393">
        <f>'d3'!N270-d3П!N270</f>
        <v>0</v>
      </c>
      <c r="O270" s="393">
        <f>'d3'!O270-d3П!O270</f>
        <v>0</v>
      </c>
      <c r="P270" s="393">
        <f>'d3'!P270-d3П!P270</f>
        <v>0</v>
      </c>
      <c r="Q270" s="20"/>
      <c r="R270" s="54"/>
    </row>
    <row r="271" spans="1:18" ht="47.25" thickTop="1" thickBot="1" x14ac:dyDescent="0.25">
      <c r="A271" s="399" t="s">
        <v>803</v>
      </c>
      <c r="B271" s="399" t="s">
        <v>700</v>
      </c>
      <c r="C271" s="399"/>
      <c r="D271" s="399" t="s">
        <v>804</v>
      </c>
      <c r="E271" s="393">
        <f>'d3'!E271-d3П!E271</f>
        <v>0</v>
      </c>
      <c r="F271" s="393">
        <f>'d3'!F271-d3П!F271</f>
        <v>0</v>
      </c>
      <c r="G271" s="393">
        <f>'d3'!G271-d3П!G271</f>
        <v>0</v>
      </c>
      <c r="H271" s="393">
        <f>'d3'!H271-d3П!H271</f>
        <v>0</v>
      </c>
      <c r="I271" s="393">
        <f>'d3'!I271-d3П!I271</f>
        <v>0</v>
      </c>
      <c r="J271" s="393">
        <f>'d3'!J271-d3П!J271</f>
        <v>0</v>
      </c>
      <c r="K271" s="393">
        <f>'d3'!K271-d3П!K271</f>
        <v>0</v>
      </c>
      <c r="L271" s="393">
        <f>'d3'!L271-d3П!L271</f>
        <v>0</v>
      </c>
      <c r="M271" s="393">
        <f>'d3'!M271-d3П!M271</f>
        <v>0</v>
      </c>
      <c r="N271" s="393">
        <f>'d3'!N271-d3П!N271</f>
        <v>0</v>
      </c>
      <c r="O271" s="393">
        <f>'d3'!O271-d3П!O271</f>
        <v>0</v>
      </c>
      <c r="P271" s="393">
        <f>'d3'!P271-d3П!P271</f>
        <v>0</v>
      </c>
      <c r="Q271" s="20"/>
      <c r="R271" s="50"/>
    </row>
    <row r="272" spans="1:18" ht="214.5" customHeight="1" thickTop="1" thickBot="1" x14ac:dyDescent="0.7">
      <c r="A272" s="702" t="s">
        <v>428</v>
      </c>
      <c r="B272" s="702" t="s">
        <v>342</v>
      </c>
      <c r="C272" s="702" t="s">
        <v>170</v>
      </c>
      <c r="D272" s="606" t="s">
        <v>444</v>
      </c>
      <c r="E272" s="682">
        <f>'d3'!E272-d3П!E272</f>
        <v>0</v>
      </c>
      <c r="F272" s="682">
        <f>'d3'!F272-d3П!F272</f>
        <v>0</v>
      </c>
      <c r="G272" s="682">
        <f>'d3'!G272-d3П!G272</f>
        <v>0</v>
      </c>
      <c r="H272" s="682">
        <f>'d3'!H272-d3П!H272</f>
        <v>0</v>
      </c>
      <c r="I272" s="682">
        <f>'d3'!I272-d3П!I272</f>
        <v>0</v>
      </c>
      <c r="J272" s="682">
        <f>'d3'!J272-d3П!J272</f>
        <v>0</v>
      </c>
      <c r="K272" s="682">
        <f>'d3'!K272-d3П!K272</f>
        <v>0</v>
      </c>
      <c r="L272" s="682">
        <f>'d3'!L272-d3П!L272</f>
        <v>0</v>
      </c>
      <c r="M272" s="682">
        <f>'d3'!M272-d3П!M272</f>
        <v>0</v>
      </c>
      <c r="N272" s="682">
        <f>'d3'!N272-d3П!N272</f>
        <v>0</v>
      </c>
      <c r="O272" s="682">
        <f>'d3'!O272-d3П!O272</f>
        <v>0</v>
      </c>
      <c r="P272" s="682">
        <f>'d3'!P272-d3П!P272</f>
        <v>0</v>
      </c>
      <c r="Q272" s="20"/>
      <c r="R272" s="50"/>
    </row>
    <row r="273" spans="1:18" ht="109.5" customHeight="1" thickTop="1" thickBot="1" x14ac:dyDescent="0.25">
      <c r="A273" s="702"/>
      <c r="B273" s="702"/>
      <c r="C273" s="702"/>
      <c r="D273" s="607" t="s">
        <v>445</v>
      </c>
      <c r="E273" s="736"/>
      <c r="F273" s="736">
        <f>'d3'!F273-d3П!F273</f>
        <v>0</v>
      </c>
      <c r="G273" s="736">
        <f>'d3'!G273-d3П!G273</f>
        <v>0</v>
      </c>
      <c r="H273" s="736">
        <f>'d3'!H273-d3П!H273</f>
        <v>0</v>
      </c>
      <c r="I273" s="736">
        <f>'d3'!I273-d3П!I273</f>
        <v>0</v>
      </c>
      <c r="J273" s="736">
        <f>'d3'!J273-d3П!J273</f>
        <v>0</v>
      </c>
      <c r="K273" s="736">
        <f>'d3'!K273-d3П!K273</f>
        <v>0</v>
      </c>
      <c r="L273" s="736">
        <f>'d3'!L273-d3П!L273</f>
        <v>0</v>
      </c>
      <c r="M273" s="736">
        <f>'d3'!M273-d3П!M273</f>
        <v>0</v>
      </c>
      <c r="N273" s="736">
        <f>'d3'!N273-d3П!N273</f>
        <v>0</v>
      </c>
      <c r="O273" s="736">
        <f>'d3'!O273-d3П!O273</f>
        <v>0</v>
      </c>
      <c r="P273" s="736">
        <f>'d3'!P273-d3П!P273</f>
        <v>0</v>
      </c>
      <c r="Q273" s="20"/>
      <c r="R273" s="50"/>
    </row>
    <row r="274" spans="1:18" ht="47.25" hidden="1" thickTop="1" thickBot="1" x14ac:dyDescent="0.25">
      <c r="A274" s="141" t="s">
        <v>1256</v>
      </c>
      <c r="B274" s="141" t="s">
        <v>702</v>
      </c>
      <c r="C274" s="141"/>
      <c r="D274" s="141" t="s">
        <v>703</v>
      </c>
      <c r="E274" s="143">
        <f t="shared" ref="E274:P274" si="49">E275</f>
        <v>0</v>
      </c>
      <c r="F274" s="143">
        <f t="shared" si="49"/>
        <v>0</v>
      </c>
      <c r="G274" s="143">
        <f t="shared" si="49"/>
        <v>0</v>
      </c>
      <c r="H274" s="143">
        <f t="shared" si="49"/>
        <v>0</v>
      </c>
      <c r="I274" s="143">
        <f t="shared" si="49"/>
        <v>0</v>
      </c>
      <c r="J274" s="143">
        <f t="shared" si="49"/>
        <v>0</v>
      </c>
      <c r="K274" s="143">
        <f t="shared" si="49"/>
        <v>0</v>
      </c>
      <c r="L274" s="143">
        <f t="shared" si="49"/>
        <v>0</v>
      </c>
      <c r="M274" s="143">
        <f t="shared" si="49"/>
        <v>0</v>
      </c>
      <c r="N274" s="143">
        <f t="shared" si="49"/>
        <v>0</v>
      </c>
      <c r="O274" s="143">
        <f t="shared" si="49"/>
        <v>0</v>
      </c>
      <c r="P274" s="143">
        <f t="shared" si="49"/>
        <v>0</v>
      </c>
      <c r="Q274" s="20"/>
      <c r="R274" s="50"/>
    </row>
    <row r="275" spans="1:18" ht="47.25" hidden="1" thickTop="1" thickBot="1" x14ac:dyDescent="0.25">
      <c r="A275" s="152" t="s">
        <v>1257</v>
      </c>
      <c r="B275" s="152" t="s">
        <v>1210</v>
      </c>
      <c r="C275" s="152"/>
      <c r="D275" s="152" t="s">
        <v>1208</v>
      </c>
      <c r="E275" s="153">
        <f t="shared" ref="E275:P275" si="50">SUM(E276:E276)</f>
        <v>0</v>
      </c>
      <c r="F275" s="153">
        <f t="shared" si="50"/>
        <v>0</v>
      </c>
      <c r="G275" s="153">
        <f t="shared" si="50"/>
        <v>0</v>
      </c>
      <c r="H275" s="153">
        <f t="shared" si="50"/>
        <v>0</v>
      </c>
      <c r="I275" s="153">
        <f t="shared" si="50"/>
        <v>0</v>
      </c>
      <c r="J275" s="153">
        <f t="shared" si="50"/>
        <v>0</v>
      </c>
      <c r="K275" s="153">
        <f t="shared" si="50"/>
        <v>0</v>
      </c>
      <c r="L275" s="153">
        <f t="shared" si="50"/>
        <v>0</v>
      </c>
      <c r="M275" s="153">
        <f t="shared" si="50"/>
        <v>0</v>
      </c>
      <c r="N275" s="153">
        <f t="shared" si="50"/>
        <v>0</v>
      </c>
      <c r="O275" s="153">
        <f t="shared" si="50"/>
        <v>0</v>
      </c>
      <c r="P275" s="153">
        <f t="shared" si="50"/>
        <v>0</v>
      </c>
      <c r="Q275" s="20"/>
      <c r="R275" s="50"/>
    </row>
    <row r="276" spans="1:18" ht="48" hidden="1" thickTop="1" thickBot="1" x14ac:dyDescent="0.25">
      <c r="A276" s="144" t="s">
        <v>1258</v>
      </c>
      <c r="B276" s="144" t="s">
        <v>1238</v>
      </c>
      <c r="C276" s="144" t="s">
        <v>1212</v>
      </c>
      <c r="D276" s="144" t="s">
        <v>1239</v>
      </c>
      <c r="E276" s="143">
        <f>F276</f>
        <v>0</v>
      </c>
      <c r="F276" s="150"/>
      <c r="G276" s="150"/>
      <c r="H276" s="150"/>
      <c r="I276" s="150"/>
      <c r="J276" s="143">
        <f>L276+O276</f>
        <v>0</v>
      </c>
      <c r="K276" s="150"/>
      <c r="L276" s="150"/>
      <c r="M276" s="150"/>
      <c r="N276" s="150"/>
      <c r="O276" s="148">
        <f>K276</f>
        <v>0</v>
      </c>
      <c r="P276" s="143">
        <f>E276+J276</f>
        <v>0</v>
      </c>
      <c r="Q276" s="20"/>
      <c r="R276" s="50"/>
    </row>
    <row r="277" spans="1:18" ht="91.5" thickTop="1" thickBot="1" x14ac:dyDescent="0.25">
      <c r="A277" s="403" t="s">
        <v>545</v>
      </c>
      <c r="B277" s="403"/>
      <c r="C277" s="403"/>
      <c r="D277" s="404" t="s">
        <v>564</v>
      </c>
      <c r="E277" s="406">
        <f>E278</f>
        <v>1100000</v>
      </c>
      <c r="F277" s="405">
        <f t="shared" ref="F277:G277" si="51">F278</f>
        <v>1100000</v>
      </c>
      <c r="G277" s="405">
        <f t="shared" si="51"/>
        <v>44606</v>
      </c>
      <c r="H277" s="405">
        <f>H278</f>
        <v>0</v>
      </c>
      <c r="I277" s="405">
        <f t="shared" ref="I277" si="52">I278</f>
        <v>0</v>
      </c>
      <c r="J277" s="406">
        <f>J278</f>
        <v>-6000000</v>
      </c>
      <c r="K277" s="405">
        <f>K278</f>
        <v>-6000000</v>
      </c>
      <c r="L277" s="405">
        <f>L278</f>
        <v>0</v>
      </c>
      <c r="M277" s="405">
        <f t="shared" ref="M277" si="53">M278</f>
        <v>0</v>
      </c>
      <c r="N277" s="405">
        <f>N278</f>
        <v>0</v>
      </c>
      <c r="O277" s="406">
        <f>O278</f>
        <v>-6000000</v>
      </c>
      <c r="P277" s="405">
        <f>P278</f>
        <v>-4900000</v>
      </c>
      <c r="Q277" s="20"/>
      <c r="R277" s="50"/>
    </row>
    <row r="278" spans="1:18" ht="91.5" thickTop="1" thickBot="1" x14ac:dyDescent="0.25">
      <c r="A278" s="407" t="s">
        <v>546</v>
      </c>
      <c r="B278" s="407"/>
      <c r="C278" s="407"/>
      <c r="D278" s="408" t="s">
        <v>565</v>
      </c>
      <c r="E278" s="409">
        <f>E279+E283+E291+E304+E309</f>
        <v>1100000</v>
      </c>
      <c r="F278" s="409">
        <f>F279+F283+F291+F304+F309</f>
        <v>1100000</v>
      </c>
      <c r="G278" s="409">
        <f>G279+G283+G291+G304+G309</f>
        <v>44606</v>
      </c>
      <c r="H278" s="409">
        <f>H279+H283+H291+H304+H309</f>
        <v>0</v>
      </c>
      <c r="I278" s="409">
        <f>I279+I283+I291+I304+I309</f>
        <v>0</v>
      </c>
      <c r="J278" s="409">
        <f t="shared" ref="J278" si="54">L278+O278</f>
        <v>-6000000</v>
      </c>
      <c r="K278" s="409">
        <f>K279+K283+K291+K304+K309</f>
        <v>-6000000</v>
      </c>
      <c r="L278" s="409">
        <f>L279+L283+L291+L304+L309</f>
        <v>0</v>
      </c>
      <c r="M278" s="409">
        <f>M279+M283+M291+M304+M309</f>
        <v>0</v>
      </c>
      <c r="N278" s="409">
        <f>N279+N283+N291+N304+N309</f>
        <v>0</v>
      </c>
      <c r="O278" s="409">
        <f>O279+O283+O291+O304+O309</f>
        <v>-6000000</v>
      </c>
      <c r="P278" s="409">
        <f>E278+J278</f>
        <v>-4900000</v>
      </c>
      <c r="Q278" s="353" t="b">
        <f>P278=P280+P282+P285+P286+P288+P289+P296+P298+P299+P306+P307+P293+P290+P287+P301+P311</f>
        <v>1</v>
      </c>
      <c r="R278" s="45"/>
    </row>
    <row r="279" spans="1:18" ht="47.25" thickTop="1" thickBot="1" x14ac:dyDescent="0.25">
      <c r="A279" s="346" t="s">
        <v>805</v>
      </c>
      <c r="B279" s="346" t="s">
        <v>690</v>
      </c>
      <c r="C279" s="346"/>
      <c r="D279" s="346" t="s">
        <v>691</v>
      </c>
      <c r="E279" s="393">
        <f>'d3'!E279-d3П!E279</f>
        <v>0</v>
      </c>
      <c r="F279" s="393">
        <f>'d3'!F279-d3П!F279</f>
        <v>0</v>
      </c>
      <c r="G279" s="393">
        <f>'d3'!G279-d3П!G279</f>
        <v>0</v>
      </c>
      <c r="H279" s="393">
        <f>'d3'!H279-d3П!H279</f>
        <v>0</v>
      </c>
      <c r="I279" s="393">
        <f>'d3'!I279-d3П!I279</f>
        <v>0</v>
      </c>
      <c r="J279" s="393">
        <f>'d3'!J279-d3П!J279</f>
        <v>0</v>
      </c>
      <c r="K279" s="393">
        <f>'d3'!K279-d3П!K279</f>
        <v>0</v>
      </c>
      <c r="L279" s="393">
        <f>'d3'!L279-d3П!L279</f>
        <v>0</v>
      </c>
      <c r="M279" s="393">
        <f>'d3'!M279-d3П!M279</f>
        <v>0</v>
      </c>
      <c r="N279" s="393">
        <f>'d3'!N279-d3П!N279</f>
        <v>0</v>
      </c>
      <c r="O279" s="393">
        <f>'d3'!O279-d3П!O279</f>
        <v>0</v>
      </c>
      <c r="P279" s="393">
        <f>'d3'!P279-d3П!P279</f>
        <v>0</v>
      </c>
      <c r="Q279" s="47"/>
      <c r="R279" s="45"/>
    </row>
    <row r="280" spans="1:18" ht="93" thickTop="1" thickBot="1" x14ac:dyDescent="0.25">
      <c r="A280" s="119" t="s">
        <v>547</v>
      </c>
      <c r="B280" s="119" t="s">
        <v>240</v>
      </c>
      <c r="C280" s="119" t="s">
        <v>238</v>
      </c>
      <c r="D280" s="119" t="s">
        <v>239</v>
      </c>
      <c r="E280" s="393">
        <f>'d3'!E280-d3П!E280</f>
        <v>0</v>
      </c>
      <c r="F280" s="393">
        <f>'d3'!F280-d3П!F280</f>
        <v>0</v>
      </c>
      <c r="G280" s="393">
        <f>'d3'!G280-d3П!G280</f>
        <v>0</v>
      </c>
      <c r="H280" s="393">
        <f>'d3'!H280-d3П!H280</f>
        <v>0</v>
      </c>
      <c r="I280" s="393">
        <f>'d3'!I280-d3П!I280</f>
        <v>0</v>
      </c>
      <c r="J280" s="393">
        <f>'d3'!J280-d3П!J280</f>
        <v>0</v>
      </c>
      <c r="K280" s="393">
        <f>'d3'!K280-d3П!K280</f>
        <v>0</v>
      </c>
      <c r="L280" s="393">
        <f>'d3'!L280-d3П!L280</f>
        <v>0</v>
      </c>
      <c r="M280" s="393">
        <f>'d3'!M280-d3П!M280</f>
        <v>0</v>
      </c>
      <c r="N280" s="393">
        <f>'d3'!N280-d3П!N280</f>
        <v>0</v>
      </c>
      <c r="O280" s="393">
        <f>'d3'!O280-d3П!O280</f>
        <v>0</v>
      </c>
      <c r="P280" s="393">
        <f>'d3'!P280-d3П!P280</f>
        <v>0</v>
      </c>
      <c r="Q280" s="20"/>
      <c r="R280" s="45"/>
    </row>
    <row r="281" spans="1:18" ht="93" hidden="1" thickTop="1" thickBot="1" x14ac:dyDescent="0.25">
      <c r="A281" s="144" t="s">
        <v>635</v>
      </c>
      <c r="B281" s="144" t="s">
        <v>366</v>
      </c>
      <c r="C281" s="144" t="s">
        <v>631</v>
      </c>
      <c r="D281" s="144" t="s">
        <v>632</v>
      </c>
      <c r="E281" s="393">
        <f>'d3'!E281-d3П!E281</f>
        <v>0</v>
      </c>
      <c r="F281" s="393">
        <f>'d3'!F281-d3П!F281</f>
        <v>0</v>
      </c>
      <c r="G281" s="393">
        <f>'d3'!G281-d3П!G281</f>
        <v>0</v>
      </c>
      <c r="H281" s="393">
        <f>'d3'!H281-d3П!H281</f>
        <v>0</v>
      </c>
      <c r="I281" s="393">
        <f>'d3'!I281-d3П!I281</f>
        <v>0</v>
      </c>
      <c r="J281" s="393">
        <f>'d3'!J281-d3П!J281</f>
        <v>0</v>
      </c>
      <c r="K281" s="393">
        <f>'d3'!K281-d3П!K281</f>
        <v>0</v>
      </c>
      <c r="L281" s="393">
        <f>'d3'!L281-d3П!L281</f>
        <v>0</v>
      </c>
      <c r="M281" s="393">
        <f>'d3'!M281-d3П!M281</f>
        <v>0</v>
      </c>
      <c r="N281" s="393">
        <f>'d3'!N281-d3П!N281</f>
        <v>0</v>
      </c>
      <c r="O281" s="393">
        <f>'d3'!O281-d3П!O281</f>
        <v>0</v>
      </c>
      <c r="P281" s="393">
        <f>'d3'!P281-d3П!P281</f>
        <v>0</v>
      </c>
      <c r="Q281" s="20"/>
      <c r="R281" s="45"/>
    </row>
    <row r="282" spans="1:18" ht="47.25" thickTop="1" thickBot="1" x14ac:dyDescent="0.25">
      <c r="A282" s="119" t="s">
        <v>548</v>
      </c>
      <c r="B282" s="119" t="s">
        <v>43</v>
      </c>
      <c r="C282" s="119" t="s">
        <v>42</v>
      </c>
      <c r="D282" s="119" t="s">
        <v>252</v>
      </c>
      <c r="E282" s="393">
        <f>'d3'!E282-d3П!E282</f>
        <v>0</v>
      </c>
      <c r="F282" s="393">
        <f>'d3'!F282-d3П!F282</f>
        <v>0</v>
      </c>
      <c r="G282" s="393">
        <f>'d3'!G282-d3П!G282</f>
        <v>0</v>
      </c>
      <c r="H282" s="393">
        <f>'d3'!H282-d3П!H282</f>
        <v>0</v>
      </c>
      <c r="I282" s="393">
        <f>'d3'!I282-d3П!I282</f>
        <v>0</v>
      </c>
      <c r="J282" s="393">
        <f>'d3'!J282-d3П!J282</f>
        <v>0</v>
      </c>
      <c r="K282" s="393">
        <f>'d3'!K282-d3П!K282</f>
        <v>0</v>
      </c>
      <c r="L282" s="393">
        <f>'d3'!L282-d3П!L282</f>
        <v>0</v>
      </c>
      <c r="M282" s="393">
        <f>'d3'!M282-d3П!M282</f>
        <v>0</v>
      </c>
      <c r="N282" s="393">
        <f>'d3'!N282-d3П!N282</f>
        <v>0</v>
      </c>
      <c r="O282" s="393">
        <f>'d3'!O282-d3П!O282</f>
        <v>0</v>
      </c>
      <c r="P282" s="393">
        <f>'d3'!P282-d3П!P282</f>
        <v>0</v>
      </c>
      <c r="Q282" s="20"/>
      <c r="R282" s="50"/>
    </row>
    <row r="283" spans="1:18" ht="47.25" thickTop="1" thickBot="1" x14ac:dyDescent="0.25">
      <c r="A283" s="346" t="s">
        <v>806</v>
      </c>
      <c r="B283" s="346" t="s">
        <v>748</v>
      </c>
      <c r="C283" s="346"/>
      <c r="D283" s="476" t="s">
        <v>749</v>
      </c>
      <c r="E283" s="393">
        <f>'d3'!E283-d3П!E283</f>
        <v>1100000</v>
      </c>
      <c r="F283" s="393">
        <f>'d3'!F283-d3П!F283</f>
        <v>1100000</v>
      </c>
      <c r="G283" s="393">
        <f>'d3'!G283-d3П!G283</f>
        <v>0</v>
      </c>
      <c r="H283" s="393">
        <f>'d3'!H283-d3П!H283</f>
        <v>0</v>
      </c>
      <c r="I283" s="393">
        <f>'d3'!I283-d3П!I283</f>
        <v>0</v>
      </c>
      <c r="J283" s="393">
        <f>'d3'!J283-d3П!J283</f>
        <v>0</v>
      </c>
      <c r="K283" s="393">
        <f>'d3'!K283-d3П!K283</f>
        <v>0</v>
      </c>
      <c r="L283" s="393">
        <f>'d3'!L283-d3П!L283</f>
        <v>0</v>
      </c>
      <c r="M283" s="393">
        <f>'d3'!M283-d3П!M283</f>
        <v>0</v>
      </c>
      <c r="N283" s="393">
        <f>'d3'!N283-d3П!N283</f>
        <v>0</v>
      </c>
      <c r="O283" s="393">
        <f>'d3'!O283-d3П!O283</f>
        <v>0</v>
      </c>
      <c r="P283" s="393">
        <f>'d3'!P283-d3П!P283</f>
        <v>1100000</v>
      </c>
      <c r="Q283" s="20"/>
      <c r="R283" s="50"/>
    </row>
    <row r="284" spans="1:18" ht="93" thickTop="1" thickBot="1" x14ac:dyDescent="0.25">
      <c r="A284" s="399" t="s">
        <v>807</v>
      </c>
      <c r="B284" s="399" t="s">
        <v>798</v>
      </c>
      <c r="C284" s="399"/>
      <c r="D284" s="399" t="s">
        <v>799</v>
      </c>
      <c r="E284" s="393">
        <f>'d3'!E284-d3П!E284</f>
        <v>11000000</v>
      </c>
      <c r="F284" s="393">
        <f>'d3'!F284-d3П!F284</f>
        <v>11000000</v>
      </c>
      <c r="G284" s="393">
        <f>'d3'!G284-d3П!G284</f>
        <v>0</v>
      </c>
      <c r="H284" s="393">
        <f>'d3'!H284-d3П!H284</f>
        <v>0</v>
      </c>
      <c r="I284" s="393">
        <f>'d3'!I284-d3П!I284</f>
        <v>0</v>
      </c>
      <c r="J284" s="393">
        <f>'d3'!J284-d3П!J284</f>
        <v>0</v>
      </c>
      <c r="K284" s="393">
        <f>'d3'!K284-d3П!K284</f>
        <v>0</v>
      </c>
      <c r="L284" s="393">
        <f>'d3'!L284-d3П!L284</f>
        <v>0</v>
      </c>
      <c r="M284" s="393">
        <f>'d3'!M284-d3П!M284</f>
        <v>0</v>
      </c>
      <c r="N284" s="393">
        <f>'d3'!N284-d3П!N284</f>
        <v>0</v>
      </c>
      <c r="O284" s="393">
        <f>'d3'!O284-d3П!O284</f>
        <v>0</v>
      </c>
      <c r="P284" s="393">
        <f>'d3'!P284-d3П!P284</f>
        <v>11000000</v>
      </c>
      <c r="Q284" s="20"/>
      <c r="R284" s="50"/>
    </row>
    <row r="285" spans="1:18" ht="93" thickTop="1" thickBot="1" x14ac:dyDescent="0.25">
      <c r="A285" s="119" t="s">
        <v>549</v>
      </c>
      <c r="B285" s="119" t="s">
        <v>380</v>
      </c>
      <c r="C285" s="119" t="s">
        <v>287</v>
      </c>
      <c r="D285" s="119" t="s">
        <v>381</v>
      </c>
      <c r="E285" s="393">
        <f>'d3'!E285-d3П!E285</f>
        <v>11000000</v>
      </c>
      <c r="F285" s="393">
        <f>'d3'!F285-d3П!F285</f>
        <v>11000000</v>
      </c>
      <c r="G285" s="393">
        <f>'d3'!G285-d3П!G285</f>
        <v>0</v>
      </c>
      <c r="H285" s="393">
        <f>'d3'!H285-d3П!H285</f>
        <v>0</v>
      </c>
      <c r="I285" s="393">
        <f>'d3'!I285-d3П!I285</f>
        <v>0</v>
      </c>
      <c r="J285" s="393">
        <f>'d3'!J285-d3П!J285</f>
        <v>0</v>
      </c>
      <c r="K285" s="393">
        <f>'d3'!K285-d3П!K285</f>
        <v>0</v>
      </c>
      <c r="L285" s="393">
        <f>'d3'!L285-d3П!L285</f>
        <v>0</v>
      </c>
      <c r="M285" s="393">
        <f>'d3'!M285-d3П!M285</f>
        <v>0</v>
      </c>
      <c r="N285" s="393">
        <f>'d3'!N285-d3П!N285</f>
        <v>0</v>
      </c>
      <c r="O285" s="393">
        <f>'d3'!O285-d3П!O285</f>
        <v>0</v>
      </c>
      <c r="P285" s="393">
        <f>'d3'!P285-d3П!P285</f>
        <v>11000000</v>
      </c>
      <c r="Q285" s="20"/>
      <c r="R285" s="50"/>
    </row>
    <row r="286" spans="1:18" ht="47.25" thickTop="1" thickBot="1" x14ac:dyDescent="0.25">
      <c r="A286" s="119" t="s">
        <v>550</v>
      </c>
      <c r="B286" s="119" t="s">
        <v>290</v>
      </c>
      <c r="C286" s="119" t="s">
        <v>287</v>
      </c>
      <c r="D286" s="119" t="s">
        <v>291</v>
      </c>
      <c r="E286" s="393">
        <f>'d3'!E286-d3П!E286</f>
        <v>0</v>
      </c>
      <c r="F286" s="393">
        <f>'d3'!F286-d3П!F286</f>
        <v>0</v>
      </c>
      <c r="G286" s="393">
        <f>'d3'!G286-d3П!G286</f>
        <v>0</v>
      </c>
      <c r="H286" s="393">
        <f>'d3'!H286-d3П!H286</f>
        <v>0</v>
      </c>
      <c r="I286" s="393">
        <f>'d3'!I286-d3П!I286</f>
        <v>0</v>
      </c>
      <c r="J286" s="393">
        <f>'d3'!J286-d3П!J286</f>
        <v>0</v>
      </c>
      <c r="K286" s="393">
        <f>'d3'!K286-d3П!K286</f>
        <v>0</v>
      </c>
      <c r="L286" s="393">
        <f>'d3'!L286-d3П!L286</f>
        <v>0</v>
      </c>
      <c r="M286" s="393">
        <f>'d3'!M286-d3П!M286</f>
        <v>0</v>
      </c>
      <c r="N286" s="393">
        <f>'d3'!N286-d3П!N286</f>
        <v>0</v>
      </c>
      <c r="O286" s="393">
        <f>'d3'!O286-d3П!O286</f>
        <v>0</v>
      </c>
      <c r="P286" s="393">
        <f>'d3'!P286-d3П!P286</f>
        <v>0</v>
      </c>
      <c r="Q286" s="20"/>
      <c r="R286" s="50"/>
    </row>
    <row r="287" spans="1:18" ht="93" thickTop="1" thickBot="1" x14ac:dyDescent="0.25">
      <c r="A287" s="119" t="s">
        <v>1507</v>
      </c>
      <c r="B287" s="119" t="s">
        <v>1508</v>
      </c>
      <c r="C287" s="119" t="s">
        <v>287</v>
      </c>
      <c r="D287" s="119" t="s">
        <v>1509</v>
      </c>
      <c r="E287" s="393">
        <f>'d3'!E287-d3П!E287</f>
        <v>0</v>
      </c>
      <c r="F287" s="393">
        <f>'d3'!F287-d3П!F287</f>
        <v>0</v>
      </c>
      <c r="G287" s="393">
        <f>'d3'!G287-d3П!G287</f>
        <v>0</v>
      </c>
      <c r="H287" s="393">
        <f>'d3'!H287-d3П!H287</f>
        <v>0</v>
      </c>
      <c r="I287" s="393">
        <f>'d3'!I287-d3П!I287</f>
        <v>0</v>
      </c>
      <c r="J287" s="393">
        <f>'d3'!J287-d3П!J287</f>
        <v>0</v>
      </c>
      <c r="K287" s="393">
        <f>'d3'!K287-d3П!K287</f>
        <v>0</v>
      </c>
      <c r="L287" s="393">
        <f>'d3'!L287-d3П!L287</f>
        <v>0</v>
      </c>
      <c r="M287" s="393">
        <f>'d3'!M287-d3П!M287</f>
        <v>0</v>
      </c>
      <c r="N287" s="393">
        <f>'d3'!N287-d3П!N287</f>
        <v>0</v>
      </c>
      <c r="O287" s="393">
        <f>'d3'!O287-d3П!O287</f>
        <v>0</v>
      </c>
      <c r="P287" s="393">
        <f>'d3'!P287-d3П!P287</f>
        <v>0</v>
      </c>
      <c r="Q287" s="20"/>
      <c r="R287" s="50"/>
    </row>
    <row r="288" spans="1:18" ht="93" thickTop="1" thickBot="1" x14ac:dyDescent="0.25">
      <c r="A288" s="119" t="s">
        <v>551</v>
      </c>
      <c r="B288" s="119" t="s">
        <v>301</v>
      </c>
      <c r="C288" s="119" t="s">
        <v>287</v>
      </c>
      <c r="D288" s="119" t="s">
        <v>302</v>
      </c>
      <c r="E288" s="393">
        <f>'d3'!E288-d3П!E288</f>
        <v>1800000</v>
      </c>
      <c r="F288" s="393">
        <f>'d3'!F288-d3П!F288</f>
        <v>1800000</v>
      </c>
      <c r="G288" s="393">
        <f>'d3'!G288-d3П!G288</f>
        <v>0</v>
      </c>
      <c r="H288" s="393">
        <f>'d3'!H288-d3П!H288</f>
        <v>0</v>
      </c>
      <c r="I288" s="393">
        <f>'d3'!I288-d3П!I288</f>
        <v>0</v>
      </c>
      <c r="J288" s="393">
        <f>'d3'!J288-d3П!J288</f>
        <v>0</v>
      </c>
      <c r="K288" s="393">
        <f>'d3'!K288-d3П!K288</f>
        <v>0</v>
      </c>
      <c r="L288" s="393">
        <f>'d3'!L288-d3П!L288</f>
        <v>0</v>
      </c>
      <c r="M288" s="393">
        <f>'d3'!M288-d3П!M288</f>
        <v>0</v>
      </c>
      <c r="N288" s="393">
        <f>'d3'!N288-d3П!N288</f>
        <v>0</v>
      </c>
      <c r="O288" s="393">
        <f>'d3'!O288-d3П!O288</f>
        <v>0</v>
      </c>
      <c r="P288" s="393">
        <f>'d3'!P288-d3П!P288</f>
        <v>1800000</v>
      </c>
      <c r="Q288" s="20"/>
      <c r="R288" s="50"/>
    </row>
    <row r="289" spans="1:18" ht="47.25" thickTop="1" thickBot="1" x14ac:dyDescent="0.25">
      <c r="A289" s="119" t="s">
        <v>552</v>
      </c>
      <c r="B289" s="119" t="s">
        <v>293</v>
      </c>
      <c r="C289" s="119" t="s">
        <v>287</v>
      </c>
      <c r="D289" s="119" t="s">
        <v>294</v>
      </c>
      <c r="E289" s="393">
        <f>'d3'!E289-d3П!E289</f>
        <v>-11700000</v>
      </c>
      <c r="F289" s="393">
        <f>'d3'!F289-d3П!F289</f>
        <v>-11700000</v>
      </c>
      <c r="G289" s="393">
        <f>'d3'!G289-d3П!G289</f>
        <v>0</v>
      </c>
      <c r="H289" s="393">
        <f>'d3'!H289-d3П!H289</f>
        <v>0</v>
      </c>
      <c r="I289" s="393">
        <f>'d3'!I289-d3П!I289</f>
        <v>0</v>
      </c>
      <c r="J289" s="393">
        <f>'d3'!J289-d3П!J289</f>
        <v>0</v>
      </c>
      <c r="K289" s="393">
        <f>'d3'!K289-d3П!K289</f>
        <v>0</v>
      </c>
      <c r="L289" s="393">
        <f>'d3'!L289-d3П!L289</f>
        <v>0</v>
      </c>
      <c r="M289" s="393">
        <f>'d3'!M289-d3П!M289</f>
        <v>0</v>
      </c>
      <c r="N289" s="393">
        <f>'d3'!N289-d3П!N289</f>
        <v>0</v>
      </c>
      <c r="O289" s="393">
        <f>'d3'!O289-d3П!O289</f>
        <v>0</v>
      </c>
      <c r="P289" s="393">
        <f>'d3'!P289-d3П!P289</f>
        <v>-11700000</v>
      </c>
      <c r="Q289" s="20"/>
      <c r="R289" s="45"/>
    </row>
    <row r="290" spans="1:18" ht="47.25" thickTop="1" thickBot="1" x14ac:dyDescent="0.25">
      <c r="A290" s="119" t="s">
        <v>1169</v>
      </c>
      <c r="B290" s="119" t="s">
        <v>1170</v>
      </c>
      <c r="C290" s="119" t="s">
        <v>1171</v>
      </c>
      <c r="D290" s="119" t="s">
        <v>1168</v>
      </c>
      <c r="E290" s="393">
        <f>'d3'!E290-d3П!E290</f>
        <v>0</v>
      </c>
      <c r="F290" s="393">
        <f>'d3'!F290-d3П!F290</f>
        <v>0</v>
      </c>
      <c r="G290" s="393">
        <f>'d3'!G290-d3П!G290</f>
        <v>0</v>
      </c>
      <c r="H290" s="393">
        <f>'d3'!H290-d3П!H290</f>
        <v>0</v>
      </c>
      <c r="I290" s="393">
        <f>'d3'!I290-d3П!I290</f>
        <v>0</v>
      </c>
      <c r="J290" s="393">
        <f>'d3'!J290-d3П!J290</f>
        <v>0</v>
      </c>
      <c r="K290" s="393">
        <f>'d3'!K290-d3П!K290</f>
        <v>0</v>
      </c>
      <c r="L290" s="393">
        <f>'d3'!L290-d3П!L290</f>
        <v>0</v>
      </c>
      <c r="M290" s="393">
        <f>'d3'!M290-d3П!M290</f>
        <v>0</v>
      </c>
      <c r="N290" s="393">
        <f>'d3'!N290-d3П!N290</f>
        <v>0</v>
      </c>
      <c r="O290" s="393">
        <f>'d3'!O290-d3П!O290</f>
        <v>0</v>
      </c>
      <c r="P290" s="393">
        <f>'d3'!P290-d3П!P290</f>
        <v>0</v>
      </c>
      <c r="Q290" s="20"/>
      <c r="R290" s="45"/>
    </row>
    <row r="291" spans="1:18" ht="47.25" thickTop="1" thickBot="1" x14ac:dyDescent="0.25">
      <c r="A291" s="346" t="s">
        <v>808</v>
      </c>
      <c r="B291" s="346" t="s">
        <v>754</v>
      </c>
      <c r="C291" s="346"/>
      <c r="D291" s="346" t="s">
        <v>755</v>
      </c>
      <c r="E291" s="393">
        <f>'d3'!E291-d3П!E291</f>
        <v>0</v>
      </c>
      <c r="F291" s="393">
        <f>'d3'!F291-d3П!F291</f>
        <v>0</v>
      </c>
      <c r="G291" s="393">
        <f>'d3'!G291-d3П!G291</f>
        <v>0</v>
      </c>
      <c r="H291" s="393">
        <f>'d3'!H291-d3П!H291</f>
        <v>0</v>
      </c>
      <c r="I291" s="393">
        <f>'d3'!I291-d3П!I291</f>
        <v>0</v>
      </c>
      <c r="J291" s="393">
        <f>'d3'!J291-d3П!J291</f>
        <v>-6000000</v>
      </c>
      <c r="K291" s="393">
        <f>'d3'!K291-d3П!K291</f>
        <v>-6000000</v>
      </c>
      <c r="L291" s="393">
        <f>'d3'!L291-d3П!L291</f>
        <v>0</v>
      </c>
      <c r="M291" s="393">
        <f>'d3'!M291-d3П!M291</f>
        <v>0</v>
      </c>
      <c r="N291" s="393">
        <f>'d3'!N291-d3П!N291</f>
        <v>0</v>
      </c>
      <c r="O291" s="393">
        <f>'d3'!O291-d3П!O291</f>
        <v>-6000000</v>
      </c>
      <c r="P291" s="393">
        <f>'d3'!P291-d3П!P291</f>
        <v>-6000000</v>
      </c>
      <c r="Q291" s="20"/>
      <c r="R291" s="50"/>
    </row>
    <row r="292" spans="1:18" ht="47.25" thickTop="1" thickBot="1" x14ac:dyDescent="0.25">
      <c r="A292" s="348" t="s">
        <v>809</v>
      </c>
      <c r="B292" s="348" t="s">
        <v>810</v>
      </c>
      <c r="C292" s="348"/>
      <c r="D292" s="348" t="s">
        <v>811</v>
      </c>
      <c r="E292" s="393">
        <f>'d3'!E292-d3П!E292</f>
        <v>0</v>
      </c>
      <c r="F292" s="393">
        <f>'d3'!F292-d3П!F292</f>
        <v>0</v>
      </c>
      <c r="G292" s="393">
        <f>'d3'!G292-d3П!G292</f>
        <v>0</v>
      </c>
      <c r="H292" s="393">
        <f>'d3'!H292-d3П!H292</f>
        <v>0</v>
      </c>
      <c r="I292" s="393">
        <f>'d3'!I292-d3П!I292</f>
        <v>0</v>
      </c>
      <c r="J292" s="393">
        <f>'d3'!J292-d3П!J292</f>
        <v>0</v>
      </c>
      <c r="K292" s="393">
        <f>'d3'!K292-d3П!K292</f>
        <v>0</v>
      </c>
      <c r="L292" s="393">
        <f>'d3'!L292-d3П!L292</f>
        <v>0</v>
      </c>
      <c r="M292" s="393">
        <f>'d3'!M292-d3П!M292</f>
        <v>0</v>
      </c>
      <c r="N292" s="393">
        <f>'d3'!N292-d3П!N292</f>
        <v>0</v>
      </c>
      <c r="O292" s="393">
        <f>'d3'!O292-d3П!O292</f>
        <v>0</v>
      </c>
      <c r="P292" s="393">
        <f>'d3'!P292-d3П!P292</f>
        <v>0</v>
      </c>
      <c r="Q292" s="20"/>
      <c r="R292" s="50"/>
    </row>
    <row r="293" spans="1:18" ht="54" thickTop="1" thickBot="1" x14ac:dyDescent="0.25">
      <c r="A293" s="119" t="s">
        <v>553</v>
      </c>
      <c r="B293" s="119" t="s">
        <v>309</v>
      </c>
      <c r="C293" s="119" t="s">
        <v>308</v>
      </c>
      <c r="D293" s="119" t="s">
        <v>1315</v>
      </c>
      <c r="E293" s="393">
        <f>'d3'!E293-d3П!E293</f>
        <v>0</v>
      </c>
      <c r="F293" s="393">
        <f>'d3'!F293-d3П!F293</f>
        <v>0</v>
      </c>
      <c r="G293" s="393">
        <f>'d3'!G293-d3П!G293</f>
        <v>0</v>
      </c>
      <c r="H293" s="393">
        <f>'d3'!H293-d3П!H293</f>
        <v>0</v>
      </c>
      <c r="I293" s="393">
        <f>'d3'!I293-d3П!I293</f>
        <v>0</v>
      </c>
      <c r="J293" s="393">
        <f>'d3'!J293-d3П!J293</f>
        <v>0</v>
      </c>
      <c r="K293" s="393">
        <f>'d3'!K293-d3П!K293</f>
        <v>0</v>
      </c>
      <c r="L293" s="393">
        <f>'d3'!L293-d3П!L293</f>
        <v>0</v>
      </c>
      <c r="M293" s="393">
        <f>'d3'!M293-d3П!M293</f>
        <v>0</v>
      </c>
      <c r="N293" s="393">
        <f>'d3'!N293-d3П!N293</f>
        <v>0</v>
      </c>
      <c r="O293" s="393">
        <f>'d3'!O293-d3П!O293</f>
        <v>0</v>
      </c>
      <c r="P293" s="393">
        <f>'d3'!P293-d3П!P293</f>
        <v>0</v>
      </c>
      <c r="Q293" s="20"/>
      <c r="R293" s="45"/>
    </row>
    <row r="294" spans="1:18" ht="47.25" thickTop="1" thickBot="1" x14ac:dyDescent="0.25">
      <c r="A294" s="348" t="s">
        <v>812</v>
      </c>
      <c r="B294" s="348" t="s">
        <v>813</v>
      </c>
      <c r="C294" s="348"/>
      <c r="D294" s="348" t="s">
        <v>814</v>
      </c>
      <c r="E294" s="393">
        <f>'d3'!E294-d3П!E294</f>
        <v>0</v>
      </c>
      <c r="F294" s="393">
        <f>'d3'!F294-d3П!F294</f>
        <v>0</v>
      </c>
      <c r="G294" s="393">
        <f>'d3'!G294-d3П!G294</f>
        <v>0</v>
      </c>
      <c r="H294" s="393">
        <f>'d3'!H294-d3П!H294</f>
        <v>0</v>
      </c>
      <c r="I294" s="393">
        <f>'d3'!I294-d3П!I294</f>
        <v>0</v>
      </c>
      <c r="J294" s="393">
        <f>'d3'!J294-d3П!J294</f>
        <v>-6000000</v>
      </c>
      <c r="K294" s="393">
        <f>'d3'!K294-d3П!K294</f>
        <v>-6000000</v>
      </c>
      <c r="L294" s="393">
        <f>'d3'!L294-d3П!L294</f>
        <v>0</v>
      </c>
      <c r="M294" s="393">
        <f>'d3'!M294-d3П!M294</f>
        <v>0</v>
      </c>
      <c r="N294" s="393">
        <f>'d3'!N294-d3П!N294</f>
        <v>0</v>
      </c>
      <c r="O294" s="393">
        <f>'d3'!O294-d3П!O294</f>
        <v>-6000000</v>
      </c>
      <c r="P294" s="393">
        <f>'d3'!P294-d3П!P294</f>
        <v>-6000000</v>
      </c>
      <c r="Q294" s="20"/>
      <c r="R294" s="50"/>
    </row>
    <row r="295" spans="1:18" ht="93" thickTop="1" thickBot="1" x14ac:dyDescent="0.25">
      <c r="A295" s="119" t="s">
        <v>970</v>
      </c>
      <c r="B295" s="399" t="s">
        <v>971</v>
      </c>
      <c r="C295" s="348"/>
      <c r="D295" s="399" t="s">
        <v>972</v>
      </c>
      <c r="E295" s="393">
        <f>'d3'!E295-d3П!E295</f>
        <v>0</v>
      </c>
      <c r="F295" s="393">
        <f>'d3'!F295-d3П!F295</f>
        <v>0</v>
      </c>
      <c r="G295" s="393">
        <f>'d3'!G295-d3П!G295</f>
        <v>0</v>
      </c>
      <c r="H295" s="393">
        <f>'d3'!H295-d3П!H295</f>
        <v>0</v>
      </c>
      <c r="I295" s="393">
        <f>'d3'!I295-d3П!I295</f>
        <v>0</v>
      </c>
      <c r="J295" s="393">
        <f>'d3'!J295-d3П!J295</f>
        <v>-6000000</v>
      </c>
      <c r="K295" s="393">
        <f>'d3'!K295-d3П!K295</f>
        <v>-6000000</v>
      </c>
      <c r="L295" s="393">
        <f>'d3'!L295-d3П!L295</f>
        <v>0</v>
      </c>
      <c r="M295" s="393">
        <f>'d3'!M295-d3П!M295</f>
        <v>0</v>
      </c>
      <c r="N295" s="393">
        <f>'d3'!N295-d3П!N295</f>
        <v>0</v>
      </c>
      <c r="O295" s="393">
        <f>'d3'!O295-d3П!O295</f>
        <v>-6000000</v>
      </c>
      <c r="P295" s="393">
        <f>'d3'!P295-d3П!P295</f>
        <v>-6000000</v>
      </c>
      <c r="Q295" s="20"/>
      <c r="R295" s="50"/>
    </row>
    <row r="296" spans="1:18" ht="93" thickTop="1" thickBot="1" x14ac:dyDescent="0.25">
      <c r="A296" s="119" t="s">
        <v>554</v>
      </c>
      <c r="B296" s="119" t="s">
        <v>297</v>
      </c>
      <c r="C296" s="119" t="s">
        <v>299</v>
      </c>
      <c r="D296" s="119" t="s">
        <v>298</v>
      </c>
      <c r="E296" s="393">
        <f>'d3'!E296-d3П!E296</f>
        <v>0</v>
      </c>
      <c r="F296" s="393">
        <f>'d3'!F296-d3П!F296</f>
        <v>0</v>
      </c>
      <c r="G296" s="393">
        <f>'d3'!G296-d3П!G296</f>
        <v>0</v>
      </c>
      <c r="H296" s="393">
        <f>'d3'!H296-d3П!H296</f>
        <v>0</v>
      </c>
      <c r="I296" s="393">
        <f>'d3'!I296-d3П!I296</f>
        <v>0</v>
      </c>
      <c r="J296" s="393">
        <f>'d3'!J296-d3П!J296</f>
        <v>-6000000</v>
      </c>
      <c r="K296" s="393">
        <f>'d3'!K296-d3П!K296</f>
        <v>-6000000</v>
      </c>
      <c r="L296" s="393">
        <f>'d3'!L296-d3П!L296</f>
        <v>0</v>
      </c>
      <c r="M296" s="393">
        <f>'d3'!M296-d3П!M296</f>
        <v>0</v>
      </c>
      <c r="N296" s="393">
        <f>'d3'!N296-d3П!N296</f>
        <v>0</v>
      </c>
      <c r="O296" s="393">
        <f>'d3'!O296-d3П!O296</f>
        <v>-6000000</v>
      </c>
      <c r="P296" s="393">
        <f>'d3'!P296-d3П!P296</f>
        <v>-6000000</v>
      </c>
      <c r="Q296" s="20"/>
      <c r="R296" s="45"/>
    </row>
    <row r="297" spans="1:18" ht="47.25" thickTop="1" thickBot="1" x14ac:dyDescent="0.25">
      <c r="A297" s="348" t="s">
        <v>815</v>
      </c>
      <c r="B297" s="348" t="s">
        <v>697</v>
      </c>
      <c r="C297" s="348"/>
      <c r="D297" s="348" t="s">
        <v>695</v>
      </c>
      <c r="E297" s="393">
        <f>'d3'!E297-d3П!E297</f>
        <v>0</v>
      </c>
      <c r="F297" s="393">
        <f>'d3'!F297-d3П!F297</f>
        <v>0</v>
      </c>
      <c r="G297" s="393">
        <f>'d3'!G297-d3П!G297</f>
        <v>0</v>
      </c>
      <c r="H297" s="393">
        <f>'d3'!H297-d3П!H297</f>
        <v>0</v>
      </c>
      <c r="I297" s="393">
        <f>'d3'!I297-d3П!I297</f>
        <v>0</v>
      </c>
      <c r="J297" s="393">
        <f>'d3'!J297-d3П!J297</f>
        <v>0</v>
      </c>
      <c r="K297" s="393">
        <f>'d3'!K297-d3П!K297</f>
        <v>0</v>
      </c>
      <c r="L297" s="393">
        <f>'d3'!L297-d3П!L297</f>
        <v>0</v>
      </c>
      <c r="M297" s="393">
        <f>'d3'!M297-d3П!M297</f>
        <v>0</v>
      </c>
      <c r="N297" s="393">
        <f>'d3'!N297-d3П!N297</f>
        <v>0</v>
      </c>
      <c r="O297" s="393">
        <f>'d3'!O297-d3П!O297</f>
        <v>0</v>
      </c>
      <c r="P297" s="393">
        <f>'d3'!P297-d3П!P297</f>
        <v>0</v>
      </c>
      <c r="Q297" s="20"/>
      <c r="R297" s="45"/>
    </row>
    <row r="298" spans="1:18" ht="47.25" thickTop="1" thickBot="1" x14ac:dyDescent="0.25">
      <c r="A298" s="119" t="s">
        <v>555</v>
      </c>
      <c r="B298" s="119" t="s">
        <v>216</v>
      </c>
      <c r="C298" s="119" t="s">
        <v>217</v>
      </c>
      <c r="D298" s="119" t="s">
        <v>41</v>
      </c>
      <c r="E298" s="393">
        <f>'d3'!E298-d3П!E298</f>
        <v>0</v>
      </c>
      <c r="F298" s="393">
        <f>'d3'!F298-d3П!F298</f>
        <v>0</v>
      </c>
      <c r="G298" s="393">
        <f>'d3'!G298-d3П!G298</f>
        <v>0</v>
      </c>
      <c r="H298" s="393">
        <f>'d3'!H298-d3П!H298</f>
        <v>0</v>
      </c>
      <c r="I298" s="393">
        <f>'d3'!I298-d3П!I298</f>
        <v>0</v>
      </c>
      <c r="J298" s="393">
        <f>'d3'!J298-d3П!J298</f>
        <v>0</v>
      </c>
      <c r="K298" s="393">
        <f>'d3'!K298-d3П!K298</f>
        <v>0</v>
      </c>
      <c r="L298" s="393">
        <f>'d3'!L298-d3П!L298</f>
        <v>0</v>
      </c>
      <c r="M298" s="393">
        <f>'d3'!M298-d3П!M298</f>
        <v>0</v>
      </c>
      <c r="N298" s="393">
        <f>'d3'!N298-d3П!N298</f>
        <v>0</v>
      </c>
      <c r="O298" s="393">
        <f>'d3'!O298-d3П!O298</f>
        <v>0</v>
      </c>
      <c r="P298" s="393">
        <f>'d3'!P298-d3П!P298</f>
        <v>0</v>
      </c>
      <c r="Q298" s="20"/>
      <c r="R298" s="45"/>
    </row>
    <row r="299" spans="1:18" ht="47.25" thickTop="1" thickBot="1" x14ac:dyDescent="0.25">
      <c r="A299" s="119" t="s">
        <v>556</v>
      </c>
      <c r="B299" s="119" t="s">
        <v>201</v>
      </c>
      <c r="C299" s="119" t="s">
        <v>170</v>
      </c>
      <c r="D299" s="119" t="s">
        <v>34</v>
      </c>
      <c r="E299" s="393">
        <f>'d3'!E299-d3П!E299</f>
        <v>0</v>
      </c>
      <c r="F299" s="393">
        <f>'d3'!F299-d3П!F299</f>
        <v>0</v>
      </c>
      <c r="G299" s="393">
        <f>'d3'!G299-d3П!G299</f>
        <v>0</v>
      </c>
      <c r="H299" s="393">
        <f>'d3'!H299-d3П!H299</f>
        <v>0</v>
      </c>
      <c r="I299" s="393">
        <f>'d3'!I299-d3П!I299</f>
        <v>0</v>
      </c>
      <c r="J299" s="393">
        <f>'d3'!J299-d3П!J299</f>
        <v>0</v>
      </c>
      <c r="K299" s="393">
        <f>'d3'!K299-d3П!K299</f>
        <v>0</v>
      </c>
      <c r="L299" s="393">
        <f>'d3'!L299-d3П!L299</f>
        <v>0</v>
      </c>
      <c r="M299" s="393">
        <f>'d3'!M299-d3П!M299</f>
        <v>0</v>
      </c>
      <c r="N299" s="393">
        <f>'d3'!N299-d3П!N299</f>
        <v>0</v>
      </c>
      <c r="O299" s="393">
        <f>'d3'!O299-d3П!O299</f>
        <v>0</v>
      </c>
      <c r="P299" s="393">
        <f>'d3'!P299-d3П!P299</f>
        <v>0</v>
      </c>
      <c r="Q299" s="20"/>
      <c r="R299" s="45"/>
    </row>
    <row r="300" spans="1:18" ht="47.25" thickTop="1" thickBot="1" x14ac:dyDescent="0.25">
      <c r="A300" s="399" t="s">
        <v>816</v>
      </c>
      <c r="B300" s="399" t="s">
        <v>700</v>
      </c>
      <c r="C300" s="399"/>
      <c r="D300" s="399" t="s">
        <v>804</v>
      </c>
      <c r="E300" s="393">
        <f>'d3'!E300-d3П!E300</f>
        <v>0</v>
      </c>
      <c r="F300" s="393">
        <f>'d3'!F300-d3П!F300</f>
        <v>0</v>
      </c>
      <c r="G300" s="393">
        <f>'d3'!G300-d3П!G300</f>
        <v>0</v>
      </c>
      <c r="H300" s="393">
        <f>'d3'!H300-d3П!H300</f>
        <v>0</v>
      </c>
      <c r="I300" s="393">
        <f>'d3'!I300-d3П!I300</f>
        <v>0</v>
      </c>
      <c r="J300" s="393">
        <f>'d3'!J300-d3П!J300</f>
        <v>0</v>
      </c>
      <c r="K300" s="393">
        <f>'d3'!K300-d3П!K300</f>
        <v>0</v>
      </c>
      <c r="L300" s="393">
        <f>'d3'!L300-d3П!L300</f>
        <v>0</v>
      </c>
      <c r="M300" s="393">
        <f>'d3'!M300-d3П!M300</f>
        <v>0</v>
      </c>
      <c r="N300" s="393">
        <f>'d3'!N300-d3П!N300</f>
        <v>0</v>
      </c>
      <c r="O300" s="393">
        <f>'d3'!O300-d3П!O300</f>
        <v>0</v>
      </c>
      <c r="P300" s="393">
        <f>'d3'!P300-d3П!P300</f>
        <v>0</v>
      </c>
      <c r="Q300" s="20"/>
      <c r="R300" s="50"/>
    </row>
    <row r="301" spans="1:18" ht="211.5" customHeight="1" thickTop="1" thickBot="1" x14ac:dyDescent="0.7">
      <c r="A301" s="702" t="s">
        <v>557</v>
      </c>
      <c r="B301" s="702" t="s">
        <v>342</v>
      </c>
      <c r="C301" s="702" t="s">
        <v>170</v>
      </c>
      <c r="D301" s="606" t="s">
        <v>444</v>
      </c>
      <c r="E301" s="682">
        <f>'d3'!E301-d3П!E301</f>
        <v>0</v>
      </c>
      <c r="F301" s="682">
        <f>'d3'!F301-d3П!F301</f>
        <v>0</v>
      </c>
      <c r="G301" s="682">
        <f>'d3'!G301-d3П!G301</f>
        <v>0</v>
      </c>
      <c r="H301" s="682">
        <f>'d3'!H301-d3П!H301</f>
        <v>0</v>
      </c>
      <c r="I301" s="682">
        <f>'d3'!I301-d3П!I301</f>
        <v>0</v>
      </c>
      <c r="J301" s="682">
        <f>'d3'!J301-d3П!J301</f>
        <v>0</v>
      </c>
      <c r="K301" s="682">
        <f>'d3'!K301-d3П!K301</f>
        <v>0</v>
      </c>
      <c r="L301" s="682">
        <f>'d3'!L301-d3П!L301</f>
        <v>0</v>
      </c>
      <c r="M301" s="682">
        <f>'d3'!M301-d3П!M301</f>
        <v>0</v>
      </c>
      <c r="N301" s="682">
        <f>'d3'!N301-d3П!N301</f>
        <v>0</v>
      </c>
      <c r="O301" s="682">
        <f>'d3'!O301-d3П!O301</f>
        <v>0</v>
      </c>
      <c r="P301" s="682">
        <f>'d3'!P301-d3П!P301</f>
        <v>0</v>
      </c>
      <c r="Q301" s="20"/>
      <c r="R301" s="50"/>
    </row>
    <row r="302" spans="1:18" ht="130.5" customHeight="1" thickTop="1" thickBot="1" x14ac:dyDescent="0.25">
      <c r="A302" s="702"/>
      <c r="B302" s="702"/>
      <c r="C302" s="702"/>
      <c r="D302" s="607" t="s">
        <v>445</v>
      </c>
      <c r="E302" s="736"/>
      <c r="F302" s="736">
        <f>'d3'!F302-d3П!F302</f>
        <v>0</v>
      </c>
      <c r="G302" s="736">
        <f>'d3'!G302-d3П!G302</f>
        <v>0</v>
      </c>
      <c r="H302" s="736">
        <f>'d3'!H302-d3П!H302</f>
        <v>0</v>
      </c>
      <c r="I302" s="736">
        <f>'d3'!I302-d3П!I302</f>
        <v>0</v>
      </c>
      <c r="J302" s="736">
        <f>'d3'!J302-d3П!J302</f>
        <v>0</v>
      </c>
      <c r="K302" s="736">
        <f>'d3'!K302-d3П!K302</f>
        <v>0</v>
      </c>
      <c r="L302" s="736">
        <f>'d3'!L302-d3П!L302</f>
        <v>0</v>
      </c>
      <c r="M302" s="736">
        <f>'d3'!M302-d3П!M302</f>
        <v>0</v>
      </c>
      <c r="N302" s="736">
        <f>'d3'!N302-d3П!N302</f>
        <v>0</v>
      </c>
      <c r="O302" s="736">
        <f>'d3'!O302-d3П!O302</f>
        <v>0</v>
      </c>
      <c r="P302" s="736">
        <f>'d3'!P302-d3П!P302</f>
        <v>0</v>
      </c>
      <c r="Q302" s="20"/>
      <c r="R302" s="50"/>
    </row>
    <row r="303" spans="1:18" ht="39" hidden="1" customHeight="1" thickTop="1" thickBot="1" x14ac:dyDescent="0.25">
      <c r="A303" s="144" t="s">
        <v>1207</v>
      </c>
      <c r="B303" s="144" t="s">
        <v>261</v>
      </c>
      <c r="C303" s="144" t="s">
        <v>170</v>
      </c>
      <c r="D303" s="172" t="s">
        <v>259</v>
      </c>
      <c r="E303" s="393">
        <f>'d3'!E303-d3П!E303</f>
        <v>0</v>
      </c>
      <c r="F303" s="393">
        <f>'d3'!F303-d3П!F303</f>
        <v>0</v>
      </c>
      <c r="G303" s="393">
        <f>'d3'!G303-d3П!G303</f>
        <v>0</v>
      </c>
      <c r="H303" s="393">
        <f>'d3'!H303-d3П!H303</f>
        <v>0</v>
      </c>
      <c r="I303" s="393">
        <f>'d3'!I303-d3П!I303</f>
        <v>0</v>
      </c>
      <c r="J303" s="393">
        <f>'d3'!J303-d3П!J303</f>
        <v>0</v>
      </c>
      <c r="K303" s="393">
        <f>'d3'!K303-d3П!K303</f>
        <v>0</v>
      </c>
      <c r="L303" s="393">
        <f>'d3'!L303-d3П!L303</f>
        <v>0</v>
      </c>
      <c r="M303" s="393">
        <f>'d3'!M303-d3П!M303</f>
        <v>0</v>
      </c>
      <c r="N303" s="393">
        <f>'d3'!N303-d3П!N303</f>
        <v>0</v>
      </c>
      <c r="O303" s="393">
        <f>'d3'!O303-d3П!O303</f>
        <v>0</v>
      </c>
      <c r="P303" s="393">
        <f>'d3'!P303-d3П!P303</f>
        <v>0</v>
      </c>
      <c r="Q303" s="20"/>
      <c r="R303" s="50"/>
    </row>
    <row r="304" spans="1:18" ht="47.25" thickTop="1" thickBot="1" x14ac:dyDescent="0.25">
      <c r="A304" s="346" t="s">
        <v>817</v>
      </c>
      <c r="B304" s="346" t="s">
        <v>702</v>
      </c>
      <c r="C304" s="346"/>
      <c r="D304" s="490" t="s">
        <v>703</v>
      </c>
      <c r="E304" s="393">
        <f>'d3'!E304-d3П!E304</f>
        <v>0</v>
      </c>
      <c r="F304" s="393">
        <f>'d3'!F304-d3П!F304</f>
        <v>0</v>
      </c>
      <c r="G304" s="393">
        <f>'d3'!G304-d3П!G304</f>
        <v>44606</v>
      </c>
      <c r="H304" s="393">
        <f>'d3'!H304-d3П!H304</f>
        <v>0</v>
      </c>
      <c r="I304" s="393">
        <f>'d3'!I304-d3П!I304</f>
        <v>0</v>
      </c>
      <c r="J304" s="393">
        <f>'d3'!J304-d3П!J304</f>
        <v>0</v>
      </c>
      <c r="K304" s="393">
        <f>'d3'!K304-d3П!K304</f>
        <v>0</v>
      </c>
      <c r="L304" s="393">
        <f>'d3'!L304-d3П!L304</f>
        <v>0</v>
      </c>
      <c r="M304" s="393">
        <f>'d3'!M304-d3П!M304</f>
        <v>0</v>
      </c>
      <c r="N304" s="393">
        <f>'d3'!N304-d3П!N304</f>
        <v>0</v>
      </c>
      <c r="O304" s="393">
        <f>'d3'!O304-d3П!O304</f>
        <v>0</v>
      </c>
      <c r="P304" s="393">
        <f>'d3'!P304-d3П!P304</f>
        <v>0</v>
      </c>
      <c r="Q304" s="20"/>
      <c r="R304" s="50"/>
    </row>
    <row r="305" spans="1:18" ht="47.25" thickTop="1" thickBot="1" x14ac:dyDescent="0.25">
      <c r="A305" s="348" t="s">
        <v>818</v>
      </c>
      <c r="B305" s="348" t="s">
        <v>819</v>
      </c>
      <c r="C305" s="348"/>
      <c r="D305" s="599" t="s">
        <v>1341</v>
      </c>
      <c r="E305" s="393">
        <f>'d3'!E305-d3П!E305</f>
        <v>0</v>
      </c>
      <c r="F305" s="393">
        <f>'d3'!F305-d3П!F305</f>
        <v>0</v>
      </c>
      <c r="G305" s="393">
        <f>'d3'!G305-d3П!G305</f>
        <v>44606</v>
      </c>
      <c r="H305" s="393">
        <f>'d3'!H305-d3П!H305</f>
        <v>0</v>
      </c>
      <c r="I305" s="393">
        <f>'d3'!I305-d3П!I305</f>
        <v>0</v>
      </c>
      <c r="J305" s="393">
        <f>'d3'!J305-d3П!J305</f>
        <v>0</v>
      </c>
      <c r="K305" s="393">
        <f>'d3'!K305-d3П!K305</f>
        <v>0</v>
      </c>
      <c r="L305" s="393">
        <f>'d3'!L305-d3П!L305</f>
        <v>0</v>
      </c>
      <c r="M305" s="393">
        <f>'d3'!M305-d3П!M305</f>
        <v>0</v>
      </c>
      <c r="N305" s="393">
        <f>'d3'!N305-d3П!N305</f>
        <v>0</v>
      </c>
      <c r="O305" s="393">
        <f>'d3'!O305-d3П!O305</f>
        <v>0</v>
      </c>
      <c r="P305" s="393">
        <f>'d3'!P305-d3П!P305</f>
        <v>0</v>
      </c>
      <c r="Q305" s="20"/>
      <c r="R305" s="50"/>
    </row>
    <row r="306" spans="1:18" ht="93" thickTop="1" thickBot="1" x14ac:dyDescent="0.25">
      <c r="A306" s="119" t="s">
        <v>558</v>
      </c>
      <c r="B306" s="119" t="s">
        <v>522</v>
      </c>
      <c r="C306" s="119" t="s">
        <v>255</v>
      </c>
      <c r="D306" s="119" t="s">
        <v>523</v>
      </c>
      <c r="E306" s="393">
        <f>'d3'!E306-d3П!E306</f>
        <v>0</v>
      </c>
      <c r="F306" s="393">
        <f>'d3'!F306-d3П!F306</f>
        <v>0</v>
      </c>
      <c r="G306" s="393">
        <f>'d3'!G306-d3П!G306</f>
        <v>0</v>
      </c>
      <c r="H306" s="393">
        <f>'d3'!H306-d3П!H306</f>
        <v>0</v>
      </c>
      <c r="I306" s="393">
        <f>'d3'!I306-d3П!I306</f>
        <v>0</v>
      </c>
      <c r="J306" s="393">
        <f>'d3'!J306-d3П!J306</f>
        <v>0</v>
      </c>
      <c r="K306" s="393">
        <f>'d3'!K306-d3П!K306</f>
        <v>0</v>
      </c>
      <c r="L306" s="393">
        <f>'d3'!L306-d3П!L306</f>
        <v>0</v>
      </c>
      <c r="M306" s="393">
        <f>'d3'!M306-d3П!M306</f>
        <v>0</v>
      </c>
      <c r="N306" s="393">
        <f>'d3'!N306-d3П!N306</f>
        <v>0</v>
      </c>
      <c r="O306" s="393">
        <f>'d3'!O306-d3П!O306</f>
        <v>0</v>
      </c>
      <c r="P306" s="393">
        <f>'d3'!P306-d3П!P306</f>
        <v>0</v>
      </c>
      <c r="Q306" s="20"/>
      <c r="R306" s="50"/>
    </row>
    <row r="307" spans="1:18" ht="47.25" thickTop="1" thickBot="1" x14ac:dyDescent="0.25">
      <c r="A307" s="119" t="s">
        <v>559</v>
      </c>
      <c r="B307" s="119" t="s">
        <v>254</v>
      </c>
      <c r="C307" s="119" t="s">
        <v>255</v>
      </c>
      <c r="D307" s="119" t="s">
        <v>253</v>
      </c>
      <c r="E307" s="393">
        <f>'d3'!E307-d3П!E307</f>
        <v>0</v>
      </c>
      <c r="F307" s="393">
        <f>'d3'!F307-d3П!F307</f>
        <v>0</v>
      </c>
      <c r="G307" s="393">
        <f>'d3'!G307-d3П!G307</f>
        <v>44606</v>
      </c>
      <c r="H307" s="393">
        <f>'d3'!H307-d3П!H307</f>
        <v>0</v>
      </c>
      <c r="I307" s="393">
        <f>'d3'!I307-d3П!I307</f>
        <v>0</v>
      </c>
      <c r="J307" s="393">
        <f>'d3'!J307-d3П!J307</f>
        <v>0</v>
      </c>
      <c r="K307" s="393">
        <f>'d3'!K307-d3П!K307</f>
        <v>0</v>
      </c>
      <c r="L307" s="393">
        <f>'d3'!L307-d3П!L307</f>
        <v>0</v>
      </c>
      <c r="M307" s="393">
        <f>'d3'!M307-d3П!M307</f>
        <v>0</v>
      </c>
      <c r="N307" s="393">
        <f>'d3'!N307-d3П!N307</f>
        <v>0</v>
      </c>
      <c r="O307" s="393">
        <f>'d3'!O307-d3П!O307</f>
        <v>0</v>
      </c>
      <c r="P307" s="393">
        <f>'d3'!P307-d3П!P307</f>
        <v>0</v>
      </c>
      <c r="Q307" s="20"/>
      <c r="R307" s="46"/>
    </row>
    <row r="308" spans="1:18" ht="48" hidden="1" customHeight="1" thickTop="1" thickBot="1" x14ac:dyDescent="0.25">
      <c r="A308" s="41" t="s">
        <v>560</v>
      </c>
      <c r="B308" s="41" t="s">
        <v>561</v>
      </c>
      <c r="C308" s="41" t="s">
        <v>255</v>
      </c>
      <c r="D308" s="41" t="s">
        <v>562</v>
      </c>
      <c r="E308" s="393">
        <f>'d3'!E308-d3П!E308</f>
        <v>0</v>
      </c>
      <c r="F308" s="393">
        <f>'d3'!F308-d3П!F308</f>
        <v>0</v>
      </c>
      <c r="G308" s="393">
        <f>'d3'!G308-d3П!G308</f>
        <v>0</v>
      </c>
      <c r="H308" s="393">
        <f>'d3'!H308-d3П!H308</f>
        <v>0</v>
      </c>
      <c r="I308" s="393">
        <f>'d3'!I308-d3П!I308</f>
        <v>0</v>
      </c>
      <c r="J308" s="393">
        <f>'d3'!J308-d3П!J308</f>
        <v>0</v>
      </c>
      <c r="K308" s="393">
        <f>'d3'!K308-d3П!K308</f>
        <v>0</v>
      </c>
      <c r="L308" s="393">
        <f>'d3'!L308-d3П!L308</f>
        <v>0</v>
      </c>
      <c r="M308" s="393">
        <f>'d3'!M308-d3П!M308</f>
        <v>0</v>
      </c>
      <c r="N308" s="393">
        <f>'d3'!N308-d3П!N308</f>
        <v>0</v>
      </c>
      <c r="O308" s="393">
        <f>'d3'!O308-d3П!O308</f>
        <v>0</v>
      </c>
      <c r="P308" s="393">
        <f>'d3'!P308-d3П!P308</f>
        <v>0</v>
      </c>
      <c r="Q308" s="20"/>
      <c r="R308" s="50"/>
    </row>
    <row r="309" spans="1:18" ht="47.25" thickTop="1" thickBot="1" x14ac:dyDescent="0.25">
      <c r="A309" s="346" t="s">
        <v>1589</v>
      </c>
      <c r="B309" s="346" t="s">
        <v>708</v>
      </c>
      <c r="C309" s="346"/>
      <c r="D309" s="346" t="s">
        <v>709</v>
      </c>
      <c r="E309" s="393">
        <f>'d3'!E309-d3П!E309</f>
        <v>0</v>
      </c>
      <c r="F309" s="393">
        <f>'d3'!F309-d3П!F309</f>
        <v>0</v>
      </c>
      <c r="G309" s="393">
        <f>'d3'!G309-d3П!G309</f>
        <v>0</v>
      </c>
      <c r="H309" s="393">
        <f>'d3'!H309-d3П!H309</f>
        <v>0</v>
      </c>
      <c r="I309" s="393">
        <f>'d3'!I309-d3П!I309</f>
        <v>0</v>
      </c>
      <c r="J309" s="393">
        <f>'d3'!J309-d3П!J309</f>
        <v>0</v>
      </c>
      <c r="K309" s="393">
        <f>'d3'!K309-d3П!K309</f>
        <v>0</v>
      </c>
      <c r="L309" s="393">
        <f>'d3'!L309-d3П!L309</f>
        <v>0</v>
      </c>
      <c r="M309" s="393">
        <f>'d3'!M309-d3П!M309</f>
        <v>0</v>
      </c>
      <c r="N309" s="393">
        <f>'d3'!N309-d3П!N309</f>
        <v>0</v>
      </c>
      <c r="O309" s="393">
        <f>'d3'!O309-d3П!O309</f>
        <v>0</v>
      </c>
      <c r="P309" s="393">
        <f>'d3'!P309-d3П!P309</f>
        <v>0</v>
      </c>
      <c r="Q309" s="20"/>
      <c r="R309" s="50"/>
    </row>
    <row r="310" spans="1:18" ht="91.5" thickTop="1" thickBot="1" x14ac:dyDescent="0.25">
      <c r="A310" s="348" t="s">
        <v>1590</v>
      </c>
      <c r="B310" s="348" t="s">
        <v>711</v>
      </c>
      <c r="C310" s="348"/>
      <c r="D310" s="348" t="s">
        <v>712</v>
      </c>
      <c r="E310" s="393">
        <f>'d3'!E310-d3П!E310</f>
        <v>0</v>
      </c>
      <c r="F310" s="393">
        <f>'d3'!F310-d3П!F310</f>
        <v>0</v>
      </c>
      <c r="G310" s="393">
        <f>'d3'!G310-d3П!G310</f>
        <v>0</v>
      </c>
      <c r="H310" s="393">
        <f>'d3'!H310-d3П!H310</f>
        <v>0</v>
      </c>
      <c r="I310" s="393">
        <f>'d3'!I310-d3П!I310</f>
        <v>0</v>
      </c>
      <c r="J310" s="393">
        <f>'d3'!J310-d3П!J310</f>
        <v>0</v>
      </c>
      <c r="K310" s="393">
        <f>'d3'!K310-d3П!K310</f>
        <v>0</v>
      </c>
      <c r="L310" s="393">
        <f>'d3'!L310-d3П!L310</f>
        <v>0</v>
      </c>
      <c r="M310" s="393">
        <f>'d3'!M310-d3П!M310</f>
        <v>0</v>
      </c>
      <c r="N310" s="393">
        <f>'d3'!N310-d3П!N310</f>
        <v>0</v>
      </c>
      <c r="O310" s="393">
        <f>'d3'!O310-d3П!O310</f>
        <v>0</v>
      </c>
      <c r="P310" s="393">
        <f>'d3'!P310-d3П!P310</f>
        <v>0</v>
      </c>
      <c r="Q310" s="20"/>
      <c r="R310" s="50"/>
    </row>
    <row r="311" spans="1:18" ht="47.25" thickTop="1" thickBot="1" x14ac:dyDescent="0.25">
      <c r="A311" s="119" t="s">
        <v>1591</v>
      </c>
      <c r="B311" s="119" t="s">
        <v>367</v>
      </c>
      <c r="C311" s="119" t="s">
        <v>43</v>
      </c>
      <c r="D311" s="119" t="s">
        <v>368</v>
      </c>
      <c r="E311" s="393">
        <f>'d3'!E311-d3П!E311</f>
        <v>0</v>
      </c>
      <c r="F311" s="393">
        <f>'d3'!F311-d3П!F311</f>
        <v>0</v>
      </c>
      <c r="G311" s="393">
        <f>'d3'!G311-d3П!G311</f>
        <v>0</v>
      </c>
      <c r="H311" s="393">
        <f>'d3'!H311-d3П!H311</f>
        <v>0</v>
      </c>
      <c r="I311" s="393">
        <f>'d3'!I311-d3П!I311</f>
        <v>0</v>
      </c>
      <c r="J311" s="393">
        <f>'d3'!J311-d3П!J311</f>
        <v>0</v>
      </c>
      <c r="K311" s="393">
        <f>'d3'!K311-d3П!K311</f>
        <v>0</v>
      </c>
      <c r="L311" s="393">
        <f>'d3'!L311-d3П!L311</f>
        <v>0</v>
      </c>
      <c r="M311" s="393">
        <f>'d3'!M311-d3П!M311</f>
        <v>0</v>
      </c>
      <c r="N311" s="393">
        <f>'d3'!N311-d3П!N311</f>
        <v>0</v>
      </c>
      <c r="O311" s="393">
        <f>'d3'!O311-d3П!O311</f>
        <v>0</v>
      </c>
      <c r="P311" s="393">
        <f>'d3'!P311-d3П!P311</f>
        <v>0</v>
      </c>
      <c r="Q311" s="20"/>
      <c r="R311" s="50"/>
    </row>
    <row r="312" spans="1:18" ht="91.5" thickTop="1" thickBot="1" x14ac:dyDescent="0.25">
      <c r="A312" s="403" t="s">
        <v>25</v>
      </c>
      <c r="B312" s="403"/>
      <c r="C312" s="403"/>
      <c r="D312" s="404" t="s">
        <v>1436</v>
      </c>
      <c r="E312" s="406">
        <f>E313</f>
        <v>0</v>
      </c>
      <c r="F312" s="405">
        <f t="shared" ref="F312:G312" si="55">F313</f>
        <v>0</v>
      </c>
      <c r="G312" s="405">
        <f t="shared" si="55"/>
        <v>0</v>
      </c>
      <c r="H312" s="405">
        <f>H313</f>
        <v>0</v>
      </c>
      <c r="I312" s="405">
        <f t="shared" ref="I312" si="56">I313</f>
        <v>0</v>
      </c>
      <c r="J312" s="406">
        <f>J313</f>
        <v>0</v>
      </c>
      <c r="K312" s="405">
        <f>K313</f>
        <v>0</v>
      </c>
      <c r="L312" s="405">
        <f>L313</f>
        <v>0</v>
      </c>
      <c r="M312" s="405">
        <f t="shared" ref="M312" si="57">M313</f>
        <v>0</v>
      </c>
      <c r="N312" s="405">
        <f>N313</f>
        <v>0</v>
      </c>
      <c r="O312" s="406">
        <f>O313</f>
        <v>0</v>
      </c>
      <c r="P312" s="405">
        <f t="shared" ref="P312" si="58">P313</f>
        <v>0</v>
      </c>
      <c r="Q312" s="20"/>
    </row>
    <row r="313" spans="1:18" ht="91.5" thickTop="1" thickBot="1" x14ac:dyDescent="0.25">
      <c r="A313" s="407" t="s">
        <v>26</v>
      </c>
      <c r="B313" s="407"/>
      <c r="C313" s="407"/>
      <c r="D313" s="408" t="s">
        <v>901</v>
      </c>
      <c r="E313" s="409">
        <f>E314+E320+E323+E318</f>
        <v>0</v>
      </c>
      <c r="F313" s="409">
        <f>F314+F320+F323+F318</f>
        <v>0</v>
      </c>
      <c r="G313" s="409">
        <f>G314+G320+G323+G318</f>
        <v>0</v>
      </c>
      <c r="H313" s="409">
        <f>H314+H320+H323+H318</f>
        <v>0</v>
      </c>
      <c r="I313" s="409">
        <f>I314+I320+I323+I318</f>
        <v>0</v>
      </c>
      <c r="J313" s="409">
        <f>L313+O313</f>
        <v>0</v>
      </c>
      <c r="K313" s="409">
        <f>K314+K320+K323+K318</f>
        <v>0</v>
      </c>
      <c r="L313" s="409">
        <f>L314+L320+L323+L318</f>
        <v>0</v>
      </c>
      <c r="M313" s="409">
        <f>M314+M320+M323+M318</f>
        <v>0</v>
      </c>
      <c r="N313" s="409">
        <f>N314+N320+N323+N318</f>
        <v>0</v>
      </c>
      <c r="O313" s="409">
        <f>O314+O320+O323+O318</f>
        <v>0</v>
      </c>
      <c r="P313" s="409">
        <f>E313+J313</f>
        <v>0</v>
      </c>
      <c r="Q313" s="353" t="b">
        <f>P313=P315+P316+P319+P322+P325+P327+P328+P330</f>
        <v>1</v>
      </c>
      <c r="R313" s="46"/>
    </row>
    <row r="314" spans="1:18" ht="47.25" thickTop="1" thickBot="1" x14ac:dyDescent="0.25">
      <c r="A314" s="346" t="s">
        <v>820</v>
      </c>
      <c r="B314" s="346" t="s">
        <v>690</v>
      </c>
      <c r="C314" s="346"/>
      <c r="D314" s="346" t="s">
        <v>691</v>
      </c>
      <c r="E314" s="393">
        <f>'d3'!E314-d3П!E314</f>
        <v>0</v>
      </c>
      <c r="F314" s="393">
        <f>'d3'!F314-d3П!F314</f>
        <v>0</v>
      </c>
      <c r="G314" s="393">
        <f>'d3'!G314-d3П!G314</f>
        <v>0</v>
      </c>
      <c r="H314" s="393">
        <f>'d3'!H314-d3П!H314</f>
        <v>0</v>
      </c>
      <c r="I314" s="393">
        <f>'d3'!I314-d3П!I314</f>
        <v>0</v>
      </c>
      <c r="J314" s="393">
        <f>'d3'!J314-d3П!J314</f>
        <v>0</v>
      </c>
      <c r="K314" s="393">
        <f>'d3'!K314-d3П!K314</f>
        <v>0</v>
      </c>
      <c r="L314" s="393">
        <f>'d3'!L314-d3П!L314</f>
        <v>0</v>
      </c>
      <c r="M314" s="393">
        <f>'d3'!M314-d3П!M314</f>
        <v>0</v>
      </c>
      <c r="N314" s="393">
        <f>'d3'!N314-d3П!N314</f>
        <v>0</v>
      </c>
      <c r="O314" s="393">
        <f>'d3'!O314-d3П!O314</f>
        <v>0</v>
      </c>
      <c r="P314" s="393">
        <f>'d3'!P314-d3П!P314</f>
        <v>0</v>
      </c>
      <c r="Q314" s="47"/>
      <c r="R314" s="46"/>
    </row>
    <row r="315" spans="1:18" ht="93" thickTop="1" thickBot="1" x14ac:dyDescent="0.25">
      <c r="A315" s="119" t="s">
        <v>421</v>
      </c>
      <c r="B315" s="119" t="s">
        <v>240</v>
      </c>
      <c r="C315" s="119" t="s">
        <v>238</v>
      </c>
      <c r="D315" s="119" t="s">
        <v>239</v>
      </c>
      <c r="E315" s="393">
        <f>'d3'!E315-d3П!E315</f>
        <v>0</v>
      </c>
      <c r="F315" s="393">
        <f>'d3'!F315-d3П!F315</f>
        <v>0</v>
      </c>
      <c r="G315" s="393">
        <f>'d3'!G315-d3П!G315</f>
        <v>0</v>
      </c>
      <c r="H315" s="393">
        <f>'d3'!H315-d3П!H315</f>
        <v>0</v>
      </c>
      <c r="I315" s="393">
        <f>'d3'!I315-d3П!I315</f>
        <v>0</v>
      </c>
      <c r="J315" s="393">
        <f>'d3'!J315-d3П!J315</f>
        <v>0</v>
      </c>
      <c r="K315" s="393">
        <f>'d3'!K315-d3П!K315</f>
        <v>0</v>
      </c>
      <c r="L315" s="393">
        <f>'d3'!L315-d3П!L315</f>
        <v>0</v>
      </c>
      <c r="M315" s="393">
        <f>'d3'!M315-d3П!M315</f>
        <v>0</v>
      </c>
      <c r="N315" s="393">
        <f>'d3'!N315-d3П!N315</f>
        <v>0</v>
      </c>
      <c r="O315" s="393">
        <f>'d3'!O315-d3П!O315</f>
        <v>0</v>
      </c>
      <c r="P315" s="393">
        <f>'d3'!P315-d3П!P315</f>
        <v>0</v>
      </c>
      <c r="Q315" s="47"/>
      <c r="R315" s="50"/>
    </row>
    <row r="316" spans="1:18" ht="93" thickTop="1" thickBot="1" x14ac:dyDescent="0.25">
      <c r="A316" s="119" t="s">
        <v>636</v>
      </c>
      <c r="B316" s="119" t="s">
        <v>366</v>
      </c>
      <c r="C316" s="119" t="s">
        <v>631</v>
      </c>
      <c r="D316" s="119" t="s">
        <v>632</v>
      </c>
      <c r="E316" s="393">
        <f>'d3'!E316-d3П!E316</f>
        <v>0</v>
      </c>
      <c r="F316" s="393">
        <f>'d3'!F316-d3П!F316</f>
        <v>0</v>
      </c>
      <c r="G316" s="393">
        <f>'d3'!G316-d3П!G316</f>
        <v>0</v>
      </c>
      <c r="H316" s="393">
        <f>'d3'!H316-d3П!H316</f>
        <v>0</v>
      </c>
      <c r="I316" s="393">
        <f>'d3'!I316-d3П!I316</f>
        <v>0</v>
      </c>
      <c r="J316" s="393">
        <f>'d3'!J316-d3П!J316</f>
        <v>0</v>
      </c>
      <c r="K316" s="393">
        <f>'d3'!K316-d3П!K316</f>
        <v>0</v>
      </c>
      <c r="L316" s="393">
        <f>'d3'!L316-d3П!L316</f>
        <v>0</v>
      </c>
      <c r="M316" s="393">
        <f>'d3'!M316-d3П!M316</f>
        <v>0</v>
      </c>
      <c r="N316" s="393">
        <f>'d3'!N316-d3П!N316</f>
        <v>0</v>
      </c>
      <c r="O316" s="393">
        <f>'d3'!O316-d3П!O316</f>
        <v>0</v>
      </c>
      <c r="P316" s="393">
        <f>'d3'!P316-d3П!P316</f>
        <v>0</v>
      </c>
      <c r="Q316" s="47"/>
      <c r="R316" s="50"/>
    </row>
    <row r="317" spans="1:18" ht="47.25" hidden="1" thickTop="1" thickBot="1" x14ac:dyDescent="0.25">
      <c r="A317" s="144" t="s">
        <v>937</v>
      </c>
      <c r="B317" s="144" t="s">
        <v>43</v>
      </c>
      <c r="C317" s="144" t="s">
        <v>42</v>
      </c>
      <c r="D317" s="144" t="s">
        <v>252</v>
      </c>
      <c r="E317" s="393">
        <f>'d3'!E317-d3П!E317</f>
        <v>0</v>
      </c>
      <c r="F317" s="393">
        <f>'d3'!F317-d3П!F317</f>
        <v>0</v>
      </c>
      <c r="G317" s="393">
        <f>'d3'!G317-d3П!G317</f>
        <v>0</v>
      </c>
      <c r="H317" s="393">
        <f>'d3'!H317-d3П!H317</f>
        <v>0</v>
      </c>
      <c r="I317" s="393">
        <f>'d3'!I317-d3П!I317</f>
        <v>0</v>
      </c>
      <c r="J317" s="393">
        <f>'d3'!J317-d3П!J317</f>
        <v>0</v>
      </c>
      <c r="K317" s="393">
        <f>'d3'!K317-d3П!K317</f>
        <v>0</v>
      </c>
      <c r="L317" s="393">
        <f>'d3'!L317-d3П!L317</f>
        <v>0</v>
      </c>
      <c r="M317" s="393">
        <f>'d3'!M317-d3П!M317</f>
        <v>0</v>
      </c>
      <c r="N317" s="393">
        <f>'d3'!N317-d3П!N317</f>
        <v>0</v>
      </c>
      <c r="O317" s="393">
        <f>'d3'!O317-d3П!O317</f>
        <v>0</v>
      </c>
      <c r="P317" s="393">
        <f>'d3'!P317-d3П!P317</f>
        <v>0</v>
      </c>
      <c r="Q317" s="47"/>
      <c r="R317" s="50"/>
    </row>
    <row r="318" spans="1:18" ht="47.25" thickTop="1" thickBot="1" x14ac:dyDescent="0.25">
      <c r="A318" s="346" t="s">
        <v>1261</v>
      </c>
      <c r="B318" s="346" t="s">
        <v>717</v>
      </c>
      <c r="C318" s="346"/>
      <c r="D318" s="346" t="s">
        <v>718</v>
      </c>
      <c r="E318" s="393">
        <f>'d3'!E318-d3П!E318</f>
        <v>0</v>
      </c>
      <c r="F318" s="393">
        <f>'d3'!F318-d3П!F318</f>
        <v>0</v>
      </c>
      <c r="G318" s="393">
        <f>'d3'!G318-d3П!G318</f>
        <v>0</v>
      </c>
      <c r="H318" s="393">
        <f>'d3'!H318-d3П!H318</f>
        <v>0</v>
      </c>
      <c r="I318" s="393">
        <f>'d3'!I318-d3П!I318</f>
        <v>0</v>
      </c>
      <c r="J318" s="393">
        <f>'d3'!J318-d3П!J318</f>
        <v>0</v>
      </c>
      <c r="K318" s="393">
        <f>'d3'!K318-d3П!K318</f>
        <v>0</v>
      </c>
      <c r="L318" s="393">
        <f>'d3'!L318-d3П!L318</f>
        <v>0</v>
      </c>
      <c r="M318" s="393">
        <f>'d3'!M318-d3П!M318</f>
        <v>0</v>
      </c>
      <c r="N318" s="393">
        <f>'d3'!N318-d3П!N318</f>
        <v>0</v>
      </c>
      <c r="O318" s="393">
        <f>'d3'!O318-d3П!O318</f>
        <v>0</v>
      </c>
      <c r="P318" s="393">
        <f>'d3'!P318-d3П!P318</f>
        <v>0</v>
      </c>
      <c r="Q318" s="47"/>
      <c r="R318" s="50"/>
    </row>
    <row r="319" spans="1:18" ht="93" thickTop="1" thickBot="1" x14ac:dyDescent="0.25">
      <c r="A319" s="119" t="s">
        <v>1262</v>
      </c>
      <c r="B319" s="119" t="s">
        <v>1225</v>
      </c>
      <c r="C319" s="119" t="s">
        <v>210</v>
      </c>
      <c r="D319" s="413" t="s">
        <v>1226</v>
      </c>
      <c r="E319" s="393">
        <f>'d3'!E319-d3П!E319</f>
        <v>0</v>
      </c>
      <c r="F319" s="393">
        <f>'d3'!F319-d3П!F319</f>
        <v>0</v>
      </c>
      <c r="G319" s="393">
        <f>'d3'!G319-d3П!G319</f>
        <v>0</v>
      </c>
      <c r="H319" s="393">
        <f>'d3'!H319-d3П!H319</f>
        <v>0</v>
      </c>
      <c r="I319" s="393">
        <f>'d3'!I319-d3П!I319</f>
        <v>0</v>
      </c>
      <c r="J319" s="393">
        <f>'d3'!J319-d3П!J319</f>
        <v>0</v>
      </c>
      <c r="K319" s="393">
        <f>'d3'!K319-d3П!K319</f>
        <v>0</v>
      </c>
      <c r="L319" s="393">
        <f>'d3'!L319-d3П!L319</f>
        <v>0</v>
      </c>
      <c r="M319" s="393">
        <f>'d3'!M319-d3П!M319</f>
        <v>0</v>
      </c>
      <c r="N319" s="393">
        <f>'d3'!N319-d3П!N319</f>
        <v>0</v>
      </c>
      <c r="O319" s="393">
        <f>'d3'!O319-d3П!O319</f>
        <v>0</v>
      </c>
      <c r="P319" s="393">
        <f>'d3'!P319-d3П!P319</f>
        <v>0</v>
      </c>
      <c r="Q319" s="47"/>
      <c r="R319" s="50"/>
    </row>
    <row r="320" spans="1:18" ht="47.25" thickTop="1" thickBot="1" x14ac:dyDescent="0.25">
      <c r="A320" s="346" t="s">
        <v>821</v>
      </c>
      <c r="B320" s="346" t="s">
        <v>777</v>
      </c>
      <c r="C320" s="119"/>
      <c r="D320" s="346" t="s">
        <v>778</v>
      </c>
      <c r="E320" s="393">
        <f>'d3'!E320-d3П!E320</f>
        <v>0</v>
      </c>
      <c r="F320" s="393">
        <f>'d3'!F320-d3П!F320</f>
        <v>0</v>
      </c>
      <c r="G320" s="393">
        <f>'d3'!G320-d3П!G320</f>
        <v>0</v>
      </c>
      <c r="H320" s="393">
        <f>'d3'!H320-d3П!H320</f>
        <v>0</v>
      </c>
      <c r="I320" s="393">
        <f>'d3'!I320-d3П!I320</f>
        <v>0</v>
      </c>
      <c r="J320" s="393">
        <f>'d3'!J320-d3П!J320</f>
        <v>0</v>
      </c>
      <c r="K320" s="393">
        <f>'d3'!K320-d3П!K320</f>
        <v>0</v>
      </c>
      <c r="L320" s="393">
        <f>'d3'!L320-d3П!L320</f>
        <v>0</v>
      </c>
      <c r="M320" s="393">
        <f>'d3'!M320-d3П!M320</f>
        <v>0</v>
      </c>
      <c r="N320" s="393">
        <f>'d3'!N320-d3П!N320</f>
        <v>0</v>
      </c>
      <c r="O320" s="393">
        <f>'d3'!O320-d3П!O320</f>
        <v>0</v>
      </c>
      <c r="P320" s="393">
        <f>'d3'!P320-d3П!P320</f>
        <v>0</v>
      </c>
      <c r="Q320" s="47"/>
      <c r="R320" s="50"/>
    </row>
    <row r="321" spans="1:18" ht="47.25" thickTop="1" thickBot="1" x14ac:dyDescent="0.25">
      <c r="A321" s="399" t="s">
        <v>822</v>
      </c>
      <c r="B321" s="399" t="s">
        <v>823</v>
      </c>
      <c r="C321" s="399"/>
      <c r="D321" s="399" t="s">
        <v>824</v>
      </c>
      <c r="E321" s="393">
        <f>'d3'!E321-d3П!E321</f>
        <v>0</v>
      </c>
      <c r="F321" s="393">
        <f>'d3'!F321-d3П!F321</f>
        <v>0</v>
      </c>
      <c r="G321" s="393">
        <f>'d3'!G321-d3П!G321</f>
        <v>0</v>
      </c>
      <c r="H321" s="393">
        <f>'d3'!H321-d3П!H321</f>
        <v>0</v>
      </c>
      <c r="I321" s="393">
        <f>'d3'!I321-d3П!I321</f>
        <v>0</v>
      </c>
      <c r="J321" s="393">
        <f>'d3'!J321-d3П!J321</f>
        <v>0</v>
      </c>
      <c r="K321" s="393">
        <f>'d3'!K321-d3П!K321</f>
        <v>0</v>
      </c>
      <c r="L321" s="393">
        <f>'d3'!L321-d3П!L321</f>
        <v>0</v>
      </c>
      <c r="M321" s="393">
        <f>'d3'!M321-d3П!M321</f>
        <v>0</v>
      </c>
      <c r="N321" s="393">
        <f>'d3'!N321-d3П!N321</f>
        <v>0</v>
      </c>
      <c r="O321" s="393">
        <f>'d3'!O321-d3П!O321</f>
        <v>0</v>
      </c>
      <c r="P321" s="393">
        <f>'d3'!P321-d3П!P321</f>
        <v>0</v>
      </c>
      <c r="Q321" s="47"/>
      <c r="R321" s="50"/>
    </row>
    <row r="322" spans="1:18" ht="283.5" customHeight="1" thickTop="1" thickBot="1" x14ac:dyDescent="0.25">
      <c r="A322" s="119" t="s">
        <v>437</v>
      </c>
      <c r="B322" s="119" t="s">
        <v>438</v>
      </c>
      <c r="C322" s="119" t="s">
        <v>199</v>
      </c>
      <c r="D322" s="119" t="s">
        <v>1202</v>
      </c>
      <c r="E322" s="393">
        <f>'d3'!E322-d3П!E322</f>
        <v>0</v>
      </c>
      <c r="F322" s="393">
        <f>'d3'!F322-d3П!F322</f>
        <v>0</v>
      </c>
      <c r="G322" s="393">
        <f>'d3'!G322-d3П!G322</f>
        <v>0</v>
      </c>
      <c r="H322" s="393">
        <f>'d3'!H322-d3П!H322</f>
        <v>0</v>
      </c>
      <c r="I322" s="393">
        <f>'d3'!I322-d3П!I322</f>
        <v>0</v>
      </c>
      <c r="J322" s="393">
        <f>'d3'!J322-d3П!J322</f>
        <v>0</v>
      </c>
      <c r="K322" s="393">
        <f>'d3'!K322-d3П!K322</f>
        <v>0</v>
      </c>
      <c r="L322" s="393">
        <f>'d3'!L322-d3П!L322</f>
        <v>0</v>
      </c>
      <c r="M322" s="393">
        <f>'d3'!M322-d3П!M322</f>
        <v>0</v>
      </c>
      <c r="N322" s="393">
        <f>'d3'!N322-d3П!N322</f>
        <v>0</v>
      </c>
      <c r="O322" s="393">
        <f>'d3'!O322-d3П!O322</f>
        <v>0</v>
      </c>
      <c r="P322" s="393">
        <f>'d3'!P322-d3П!P322</f>
        <v>0</v>
      </c>
      <c r="Q322" s="47"/>
      <c r="R322" s="46"/>
    </row>
    <row r="323" spans="1:18" ht="47.25" thickTop="1" thickBot="1" x14ac:dyDescent="0.25">
      <c r="A323" s="346" t="s">
        <v>825</v>
      </c>
      <c r="B323" s="346" t="s">
        <v>754</v>
      </c>
      <c r="C323" s="119"/>
      <c r="D323" s="346" t="s">
        <v>801</v>
      </c>
      <c r="E323" s="393">
        <f>'d3'!E323-d3П!E323</f>
        <v>0</v>
      </c>
      <c r="F323" s="393">
        <f>'d3'!F323-d3П!F323</f>
        <v>0</v>
      </c>
      <c r="G323" s="393">
        <f>'d3'!G323-d3П!G323</f>
        <v>0</v>
      </c>
      <c r="H323" s="393">
        <f>'d3'!H323-d3П!H323</f>
        <v>0</v>
      </c>
      <c r="I323" s="393">
        <f>'d3'!I323-d3П!I323</f>
        <v>0</v>
      </c>
      <c r="J323" s="393">
        <f>'d3'!J323-d3П!J323</f>
        <v>0</v>
      </c>
      <c r="K323" s="393">
        <f>'d3'!K323-d3П!K323</f>
        <v>0</v>
      </c>
      <c r="L323" s="393">
        <f>'d3'!L323-d3П!L323</f>
        <v>0</v>
      </c>
      <c r="M323" s="393">
        <f>'d3'!M323-d3П!M323</f>
        <v>0</v>
      </c>
      <c r="N323" s="393">
        <f>'d3'!N323-d3П!N323</f>
        <v>0</v>
      </c>
      <c r="O323" s="393">
        <f>'d3'!O323-d3П!O323</f>
        <v>0</v>
      </c>
      <c r="P323" s="393">
        <f>'d3'!P323-d3П!P323</f>
        <v>0</v>
      </c>
      <c r="Q323" s="47"/>
      <c r="R323" s="50"/>
    </row>
    <row r="324" spans="1:18" ht="47.25" thickTop="1" thickBot="1" x14ac:dyDescent="0.25">
      <c r="A324" s="348" t="s">
        <v>826</v>
      </c>
      <c r="B324" s="348" t="s">
        <v>810</v>
      </c>
      <c r="C324" s="348"/>
      <c r="D324" s="348" t="s">
        <v>811</v>
      </c>
      <c r="E324" s="393">
        <f>'d3'!E324-d3П!E324</f>
        <v>0</v>
      </c>
      <c r="F324" s="393">
        <f>'d3'!F324-d3П!F324</f>
        <v>0</v>
      </c>
      <c r="G324" s="393">
        <f>'d3'!G324-d3П!G324</f>
        <v>0</v>
      </c>
      <c r="H324" s="393">
        <f>'d3'!H324-d3П!H324</f>
        <v>0</v>
      </c>
      <c r="I324" s="393">
        <f>'d3'!I324-d3П!I324</f>
        <v>0</v>
      </c>
      <c r="J324" s="393">
        <f>'d3'!J324-d3П!J324</f>
        <v>0</v>
      </c>
      <c r="K324" s="393">
        <f>'d3'!K324-d3П!K324</f>
        <v>0</v>
      </c>
      <c r="L324" s="393">
        <f>'d3'!L324-d3П!L324</f>
        <v>0</v>
      </c>
      <c r="M324" s="393">
        <f>'d3'!M324-d3П!M324</f>
        <v>0</v>
      </c>
      <c r="N324" s="393">
        <f>'d3'!N324-d3П!N324</f>
        <v>0</v>
      </c>
      <c r="O324" s="393">
        <f>'d3'!O324-d3П!O324</f>
        <v>0</v>
      </c>
      <c r="P324" s="393">
        <f>'d3'!P324-d3П!P324</f>
        <v>0</v>
      </c>
      <c r="Q324" s="47"/>
      <c r="R324" s="50"/>
    </row>
    <row r="325" spans="1:18" ht="54" thickTop="1" thickBot="1" x14ac:dyDescent="0.25">
      <c r="A325" s="119" t="s">
        <v>936</v>
      </c>
      <c r="B325" s="119" t="s">
        <v>309</v>
      </c>
      <c r="C325" s="119" t="s">
        <v>308</v>
      </c>
      <c r="D325" s="119" t="s">
        <v>1315</v>
      </c>
      <c r="E325" s="393">
        <f>'d3'!E325-d3П!E325</f>
        <v>0</v>
      </c>
      <c r="F325" s="393">
        <f>'d3'!F325-d3П!F325</f>
        <v>0</v>
      </c>
      <c r="G325" s="393">
        <f>'d3'!G325-d3П!G325</f>
        <v>0</v>
      </c>
      <c r="H325" s="393">
        <f>'d3'!H325-d3П!H325</f>
        <v>0</v>
      </c>
      <c r="I325" s="393">
        <f>'d3'!I325-d3П!I325</f>
        <v>0</v>
      </c>
      <c r="J325" s="393">
        <f>'d3'!J325-d3П!J325</f>
        <v>0</v>
      </c>
      <c r="K325" s="393">
        <f>'d3'!K325-d3П!K325</f>
        <v>0</v>
      </c>
      <c r="L325" s="393">
        <f>'d3'!L325-d3П!L325</f>
        <v>0</v>
      </c>
      <c r="M325" s="393">
        <f>'d3'!M325-d3П!M325</f>
        <v>0</v>
      </c>
      <c r="N325" s="393">
        <f>'d3'!N325-d3П!N325</f>
        <v>0</v>
      </c>
      <c r="O325" s="393">
        <f>'d3'!O325-d3П!O325</f>
        <v>0</v>
      </c>
      <c r="P325" s="393">
        <f>'d3'!P325-d3П!P325</f>
        <v>0</v>
      </c>
      <c r="Q325" s="47"/>
      <c r="R325" s="46"/>
    </row>
    <row r="326" spans="1:18" ht="54.75" thickTop="1" thickBot="1" x14ac:dyDescent="0.25">
      <c r="A326" s="399" t="s">
        <v>827</v>
      </c>
      <c r="B326" s="399" t="s">
        <v>828</v>
      </c>
      <c r="C326" s="399"/>
      <c r="D326" s="399" t="s">
        <v>1308</v>
      </c>
      <c r="E326" s="393">
        <f>'d3'!E326-d3П!E326</f>
        <v>0</v>
      </c>
      <c r="F326" s="393">
        <f>'d3'!F326-d3П!F326</f>
        <v>0</v>
      </c>
      <c r="G326" s="393">
        <f>'d3'!G326-d3П!G326</f>
        <v>0</v>
      </c>
      <c r="H326" s="393">
        <f>'d3'!H326-d3П!H326</f>
        <v>0</v>
      </c>
      <c r="I326" s="393">
        <f>'d3'!I326-d3П!I326</f>
        <v>0</v>
      </c>
      <c r="J326" s="393">
        <f>'d3'!J326-d3П!J326</f>
        <v>0</v>
      </c>
      <c r="K326" s="393">
        <f>'d3'!K326-d3П!K326</f>
        <v>0</v>
      </c>
      <c r="L326" s="393">
        <f>'d3'!L326-d3П!L326</f>
        <v>0</v>
      </c>
      <c r="M326" s="393">
        <f>'d3'!M326-d3П!M326</f>
        <v>0</v>
      </c>
      <c r="N326" s="393">
        <f>'d3'!N326-d3П!N326</f>
        <v>0</v>
      </c>
      <c r="O326" s="393">
        <f>'d3'!O326-d3П!O326</f>
        <v>0</v>
      </c>
      <c r="P326" s="393">
        <f>'d3'!P326-d3П!P326</f>
        <v>0</v>
      </c>
      <c r="Q326" s="47"/>
      <c r="R326" s="50"/>
    </row>
    <row r="327" spans="1:18" ht="54" thickTop="1" thickBot="1" x14ac:dyDescent="0.25">
      <c r="A327" s="119" t="s">
        <v>314</v>
      </c>
      <c r="B327" s="119" t="s">
        <v>315</v>
      </c>
      <c r="C327" s="119" t="s">
        <v>308</v>
      </c>
      <c r="D327" s="119" t="s">
        <v>1293</v>
      </c>
      <c r="E327" s="393">
        <f>'d3'!E327-d3П!E327</f>
        <v>0</v>
      </c>
      <c r="F327" s="393">
        <f>'d3'!F327-d3П!F327</f>
        <v>0</v>
      </c>
      <c r="G327" s="393">
        <f>'d3'!G327-d3П!G327</f>
        <v>0</v>
      </c>
      <c r="H327" s="393">
        <f>'d3'!H327-d3П!H327</f>
        <v>0</v>
      </c>
      <c r="I327" s="393">
        <f>'d3'!I327-d3П!I327</f>
        <v>0</v>
      </c>
      <c r="J327" s="393">
        <f>'d3'!J327-d3П!J327</f>
        <v>0</v>
      </c>
      <c r="K327" s="393">
        <f>'d3'!K327-d3П!K327</f>
        <v>0</v>
      </c>
      <c r="L327" s="393">
        <f>'d3'!L327-d3П!L327</f>
        <v>0</v>
      </c>
      <c r="M327" s="393">
        <f>'d3'!M327-d3П!M327</f>
        <v>0</v>
      </c>
      <c r="N327" s="393">
        <f>'d3'!N327-d3П!N327</f>
        <v>0</v>
      </c>
      <c r="O327" s="393">
        <f>'d3'!O327-d3П!O327</f>
        <v>0</v>
      </c>
      <c r="P327" s="393">
        <f>'d3'!P327-d3П!P327</f>
        <v>0</v>
      </c>
      <c r="Q327" s="142"/>
      <c r="R327" s="46"/>
    </row>
    <row r="328" spans="1:18" ht="54" thickTop="1" thickBot="1" x14ac:dyDescent="0.25">
      <c r="A328" s="119" t="s">
        <v>520</v>
      </c>
      <c r="B328" s="119" t="s">
        <v>521</v>
      </c>
      <c r="C328" s="119" t="s">
        <v>308</v>
      </c>
      <c r="D328" s="119" t="s">
        <v>1321</v>
      </c>
      <c r="E328" s="393">
        <f>'d3'!E328-d3П!E328</f>
        <v>0</v>
      </c>
      <c r="F328" s="393">
        <f>'d3'!F328-d3П!F328</f>
        <v>0</v>
      </c>
      <c r="G328" s="393">
        <f>'d3'!G328-d3П!G328</f>
        <v>0</v>
      </c>
      <c r="H328" s="393">
        <f>'d3'!H328-d3П!H328</f>
        <v>0</v>
      </c>
      <c r="I328" s="393">
        <f>'d3'!I328-d3П!I328</f>
        <v>0</v>
      </c>
      <c r="J328" s="393">
        <f>'d3'!J328-d3П!J328</f>
        <v>0</v>
      </c>
      <c r="K328" s="393">
        <f>'d3'!K328-d3П!K328</f>
        <v>0</v>
      </c>
      <c r="L328" s="393">
        <f>'d3'!L328-d3П!L328</f>
        <v>0</v>
      </c>
      <c r="M328" s="393">
        <f>'d3'!M328-d3П!M328</f>
        <v>0</v>
      </c>
      <c r="N328" s="393">
        <f>'d3'!N328-d3П!N328</f>
        <v>0</v>
      </c>
      <c r="O328" s="393">
        <f>'d3'!O328-d3П!O328</f>
        <v>0</v>
      </c>
      <c r="P328" s="393">
        <f>'d3'!P328-d3П!P328</f>
        <v>0</v>
      </c>
      <c r="Q328" s="142"/>
      <c r="R328" s="46"/>
    </row>
    <row r="329" spans="1:18" ht="54" hidden="1" thickTop="1" thickBot="1" x14ac:dyDescent="0.25">
      <c r="A329" s="144" t="s">
        <v>316</v>
      </c>
      <c r="B329" s="144" t="s">
        <v>317</v>
      </c>
      <c r="C329" s="144" t="s">
        <v>308</v>
      </c>
      <c r="D329" s="144" t="s">
        <v>1263</v>
      </c>
      <c r="E329" s="393">
        <f>'d3'!E329-d3П!E329</f>
        <v>0</v>
      </c>
      <c r="F329" s="393">
        <f>'d3'!F329-d3П!F329</f>
        <v>0</v>
      </c>
      <c r="G329" s="393">
        <f>'d3'!G329-d3П!G329</f>
        <v>0</v>
      </c>
      <c r="H329" s="393">
        <f>'d3'!H329-d3П!H329</f>
        <v>0</v>
      </c>
      <c r="I329" s="393">
        <f>'d3'!I329-d3П!I329</f>
        <v>0</v>
      </c>
      <c r="J329" s="393">
        <f>'d3'!J329-d3П!J329</f>
        <v>0</v>
      </c>
      <c r="K329" s="393">
        <f>'d3'!K329-d3П!K329</f>
        <v>0</v>
      </c>
      <c r="L329" s="393">
        <f>'d3'!L329-d3П!L329</f>
        <v>0</v>
      </c>
      <c r="M329" s="393">
        <f>'d3'!M329-d3П!M329</f>
        <v>0</v>
      </c>
      <c r="N329" s="393">
        <f>'d3'!N329-d3П!N329</f>
        <v>0</v>
      </c>
      <c r="O329" s="393">
        <f>'d3'!O329-d3П!O329</f>
        <v>0</v>
      </c>
      <c r="P329" s="393">
        <f>'d3'!P329-d3П!P329</f>
        <v>0</v>
      </c>
      <c r="Q329" s="142"/>
    </row>
    <row r="330" spans="1:18" ht="54" thickTop="1" thickBot="1" x14ac:dyDescent="0.3">
      <c r="A330" s="119" t="s">
        <v>318</v>
      </c>
      <c r="B330" s="119" t="s">
        <v>319</v>
      </c>
      <c r="C330" s="119" t="s">
        <v>308</v>
      </c>
      <c r="D330" s="119" t="s">
        <v>1322</v>
      </c>
      <c r="E330" s="393">
        <f>'d3'!E330-d3П!E330</f>
        <v>0</v>
      </c>
      <c r="F330" s="393">
        <f>'d3'!F330-d3П!F330</f>
        <v>0</v>
      </c>
      <c r="G330" s="393">
        <f>'d3'!G330-d3П!G330</f>
        <v>0</v>
      </c>
      <c r="H330" s="393">
        <f>'d3'!H330-d3П!H330</f>
        <v>0</v>
      </c>
      <c r="I330" s="393">
        <f>'d3'!I330-d3П!I330</f>
        <v>0</v>
      </c>
      <c r="J330" s="393">
        <f>'d3'!J330-d3П!J330</f>
        <v>0</v>
      </c>
      <c r="K330" s="393">
        <f>'d3'!K330-d3П!K330</f>
        <v>0</v>
      </c>
      <c r="L330" s="393">
        <f>'d3'!L330-d3П!L330</f>
        <v>0</v>
      </c>
      <c r="M330" s="393">
        <f>'d3'!M330-d3П!M330</f>
        <v>0</v>
      </c>
      <c r="N330" s="393">
        <f>'d3'!N330-d3П!N330</f>
        <v>0</v>
      </c>
      <c r="O330" s="393">
        <f>'d3'!O330-d3П!O330</f>
        <v>0</v>
      </c>
      <c r="P330" s="393">
        <f>'d3'!P330-d3П!P330</f>
        <v>0</v>
      </c>
      <c r="Q330" s="178"/>
      <c r="R330" s="46"/>
    </row>
    <row r="331" spans="1:18" ht="48" hidden="1" thickTop="1" thickBot="1" x14ac:dyDescent="0.25">
      <c r="A331" s="41" t="s">
        <v>441</v>
      </c>
      <c r="B331" s="41" t="s">
        <v>354</v>
      </c>
      <c r="C331" s="41" t="s">
        <v>170</v>
      </c>
      <c r="D331" s="41" t="s">
        <v>266</v>
      </c>
      <c r="E331" s="42">
        <f>F331</f>
        <v>0</v>
      </c>
      <c r="F331" s="43"/>
      <c r="G331" s="43"/>
      <c r="H331" s="43"/>
      <c r="I331" s="43"/>
      <c r="J331" s="42">
        <f t="shared" ref="J331" si="59">L331+O331</f>
        <v>0</v>
      </c>
      <c r="K331" s="43">
        <v>0</v>
      </c>
      <c r="L331" s="43"/>
      <c r="M331" s="43"/>
      <c r="N331" s="43"/>
      <c r="O331" s="44">
        <f>K331</f>
        <v>0</v>
      </c>
      <c r="P331" s="42">
        <f t="shared" ref="P331" si="60">E331+J331</f>
        <v>0</v>
      </c>
      <c r="Q331" s="20"/>
      <c r="R331" s="46"/>
    </row>
    <row r="332" spans="1:18" ht="47.25" hidden="1" thickTop="1" thickBot="1" x14ac:dyDescent="0.25">
      <c r="A332" s="152" t="s">
        <v>1002</v>
      </c>
      <c r="B332" s="152" t="s">
        <v>697</v>
      </c>
      <c r="C332" s="152"/>
      <c r="D332" s="152" t="s">
        <v>695</v>
      </c>
      <c r="E332" s="175">
        <f>E333</f>
        <v>0</v>
      </c>
      <c r="F332" s="175">
        <f>F333</f>
        <v>0</v>
      </c>
      <c r="G332" s="175">
        <f>G333</f>
        <v>0</v>
      </c>
      <c r="H332" s="175">
        <f>H333</f>
        <v>0</v>
      </c>
      <c r="I332" s="175">
        <f>I333</f>
        <v>0</v>
      </c>
      <c r="J332" s="175">
        <f t="shared" ref="J332:O332" si="61">J333</f>
        <v>0</v>
      </c>
      <c r="K332" s="175">
        <f t="shared" si="61"/>
        <v>0</v>
      </c>
      <c r="L332" s="175">
        <f t="shared" si="61"/>
        <v>0</v>
      </c>
      <c r="M332" s="175">
        <f t="shared" si="61"/>
        <v>0</v>
      </c>
      <c r="N332" s="175">
        <f t="shared" si="61"/>
        <v>0</v>
      </c>
      <c r="O332" s="175">
        <f t="shared" si="61"/>
        <v>0</v>
      </c>
      <c r="P332" s="175">
        <f>P333</f>
        <v>0</v>
      </c>
      <c r="Q332" s="20"/>
      <c r="R332" s="46"/>
    </row>
    <row r="333" spans="1:18" ht="48" hidden="1" thickTop="1" thickBot="1" x14ac:dyDescent="0.25">
      <c r="A333" s="156" t="s">
        <v>1003</v>
      </c>
      <c r="B333" s="156" t="s">
        <v>700</v>
      </c>
      <c r="C333" s="156"/>
      <c r="D333" s="156" t="s">
        <v>804</v>
      </c>
      <c r="E333" s="174">
        <f>E334+E336</f>
        <v>0</v>
      </c>
      <c r="F333" s="174">
        <f t="shared" ref="F333:P333" si="62">F334+F336</f>
        <v>0</v>
      </c>
      <c r="G333" s="174">
        <f t="shared" si="62"/>
        <v>0</v>
      </c>
      <c r="H333" s="174">
        <f t="shared" si="62"/>
        <v>0</v>
      </c>
      <c r="I333" s="174">
        <f t="shared" si="62"/>
        <v>0</v>
      </c>
      <c r="J333" s="174">
        <f t="shared" si="62"/>
        <v>0</v>
      </c>
      <c r="K333" s="174">
        <f t="shared" si="62"/>
        <v>0</v>
      </c>
      <c r="L333" s="174">
        <f t="shared" si="62"/>
        <v>0</v>
      </c>
      <c r="M333" s="174">
        <f t="shared" si="62"/>
        <v>0</v>
      </c>
      <c r="N333" s="174">
        <f t="shared" si="62"/>
        <v>0</v>
      </c>
      <c r="O333" s="174">
        <f t="shared" si="62"/>
        <v>0</v>
      </c>
      <c r="P333" s="174">
        <f t="shared" si="62"/>
        <v>0</v>
      </c>
      <c r="Q333" s="20"/>
      <c r="R333" s="46"/>
    </row>
    <row r="334" spans="1:18" ht="184.5" hidden="1" thickTop="1" thickBot="1" x14ac:dyDescent="0.7">
      <c r="A334" s="699" t="s">
        <v>1004</v>
      </c>
      <c r="B334" s="699" t="s">
        <v>342</v>
      </c>
      <c r="C334" s="699" t="s">
        <v>170</v>
      </c>
      <c r="D334" s="179" t="s">
        <v>444</v>
      </c>
      <c r="E334" s="700">
        <f t="shared" ref="E334" si="63">F334</f>
        <v>0</v>
      </c>
      <c r="F334" s="701"/>
      <c r="G334" s="701"/>
      <c r="H334" s="701"/>
      <c r="I334" s="701"/>
      <c r="J334" s="700">
        <f t="shared" ref="J334" si="64">L334+O334</f>
        <v>0</v>
      </c>
      <c r="K334" s="701"/>
      <c r="L334" s="701"/>
      <c r="M334" s="701"/>
      <c r="N334" s="701"/>
      <c r="O334" s="706">
        <f>K334</f>
        <v>0</v>
      </c>
      <c r="P334" s="698">
        <f>E334+J334</f>
        <v>0</v>
      </c>
      <c r="Q334" s="20"/>
      <c r="R334" s="46"/>
    </row>
    <row r="335" spans="1:18" ht="93" hidden="1" thickTop="1" thickBot="1" x14ac:dyDescent="0.25">
      <c r="A335" s="699"/>
      <c r="B335" s="699"/>
      <c r="C335" s="699"/>
      <c r="D335" s="180" t="s">
        <v>445</v>
      </c>
      <c r="E335" s="700"/>
      <c r="F335" s="701"/>
      <c r="G335" s="701"/>
      <c r="H335" s="701"/>
      <c r="I335" s="701"/>
      <c r="J335" s="700"/>
      <c r="K335" s="701"/>
      <c r="L335" s="701"/>
      <c r="M335" s="701"/>
      <c r="N335" s="701"/>
      <c r="O335" s="706"/>
      <c r="P335" s="698"/>
      <c r="Q335" s="20"/>
      <c r="R335" s="46"/>
    </row>
    <row r="336" spans="1:18" ht="48" hidden="1" thickTop="1" thickBot="1" x14ac:dyDescent="0.25">
      <c r="A336" s="144" t="s">
        <v>1218</v>
      </c>
      <c r="B336" s="144" t="s">
        <v>261</v>
      </c>
      <c r="C336" s="144" t="s">
        <v>170</v>
      </c>
      <c r="D336" s="172" t="s">
        <v>259</v>
      </c>
      <c r="E336" s="143">
        <f>F336</f>
        <v>0</v>
      </c>
      <c r="F336" s="150"/>
      <c r="G336" s="150"/>
      <c r="H336" s="150"/>
      <c r="I336" s="150"/>
      <c r="J336" s="143">
        <f t="shared" ref="J336" si="65">L336+O336</f>
        <v>0</v>
      </c>
      <c r="K336" s="150"/>
      <c r="L336" s="150"/>
      <c r="M336" s="150"/>
      <c r="N336" s="150"/>
      <c r="O336" s="148">
        <f>K336</f>
        <v>0</v>
      </c>
      <c r="P336" s="143">
        <f t="shared" ref="P336" si="66">E336+J336</f>
        <v>0</v>
      </c>
      <c r="Q336" s="20"/>
      <c r="R336" s="46"/>
    </row>
    <row r="337" spans="1:18" ht="91.5" thickTop="1" thickBot="1" x14ac:dyDescent="0.25">
      <c r="A337" s="403" t="s">
        <v>160</v>
      </c>
      <c r="B337" s="403"/>
      <c r="C337" s="403"/>
      <c r="D337" s="404" t="s">
        <v>902</v>
      </c>
      <c r="E337" s="406">
        <f>E338</f>
        <v>0</v>
      </c>
      <c r="F337" s="405">
        <f t="shared" ref="F337:G337" si="67">F338</f>
        <v>0</v>
      </c>
      <c r="G337" s="405">
        <f t="shared" si="67"/>
        <v>0</v>
      </c>
      <c r="H337" s="405">
        <f>H338</f>
        <v>0</v>
      </c>
      <c r="I337" s="405">
        <f t="shared" ref="I337" si="68">I338</f>
        <v>0</v>
      </c>
      <c r="J337" s="406">
        <f>J338</f>
        <v>0</v>
      </c>
      <c r="K337" s="405">
        <f>K338</f>
        <v>0</v>
      </c>
      <c r="L337" s="405">
        <f>L338</f>
        <v>0</v>
      </c>
      <c r="M337" s="405">
        <f t="shared" ref="M337" si="69">M338</f>
        <v>0</v>
      </c>
      <c r="N337" s="405">
        <f>N338</f>
        <v>0</v>
      </c>
      <c r="O337" s="406">
        <f>O338</f>
        <v>0</v>
      </c>
      <c r="P337" s="405">
        <f t="shared" ref="P337" si="70">P338</f>
        <v>0</v>
      </c>
      <c r="Q337" s="20"/>
    </row>
    <row r="338" spans="1:18" ht="91.5" thickTop="1" thickBot="1" x14ac:dyDescent="0.25">
      <c r="A338" s="407" t="s">
        <v>161</v>
      </c>
      <c r="B338" s="407"/>
      <c r="C338" s="407"/>
      <c r="D338" s="408" t="s">
        <v>903</v>
      </c>
      <c r="E338" s="409">
        <f>E339+E343</f>
        <v>0</v>
      </c>
      <c r="F338" s="409">
        <f>F339+F343</f>
        <v>0</v>
      </c>
      <c r="G338" s="409">
        <f>G339+G343</f>
        <v>0</v>
      </c>
      <c r="H338" s="409">
        <f>H339+H343</f>
        <v>0</v>
      </c>
      <c r="I338" s="409">
        <f>I339+I343</f>
        <v>0</v>
      </c>
      <c r="J338" s="409">
        <f>L338+O338</f>
        <v>0</v>
      </c>
      <c r="K338" s="409">
        <f>K339+K343</f>
        <v>0</v>
      </c>
      <c r="L338" s="409">
        <f>L339+L343</f>
        <v>0</v>
      </c>
      <c r="M338" s="409">
        <f>M339+M343</f>
        <v>0</v>
      </c>
      <c r="N338" s="409">
        <f>N339+N343</f>
        <v>0</v>
      </c>
      <c r="O338" s="409">
        <f>O339+O343</f>
        <v>0</v>
      </c>
      <c r="P338" s="409">
        <f>E338+J338</f>
        <v>0</v>
      </c>
      <c r="Q338" s="353" t="b">
        <f>P338=P340+P341+P342+P345</f>
        <v>1</v>
      </c>
      <c r="R338" s="46"/>
    </row>
    <row r="339" spans="1:18" ht="47.25" thickTop="1" thickBot="1" x14ac:dyDescent="0.25">
      <c r="A339" s="346" t="s">
        <v>829</v>
      </c>
      <c r="B339" s="346" t="s">
        <v>690</v>
      </c>
      <c r="C339" s="346"/>
      <c r="D339" s="346" t="s">
        <v>691</v>
      </c>
      <c r="E339" s="393">
        <f>'d3'!E339-d3П!E339</f>
        <v>0</v>
      </c>
      <c r="F339" s="393">
        <f>'d3'!F339-d3П!F339</f>
        <v>0</v>
      </c>
      <c r="G339" s="393">
        <f>'d3'!G339-d3П!G339</f>
        <v>0</v>
      </c>
      <c r="H339" s="393">
        <f>'d3'!H339-d3П!H339</f>
        <v>0</v>
      </c>
      <c r="I339" s="393">
        <f>'d3'!I339-d3П!I339</f>
        <v>0</v>
      </c>
      <c r="J339" s="393">
        <f>'d3'!J339-d3П!J339</f>
        <v>0</v>
      </c>
      <c r="K339" s="393">
        <f>'d3'!K339-d3П!K339</f>
        <v>0</v>
      </c>
      <c r="L339" s="393">
        <f>'d3'!L339-d3П!L339</f>
        <v>0</v>
      </c>
      <c r="M339" s="393">
        <f>'d3'!M339-d3П!M339</f>
        <v>0</v>
      </c>
      <c r="N339" s="393">
        <f>'d3'!N339-d3П!N339</f>
        <v>0</v>
      </c>
      <c r="O339" s="393">
        <f>'d3'!O339-d3П!O339</f>
        <v>0</v>
      </c>
      <c r="P339" s="393">
        <f>'d3'!P339-d3П!P339</f>
        <v>0</v>
      </c>
      <c r="Q339" s="47"/>
      <c r="R339" s="46"/>
    </row>
    <row r="340" spans="1:18" ht="93" thickTop="1" thickBot="1" x14ac:dyDescent="0.25">
      <c r="A340" s="119" t="s">
        <v>423</v>
      </c>
      <c r="B340" s="119" t="s">
        <v>240</v>
      </c>
      <c r="C340" s="119" t="s">
        <v>238</v>
      </c>
      <c r="D340" s="119" t="s">
        <v>239</v>
      </c>
      <c r="E340" s="393">
        <f>'d3'!E340-d3П!E340</f>
        <v>0</v>
      </c>
      <c r="F340" s="393">
        <f>'d3'!F340-d3П!F340</f>
        <v>0</v>
      </c>
      <c r="G340" s="393">
        <f>'d3'!G340-d3П!G340</f>
        <v>0</v>
      </c>
      <c r="H340" s="393">
        <f>'d3'!H340-d3П!H340</f>
        <v>0</v>
      </c>
      <c r="I340" s="393">
        <f>'d3'!I340-d3П!I340</f>
        <v>0</v>
      </c>
      <c r="J340" s="393">
        <f>'d3'!J340-d3П!J340</f>
        <v>0</v>
      </c>
      <c r="K340" s="393">
        <f>'d3'!K340-d3П!K340</f>
        <v>0</v>
      </c>
      <c r="L340" s="393">
        <f>'d3'!L340-d3П!L340</f>
        <v>0</v>
      </c>
      <c r="M340" s="393">
        <f>'d3'!M340-d3П!M340</f>
        <v>0</v>
      </c>
      <c r="N340" s="393">
        <f>'d3'!N340-d3П!N340</f>
        <v>0</v>
      </c>
      <c r="O340" s="393">
        <f>'d3'!O340-d3П!O340</f>
        <v>0</v>
      </c>
      <c r="P340" s="393">
        <f>'d3'!P340-d3П!P340</f>
        <v>0</v>
      </c>
      <c r="Q340" s="47"/>
      <c r="R340" s="46"/>
    </row>
    <row r="341" spans="1:18" ht="93" thickTop="1" thickBot="1" x14ac:dyDescent="0.25">
      <c r="A341" s="119" t="s">
        <v>637</v>
      </c>
      <c r="B341" s="119" t="s">
        <v>366</v>
      </c>
      <c r="C341" s="119" t="s">
        <v>631</v>
      </c>
      <c r="D341" s="119" t="s">
        <v>632</v>
      </c>
      <c r="E341" s="393">
        <f>'d3'!E341-d3П!E341</f>
        <v>0</v>
      </c>
      <c r="F341" s="393">
        <f>'d3'!F341-d3П!F341</f>
        <v>0</v>
      </c>
      <c r="G341" s="393">
        <f>'d3'!G341-d3П!G341</f>
        <v>0</v>
      </c>
      <c r="H341" s="393">
        <f>'d3'!H341-d3П!H341</f>
        <v>0</v>
      </c>
      <c r="I341" s="393">
        <f>'d3'!I341-d3П!I341</f>
        <v>0</v>
      </c>
      <c r="J341" s="393">
        <f>'d3'!J341-d3П!J341</f>
        <v>0</v>
      </c>
      <c r="K341" s="393">
        <f>'d3'!K341-d3П!K341</f>
        <v>0</v>
      </c>
      <c r="L341" s="393">
        <f>'d3'!L341-d3П!L341</f>
        <v>0</v>
      </c>
      <c r="M341" s="393">
        <f>'d3'!M341-d3П!M341</f>
        <v>0</v>
      </c>
      <c r="N341" s="393">
        <f>'d3'!N341-d3П!N341</f>
        <v>0</v>
      </c>
      <c r="O341" s="393">
        <f>'d3'!O341-d3П!O341</f>
        <v>0</v>
      </c>
      <c r="P341" s="393">
        <f>'d3'!P341-d3П!P341</f>
        <v>0</v>
      </c>
      <c r="Q341" s="47"/>
      <c r="R341" s="46"/>
    </row>
    <row r="342" spans="1:18" ht="47.25" thickTop="1" thickBot="1" x14ac:dyDescent="0.25">
      <c r="A342" s="119" t="s">
        <v>1312</v>
      </c>
      <c r="B342" s="119" t="s">
        <v>43</v>
      </c>
      <c r="C342" s="119" t="s">
        <v>42</v>
      </c>
      <c r="D342" s="119" t="s">
        <v>252</v>
      </c>
      <c r="E342" s="393">
        <f>'d3'!E342-d3П!E342</f>
        <v>0</v>
      </c>
      <c r="F342" s="393">
        <f>'d3'!F342-d3П!F342</f>
        <v>0</v>
      </c>
      <c r="G342" s="393">
        <f>'d3'!G342-d3П!G342</f>
        <v>0</v>
      </c>
      <c r="H342" s="393">
        <f>'d3'!H342-d3П!H342</f>
        <v>0</v>
      </c>
      <c r="I342" s="393">
        <f>'d3'!I342-d3П!I342</f>
        <v>0</v>
      </c>
      <c r="J342" s="393">
        <f>'d3'!J342-d3П!J342</f>
        <v>0</v>
      </c>
      <c r="K342" s="393">
        <f>'d3'!K342-d3П!K342</f>
        <v>0</v>
      </c>
      <c r="L342" s="393">
        <f>'d3'!L342-d3П!L342</f>
        <v>0</v>
      </c>
      <c r="M342" s="393">
        <f>'d3'!M342-d3П!M342</f>
        <v>0</v>
      </c>
      <c r="N342" s="393">
        <f>'d3'!N342-d3П!N342</f>
        <v>0</v>
      </c>
      <c r="O342" s="393">
        <f>'d3'!O342-d3П!O342</f>
        <v>0</v>
      </c>
      <c r="P342" s="393">
        <f>'d3'!P342-d3П!P342</f>
        <v>0</v>
      </c>
      <c r="Q342" s="47"/>
      <c r="R342" s="46"/>
    </row>
    <row r="343" spans="1:18" ht="47.25" thickTop="1" thickBot="1" x14ac:dyDescent="0.25">
      <c r="A343" s="346" t="s">
        <v>918</v>
      </c>
      <c r="B343" s="346" t="s">
        <v>754</v>
      </c>
      <c r="C343" s="119"/>
      <c r="D343" s="346" t="s">
        <v>801</v>
      </c>
      <c r="E343" s="393">
        <f>'d3'!E343-d3П!E343</f>
        <v>0</v>
      </c>
      <c r="F343" s="393">
        <f>'d3'!F343-d3П!F343</f>
        <v>0</v>
      </c>
      <c r="G343" s="393">
        <f>'d3'!G343-d3П!G343</f>
        <v>0</v>
      </c>
      <c r="H343" s="393">
        <f>'d3'!H343-d3П!H343</f>
        <v>0</v>
      </c>
      <c r="I343" s="393">
        <f>'d3'!I343-d3П!I343</f>
        <v>0</v>
      </c>
      <c r="J343" s="393">
        <f>'d3'!J343-d3П!J343</f>
        <v>0</v>
      </c>
      <c r="K343" s="393">
        <f>'d3'!K343-d3П!K343</f>
        <v>0</v>
      </c>
      <c r="L343" s="393">
        <f>'d3'!L343-d3П!L343</f>
        <v>0</v>
      </c>
      <c r="M343" s="393">
        <f>'d3'!M343-d3П!M343</f>
        <v>0</v>
      </c>
      <c r="N343" s="393">
        <f>'d3'!N343-d3П!N343</f>
        <v>0</v>
      </c>
      <c r="O343" s="393">
        <f>'d3'!O343-d3П!O343</f>
        <v>0</v>
      </c>
      <c r="P343" s="393">
        <f>'d3'!P343-d3П!P343</f>
        <v>0</v>
      </c>
      <c r="Q343" s="47"/>
      <c r="R343" s="46"/>
    </row>
    <row r="344" spans="1:18" ht="47.25" thickTop="1" thickBot="1" x14ac:dyDescent="0.25">
      <c r="A344" s="348" t="s">
        <v>919</v>
      </c>
      <c r="B344" s="348" t="s">
        <v>810</v>
      </c>
      <c r="C344" s="348"/>
      <c r="D344" s="348" t="s">
        <v>811</v>
      </c>
      <c r="E344" s="393">
        <f>'d3'!E344-d3П!E344</f>
        <v>0</v>
      </c>
      <c r="F344" s="393">
        <f>'d3'!F344-d3П!F344</f>
        <v>0</v>
      </c>
      <c r="G344" s="393">
        <f>'d3'!G344-d3П!G344</f>
        <v>0</v>
      </c>
      <c r="H344" s="393">
        <f>'d3'!H344-d3П!H344</f>
        <v>0</v>
      </c>
      <c r="I344" s="393">
        <f>'d3'!I344-d3П!I344</f>
        <v>0</v>
      </c>
      <c r="J344" s="393">
        <f>'d3'!J344-d3П!J344</f>
        <v>0</v>
      </c>
      <c r="K344" s="393">
        <f>'d3'!K344-d3П!K344</f>
        <v>0</v>
      </c>
      <c r="L344" s="393">
        <f>'d3'!L344-d3П!L344</f>
        <v>0</v>
      </c>
      <c r="M344" s="393">
        <f>'d3'!M344-d3П!M344</f>
        <v>0</v>
      </c>
      <c r="N344" s="393">
        <f>'d3'!N344-d3П!N344</f>
        <v>0</v>
      </c>
      <c r="O344" s="393">
        <f>'d3'!O344-d3П!O344</f>
        <v>0</v>
      </c>
      <c r="P344" s="393">
        <f>'d3'!P344-d3П!P344</f>
        <v>0</v>
      </c>
      <c r="Q344" s="47"/>
      <c r="R344" s="46"/>
    </row>
    <row r="345" spans="1:18" ht="93" thickTop="1" thickBot="1" x14ac:dyDescent="0.25">
      <c r="A345" s="119" t="s">
        <v>920</v>
      </c>
      <c r="B345" s="119" t="s">
        <v>921</v>
      </c>
      <c r="C345" s="119" t="s">
        <v>308</v>
      </c>
      <c r="D345" s="119" t="s">
        <v>922</v>
      </c>
      <c r="E345" s="393">
        <f>'d3'!E345-d3П!E345</f>
        <v>0</v>
      </c>
      <c r="F345" s="393">
        <f>'d3'!F345-d3П!F345</f>
        <v>0</v>
      </c>
      <c r="G345" s="393">
        <f>'d3'!G345-d3П!G345</f>
        <v>0</v>
      </c>
      <c r="H345" s="393">
        <f>'d3'!H345-d3П!H345</f>
        <v>0</v>
      </c>
      <c r="I345" s="393">
        <f>'d3'!I345-d3П!I345</f>
        <v>0</v>
      </c>
      <c r="J345" s="393">
        <f>'d3'!J345-d3П!J345</f>
        <v>0</v>
      </c>
      <c r="K345" s="393">
        <f>'d3'!K345-d3П!K345</f>
        <v>0</v>
      </c>
      <c r="L345" s="393">
        <f>'d3'!L345-d3П!L345</f>
        <v>0</v>
      </c>
      <c r="M345" s="393">
        <f>'d3'!M345-d3П!M345</f>
        <v>0</v>
      </c>
      <c r="N345" s="393">
        <f>'d3'!N345-d3П!N345</f>
        <v>0</v>
      </c>
      <c r="O345" s="393">
        <f>'d3'!O345-d3П!O345</f>
        <v>0</v>
      </c>
      <c r="P345" s="393">
        <f>'d3'!P345-d3П!P345</f>
        <v>0</v>
      </c>
      <c r="Q345" s="47"/>
      <c r="R345" s="46"/>
    </row>
    <row r="346" spans="1:18" ht="91.5" thickTop="1" thickBot="1" x14ac:dyDescent="0.25">
      <c r="A346" s="403" t="s">
        <v>448</v>
      </c>
      <c r="B346" s="403"/>
      <c r="C346" s="403"/>
      <c r="D346" s="404" t="s">
        <v>450</v>
      </c>
      <c r="E346" s="406">
        <f>E347</f>
        <v>5079059</v>
      </c>
      <c r="F346" s="405">
        <f t="shared" ref="F346:G346" si="71">F347</f>
        <v>5079059</v>
      </c>
      <c r="G346" s="405">
        <f t="shared" si="71"/>
        <v>0</v>
      </c>
      <c r="H346" s="405">
        <f>H347</f>
        <v>0</v>
      </c>
      <c r="I346" s="405">
        <f t="shared" ref="I346" si="72">I347</f>
        <v>0</v>
      </c>
      <c r="J346" s="406">
        <f>J347</f>
        <v>0</v>
      </c>
      <c r="K346" s="405">
        <f>K347</f>
        <v>0</v>
      </c>
      <c r="L346" s="405">
        <f>L347</f>
        <v>0</v>
      </c>
      <c r="M346" s="405">
        <f t="shared" ref="M346" si="73">M347</f>
        <v>0</v>
      </c>
      <c r="N346" s="405">
        <f>N347</f>
        <v>0</v>
      </c>
      <c r="O346" s="406">
        <f>O347</f>
        <v>0</v>
      </c>
      <c r="P346" s="405">
        <f t="shared" ref="P346" si="74">P347</f>
        <v>5079059</v>
      </c>
      <c r="Q346" s="20"/>
    </row>
    <row r="347" spans="1:18" ht="91.5" thickTop="1" thickBot="1" x14ac:dyDescent="0.25">
      <c r="A347" s="407" t="s">
        <v>449</v>
      </c>
      <c r="B347" s="407"/>
      <c r="C347" s="407"/>
      <c r="D347" s="408" t="s">
        <v>451</v>
      </c>
      <c r="E347" s="409">
        <f t="shared" ref="E347:O347" si="75">E348+E351+E360+E363</f>
        <v>5079059</v>
      </c>
      <c r="F347" s="409">
        <f t="shared" si="75"/>
        <v>5079059</v>
      </c>
      <c r="G347" s="409">
        <f t="shared" si="75"/>
        <v>0</v>
      </c>
      <c r="H347" s="409">
        <f t="shared" si="75"/>
        <v>0</v>
      </c>
      <c r="I347" s="409">
        <f t="shared" si="75"/>
        <v>0</v>
      </c>
      <c r="J347" s="409">
        <f t="shared" si="75"/>
        <v>0</v>
      </c>
      <c r="K347" s="409">
        <f t="shared" si="75"/>
        <v>0</v>
      </c>
      <c r="L347" s="409">
        <f t="shared" si="75"/>
        <v>0</v>
      </c>
      <c r="M347" s="409">
        <f t="shared" si="75"/>
        <v>0</v>
      </c>
      <c r="N347" s="409">
        <f t="shared" si="75"/>
        <v>0</v>
      </c>
      <c r="O347" s="409">
        <f t="shared" si="75"/>
        <v>0</v>
      </c>
      <c r="P347" s="409">
        <f>E347+J347</f>
        <v>5079059</v>
      </c>
      <c r="Q347" s="353" t="b">
        <f>P347=P349+P356+P362+P359+P364+P354+P350</f>
        <v>1</v>
      </c>
      <c r="R347" s="46"/>
    </row>
    <row r="348" spans="1:18" ht="47.25" thickTop="1" thickBot="1" x14ac:dyDescent="0.25">
      <c r="A348" s="346" t="s">
        <v>830</v>
      </c>
      <c r="B348" s="346" t="s">
        <v>690</v>
      </c>
      <c r="C348" s="346"/>
      <c r="D348" s="346" t="s">
        <v>691</v>
      </c>
      <c r="E348" s="393">
        <f>'d3'!E348-d3П!E348</f>
        <v>0</v>
      </c>
      <c r="F348" s="393">
        <f>'d3'!F348-d3П!F348</f>
        <v>0</v>
      </c>
      <c r="G348" s="393">
        <f>'d3'!G348-d3П!G348</f>
        <v>0</v>
      </c>
      <c r="H348" s="393">
        <f>'d3'!H348-d3П!H348</f>
        <v>0</v>
      </c>
      <c r="I348" s="393">
        <f>'d3'!I348-d3П!I348</f>
        <v>0</v>
      </c>
      <c r="J348" s="393">
        <f>'d3'!J348-d3П!J348</f>
        <v>0</v>
      </c>
      <c r="K348" s="393">
        <f>'d3'!K348-d3П!K348</f>
        <v>0</v>
      </c>
      <c r="L348" s="393">
        <f>'d3'!L348-d3П!L348</f>
        <v>0</v>
      </c>
      <c r="M348" s="393">
        <f>'d3'!M348-d3П!M348</f>
        <v>0</v>
      </c>
      <c r="N348" s="393">
        <f>'d3'!N348-d3П!N348</f>
        <v>0</v>
      </c>
      <c r="O348" s="393">
        <f>'d3'!O348-d3П!O348</f>
        <v>0</v>
      </c>
      <c r="P348" s="393">
        <f>'d3'!P348-d3П!P348</f>
        <v>0</v>
      </c>
      <c r="Q348" s="47"/>
      <c r="R348" s="46"/>
    </row>
    <row r="349" spans="1:18" ht="93" thickTop="1" thickBot="1" x14ac:dyDescent="0.25">
      <c r="A349" s="119" t="s">
        <v>452</v>
      </c>
      <c r="B349" s="119" t="s">
        <v>240</v>
      </c>
      <c r="C349" s="119" t="s">
        <v>238</v>
      </c>
      <c r="D349" s="119" t="s">
        <v>239</v>
      </c>
      <c r="E349" s="393">
        <f>'d3'!E349-d3П!E349</f>
        <v>0</v>
      </c>
      <c r="F349" s="393">
        <f>'d3'!F349-d3П!F349</f>
        <v>0</v>
      </c>
      <c r="G349" s="393">
        <f>'d3'!G349-d3П!G349</f>
        <v>0</v>
      </c>
      <c r="H349" s="393">
        <f>'d3'!H349-d3П!H349</f>
        <v>0</v>
      </c>
      <c r="I349" s="393">
        <f>'d3'!I349-d3П!I349</f>
        <v>0</v>
      </c>
      <c r="J349" s="393">
        <f>'d3'!J349-d3П!J349</f>
        <v>0</v>
      </c>
      <c r="K349" s="393">
        <f>'d3'!K349-d3П!K349</f>
        <v>0</v>
      </c>
      <c r="L349" s="393">
        <f>'d3'!L349-d3П!L349</f>
        <v>0</v>
      </c>
      <c r="M349" s="393">
        <f>'d3'!M349-d3П!M349</f>
        <v>0</v>
      </c>
      <c r="N349" s="393">
        <f>'d3'!N349-d3П!N349</f>
        <v>0</v>
      </c>
      <c r="O349" s="393">
        <f>'d3'!O349-d3П!O349</f>
        <v>0</v>
      </c>
      <c r="P349" s="393">
        <f>'d3'!P349-d3П!P349</f>
        <v>0</v>
      </c>
      <c r="Q349" s="47"/>
      <c r="R349" s="46"/>
    </row>
    <row r="350" spans="1:18" ht="93" thickTop="1" thickBot="1" x14ac:dyDescent="0.25">
      <c r="A350" s="119" t="s">
        <v>638</v>
      </c>
      <c r="B350" s="119" t="s">
        <v>366</v>
      </c>
      <c r="C350" s="119" t="s">
        <v>631</v>
      </c>
      <c r="D350" s="119" t="s">
        <v>632</v>
      </c>
      <c r="E350" s="393">
        <f>'d3'!E350-d3П!E350</f>
        <v>0</v>
      </c>
      <c r="F350" s="393">
        <f>'d3'!F350-d3П!F350</f>
        <v>0</v>
      </c>
      <c r="G350" s="393">
        <f>'d3'!G350-d3П!G350</f>
        <v>0</v>
      </c>
      <c r="H350" s="393">
        <f>'d3'!H350-d3П!H350</f>
        <v>0</v>
      </c>
      <c r="I350" s="393">
        <f>'d3'!I350-d3П!I350</f>
        <v>0</v>
      </c>
      <c r="J350" s="393">
        <f>'d3'!J350-d3П!J350</f>
        <v>0</v>
      </c>
      <c r="K350" s="393">
        <f>'d3'!K350-d3П!K350</f>
        <v>0</v>
      </c>
      <c r="L350" s="393">
        <f>'d3'!L350-d3П!L350</f>
        <v>0</v>
      </c>
      <c r="M350" s="393">
        <f>'d3'!M350-d3П!M350</f>
        <v>0</v>
      </c>
      <c r="N350" s="393">
        <f>'d3'!N350-d3П!N350</f>
        <v>0</v>
      </c>
      <c r="O350" s="393">
        <f>'d3'!O350-d3П!O350</f>
        <v>0</v>
      </c>
      <c r="P350" s="393">
        <f>'d3'!P350-d3П!P350</f>
        <v>0</v>
      </c>
      <c r="Q350" s="47"/>
      <c r="R350" s="46"/>
    </row>
    <row r="351" spans="1:18" ht="47.25" thickTop="1" thickBot="1" x14ac:dyDescent="0.25">
      <c r="A351" s="346" t="s">
        <v>831</v>
      </c>
      <c r="B351" s="346" t="s">
        <v>754</v>
      </c>
      <c r="C351" s="119"/>
      <c r="D351" s="346" t="s">
        <v>801</v>
      </c>
      <c r="E351" s="393">
        <f>'d3'!E351-d3П!E351</f>
        <v>5079059</v>
      </c>
      <c r="F351" s="393">
        <f>'d3'!F351-d3П!F351</f>
        <v>5079059</v>
      </c>
      <c r="G351" s="393">
        <f>'d3'!G351-d3П!G351</f>
        <v>0</v>
      </c>
      <c r="H351" s="393">
        <f>'d3'!H351-d3П!H351</f>
        <v>0</v>
      </c>
      <c r="I351" s="393">
        <f>'d3'!I351-d3П!I351</f>
        <v>0</v>
      </c>
      <c r="J351" s="393">
        <f>'d3'!J351-d3П!J351</f>
        <v>0</v>
      </c>
      <c r="K351" s="393">
        <f>'d3'!K351-d3П!K351</f>
        <v>0</v>
      </c>
      <c r="L351" s="393">
        <f>'d3'!L351-d3П!L351</f>
        <v>0</v>
      </c>
      <c r="M351" s="393">
        <f>'d3'!M351-d3П!M351</f>
        <v>0</v>
      </c>
      <c r="N351" s="393">
        <f>'d3'!N351-d3П!N351</f>
        <v>0</v>
      </c>
      <c r="O351" s="393">
        <f>'d3'!O351-d3П!O351</f>
        <v>0</v>
      </c>
      <c r="P351" s="393">
        <f>'d3'!P351-d3П!P351</f>
        <v>5079059</v>
      </c>
      <c r="Q351" s="47"/>
      <c r="R351" s="50"/>
    </row>
    <row r="352" spans="1:18" ht="47.25" thickTop="1" thickBot="1" x14ac:dyDescent="0.25">
      <c r="A352" s="348" t="s">
        <v>832</v>
      </c>
      <c r="B352" s="348" t="s">
        <v>813</v>
      </c>
      <c r="C352" s="348"/>
      <c r="D352" s="348" t="s">
        <v>814</v>
      </c>
      <c r="E352" s="393">
        <f>'d3'!E352-d3П!E352</f>
        <v>5079059</v>
      </c>
      <c r="F352" s="393">
        <f>'d3'!F352-d3П!F352</f>
        <v>5079059</v>
      </c>
      <c r="G352" s="393">
        <f>'d3'!G352-d3П!G352</f>
        <v>0</v>
      </c>
      <c r="H352" s="393">
        <f>'d3'!H352-d3П!H352</f>
        <v>0</v>
      </c>
      <c r="I352" s="393">
        <f>'d3'!I352-d3П!I352</f>
        <v>0</v>
      </c>
      <c r="J352" s="393">
        <f>'d3'!J352-d3П!J352</f>
        <v>0</v>
      </c>
      <c r="K352" s="393">
        <f>'d3'!K352-d3П!K352</f>
        <v>0</v>
      </c>
      <c r="L352" s="393">
        <f>'d3'!L352-d3П!L352</f>
        <v>0</v>
      </c>
      <c r="M352" s="393">
        <f>'d3'!M352-d3П!M352</f>
        <v>0</v>
      </c>
      <c r="N352" s="393">
        <f>'d3'!N352-d3П!N352</f>
        <v>0</v>
      </c>
      <c r="O352" s="393">
        <f>'d3'!O352-d3П!O352</f>
        <v>0</v>
      </c>
      <c r="P352" s="393">
        <f>'d3'!P352-d3П!P352</f>
        <v>5079059</v>
      </c>
      <c r="Q352" s="47"/>
      <c r="R352" s="50"/>
    </row>
    <row r="353" spans="1:18" ht="93" thickTop="1" thickBot="1" x14ac:dyDescent="0.25">
      <c r="A353" s="399" t="s">
        <v>1029</v>
      </c>
      <c r="B353" s="399" t="s">
        <v>1030</v>
      </c>
      <c r="C353" s="399"/>
      <c r="D353" s="399" t="s">
        <v>1028</v>
      </c>
      <c r="E353" s="393">
        <f>'d3'!E353-d3П!E353</f>
        <v>0</v>
      </c>
      <c r="F353" s="393">
        <f>'d3'!F353-d3П!F353</f>
        <v>0</v>
      </c>
      <c r="G353" s="393">
        <f>'d3'!G353-d3П!G353</f>
        <v>0</v>
      </c>
      <c r="H353" s="393">
        <f>'d3'!H353-d3П!H353</f>
        <v>0</v>
      </c>
      <c r="I353" s="393">
        <f>'d3'!I353-d3П!I353</f>
        <v>0</v>
      </c>
      <c r="J353" s="393">
        <f>'d3'!J353-d3П!J353</f>
        <v>0</v>
      </c>
      <c r="K353" s="393">
        <f>'d3'!K353-d3П!K353</f>
        <v>0</v>
      </c>
      <c r="L353" s="393">
        <f>'d3'!L353-d3П!L353</f>
        <v>0</v>
      </c>
      <c r="M353" s="393">
        <f>'d3'!M353-d3П!M353</f>
        <v>0</v>
      </c>
      <c r="N353" s="393">
        <f>'d3'!N353-d3П!N353</f>
        <v>0</v>
      </c>
      <c r="O353" s="393">
        <f>'d3'!O353-d3П!O353</f>
        <v>0</v>
      </c>
      <c r="P353" s="393">
        <f>'d3'!P353-d3П!P353</f>
        <v>0</v>
      </c>
      <c r="Q353" s="47"/>
      <c r="R353" s="50"/>
    </row>
    <row r="354" spans="1:18" ht="47.25" thickTop="1" thickBot="1" x14ac:dyDescent="0.25">
      <c r="A354" s="119" t="s">
        <v>471</v>
      </c>
      <c r="B354" s="119" t="s">
        <v>416</v>
      </c>
      <c r="C354" s="119" t="s">
        <v>417</v>
      </c>
      <c r="D354" s="119" t="s">
        <v>418</v>
      </c>
      <c r="E354" s="393">
        <f>'d3'!E354-d3П!E354</f>
        <v>0</v>
      </c>
      <c r="F354" s="393">
        <f>'d3'!F354-d3П!F354</f>
        <v>0</v>
      </c>
      <c r="G354" s="393">
        <f>'d3'!G354-d3П!G354</f>
        <v>0</v>
      </c>
      <c r="H354" s="393">
        <f>'d3'!H354-d3П!H354</f>
        <v>0</v>
      </c>
      <c r="I354" s="393">
        <f>'d3'!I354-d3П!I354</f>
        <v>0</v>
      </c>
      <c r="J354" s="393">
        <f>'d3'!J354-d3П!J354</f>
        <v>0</v>
      </c>
      <c r="K354" s="393">
        <f>'d3'!K354-d3П!K354</f>
        <v>0</v>
      </c>
      <c r="L354" s="393">
        <f>'d3'!L354-d3П!L354</f>
        <v>0</v>
      </c>
      <c r="M354" s="393">
        <f>'d3'!M354-d3П!M354</f>
        <v>0</v>
      </c>
      <c r="N354" s="393">
        <f>'d3'!N354-d3П!N354</f>
        <v>0</v>
      </c>
      <c r="O354" s="393">
        <f>'d3'!O354-d3П!O354</f>
        <v>0</v>
      </c>
      <c r="P354" s="393">
        <f>'d3'!P354-d3П!P354</f>
        <v>0</v>
      </c>
      <c r="Q354" s="47"/>
      <c r="R354" s="50"/>
    </row>
    <row r="355" spans="1:18" ht="93" thickTop="1" thickBot="1" x14ac:dyDescent="0.25">
      <c r="A355" s="399" t="s">
        <v>833</v>
      </c>
      <c r="B355" s="399" t="s">
        <v>834</v>
      </c>
      <c r="C355" s="399"/>
      <c r="D355" s="399" t="s">
        <v>835</v>
      </c>
      <c r="E355" s="393">
        <f>'d3'!E355-d3П!E355</f>
        <v>5079059</v>
      </c>
      <c r="F355" s="393">
        <f>'d3'!F355-d3П!F355</f>
        <v>5079059</v>
      </c>
      <c r="G355" s="393">
        <f>'d3'!G355-d3П!G355</f>
        <v>0</v>
      </c>
      <c r="H355" s="393">
        <f>'d3'!H355-d3П!H355</f>
        <v>0</v>
      </c>
      <c r="I355" s="393">
        <f>'d3'!I355-d3П!I355</f>
        <v>0</v>
      </c>
      <c r="J355" s="393">
        <f>'d3'!J355-d3П!J355</f>
        <v>0</v>
      </c>
      <c r="K355" s="393">
        <f>'d3'!K355-d3П!K355</f>
        <v>0</v>
      </c>
      <c r="L355" s="393">
        <f>'d3'!L355-d3П!L355</f>
        <v>0</v>
      </c>
      <c r="M355" s="393">
        <f>'d3'!M355-d3П!M355</f>
        <v>0</v>
      </c>
      <c r="N355" s="393">
        <f>'d3'!N355-d3П!N355</f>
        <v>0</v>
      </c>
      <c r="O355" s="393">
        <f>'d3'!O355-d3П!O355</f>
        <v>0</v>
      </c>
      <c r="P355" s="393">
        <f>'d3'!P355-d3П!P355</f>
        <v>5079059</v>
      </c>
      <c r="Q355" s="47"/>
      <c r="R355" s="50"/>
    </row>
    <row r="356" spans="1:18" ht="47.25" thickTop="1" thickBot="1" x14ac:dyDescent="0.25">
      <c r="A356" s="119" t="s">
        <v>472</v>
      </c>
      <c r="B356" s="119" t="s">
        <v>295</v>
      </c>
      <c r="C356" s="119" t="s">
        <v>1458</v>
      </c>
      <c r="D356" s="119" t="s">
        <v>296</v>
      </c>
      <c r="E356" s="393">
        <f>'d3'!E356-d3П!E356</f>
        <v>5079059</v>
      </c>
      <c r="F356" s="393">
        <f>'d3'!F356-d3П!F356</f>
        <v>5079059</v>
      </c>
      <c r="G356" s="393">
        <f>'d3'!G356-d3П!G356</f>
        <v>0</v>
      </c>
      <c r="H356" s="393">
        <f>'d3'!H356-d3П!H356</f>
        <v>0</v>
      </c>
      <c r="I356" s="393">
        <f>'d3'!I356-d3П!I356</f>
        <v>0</v>
      </c>
      <c r="J356" s="393">
        <f>'d3'!J356-d3П!J356</f>
        <v>0</v>
      </c>
      <c r="K356" s="393">
        <f>'d3'!K356-d3П!K356</f>
        <v>0</v>
      </c>
      <c r="L356" s="393">
        <f>'d3'!L356-d3П!L356</f>
        <v>0</v>
      </c>
      <c r="M356" s="393">
        <f>'d3'!M356-d3П!M356</f>
        <v>0</v>
      </c>
      <c r="N356" s="393">
        <f>'d3'!N356-d3П!N356</f>
        <v>0</v>
      </c>
      <c r="O356" s="393">
        <f>'d3'!O356-d3П!O356</f>
        <v>0</v>
      </c>
      <c r="P356" s="393">
        <f>'d3'!P356-d3П!P356</f>
        <v>5079059</v>
      </c>
      <c r="Q356" s="47"/>
      <c r="R356" s="50"/>
    </row>
    <row r="357" spans="1:18" ht="47.25" hidden="1" thickTop="1" thickBot="1" x14ac:dyDescent="0.25">
      <c r="A357" s="144" t="s">
        <v>1116</v>
      </c>
      <c r="B357" s="144" t="s">
        <v>1117</v>
      </c>
      <c r="C357" s="144" t="s">
        <v>299</v>
      </c>
      <c r="D357" s="144" t="s">
        <v>1115</v>
      </c>
      <c r="E357" s="393">
        <f>'d3'!E357-d3П!E357</f>
        <v>0</v>
      </c>
      <c r="F357" s="393">
        <f>'d3'!F357-d3П!F357</f>
        <v>0</v>
      </c>
      <c r="G357" s="393">
        <f>'d3'!G357-d3П!G357</f>
        <v>0</v>
      </c>
      <c r="H357" s="393">
        <f>'d3'!H357-d3П!H357</f>
        <v>0</v>
      </c>
      <c r="I357" s="393">
        <f>'d3'!I357-d3П!I357</f>
        <v>0</v>
      </c>
      <c r="J357" s="393">
        <f>'d3'!J357-d3П!J357</f>
        <v>0</v>
      </c>
      <c r="K357" s="393">
        <f>'d3'!K357-d3П!K357</f>
        <v>0</v>
      </c>
      <c r="L357" s="393">
        <f>'d3'!L357-d3П!L357</f>
        <v>0</v>
      </c>
      <c r="M357" s="393">
        <f>'d3'!M357-d3П!M357</f>
        <v>0</v>
      </c>
      <c r="N357" s="393">
        <f>'d3'!N357-d3П!N357</f>
        <v>0</v>
      </c>
      <c r="O357" s="393">
        <f>'d3'!O357-d3П!O357</f>
        <v>0</v>
      </c>
      <c r="P357" s="393">
        <f>'d3'!P357-d3П!P357</f>
        <v>0</v>
      </c>
      <c r="Q357" s="47"/>
      <c r="R357" s="50"/>
    </row>
    <row r="358" spans="1:18" ht="47.25" thickTop="1" thickBot="1" x14ac:dyDescent="0.25">
      <c r="A358" s="348" t="s">
        <v>1197</v>
      </c>
      <c r="B358" s="348" t="s">
        <v>697</v>
      </c>
      <c r="C358" s="348"/>
      <c r="D358" s="348" t="s">
        <v>695</v>
      </c>
      <c r="E358" s="393">
        <f>'d3'!E358-d3П!E358</f>
        <v>0</v>
      </c>
      <c r="F358" s="393">
        <f>'d3'!F358-d3П!F358</f>
        <v>0</v>
      </c>
      <c r="G358" s="393">
        <f>'d3'!G358-d3П!G358</f>
        <v>0</v>
      </c>
      <c r="H358" s="393">
        <f>'d3'!H358-d3П!H358</f>
        <v>0</v>
      </c>
      <c r="I358" s="393">
        <f>'d3'!I358-d3П!I358</f>
        <v>0</v>
      </c>
      <c r="J358" s="393">
        <f>'d3'!J358-d3П!J358</f>
        <v>0</v>
      </c>
      <c r="K358" s="393">
        <f>'d3'!K358-d3П!K358</f>
        <v>0</v>
      </c>
      <c r="L358" s="393">
        <f>'d3'!L358-d3П!L358</f>
        <v>0</v>
      </c>
      <c r="M358" s="393">
        <f>'d3'!M358-d3П!M358</f>
        <v>0</v>
      </c>
      <c r="N358" s="393">
        <f>'d3'!N358-d3П!N358</f>
        <v>0</v>
      </c>
      <c r="O358" s="393">
        <f>'d3'!O358-d3П!O358</f>
        <v>0</v>
      </c>
      <c r="P358" s="393">
        <f>'d3'!P358-d3П!P358</f>
        <v>0</v>
      </c>
      <c r="Q358" s="47"/>
      <c r="R358" s="50"/>
    </row>
    <row r="359" spans="1:18" ht="47.25" thickTop="1" thickBot="1" x14ac:dyDescent="0.25">
      <c r="A359" s="119" t="s">
        <v>1198</v>
      </c>
      <c r="B359" s="119" t="s">
        <v>201</v>
      </c>
      <c r="C359" s="119" t="s">
        <v>170</v>
      </c>
      <c r="D359" s="119" t="s">
        <v>1199</v>
      </c>
      <c r="E359" s="393">
        <f>'d3'!E359-d3П!E359</f>
        <v>0</v>
      </c>
      <c r="F359" s="393">
        <f>'d3'!F359-d3П!F359</f>
        <v>0</v>
      </c>
      <c r="G359" s="393">
        <f>'d3'!G359-d3П!G359</f>
        <v>0</v>
      </c>
      <c r="H359" s="393">
        <f>'d3'!H359-d3П!H359</f>
        <v>0</v>
      </c>
      <c r="I359" s="393">
        <f>'d3'!I359-d3П!I359</f>
        <v>0</v>
      </c>
      <c r="J359" s="393">
        <f>'d3'!J359-d3П!J359</f>
        <v>0</v>
      </c>
      <c r="K359" s="393">
        <f>'d3'!K359-d3П!K359</f>
        <v>0</v>
      </c>
      <c r="L359" s="393">
        <f>'d3'!L359-d3П!L359</f>
        <v>0</v>
      </c>
      <c r="M359" s="393">
        <f>'d3'!M359-d3П!M359</f>
        <v>0</v>
      </c>
      <c r="N359" s="393">
        <f>'d3'!N359-d3П!N359</f>
        <v>0</v>
      </c>
      <c r="O359" s="393">
        <f>'d3'!O359-d3П!O359</f>
        <v>0</v>
      </c>
      <c r="P359" s="393">
        <f>'d3'!P359-d3П!P359</f>
        <v>0</v>
      </c>
      <c r="Q359" s="47"/>
      <c r="R359" s="50"/>
    </row>
    <row r="360" spans="1:18" ht="47.25" thickTop="1" thickBot="1" x14ac:dyDescent="0.25">
      <c r="A360" s="346" t="s">
        <v>1244</v>
      </c>
      <c r="B360" s="346" t="s">
        <v>702</v>
      </c>
      <c r="C360" s="346"/>
      <c r="D360" s="346" t="s">
        <v>703</v>
      </c>
      <c r="E360" s="393">
        <f>'d3'!E360-d3П!E360</f>
        <v>0</v>
      </c>
      <c r="F360" s="393">
        <f>'d3'!F360-d3П!F360</f>
        <v>0</v>
      </c>
      <c r="G360" s="393">
        <f>'d3'!G360-d3П!G360</f>
        <v>0</v>
      </c>
      <c r="H360" s="393">
        <f>'d3'!H360-d3П!H360</f>
        <v>0</v>
      </c>
      <c r="I360" s="393">
        <f>'d3'!I360-d3П!I360</f>
        <v>0</v>
      </c>
      <c r="J360" s="393">
        <f>'d3'!J360-d3П!J360</f>
        <v>0</v>
      </c>
      <c r="K360" s="393">
        <f>'d3'!K360-d3П!K360</f>
        <v>0</v>
      </c>
      <c r="L360" s="393">
        <f>'d3'!L360-d3П!L360</f>
        <v>0</v>
      </c>
      <c r="M360" s="393">
        <f>'d3'!M360-d3П!M360</f>
        <v>0</v>
      </c>
      <c r="N360" s="393">
        <f>'d3'!N360-d3П!N360</f>
        <v>0</v>
      </c>
      <c r="O360" s="393">
        <f>'d3'!O360-d3П!O360</f>
        <v>0</v>
      </c>
      <c r="P360" s="393">
        <f>'d3'!P360-d3П!P360</f>
        <v>0</v>
      </c>
      <c r="Q360" s="47"/>
      <c r="R360" s="50"/>
    </row>
    <row r="361" spans="1:18" ht="47.25" thickTop="1" thickBot="1" x14ac:dyDescent="0.25">
      <c r="A361" s="348" t="s">
        <v>1245</v>
      </c>
      <c r="B361" s="348" t="s">
        <v>1210</v>
      </c>
      <c r="C361" s="348"/>
      <c r="D361" s="348" t="s">
        <v>1208</v>
      </c>
      <c r="E361" s="393">
        <f>'d3'!E361-d3П!E361</f>
        <v>0</v>
      </c>
      <c r="F361" s="393">
        <f>'d3'!F361-d3П!F361</f>
        <v>0</v>
      </c>
      <c r="G361" s="393">
        <f>'d3'!G361-d3П!G361</f>
        <v>0</v>
      </c>
      <c r="H361" s="393">
        <f>'d3'!H361-d3П!H361</f>
        <v>0</v>
      </c>
      <c r="I361" s="393">
        <f>'d3'!I361-d3П!I361</f>
        <v>0</v>
      </c>
      <c r="J361" s="393">
        <f>'d3'!J361-d3П!J361</f>
        <v>0</v>
      </c>
      <c r="K361" s="393">
        <f>'d3'!K361-d3П!K361</f>
        <v>0</v>
      </c>
      <c r="L361" s="393">
        <f>'d3'!L361-d3П!L361</f>
        <v>0</v>
      </c>
      <c r="M361" s="393">
        <f>'d3'!M361-d3П!M361</f>
        <v>0</v>
      </c>
      <c r="N361" s="393">
        <f>'d3'!N361-d3П!N361</f>
        <v>0</v>
      </c>
      <c r="O361" s="393">
        <f>'d3'!O361-d3П!O361</f>
        <v>0</v>
      </c>
      <c r="P361" s="393">
        <f>'d3'!P361-d3П!P361</f>
        <v>0</v>
      </c>
      <c r="Q361" s="47"/>
      <c r="R361" s="50"/>
    </row>
    <row r="362" spans="1:18" ht="47.25" thickTop="1" thickBot="1" x14ac:dyDescent="0.25">
      <c r="A362" s="119" t="s">
        <v>1246</v>
      </c>
      <c r="B362" s="119" t="s">
        <v>1247</v>
      </c>
      <c r="C362" s="119" t="s">
        <v>1212</v>
      </c>
      <c r="D362" s="119" t="s">
        <v>1248</v>
      </c>
      <c r="E362" s="393">
        <f>'d3'!E362-d3П!E362</f>
        <v>0</v>
      </c>
      <c r="F362" s="393">
        <f>'d3'!F362-d3П!F362</f>
        <v>0</v>
      </c>
      <c r="G362" s="393">
        <f>'d3'!G362-d3П!G362</f>
        <v>0</v>
      </c>
      <c r="H362" s="393">
        <f>'d3'!H362-d3П!H362</f>
        <v>0</v>
      </c>
      <c r="I362" s="393">
        <f>'d3'!I362-d3П!I362</f>
        <v>0</v>
      </c>
      <c r="J362" s="393">
        <f>'d3'!J362-d3П!J362</f>
        <v>0</v>
      </c>
      <c r="K362" s="393">
        <f>'d3'!K362-d3П!K362</f>
        <v>0</v>
      </c>
      <c r="L362" s="393">
        <f>'d3'!L362-d3П!L362</f>
        <v>0</v>
      </c>
      <c r="M362" s="393">
        <f>'d3'!M362-d3П!M362</f>
        <v>0</v>
      </c>
      <c r="N362" s="393">
        <f>'d3'!N362-d3П!N362</f>
        <v>0</v>
      </c>
      <c r="O362" s="393">
        <f>'d3'!O362-d3П!O362</f>
        <v>0</v>
      </c>
      <c r="P362" s="393">
        <f>'d3'!P362-d3П!P362</f>
        <v>0</v>
      </c>
      <c r="Q362" s="47"/>
      <c r="R362" s="50"/>
    </row>
    <row r="363" spans="1:18" ht="47.25" thickTop="1" thickBot="1" x14ac:dyDescent="0.25">
      <c r="A363" s="346" t="s">
        <v>1423</v>
      </c>
      <c r="B363" s="346" t="s">
        <v>708</v>
      </c>
      <c r="C363" s="346"/>
      <c r="D363" s="346" t="s">
        <v>709</v>
      </c>
      <c r="E363" s="393">
        <f>'d3'!E363-d3П!E363</f>
        <v>0</v>
      </c>
      <c r="F363" s="393">
        <f>'d3'!F363-d3П!F363</f>
        <v>0</v>
      </c>
      <c r="G363" s="393">
        <f>'d3'!G363-d3П!G363</f>
        <v>0</v>
      </c>
      <c r="H363" s="393">
        <f>'d3'!H363-d3П!H363</f>
        <v>0</v>
      </c>
      <c r="I363" s="393">
        <f>'d3'!I363-d3П!I363</f>
        <v>0</v>
      </c>
      <c r="J363" s="393">
        <f>'d3'!J363-d3П!J363</f>
        <v>0</v>
      </c>
      <c r="K363" s="393">
        <f>'d3'!K363-d3П!K363</f>
        <v>0</v>
      </c>
      <c r="L363" s="393">
        <f>'d3'!L363-d3П!L363</f>
        <v>0</v>
      </c>
      <c r="M363" s="393">
        <f>'d3'!M363-d3П!M363</f>
        <v>0</v>
      </c>
      <c r="N363" s="393">
        <f>'d3'!N363-d3П!N363</f>
        <v>0</v>
      </c>
      <c r="O363" s="393">
        <f>'d3'!O363-d3П!O363</f>
        <v>0</v>
      </c>
      <c r="P363" s="393">
        <f>'d3'!P363-d3П!P363</f>
        <v>0</v>
      </c>
      <c r="Q363" s="47"/>
      <c r="R363" s="50"/>
    </row>
    <row r="364" spans="1:18" ht="91.5" thickTop="1" thickBot="1" x14ac:dyDescent="0.25">
      <c r="A364" s="348" t="s">
        <v>1424</v>
      </c>
      <c r="B364" s="348" t="s">
        <v>518</v>
      </c>
      <c r="C364" s="348" t="s">
        <v>43</v>
      </c>
      <c r="D364" s="348" t="s">
        <v>519</v>
      </c>
      <c r="E364" s="393">
        <f>'d3'!E364-d3П!E364</f>
        <v>0</v>
      </c>
      <c r="F364" s="393">
        <f>'d3'!F364-d3П!F364</f>
        <v>0</v>
      </c>
      <c r="G364" s="393">
        <f>'d3'!G364-d3П!G364</f>
        <v>0</v>
      </c>
      <c r="H364" s="393">
        <f>'d3'!H364-d3П!H364</f>
        <v>0</v>
      </c>
      <c r="I364" s="393">
        <f>'d3'!I364-d3П!I364</f>
        <v>0</v>
      </c>
      <c r="J364" s="393">
        <f>'d3'!J364-d3П!J364</f>
        <v>0</v>
      </c>
      <c r="K364" s="393">
        <f>'d3'!K364-d3П!K364</f>
        <v>0</v>
      </c>
      <c r="L364" s="393">
        <f>'d3'!L364-d3П!L364</f>
        <v>0</v>
      </c>
      <c r="M364" s="393">
        <f>'d3'!M364-d3П!M364</f>
        <v>0</v>
      </c>
      <c r="N364" s="393">
        <f>'d3'!N364-d3П!N364</f>
        <v>0</v>
      </c>
      <c r="O364" s="393">
        <f>'d3'!O364-d3П!O364</f>
        <v>0</v>
      </c>
      <c r="P364" s="393">
        <f>'d3'!P364-d3П!P364</f>
        <v>0</v>
      </c>
      <c r="Q364" s="47"/>
      <c r="R364" s="50"/>
    </row>
    <row r="365" spans="1:18" ht="46.5" thickTop="1" thickBot="1" x14ac:dyDescent="0.25">
      <c r="A365" s="403" t="s">
        <v>166</v>
      </c>
      <c r="B365" s="403"/>
      <c r="C365" s="403"/>
      <c r="D365" s="404" t="s">
        <v>358</v>
      </c>
      <c r="E365" s="406">
        <f>E366</f>
        <v>0</v>
      </c>
      <c r="F365" s="405">
        <f t="shared" ref="F365:G365" si="76">F366</f>
        <v>0</v>
      </c>
      <c r="G365" s="405">
        <f t="shared" si="76"/>
        <v>0</v>
      </c>
      <c r="H365" s="405">
        <f>H366</f>
        <v>0</v>
      </c>
      <c r="I365" s="405">
        <f t="shared" ref="I365" si="77">I366</f>
        <v>0</v>
      </c>
      <c r="J365" s="406">
        <f>J366</f>
        <v>0</v>
      </c>
      <c r="K365" s="405">
        <f>K366</f>
        <v>0</v>
      </c>
      <c r="L365" s="405">
        <f>L366</f>
        <v>0</v>
      </c>
      <c r="M365" s="405">
        <f t="shared" ref="M365" si="78">M366</f>
        <v>0</v>
      </c>
      <c r="N365" s="405">
        <f>N366</f>
        <v>0</v>
      </c>
      <c r="O365" s="406">
        <f>O366</f>
        <v>0</v>
      </c>
      <c r="P365" s="405">
        <f t="shared" ref="P365" si="79">P366</f>
        <v>0</v>
      </c>
      <c r="Q365" s="20"/>
    </row>
    <row r="366" spans="1:18" ht="91.5" thickTop="1" thickBot="1" x14ac:dyDescent="0.25">
      <c r="A366" s="407" t="s">
        <v>167</v>
      </c>
      <c r="B366" s="407"/>
      <c r="C366" s="407"/>
      <c r="D366" s="408" t="s">
        <v>359</v>
      </c>
      <c r="E366" s="409">
        <f>E369+E381+E378+E367</f>
        <v>0</v>
      </c>
      <c r="F366" s="409">
        <f>F369+F381+F378+F367</f>
        <v>0</v>
      </c>
      <c r="G366" s="409">
        <f>G369+G381+G378+G367</f>
        <v>0</v>
      </c>
      <c r="H366" s="409">
        <f>H369+H381+H378+H367</f>
        <v>0</v>
      </c>
      <c r="I366" s="409">
        <f>I369+I381+I378+I367</f>
        <v>0</v>
      </c>
      <c r="J366" s="409">
        <f>L366+O366</f>
        <v>0</v>
      </c>
      <c r="K366" s="409">
        <f>K369+K381+K378+K367</f>
        <v>0</v>
      </c>
      <c r="L366" s="409">
        <f>L369+L381+L378+L367</f>
        <v>0</v>
      </c>
      <c r="M366" s="409">
        <f>M369+M381+M378+M367</f>
        <v>0</v>
      </c>
      <c r="N366" s="409">
        <f>N369+N381+N378+N367</f>
        <v>0</v>
      </c>
      <c r="O366" s="409">
        <f>O369+O381+O378+O367</f>
        <v>0</v>
      </c>
      <c r="P366" s="409">
        <f>E366+J366</f>
        <v>0</v>
      </c>
      <c r="Q366" s="353" t="b">
        <f>P366=P371+P373+P374+P375+P368+P377+P380+P383</f>
        <v>1</v>
      </c>
      <c r="R366" s="46"/>
    </row>
    <row r="367" spans="1:18" ht="47.25" thickTop="1" thickBot="1" x14ac:dyDescent="0.25">
      <c r="A367" s="346" t="s">
        <v>1380</v>
      </c>
      <c r="B367" s="346" t="s">
        <v>717</v>
      </c>
      <c r="C367" s="346"/>
      <c r="D367" s="346" t="s">
        <v>718</v>
      </c>
      <c r="E367" s="393">
        <f>'d3'!E367-d3П!E367</f>
        <v>0</v>
      </c>
      <c r="F367" s="393">
        <f>'d3'!F367-d3П!F367</f>
        <v>0</v>
      </c>
      <c r="G367" s="393">
        <f>'d3'!G367-d3П!G367</f>
        <v>0</v>
      </c>
      <c r="H367" s="393">
        <f>'d3'!H367-d3П!H367</f>
        <v>0</v>
      </c>
      <c r="I367" s="393">
        <f>'d3'!I367-d3П!I367</f>
        <v>0</v>
      </c>
      <c r="J367" s="393">
        <f>'d3'!J367-d3П!J367</f>
        <v>0</v>
      </c>
      <c r="K367" s="393">
        <f>'d3'!K367-d3П!K367</f>
        <v>0</v>
      </c>
      <c r="L367" s="393">
        <f>'d3'!L367-d3П!L367</f>
        <v>0</v>
      </c>
      <c r="M367" s="393">
        <f>'d3'!M367-d3П!M367</f>
        <v>0</v>
      </c>
      <c r="N367" s="393">
        <f>'d3'!N367-d3П!N367</f>
        <v>0</v>
      </c>
      <c r="O367" s="393">
        <f>'d3'!O367-d3П!O367</f>
        <v>0</v>
      </c>
      <c r="P367" s="393">
        <f>'d3'!P367-d3П!P367</f>
        <v>0</v>
      </c>
      <c r="Q367" s="353"/>
      <c r="R367" s="46"/>
    </row>
    <row r="368" spans="1:18" ht="93" thickTop="1" thickBot="1" x14ac:dyDescent="0.25">
      <c r="A368" s="119" t="s">
        <v>1381</v>
      </c>
      <c r="B368" s="119" t="s">
        <v>1225</v>
      </c>
      <c r="C368" s="119" t="s">
        <v>210</v>
      </c>
      <c r="D368" s="413" t="s">
        <v>1226</v>
      </c>
      <c r="E368" s="393">
        <f>'d3'!E368-d3П!E368</f>
        <v>0</v>
      </c>
      <c r="F368" s="393">
        <f>'d3'!F368-d3П!F368</f>
        <v>0</v>
      </c>
      <c r="G368" s="393">
        <f>'d3'!G368-d3П!G368</f>
        <v>0</v>
      </c>
      <c r="H368" s="393">
        <f>'d3'!H368-d3П!H368</f>
        <v>0</v>
      </c>
      <c r="I368" s="393">
        <f>'d3'!I368-d3П!I368</f>
        <v>0</v>
      </c>
      <c r="J368" s="393">
        <f>'d3'!J368-d3П!J368</f>
        <v>0</v>
      </c>
      <c r="K368" s="393">
        <f>'d3'!K368-d3П!K368</f>
        <v>0</v>
      </c>
      <c r="L368" s="393">
        <f>'d3'!L368-d3П!L368</f>
        <v>0</v>
      </c>
      <c r="M368" s="393">
        <f>'d3'!M368-d3П!M368</f>
        <v>0</v>
      </c>
      <c r="N368" s="393">
        <f>'d3'!N368-d3П!N368</f>
        <v>0</v>
      </c>
      <c r="O368" s="393">
        <f>'d3'!O368-d3П!O368</f>
        <v>0</v>
      </c>
      <c r="P368" s="393">
        <f>'d3'!P368-d3П!P368</f>
        <v>0</v>
      </c>
      <c r="Q368" s="353"/>
      <c r="R368" s="46"/>
    </row>
    <row r="369" spans="1:18" ht="44.25" customHeight="1" thickTop="1" thickBot="1" x14ac:dyDescent="0.25">
      <c r="A369" s="346" t="s">
        <v>836</v>
      </c>
      <c r="B369" s="346" t="s">
        <v>754</v>
      </c>
      <c r="C369" s="119"/>
      <c r="D369" s="346" t="s">
        <v>801</v>
      </c>
      <c r="E369" s="393">
        <f>'d3'!E369-d3П!E369</f>
        <v>0</v>
      </c>
      <c r="F369" s="393">
        <f>'d3'!F369-d3П!F369</f>
        <v>0</v>
      </c>
      <c r="G369" s="393">
        <f>'d3'!G369-d3П!G369</f>
        <v>0</v>
      </c>
      <c r="H369" s="393">
        <f>'d3'!H369-d3П!H369</f>
        <v>0</v>
      </c>
      <c r="I369" s="393">
        <f>'d3'!I369-d3П!I369</f>
        <v>0</v>
      </c>
      <c r="J369" s="393">
        <f>'d3'!J369-d3П!J369</f>
        <v>0</v>
      </c>
      <c r="K369" s="393">
        <f>'d3'!K369-d3П!K369</f>
        <v>0</v>
      </c>
      <c r="L369" s="393">
        <f>'d3'!L369-d3П!L369</f>
        <v>0</v>
      </c>
      <c r="M369" s="393">
        <f>'d3'!M369-d3П!M369</f>
        <v>0</v>
      </c>
      <c r="N369" s="393">
        <f>'d3'!N369-d3П!N369</f>
        <v>0</v>
      </c>
      <c r="O369" s="393">
        <f>'d3'!O369-d3П!O369</f>
        <v>0</v>
      </c>
      <c r="P369" s="393">
        <f>'d3'!P369-d3П!P369</f>
        <v>0</v>
      </c>
      <c r="Q369" s="47"/>
      <c r="R369" s="46"/>
    </row>
    <row r="370" spans="1:18" ht="47.25" thickTop="1" thickBot="1" x14ac:dyDescent="0.25">
      <c r="A370" s="348" t="s">
        <v>1026</v>
      </c>
      <c r="B370" s="348" t="s">
        <v>810</v>
      </c>
      <c r="C370" s="348"/>
      <c r="D370" s="348" t="s">
        <v>811</v>
      </c>
      <c r="E370" s="393">
        <f>'d3'!E370-d3П!E370</f>
        <v>0</v>
      </c>
      <c r="F370" s="393">
        <f>'d3'!F370-d3П!F370</f>
        <v>0</v>
      </c>
      <c r="G370" s="393">
        <f>'d3'!G370-d3П!G370</f>
        <v>0</v>
      </c>
      <c r="H370" s="393">
        <f>'d3'!H370-d3П!H370</f>
        <v>0</v>
      </c>
      <c r="I370" s="393">
        <f>'d3'!I370-d3П!I370</f>
        <v>0</v>
      </c>
      <c r="J370" s="393">
        <f>'d3'!J370-d3П!J370</f>
        <v>0</v>
      </c>
      <c r="K370" s="393">
        <f>'d3'!K370-d3П!K370</f>
        <v>0</v>
      </c>
      <c r="L370" s="393">
        <f>'d3'!L370-d3П!L370</f>
        <v>0</v>
      </c>
      <c r="M370" s="393">
        <f>'d3'!M370-d3П!M370</f>
        <v>0</v>
      </c>
      <c r="N370" s="393">
        <f>'d3'!N370-d3П!N370</f>
        <v>0</v>
      </c>
      <c r="O370" s="393">
        <f>'d3'!O370-d3П!O370</f>
        <v>0</v>
      </c>
      <c r="P370" s="393">
        <f>'d3'!P370-d3П!P370</f>
        <v>0</v>
      </c>
      <c r="Q370" s="45"/>
      <c r="R370" s="46"/>
    </row>
    <row r="371" spans="1:18" ht="47.25" thickTop="1" thickBot="1" x14ac:dyDescent="0.25">
      <c r="A371" s="119" t="s">
        <v>1027</v>
      </c>
      <c r="B371" s="119" t="s">
        <v>354</v>
      </c>
      <c r="C371" s="119" t="s">
        <v>170</v>
      </c>
      <c r="D371" s="119" t="s">
        <v>266</v>
      </c>
      <c r="E371" s="393">
        <f>'d3'!E371-d3П!E371</f>
        <v>0</v>
      </c>
      <c r="F371" s="393">
        <f>'d3'!F371-d3П!F371</f>
        <v>0</v>
      </c>
      <c r="G371" s="393">
        <f>'d3'!G371-d3П!G371</f>
        <v>0</v>
      </c>
      <c r="H371" s="393">
        <f>'d3'!H371-d3П!H371</f>
        <v>0</v>
      </c>
      <c r="I371" s="393">
        <f>'d3'!I371-d3П!I371</f>
        <v>0</v>
      </c>
      <c r="J371" s="393">
        <f>'d3'!J371-d3П!J371</f>
        <v>0</v>
      </c>
      <c r="K371" s="393">
        <f>'d3'!K371-d3П!K371</f>
        <v>0</v>
      </c>
      <c r="L371" s="393">
        <f>'d3'!L371-d3П!L371</f>
        <v>0</v>
      </c>
      <c r="M371" s="393">
        <f>'d3'!M371-d3П!M371</f>
        <v>0</v>
      </c>
      <c r="N371" s="393">
        <f>'d3'!N371-d3П!N371</f>
        <v>0</v>
      </c>
      <c r="O371" s="393">
        <f>'d3'!O371-d3П!O371</f>
        <v>0</v>
      </c>
      <c r="P371" s="393">
        <f>'d3'!P371-d3П!P371</f>
        <v>0</v>
      </c>
      <c r="Q371" s="45"/>
      <c r="R371" s="46"/>
    </row>
    <row r="372" spans="1:18" ht="47.25" thickTop="1" thickBot="1" x14ac:dyDescent="0.25">
      <c r="A372" s="348" t="s">
        <v>837</v>
      </c>
      <c r="B372" s="348" t="s">
        <v>697</v>
      </c>
      <c r="C372" s="348"/>
      <c r="D372" s="348" t="s">
        <v>695</v>
      </c>
      <c r="E372" s="393">
        <f>'d3'!E372-d3П!E372</f>
        <v>0</v>
      </c>
      <c r="F372" s="393">
        <f>'d3'!F372-d3П!F372</f>
        <v>0</v>
      </c>
      <c r="G372" s="393">
        <f>'d3'!G372-d3П!G372</f>
        <v>0</v>
      </c>
      <c r="H372" s="393">
        <f>'d3'!H372-d3П!H372</f>
        <v>0</v>
      </c>
      <c r="I372" s="393">
        <f>'d3'!I372-d3П!I372</f>
        <v>0</v>
      </c>
      <c r="J372" s="393">
        <f>'d3'!J372-d3П!J372</f>
        <v>0</v>
      </c>
      <c r="K372" s="393">
        <f>'d3'!K372-d3П!K372</f>
        <v>0</v>
      </c>
      <c r="L372" s="393">
        <f>'d3'!L372-d3П!L372</f>
        <v>0</v>
      </c>
      <c r="M372" s="393">
        <f>'d3'!M372-d3П!M372</f>
        <v>0</v>
      </c>
      <c r="N372" s="393">
        <f>'d3'!N372-d3П!N372</f>
        <v>0</v>
      </c>
      <c r="O372" s="393">
        <f>'d3'!O372-d3П!O372</f>
        <v>0</v>
      </c>
      <c r="P372" s="393">
        <f>'d3'!P372-d3П!P372</f>
        <v>0</v>
      </c>
      <c r="Q372" s="47"/>
      <c r="R372" s="46"/>
    </row>
    <row r="373" spans="1:18" ht="47.25" thickTop="1" thickBot="1" x14ac:dyDescent="0.25">
      <c r="A373" s="119" t="s">
        <v>264</v>
      </c>
      <c r="B373" s="119" t="s">
        <v>265</v>
      </c>
      <c r="C373" s="119" t="s">
        <v>263</v>
      </c>
      <c r="D373" s="119" t="s">
        <v>262</v>
      </c>
      <c r="E373" s="393">
        <f>'d3'!E373-d3П!E373</f>
        <v>0</v>
      </c>
      <c r="F373" s="393">
        <f>'d3'!F373-d3П!F373</f>
        <v>0</v>
      </c>
      <c r="G373" s="393">
        <f>'d3'!G373-d3П!G373</f>
        <v>0</v>
      </c>
      <c r="H373" s="393">
        <f>'d3'!H373-d3П!H373</f>
        <v>0</v>
      </c>
      <c r="I373" s="393">
        <f>'d3'!I373-d3П!I373</f>
        <v>0</v>
      </c>
      <c r="J373" s="393">
        <f>'d3'!J373-d3П!J373</f>
        <v>0</v>
      </c>
      <c r="K373" s="393">
        <f>'d3'!K373-d3П!K373</f>
        <v>0</v>
      </c>
      <c r="L373" s="393">
        <f>'d3'!L373-d3П!L373</f>
        <v>0</v>
      </c>
      <c r="M373" s="393">
        <f>'d3'!M373-d3П!M373</f>
        <v>0</v>
      </c>
      <c r="N373" s="393">
        <f>'d3'!N373-d3П!N373</f>
        <v>0</v>
      </c>
      <c r="O373" s="393">
        <f>'d3'!O373-d3П!O373</f>
        <v>0</v>
      </c>
      <c r="P373" s="393">
        <f>'d3'!P373-d3П!P373</f>
        <v>0</v>
      </c>
      <c r="Q373" s="20"/>
      <c r="R373" s="46"/>
    </row>
    <row r="374" spans="1:18" ht="47.25" thickTop="1" thickBot="1" x14ac:dyDescent="0.25">
      <c r="A374" s="119" t="s">
        <v>256</v>
      </c>
      <c r="B374" s="119" t="s">
        <v>258</v>
      </c>
      <c r="C374" s="119" t="s">
        <v>217</v>
      </c>
      <c r="D374" s="119" t="s">
        <v>257</v>
      </c>
      <c r="E374" s="393">
        <f>'d3'!E374-d3П!E374</f>
        <v>0</v>
      </c>
      <c r="F374" s="393">
        <f>'d3'!F374-d3П!F374</f>
        <v>0</v>
      </c>
      <c r="G374" s="393">
        <f>'d3'!G374-d3П!G374</f>
        <v>0</v>
      </c>
      <c r="H374" s="393">
        <f>'d3'!H374-d3П!H374</f>
        <v>0</v>
      </c>
      <c r="I374" s="393">
        <f>'d3'!I374-d3П!I374</f>
        <v>0</v>
      </c>
      <c r="J374" s="393">
        <f>'d3'!J374-d3П!J374</f>
        <v>0</v>
      </c>
      <c r="K374" s="393">
        <f>'d3'!K374-d3П!K374</f>
        <v>0</v>
      </c>
      <c r="L374" s="393">
        <f>'d3'!L374-d3П!L374</f>
        <v>0</v>
      </c>
      <c r="M374" s="393">
        <f>'d3'!M374-d3П!M374</f>
        <v>0</v>
      </c>
      <c r="N374" s="393">
        <f>'d3'!N374-d3П!N374</f>
        <v>0</v>
      </c>
      <c r="O374" s="393">
        <f>'d3'!O374-d3П!O374</f>
        <v>0</v>
      </c>
      <c r="P374" s="393">
        <f>'d3'!P374-d3П!P374</f>
        <v>0</v>
      </c>
      <c r="Q374" s="20"/>
      <c r="R374" s="46"/>
    </row>
    <row r="375" spans="1:18" ht="47.25" thickTop="1" thickBot="1" x14ac:dyDescent="0.25">
      <c r="A375" s="119" t="s">
        <v>1375</v>
      </c>
      <c r="B375" s="119" t="s">
        <v>216</v>
      </c>
      <c r="C375" s="119" t="s">
        <v>217</v>
      </c>
      <c r="D375" s="119" t="s">
        <v>41</v>
      </c>
      <c r="E375" s="393">
        <f>'d3'!E375-d3П!E375</f>
        <v>0</v>
      </c>
      <c r="F375" s="393">
        <f>'d3'!F375-d3П!F375</f>
        <v>0</v>
      </c>
      <c r="G375" s="393">
        <f>'d3'!G375-d3П!G375</f>
        <v>0</v>
      </c>
      <c r="H375" s="393">
        <f>'d3'!H375-d3П!H375</f>
        <v>0</v>
      </c>
      <c r="I375" s="393">
        <f>'d3'!I375-d3П!I375</f>
        <v>0</v>
      </c>
      <c r="J375" s="393">
        <f>'d3'!J375-d3П!J375</f>
        <v>0</v>
      </c>
      <c r="K375" s="393">
        <f>'d3'!K375-d3П!K375</f>
        <v>0</v>
      </c>
      <c r="L375" s="393">
        <f>'d3'!L375-d3П!L375</f>
        <v>0</v>
      </c>
      <c r="M375" s="393">
        <f>'d3'!M375-d3П!M375</f>
        <v>0</v>
      </c>
      <c r="N375" s="393">
        <f>'d3'!N375-d3П!N375</f>
        <v>0</v>
      </c>
      <c r="O375" s="393">
        <f>'d3'!O375-d3П!O375</f>
        <v>0</v>
      </c>
      <c r="P375" s="393">
        <f>'d3'!P375-d3П!P375</f>
        <v>0</v>
      </c>
      <c r="Q375" s="20"/>
      <c r="R375" s="46"/>
    </row>
    <row r="376" spans="1:18" ht="47.25" thickTop="1" thickBot="1" x14ac:dyDescent="0.25">
      <c r="A376" s="399" t="s">
        <v>838</v>
      </c>
      <c r="B376" s="399" t="s">
        <v>700</v>
      </c>
      <c r="C376" s="399"/>
      <c r="D376" s="399" t="s">
        <v>698</v>
      </c>
      <c r="E376" s="393">
        <f>'d3'!E376-d3П!E376</f>
        <v>0</v>
      </c>
      <c r="F376" s="393">
        <f>'d3'!F376-d3П!F376</f>
        <v>0</v>
      </c>
      <c r="G376" s="393">
        <f>'d3'!G376-d3П!G376</f>
        <v>0</v>
      </c>
      <c r="H376" s="393">
        <f>'d3'!H376-d3П!H376</f>
        <v>0</v>
      </c>
      <c r="I376" s="393">
        <f>'d3'!I376-d3П!I376</f>
        <v>0</v>
      </c>
      <c r="J376" s="393">
        <f>'d3'!J376-d3П!J376</f>
        <v>0</v>
      </c>
      <c r="K376" s="393">
        <f>'d3'!K376-d3П!K376</f>
        <v>0</v>
      </c>
      <c r="L376" s="393">
        <f>'d3'!L376-d3П!L376</f>
        <v>0</v>
      </c>
      <c r="M376" s="393">
        <f>'d3'!M376-d3П!M376</f>
        <v>0</v>
      </c>
      <c r="N376" s="393">
        <f>'d3'!N376-d3П!N376</f>
        <v>0</v>
      </c>
      <c r="O376" s="393">
        <f>'d3'!O376-d3П!O376</f>
        <v>0</v>
      </c>
      <c r="P376" s="393">
        <f>'d3'!P376-d3П!P376</f>
        <v>0</v>
      </c>
      <c r="Q376" s="20"/>
      <c r="R376" s="46"/>
    </row>
    <row r="377" spans="1:18" ht="47.25" thickTop="1" thickBot="1" x14ac:dyDescent="0.25">
      <c r="A377" s="119" t="s">
        <v>260</v>
      </c>
      <c r="B377" s="119" t="s">
        <v>261</v>
      </c>
      <c r="C377" s="119" t="s">
        <v>170</v>
      </c>
      <c r="D377" s="119" t="s">
        <v>259</v>
      </c>
      <c r="E377" s="393">
        <f>'d3'!E377-d3П!E377</f>
        <v>0</v>
      </c>
      <c r="F377" s="393">
        <f>'d3'!F377-d3П!F377</f>
        <v>0</v>
      </c>
      <c r="G377" s="393">
        <f>'d3'!G377-d3П!G377</f>
        <v>0</v>
      </c>
      <c r="H377" s="393">
        <f>'d3'!H377-d3П!H377</f>
        <v>0</v>
      </c>
      <c r="I377" s="393">
        <f>'d3'!I377-d3П!I377</f>
        <v>0</v>
      </c>
      <c r="J377" s="393">
        <f>'d3'!J377-d3П!J377</f>
        <v>0</v>
      </c>
      <c r="K377" s="393">
        <f>'d3'!K377-d3П!K377</f>
        <v>0</v>
      </c>
      <c r="L377" s="393">
        <f>'d3'!L377-d3П!L377</f>
        <v>0</v>
      </c>
      <c r="M377" s="393">
        <f>'d3'!M377-d3П!M377</f>
        <v>0</v>
      </c>
      <c r="N377" s="393">
        <f>'d3'!N377-d3П!N377</f>
        <v>0</v>
      </c>
      <c r="O377" s="393">
        <f>'d3'!O377-d3П!O377</f>
        <v>0</v>
      </c>
      <c r="P377" s="393">
        <f>'d3'!P377-d3П!P377</f>
        <v>0</v>
      </c>
      <c r="Q377" s="20"/>
      <c r="R377" s="46"/>
    </row>
    <row r="378" spans="1:18" ht="47.25" thickTop="1" thickBot="1" x14ac:dyDescent="0.25">
      <c r="A378" s="346" t="s">
        <v>1377</v>
      </c>
      <c r="B378" s="346" t="s">
        <v>702</v>
      </c>
      <c r="C378" s="346"/>
      <c r="D378" s="346" t="s">
        <v>703</v>
      </c>
      <c r="E378" s="393">
        <f>'d3'!E378-d3П!E378</f>
        <v>0</v>
      </c>
      <c r="F378" s="393">
        <f>'d3'!F378-d3П!F378</f>
        <v>0</v>
      </c>
      <c r="G378" s="393">
        <f>'d3'!G378-d3П!G378</f>
        <v>0</v>
      </c>
      <c r="H378" s="393">
        <f>'d3'!H378-d3П!H378</f>
        <v>0</v>
      </c>
      <c r="I378" s="393">
        <f>'d3'!I378-d3П!I378</f>
        <v>0</v>
      </c>
      <c r="J378" s="393">
        <f>'d3'!J378-d3П!J378</f>
        <v>0</v>
      </c>
      <c r="K378" s="393">
        <f>'d3'!K378-d3П!K378</f>
        <v>0</v>
      </c>
      <c r="L378" s="393">
        <f>'d3'!L378-d3П!L378</f>
        <v>0</v>
      </c>
      <c r="M378" s="393">
        <f>'d3'!M378-d3П!M378</f>
        <v>0</v>
      </c>
      <c r="N378" s="393">
        <f>'d3'!N378-d3П!N378</f>
        <v>0</v>
      </c>
      <c r="O378" s="393">
        <f>'d3'!O378-d3П!O378</f>
        <v>0</v>
      </c>
      <c r="P378" s="393">
        <f>'d3'!P378-d3П!P378</f>
        <v>0</v>
      </c>
      <c r="Q378" s="20"/>
      <c r="R378" s="46"/>
    </row>
    <row r="379" spans="1:18" ht="47.25" thickTop="1" thickBot="1" x14ac:dyDescent="0.25">
      <c r="A379" s="348" t="s">
        <v>1378</v>
      </c>
      <c r="B379" s="348" t="s">
        <v>1210</v>
      </c>
      <c r="C379" s="348"/>
      <c r="D379" s="348" t="s">
        <v>1208</v>
      </c>
      <c r="E379" s="393">
        <f>'d3'!E379-d3П!E379</f>
        <v>0</v>
      </c>
      <c r="F379" s="393">
        <f>'d3'!F379-d3П!F379</f>
        <v>0</v>
      </c>
      <c r="G379" s="393">
        <f>'d3'!G379-d3П!G379</f>
        <v>0</v>
      </c>
      <c r="H379" s="393">
        <f>'d3'!H379-d3П!H379</f>
        <v>0</v>
      </c>
      <c r="I379" s="393">
        <f>'d3'!I379-d3П!I379</f>
        <v>0</v>
      </c>
      <c r="J379" s="393">
        <f>'d3'!J379-d3П!J379</f>
        <v>0</v>
      </c>
      <c r="K379" s="393">
        <f>'d3'!K379-d3П!K379</f>
        <v>0</v>
      </c>
      <c r="L379" s="393">
        <f>'d3'!L379-d3П!L379</f>
        <v>0</v>
      </c>
      <c r="M379" s="393">
        <f>'d3'!M379-d3П!M379</f>
        <v>0</v>
      </c>
      <c r="N379" s="393">
        <f>'d3'!N379-d3П!N379</f>
        <v>0</v>
      </c>
      <c r="O379" s="393">
        <f>'d3'!O379-d3П!O379</f>
        <v>0</v>
      </c>
      <c r="P379" s="393">
        <f>'d3'!P379-d3П!P379</f>
        <v>0</v>
      </c>
      <c r="Q379" s="20"/>
      <c r="R379" s="46"/>
    </row>
    <row r="380" spans="1:18" ht="47.25" thickTop="1" thickBot="1" x14ac:dyDescent="0.25">
      <c r="A380" s="119" t="s">
        <v>1379</v>
      </c>
      <c r="B380" s="119" t="s">
        <v>1214</v>
      </c>
      <c r="C380" s="119" t="s">
        <v>1212</v>
      </c>
      <c r="D380" s="119" t="s">
        <v>1211</v>
      </c>
      <c r="E380" s="393">
        <f>'d3'!E380-d3П!E380</f>
        <v>0</v>
      </c>
      <c r="F380" s="393">
        <f>'d3'!F380-d3П!F380</f>
        <v>0</v>
      </c>
      <c r="G380" s="393">
        <f>'d3'!G380-d3П!G380</f>
        <v>0</v>
      </c>
      <c r="H380" s="393">
        <f>'d3'!H380-d3П!H380</f>
        <v>0</v>
      </c>
      <c r="I380" s="393">
        <f>'d3'!I380-d3П!I380</f>
        <v>0</v>
      </c>
      <c r="J380" s="393">
        <f>'d3'!J380-d3П!J380</f>
        <v>0</v>
      </c>
      <c r="K380" s="393">
        <f>'d3'!K380-d3П!K380</f>
        <v>0</v>
      </c>
      <c r="L380" s="393">
        <f>'d3'!L380-d3П!L380</f>
        <v>0</v>
      </c>
      <c r="M380" s="393">
        <f>'d3'!M380-d3П!M380</f>
        <v>0</v>
      </c>
      <c r="N380" s="393">
        <f>'d3'!N380-d3П!N380</f>
        <v>0</v>
      </c>
      <c r="O380" s="393">
        <f>'d3'!O380-d3П!O380</f>
        <v>0</v>
      </c>
      <c r="P380" s="393">
        <f>'d3'!P380-d3П!P380</f>
        <v>0</v>
      </c>
      <c r="Q380" s="20"/>
      <c r="R380" s="46"/>
    </row>
    <row r="381" spans="1:18" ht="47.25" thickTop="1" thickBot="1" x14ac:dyDescent="0.25">
      <c r="A381" s="346" t="s">
        <v>915</v>
      </c>
      <c r="B381" s="346" t="s">
        <v>708</v>
      </c>
      <c r="C381" s="346"/>
      <c r="D381" s="346" t="s">
        <v>709</v>
      </c>
      <c r="E381" s="393">
        <f>'d3'!E381-d3П!E381</f>
        <v>0</v>
      </c>
      <c r="F381" s="393">
        <f>'d3'!F381-d3П!F381</f>
        <v>0</v>
      </c>
      <c r="G381" s="393">
        <f>'d3'!G381-d3П!G381</f>
        <v>0</v>
      </c>
      <c r="H381" s="393">
        <f>'d3'!H381-d3П!H381</f>
        <v>0</v>
      </c>
      <c r="I381" s="393">
        <f>'d3'!I381-d3П!I381</f>
        <v>0</v>
      </c>
      <c r="J381" s="393">
        <f>'d3'!J381-d3П!J381</f>
        <v>0</v>
      </c>
      <c r="K381" s="393">
        <f>'d3'!K381-d3П!K381</f>
        <v>0</v>
      </c>
      <c r="L381" s="393">
        <f>'d3'!L381-d3П!L381</f>
        <v>0</v>
      </c>
      <c r="M381" s="393">
        <f>'d3'!M381-d3П!M381</f>
        <v>0</v>
      </c>
      <c r="N381" s="393">
        <f>'d3'!N381-d3П!N381</f>
        <v>0</v>
      </c>
      <c r="O381" s="393">
        <f>'d3'!O381-d3П!O381</f>
        <v>0</v>
      </c>
      <c r="P381" s="393">
        <f>'d3'!P381-d3П!P381</f>
        <v>0</v>
      </c>
      <c r="Q381" s="20"/>
      <c r="R381" s="46"/>
    </row>
    <row r="382" spans="1:18" ht="91.5" thickTop="1" thickBot="1" x14ac:dyDescent="0.25">
      <c r="A382" s="348" t="s">
        <v>916</v>
      </c>
      <c r="B382" s="348" t="s">
        <v>711</v>
      </c>
      <c r="C382" s="348"/>
      <c r="D382" s="348" t="s">
        <v>712</v>
      </c>
      <c r="E382" s="393">
        <f>'d3'!E382-d3П!E382</f>
        <v>0</v>
      </c>
      <c r="F382" s="393">
        <f>'d3'!F382-d3П!F382</f>
        <v>0</v>
      </c>
      <c r="G382" s="393">
        <f>'d3'!G382-d3П!G382</f>
        <v>0</v>
      </c>
      <c r="H382" s="393">
        <f>'d3'!H382-d3П!H382</f>
        <v>0</v>
      </c>
      <c r="I382" s="393">
        <f>'d3'!I382-d3П!I382</f>
        <v>0</v>
      </c>
      <c r="J382" s="393">
        <f>'d3'!J382-d3П!J382</f>
        <v>0</v>
      </c>
      <c r="K382" s="393">
        <f>'d3'!K382-d3П!K382</f>
        <v>0</v>
      </c>
      <c r="L382" s="393">
        <f>'d3'!L382-d3П!L382</f>
        <v>0</v>
      </c>
      <c r="M382" s="393">
        <f>'d3'!M382-d3П!M382</f>
        <v>0</v>
      </c>
      <c r="N382" s="393">
        <f>'d3'!N382-d3П!N382</f>
        <v>0</v>
      </c>
      <c r="O382" s="393">
        <f>'d3'!O382-d3П!O382</f>
        <v>0</v>
      </c>
      <c r="P382" s="393">
        <f>'d3'!P382-d3П!P382</f>
        <v>0</v>
      </c>
      <c r="Q382" s="20"/>
      <c r="R382" s="46"/>
    </row>
    <row r="383" spans="1:18" ht="47.25" thickTop="1" thickBot="1" x14ac:dyDescent="0.25">
      <c r="A383" s="119" t="s">
        <v>917</v>
      </c>
      <c r="B383" s="119" t="s">
        <v>367</v>
      </c>
      <c r="C383" s="119" t="s">
        <v>43</v>
      </c>
      <c r="D383" s="119" t="s">
        <v>368</v>
      </c>
      <c r="E383" s="393">
        <f>'d3'!E383-d3П!E383</f>
        <v>0</v>
      </c>
      <c r="F383" s="393">
        <f>'d3'!F383-d3П!F383</f>
        <v>0</v>
      </c>
      <c r="G383" s="393">
        <f>'d3'!G383-d3П!G383</f>
        <v>0</v>
      </c>
      <c r="H383" s="393">
        <f>'d3'!H383-d3П!H383</f>
        <v>0</v>
      </c>
      <c r="I383" s="393">
        <f>'d3'!I383-d3П!I383</f>
        <v>0</v>
      </c>
      <c r="J383" s="393">
        <f>'d3'!J383-d3П!J383</f>
        <v>0</v>
      </c>
      <c r="K383" s="393">
        <f>'d3'!K383-d3П!K383</f>
        <v>0</v>
      </c>
      <c r="L383" s="393">
        <f>'d3'!L383-d3П!L383</f>
        <v>0</v>
      </c>
      <c r="M383" s="393">
        <f>'d3'!M383-d3П!M383</f>
        <v>0</v>
      </c>
      <c r="N383" s="393">
        <f>'d3'!N383-d3П!N383</f>
        <v>0</v>
      </c>
      <c r="O383" s="393">
        <f>'d3'!O383-d3П!O383</f>
        <v>0</v>
      </c>
      <c r="P383" s="393">
        <f>'d3'!P383-d3П!P383</f>
        <v>0</v>
      </c>
      <c r="Q383" s="20"/>
      <c r="R383" s="46"/>
    </row>
    <row r="384" spans="1:18" ht="91.5" thickTop="1" thickBot="1" x14ac:dyDescent="0.25">
      <c r="A384" s="403" t="s">
        <v>164</v>
      </c>
      <c r="B384" s="403"/>
      <c r="C384" s="403"/>
      <c r="D384" s="404" t="s">
        <v>895</v>
      </c>
      <c r="E384" s="406">
        <f>E385</f>
        <v>0</v>
      </c>
      <c r="F384" s="405">
        <f t="shared" ref="F384:G384" si="80">F385</f>
        <v>0</v>
      </c>
      <c r="G384" s="405">
        <f t="shared" si="80"/>
        <v>0</v>
      </c>
      <c r="H384" s="405">
        <f>H385</f>
        <v>0</v>
      </c>
      <c r="I384" s="405">
        <f t="shared" ref="I384" si="81">I385</f>
        <v>0</v>
      </c>
      <c r="J384" s="406">
        <f>J385</f>
        <v>0</v>
      </c>
      <c r="K384" s="405">
        <f>K385</f>
        <v>0</v>
      </c>
      <c r="L384" s="405">
        <f>L385</f>
        <v>0</v>
      </c>
      <c r="M384" s="405">
        <f t="shared" ref="M384" si="82">M385</f>
        <v>0</v>
      </c>
      <c r="N384" s="405">
        <f>N385</f>
        <v>0</v>
      </c>
      <c r="O384" s="406">
        <f>O385</f>
        <v>0</v>
      </c>
      <c r="P384" s="405">
        <f t="shared" ref="P384" si="83">P385</f>
        <v>0</v>
      </c>
      <c r="Q384" s="20"/>
    </row>
    <row r="385" spans="1:18" ht="91.5" thickTop="1" thickBot="1" x14ac:dyDescent="0.25">
      <c r="A385" s="407" t="s">
        <v>165</v>
      </c>
      <c r="B385" s="407"/>
      <c r="C385" s="407"/>
      <c r="D385" s="408" t="s">
        <v>894</v>
      </c>
      <c r="E385" s="409">
        <f>E386+E389+E392</f>
        <v>0</v>
      </c>
      <c r="F385" s="409">
        <f t="shared" ref="F385:P385" si="84">F386+F389+F392</f>
        <v>0</v>
      </c>
      <c r="G385" s="409">
        <f>G386+G389+G392</f>
        <v>0</v>
      </c>
      <c r="H385" s="409">
        <f t="shared" si="84"/>
        <v>0</v>
      </c>
      <c r="I385" s="409">
        <f t="shared" si="84"/>
        <v>0</v>
      </c>
      <c r="J385" s="409">
        <f>J386+J389+J392</f>
        <v>0</v>
      </c>
      <c r="K385" s="409">
        <f t="shared" si="84"/>
        <v>0</v>
      </c>
      <c r="L385" s="409">
        <f>L386+L389+L392</f>
        <v>0</v>
      </c>
      <c r="M385" s="409">
        <f t="shared" si="84"/>
        <v>0</v>
      </c>
      <c r="N385" s="409">
        <f t="shared" si="84"/>
        <v>0</v>
      </c>
      <c r="O385" s="409">
        <f t="shared" si="84"/>
        <v>0</v>
      </c>
      <c r="P385" s="409">
        <f t="shared" si="84"/>
        <v>0</v>
      </c>
      <c r="Q385" s="353" t="b">
        <f>P385=P387+P391+P393</f>
        <v>1</v>
      </c>
      <c r="R385" s="46"/>
    </row>
    <row r="386" spans="1:18" ht="47.25" thickTop="1" thickBot="1" x14ac:dyDescent="0.25">
      <c r="A386" s="346" t="s">
        <v>839</v>
      </c>
      <c r="B386" s="346" t="s">
        <v>690</v>
      </c>
      <c r="C386" s="346"/>
      <c r="D386" s="346" t="s">
        <v>691</v>
      </c>
      <c r="E386" s="393">
        <f>'d3'!E386-d3П!E386</f>
        <v>0</v>
      </c>
      <c r="F386" s="393">
        <f>'d3'!F386-d3П!F386</f>
        <v>0</v>
      </c>
      <c r="G386" s="393">
        <f>'d3'!G386-d3П!G386</f>
        <v>0</v>
      </c>
      <c r="H386" s="393">
        <f>'d3'!H386-d3П!H386</f>
        <v>0</v>
      </c>
      <c r="I386" s="393">
        <f>'d3'!I386-d3П!I386</f>
        <v>0</v>
      </c>
      <c r="J386" s="393">
        <f>'d3'!J386-d3П!J386</f>
        <v>0</v>
      </c>
      <c r="K386" s="393">
        <f>'d3'!K386-d3П!K386</f>
        <v>0</v>
      </c>
      <c r="L386" s="393">
        <f>'d3'!L386-d3П!L386</f>
        <v>0</v>
      </c>
      <c r="M386" s="393">
        <f>'d3'!M386-d3П!M386</f>
        <v>0</v>
      </c>
      <c r="N386" s="393">
        <f>'d3'!N386-d3П!N386</f>
        <v>0</v>
      </c>
      <c r="O386" s="393">
        <f>'d3'!O386-d3П!O386</f>
        <v>0</v>
      </c>
      <c r="P386" s="393">
        <f>'d3'!P386-d3П!P386</f>
        <v>0</v>
      </c>
      <c r="Q386" s="47"/>
      <c r="R386" s="46"/>
    </row>
    <row r="387" spans="1:18" ht="93" thickTop="1" thickBot="1" x14ac:dyDescent="0.25">
      <c r="A387" s="119" t="s">
        <v>426</v>
      </c>
      <c r="B387" s="119" t="s">
        <v>240</v>
      </c>
      <c r="C387" s="119" t="s">
        <v>238</v>
      </c>
      <c r="D387" s="119" t="s">
        <v>239</v>
      </c>
      <c r="E387" s="393">
        <f>'d3'!E387-d3П!E387</f>
        <v>0</v>
      </c>
      <c r="F387" s="393">
        <f>'d3'!F387-d3П!F387</f>
        <v>0</v>
      </c>
      <c r="G387" s="393">
        <f>'d3'!G387-d3П!G387</f>
        <v>0</v>
      </c>
      <c r="H387" s="393">
        <f>'d3'!H387-d3П!H387</f>
        <v>0</v>
      </c>
      <c r="I387" s="393">
        <f>'d3'!I387-d3П!I387</f>
        <v>0</v>
      </c>
      <c r="J387" s="393">
        <f>'d3'!J387-d3П!J387</f>
        <v>0</v>
      </c>
      <c r="K387" s="393">
        <f>'d3'!K387-d3П!K387</f>
        <v>0</v>
      </c>
      <c r="L387" s="393">
        <f>'d3'!L387-d3П!L387</f>
        <v>0</v>
      </c>
      <c r="M387" s="393">
        <f>'d3'!M387-d3П!M387</f>
        <v>0</v>
      </c>
      <c r="N387" s="393">
        <f>'d3'!N387-d3П!N387</f>
        <v>0</v>
      </c>
      <c r="O387" s="393">
        <f>'d3'!O387-d3П!O387</f>
        <v>0</v>
      </c>
      <c r="P387" s="393">
        <f>'d3'!P387-d3П!P387</f>
        <v>0</v>
      </c>
      <c r="Q387" s="47"/>
      <c r="R387" s="46"/>
    </row>
    <row r="388" spans="1:18" ht="93" hidden="1" thickTop="1" thickBot="1" x14ac:dyDescent="0.25">
      <c r="A388" s="41" t="s">
        <v>639</v>
      </c>
      <c r="B388" s="41" t="s">
        <v>366</v>
      </c>
      <c r="C388" s="41" t="s">
        <v>631</v>
      </c>
      <c r="D388" s="41" t="s">
        <v>632</v>
      </c>
      <c r="E388" s="393">
        <f>'d3'!E388-d3П!E388</f>
        <v>0</v>
      </c>
      <c r="F388" s="393">
        <f>'d3'!F388-d3П!F388</f>
        <v>0</v>
      </c>
      <c r="G388" s="393">
        <f>'d3'!G388-d3П!G388</f>
        <v>0</v>
      </c>
      <c r="H388" s="393">
        <f>'d3'!H388-d3П!H388</f>
        <v>0</v>
      </c>
      <c r="I388" s="393">
        <f>'d3'!I388-d3П!I388</f>
        <v>0</v>
      </c>
      <c r="J388" s="393">
        <f>'d3'!J388-d3П!J388</f>
        <v>0</v>
      </c>
      <c r="K388" s="393">
        <f>'d3'!K388-d3П!K388</f>
        <v>0</v>
      </c>
      <c r="L388" s="393">
        <f>'d3'!L388-d3П!L388</f>
        <v>0</v>
      </c>
      <c r="M388" s="393">
        <f>'d3'!M388-d3П!M388</f>
        <v>0</v>
      </c>
      <c r="N388" s="393">
        <f>'d3'!N388-d3П!N388</f>
        <v>0</v>
      </c>
      <c r="O388" s="393">
        <f>'d3'!O388-d3П!O388</f>
        <v>0</v>
      </c>
      <c r="P388" s="393">
        <f>'d3'!P388-d3П!P388</f>
        <v>0</v>
      </c>
      <c r="Q388" s="47"/>
      <c r="R388" s="46"/>
    </row>
    <row r="389" spans="1:18" ht="47.25" thickTop="1" thickBot="1" x14ac:dyDescent="0.25">
      <c r="A389" s="346" t="s">
        <v>840</v>
      </c>
      <c r="B389" s="346" t="s">
        <v>702</v>
      </c>
      <c r="C389" s="346"/>
      <c r="D389" s="346" t="s">
        <v>703</v>
      </c>
      <c r="E389" s="393">
        <f>'d3'!E389-d3П!E389</f>
        <v>0</v>
      </c>
      <c r="F389" s="393">
        <f>'d3'!F389-d3П!F389</f>
        <v>0</v>
      </c>
      <c r="G389" s="393">
        <f>'d3'!G389-d3П!G389</f>
        <v>0</v>
      </c>
      <c r="H389" s="393">
        <f>'d3'!H389-d3П!H389</f>
        <v>0</v>
      </c>
      <c r="I389" s="393">
        <f>'d3'!I389-d3П!I389</f>
        <v>0</v>
      </c>
      <c r="J389" s="393">
        <f>'d3'!J389-d3П!J389</f>
        <v>0</v>
      </c>
      <c r="K389" s="393">
        <f>'d3'!K389-d3П!K389</f>
        <v>0</v>
      </c>
      <c r="L389" s="393">
        <f>'d3'!L389-d3П!L389</f>
        <v>0</v>
      </c>
      <c r="M389" s="393">
        <f>'d3'!M389-d3П!M389</f>
        <v>0</v>
      </c>
      <c r="N389" s="393">
        <f>'d3'!N389-d3П!N389</f>
        <v>0</v>
      </c>
      <c r="O389" s="393">
        <f>'d3'!O389-d3П!O389</f>
        <v>0</v>
      </c>
      <c r="P389" s="393">
        <f>'d3'!P389-d3П!P389</f>
        <v>0</v>
      </c>
      <c r="Q389" s="47"/>
      <c r="R389" s="46"/>
    </row>
    <row r="390" spans="1:18" ht="47.25" thickTop="1" thickBot="1" x14ac:dyDescent="0.25">
      <c r="A390" s="348" t="s">
        <v>841</v>
      </c>
      <c r="B390" s="348" t="s">
        <v>842</v>
      </c>
      <c r="C390" s="348"/>
      <c r="D390" s="348" t="s">
        <v>843</v>
      </c>
      <c r="E390" s="393">
        <f>'d3'!E390-d3П!E390</f>
        <v>0</v>
      </c>
      <c r="F390" s="393">
        <f>'d3'!F390-d3П!F390</f>
        <v>0</v>
      </c>
      <c r="G390" s="393">
        <f>'d3'!G390-d3П!G390</f>
        <v>0</v>
      </c>
      <c r="H390" s="393">
        <f>'d3'!H390-d3П!H390</f>
        <v>0</v>
      </c>
      <c r="I390" s="393">
        <f>'d3'!I390-d3П!I390</f>
        <v>0</v>
      </c>
      <c r="J390" s="393">
        <f>'d3'!J390-d3П!J390</f>
        <v>0</v>
      </c>
      <c r="K390" s="393">
        <f>'d3'!K390-d3П!K390</f>
        <v>0</v>
      </c>
      <c r="L390" s="393">
        <f>'d3'!L390-d3П!L390</f>
        <v>0</v>
      </c>
      <c r="M390" s="393">
        <f>'d3'!M390-d3П!M390</f>
        <v>0</v>
      </c>
      <c r="N390" s="393">
        <f>'d3'!N390-d3П!N390</f>
        <v>0</v>
      </c>
      <c r="O390" s="393">
        <f>'d3'!O390-d3П!O390</f>
        <v>0</v>
      </c>
      <c r="P390" s="393">
        <f>'d3'!P390-d3П!P390</f>
        <v>0</v>
      </c>
      <c r="Q390" s="47"/>
      <c r="R390" s="46"/>
    </row>
    <row r="391" spans="1:18" ht="47.25" thickTop="1" thickBot="1" x14ac:dyDescent="0.25">
      <c r="A391" s="119" t="s">
        <v>1147</v>
      </c>
      <c r="B391" s="119" t="s">
        <v>1148</v>
      </c>
      <c r="C391" s="119" t="s">
        <v>51</v>
      </c>
      <c r="D391" s="119" t="s">
        <v>1149</v>
      </c>
      <c r="E391" s="393">
        <f>'d3'!E391-d3П!E391</f>
        <v>0</v>
      </c>
      <c r="F391" s="393">
        <f>'d3'!F391-d3П!F391</f>
        <v>0</v>
      </c>
      <c r="G391" s="393">
        <f>'d3'!G391-d3П!G391</f>
        <v>0</v>
      </c>
      <c r="H391" s="393">
        <f>'d3'!H391-d3П!H391</f>
        <v>0</v>
      </c>
      <c r="I391" s="393">
        <f>'d3'!I391-d3П!I391</f>
        <v>0</v>
      </c>
      <c r="J391" s="393">
        <f>'d3'!J391-d3П!J391</f>
        <v>0</v>
      </c>
      <c r="K391" s="393">
        <f>'d3'!K391-d3П!K391</f>
        <v>0</v>
      </c>
      <c r="L391" s="393">
        <f>'d3'!L391-d3П!L391</f>
        <v>0</v>
      </c>
      <c r="M391" s="393">
        <f>'d3'!M391-d3П!M391</f>
        <v>0</v>
      </c>
      <c r="N391" s="393">
        <f>'d3'!N391-d3П!N391</f>
        <v>0</v>
      </c>
      <c r="O391" s="393">
        <f>'d3'!O391-d3П!O391</f>
        <v>0</v>
      </c>
      <c r="P391" s="393">
        <f>'d3'!P391-d3П!P391</f>
        <v>0</v>
      </c>
      <c r="Q391" s="353" t="b">
        <f>J391='d9'!F28</f>
        <v>0</v>
      </c>
    </row>
    <row r="392" spans="1:18" ht="47.25" thickTop="1" thickBot="1" x14ac:dyDescent="0.25">
      <c r="A392" s="346" t="s">
        <v>1280</v>
      </c>
      <c r="B392" s="346" t="s">
        <v>708</v>
      </c>
      <c r="C392" s="346"/>
      <c r="D392" s="346" t="s">
        <v>709</v>
      </c>
      <c r="E392" s="393">
        <f>'d3'!E392-d3П!E392</f>
        <v>0</v>
      </c>
      <c r="F392" s="393">
        <f>'d3'!F392-d3П!F392</f>
        <v>0</v>
      </c>
      <c r="G392" s="393">
        <f>'d3'!G392-d3П!G392</f>
        <v>0</v>
      </c>
      <c r="H392" s="393">
        <f>'d3'!H392-d3П!H392</f>
        <v>0</v>
      </c>
      <c r="I392" s="393">
        <f>'d3'!I392-d3П!I392</f>
        <v>0</v>
      </c>
      <c r="J392" s="393">
        <f>'d3'!J392-d3П!J392</f>
        <v>0</v>
      </c>
      <c r="K392" s="393">
        <f>'d3'!K392-d3П!K392</f>
        <v>0</v>
      </c>
      <c r="L392" s="393">
        <f>'d3'!L392-d3П!L392</f>
        <v>0</v>
      </c>
      <c r="M392" s="393">
        <f>'d3'!M392-d3П!M392</f>
        <v>0</v>
      </c>
      <c r="N392" s="393">
        <f>'d3'!N392-d3П!N392</f>
        <v>0</v>
      </c>
      <c r="O392" s="393">
        <f>'d3'!O392-d3П!O392</f>
        <v>0</v>
      </c>
      <c r="P392" s="393">
        <f>'d3'!P392-d3П!P392</f>
        <v>0</v>
      </c>
      <c r="Q392" s="47"/>
    </row>
    <row r="393" spans="1:18" ht="91.5" thickTop="1" thickBot="1" x14ac:dyDescent="0.25">
      <c r="A393" s="348" t="s">
        <v>1279</v>
      </c>
      <c r="B393" s="348" t="s">
        <v>518</v>
      </c>
      <c r="C393" s="348" t="s">
        <v>43</v>
      </c>
      <c r="D393" s="348" t="s">
        <v>519</v>
      </c>
      <c r="E393" s="393">
        <f>'d3'!E393-d3П!E393</f>
        <v>0</v>
      </c>
      <c r="F393" s="393">
        <f>'d3'!F393-d3П!F393</f>
        <v>0</v>
      </c>
      <c r="G393" s="393">
        <f>'d3'!G393-d3П!G393</f>
        <v>0</v>
      </c>
      <c r="H393" s="393">
        <f>'d3'!H393-d3П!H393</f>
        <v>0</v>
      </c>
      <c r="I393" s="393">
        <f>'d3'!I393-d3П!I393</f>
        <v>0</v>
      </c>
      <c r="J393" s="393">
        <f>'d3'!J393-d3П!J393</f>
        <v>0</v>
      </c>
      <c r="K393" s="393">
        <f>'d3'!K393-d3П!K393</f>
        <v>0</v>
      </c>
      <c r="L393" s="393">
        <f>'d3'!L393-d3П!L393</f>
        <v>0</v>
      </c>
      <c r="M393" s="393">
        <f>'d3'!M393-d3П!M393</f>
        <v>0</v>
      </c>
      <c r="N393" s="393">
        <f>'d3'!N393-d3П!N393</f>
        <v>0</v>
      </c>
      <c r="O393" s="393">
        <f>'d3'!O393-d3П!O393</f>
        <v>0</v>
      </c>
      <c r="P393" s="393">
        <f>'d3'!P393-d3П!P393</f>
        <v>0</v>
      </c>
      <c r="Q393" s="47"/>
    </row>
    <row r="394" spans="1:18" ht="91.5" thickTop="1" thickBot="1" x14ac:dyDescent="0.25">
      <c r="A394" s="403" t="s">
        <v>162</v>
      </c>
      <c r="B394" s="403"/>
      <c r="C394" s="403"/>
      <c r="D394" s="404" t="s">
        <v>905</v>
      </c>
      <c r="E394" s="406">
        <f>E395</f>
        <v>0</v>
      </c>
      <c r="F394" s="405">
        <f t="shared" ref="F394:G394" si="85">F395</f>
        <v>0</v>
      </c>
      <c r="G394" s="405">
        <f t="shared" si="85"/>
        <v>0</v>
      </c>
      <c r="H394" s="405">
        <f>H395</f>
        <v>0</v>
      </c>
      <c r="I394" s="405">
        <f t="shared" ref="I394" si="86">I395</f>
        <v>0</v>
      </c>
      <c r="J394" s="406">
        <f>J395</f>
        <v>0</v>
      </c>
      <c r="K394" s="405">
        <f>K395</f>
        <v>0</v>
      </c>
      <c r="L394" s="405">
        <f>L395</f>
        <v>0</v>
      </c>
      <c r="M394" s="405">
        <f t="shared" ref="M394" si="87">M395</f>
        <v>0</v>
      </c>
      <c r="N394" s="405">
        <f>N395</f>
        <v>0</v>
      </c>
      <c r="O394" s="406">
        <f>O395</f>
        <v>0</v>
      </c>
      <c r="P394" s="405">
        <f t="shared" ref="P394" si="88">P395</f>
        <v>0</v>
      </c>
      <c r="Q394" s="20"/>
    </row>
    <row r="395" spans="1:18" ht="91.5" thickTop="1" thickBot="1" x14ac:dyDescent="0.25">
      <c r="A395" s="407" t="s">
        <v>163</v>
      </c>
      <c r="B395" s="407"/>
      <c r="C395" s="407"/>
      <c r="D395" s="408" t="s">
        <v>904</v>
      </c>
      <c r="E395" s="409">
        <f>E396+E398</f>
        <v>0</v>
      </c>
      <c r="F395" s="409">
        <f t="shared" ref="F395:I395" si="89">F396+F398</f>
        <v>0</v>
      </c>
      <c r="G395" s="409">
        <f t="shared" si="89"/>
        <v>0</v>
      </c>
      <c r="H395" s="409">
        <f t="shared" si="89"/>
        <v>0</v>
      </c>
      <c r="I395" s="409">
        <f t="shared" si="89"/>
        <v>0</v>
      </c>
      <c r="J395" s="409">
        <f>L395+O395</f>
        <v>0</v>
      </c>
      <c r="K395" s="409">
        <f t="shared" ref="K395:O395" si="90">K396+K398</f>
        <v>0</v>
      </c>
      <c r="L395" s="409">
        <f t="shared" si="90"/>
        <v>0</v>
      </c>
      <c r="M395" s="409">
        <f t="shared" si="90"/>
        <v>0</v>
      </c>
      <c r="N395" s="409">
        <f t="shared" si="90"/>
        <v>0</v>
      </c>
      <c r="O395" s="409">
        <f t="shared" si="90"/>
        <v>0</v>
      </c>
      <c r="P395" s="409">
        <f>E395+J395</f>
        <v>0</v>
      </c>
      <c r="Q395" s="353" t="b">
        <f>P395=P400+P402+P397</f>
        <v>1</v>
      </c>
      <c r="R395" s="45"/>
    </row>
    <row r="396" spans="1:18" ht="47.25" thickTop="1" thickBot="1" x14ac:dyDescent="0.25">
      <c r="A396" s="346" t="s">
        <v>844</v>
      </c>
      <c r="B396" s="346" t="s">
        <v>690</v>
      </c>
      <c r="C396" s="346"/>
      <c r="D396" s="346" t="s">
        <v>691</v>
      </c>
      <c r="E396" s="393">
        <f>'d3'!E396-d3П!E396</f>
        <v>0</v>
      </c>
      <c r="F396" s="393">
        <f>'d3'!F396-d3П!F396</f>
        <v>0</v>
      </c>
      <c r="G396" s="393">
        <f>'d3'!G396-d3П!G396</f>
        <v>0</v>
      </c>
      <c r="H396" s="393">
        <f>'d3'!H396-d3П!H396</f>
        <v>0</v>
      </c>
      <c r="I396" s="393">
        <f>'d3'!I396-d3П!I396</f>
        <v>0</v>
      </c>
      <c r="J396" s="393">
        <f>'d3'!J396-d3П!J396</f>
        <v>0</v>
      </c>
      <c r="K396" s="393">
        <f>'d3'!K396-d3П!K396</f>
        <v>0</v>
      </c>
      <c r="L396" s="393">
        <f>'d3'!L396-d3П!L396</f>
        <v>0</v>
      </c>
      <c r="M396" s="393">
        <f>'d3'!M396-d3П!M396</f>
        <v>0</v>
      </c>
      <c r="N396" s="393">
        <f>'d3'!N396-d3П!N396</f>
        <v>0</v>
      </c>
      <c r="O396" s="393">
        <f>'d3'!O396-d3П!O396</f>
        <v>0</v>
      </c>
      <c r="P396" s="393">
        <f>'d3'!P396-d3П!P396</f>
        <v>0</v>
      </c>
      <c r="Q396" s="47"/>
      <c r="R396" s="45"/>
    </row>
    <row r="397" spans="1:18" ht="93" thickTop="1" thickBot="1" x14ac:dyDescent="0.25">
      <c r="A397" s="119" t="s">
        <v>422</v>
      </c>
      <c r="B397" s="119" t="s">
        <v>240</v>
      </c>
      <c r="C397" s="119" t="s">
        <v>238</v>
      </c>
      <c r="D397" s="119" t="s">
        <v>239</v>
      </c>
      <c r="E397" s="393">
        <f>'d3'!E397-d3П!E397</f>
        <v>0</v>
      </c>
      <c r="F397" s="393">
        <f>'d3'!F397-d3П!F397</f>
        <v>0</v>
      </c>
      <c r="G397" s="393">
        <f>'d3'!G397-d3П!G397</f>
        <v>0</v>
      </c>
      <c r="H397" s="393">
        <f>'d3'!H397-d3П!H397</f>
        <v>0</v>
      </c>
      <c r="I397" s="393">
        <f>'d3'!I397-d3П!I397</f>
        <v>0</v>
      </c>
      <c r="J397" s="393">
        <f>'d3'!J397-d3П!J397</f>
        <v>0</v>
      </c>
      <c r="K397" s="393">
        <f>'d3'!K397-d3П!K397</f>
        <v>0</v>
      </c>
      <c r="L397" s="393">
        <f>'d3'!L397-d3П!L397</f>
        <v>0</v>
      </c>
      <c r="M397" s="393">
        <f>'d3'!M397-d3П!M397</f>
        <v>0</v>
      </c>
      <c r="N397" s="393">
        <f>'d3'!N397-d3П!N397</f>
        <v>0</v>
      </c>
      <c r="O397" s="393">
        <f>'d3'!O397-d3П!O397</f>
        <v>0</v>
      </c>
      <c r="P397" s="393">
        <f>'d3'!P397-d3П!P397</f>
        <v>0</v>
      </c>
      <c r="Q397" s="20"/>
      <c r="R397" s="45"/>
    </row>
    <row r="398" spans="1:18" ht="47.25" thickTop="1" thickBot="1" x14ac:dyDescent="0.25">
      <c r="A398" s="346" t="s">
        <v>845</v>
      </c>
      <c r="B398" s="346" t="s">
        <v>754</v>
      </c>
      <c r="C398" s="119"/>
      <c r="D398" s="346" t="s">
        <v>801</v>
      </c>
      <c r="E398" s="393">
        <f>'d3'!E398-d3П!E398</f>
        <v>0</v>
      </c>
      <c r="F398" s="393">
        <f>'d3'!F398-d3П!F398</f>
        <v>0</v>
      </c>
      <c r="G398" s="393">
        <f>'d3'!G398-d3П!G398</f>
        <v>0</v>
      </c>
      <c r="H398" s="393">
        <f>'d3'!H398-d3П!H398</f>
        <v>0</v>
      </c>
      <c r="I398" s="393">
        <f>'d3'!I398-d3П!I398</f>
        <v>0</v>
      </c>
      <c r="J398" s="393">
        <f>'d3'!J398-d3П!J398</f>
        <v>0</v>
      </c>
      <c r="K398" s="393">
        <f>'d3'!K398-d3П!K398</f>
        <v>0</v>
      </c>
      <c r="L398" s="393">
        <f>'d3'!L398-d3П!L398</f>
        <v>0</v>
      </c>
      <c r="M398" s="393">
        <f>'d3'!M398-d3П!M398</f>
        <v>0</v>
      </c>
      <c r="N398" s="393">
        <f>'d3'!N398-d3П!N398</f>
        <v>0</v>
      </c>
      <c r="O398" s="393">
        <f>'d3'!O398-d3П!O398</f>
        <v>0</v>
      </c>
      <c r="P398" s="393">
        <f>'d3'!P398-d3П!P398</f>
        <v>0</v>
      </c>
      <c r="Q398" s="20"/>
      <c r="R398" s="47"/>
    </row>
    <row r="399" spans="1:18" ht="47.25" thickTop="1" thickBot="1" x14ac:dyDescent="0.25">
      <c r="A399" s="348" t="s">
        <v>846</v>
      </c>
      <c r="B399" s="348" t="s">
        <v>847</v>
      </c>
      <c r="C399" s="348"/>
      <c r="D399" s="348" t="s">
        <v>848</v>
      </c>
      <c r="E399" s="393">
        <f>'d3'!E399-d3П!E399</f>
        <v>0</v>
      </c>
      <c r="F399" s="393">
        <f>'d3'!F399-d3П!F399</f>
        <v>0</v>
      </c>
      <c r="G399" s="393">
        <f>'d3'!G399-d3П!G399</f>
        <v>0</v>
      </c>
      <c r="H399" s="393">
        <f>'d3'!H399-d3П!H399</f>
        <v>0</v>
      </c>
      <c r="I399" s="393">
        <f>'d3'!I399-d3П!I399</f>
        <v>0</v>
      </c>
      <c r="J399" s="393">
        <f>'d3'!J399-d3П!J399</f>
        <v>0</v>
      </c>
      <c r="K399" s="393">
        <f>'d3'!K399-d3П!K399</f>
        <v>0</v>
      </c>
      <c r="L399" s="393">
        <f>'d3'!L399-d3П!L399</f>
        <v>0</v>
      </c>
      <c r="M399" s="393">
        <f>'d3'!M399-d3П!M399</f>
        <v>0</v>
      </c>
      <c r="N399" s="393">
        <f>'d3'!N399-d3П!N399</f>
        <v>0</v>
      </c>
      <c r="O399" s="393">
        <f>'d3'!O399-d3П!O399</f>
        <v>0</v>
      </c>
      <c r="P399" s="393">
        <f>'d3'!P399-d3П!P399</f>
        <v>0</v>
      </c>
      <c r="Q399" s="20"/>
      <c r="R399" s="47"/>
    </row>
    <row r="400" spans="1:18" ht="47.25" thickTop="1" thickBot="1" x14ac:dyDescent="0.25">
      <c r="A400" s="119" t="s">
        <v>310</v>
      </c>
      <c r="B400" s="119" t="s">
        <v>311</v>
      </c>
      <c r="C400" s="119" t="s">
        <v>312</v>
      </c>
      <c r="D400" s="119" t="s">
        <v>465</v>
      </c>
      <c r="E400" s="393">
        <f>'d3'!E400-d3П!E400</f>
        <v>0</v>
      </c>
      <c r="F400" s="393">
        <f>'d3'!F400-d3П!F400</f>
        <v>0</v>
      </c>
      <c r="G400" s="393">
        <f>'d3'!G400-d3П!G400</f>
        <v>0</v>
      </c>
      <c r="H400" s="393">
        <f>'d3'!H400-d3П!H400</f>
        <v>0</v>
      </c>
      <c r="I400" s="393">
        <f>'d3'!I400-d3П!I400</f>
        <v>0</v>
      </c>
      <c r="J400" s="393">
        <f>'d3'!J400-d3П!J400</f>
        <v>0</v>
      </c>
      <c r="K400" s="393">
        <f>'d3'!K400-d3П!K400</f>
        <v>0</v>
      </c>
      <c r="L400" s="393">
        <f>'d3'!L400-d3П!L400</f>
        <v>0</v>
      </c>
      <c r="M400" s="393">
        <f>'d3'!M400-d3П!M400</f>
        <v>0</v>
      </c>
      <c r="N400" s="393">
        <f>'d3'!N400-d3П!N400</f>
        <v>0</v>
      </c>
      <c r="O400" s="393">
        <f>'d3'!O400-d3П!O400</f>
        <v>0</v>
      </c>
      <c r="P400" s="393">
        <f>'d3'!P400-d3П!P400</f>
        <v>0</v>
      </c>
      <c r="Q400" s="20"/>
      <c r="R400" s="45"/>
    </row>
    <row r="401" spans="1:19" ht="47.25" thickTop="1" thickBot="1" x14ac:dyDescent="0.25">
      <c r="A401" s="348" t="s">
        <v>849</v>
      </c>
      <c r="B401" s="348" t="s">
        <v>697</v>
      </c>
      <c r="C401" s="119"/>
      <c r="D401" s="348" t="s">
        <v>850</v>
      </c>
      <c r="E401" s="393">
        <f>'d3'!E401-d3П!E401</f>
        <v>0</v>
      </c>
      <c r="F401" s="393">
        <f>'d3'!F401-d3П!F401</f>
        <v>0</v>
      </c>
      <c r="G401" s="393">
        <f>'d3'!G401-d3П!G401</f>
        <v>0</v>
      </c>
      <c r="H401" s="393">
        <f>'d3'!H401-d3П!H401</f>
        <v>0</v>
      </c>
      <c r="I401" s="393">
        <f>'d3'!I401-d3П!I401</f>
        <v>0</v>
      </c>
      <c r="J401" s="393">
        <f>'d3'!J401-d3П!J401</f>
        <v>0</v>
      </c>
      <c r="K401" s="393">
        <f>'d3'!K401-d3П!K401</f>
        <v>0</v>
      </c>
      <c r="L401" s="393">
        <f>'d3'!L401-d3П!L401</f>
        <v>0</v>
      </c>
      <c r="M401" s="393">
        <f>'d3'!M401-d3П!M401</f>
        <v>0</v>
      </c>
      <c r="N401" s="393">
        <f>'d3'!N401-d3П!N401</f>
        <v>0</v>
      </c>
      <c r="O401" s="393">
        <f>'d3'!O401-d3П!O401</f>
        <v>0</v>
      </c>
      <c r="P401" s="393">
        <f>'d3'!P401-d3П!P401</f>
        <v>0</v>
      </c>
      <c r="Q401" s="20"/>
    </row>
    <row r="402" spans="1:19" ht="47.25" thickTop="1" thickBot="1" x14ac:dyDescent="0.25">
      <c r="A402" s="119" t="s">
        <v>372</v>
      </c>
      <c r="B402" s="119" t="s">
        <v>373</v>
      </c>
      <c r="C402" s="119" t="s">
        <v>170</v>
      </c>
      <c r="D402" s="119" t="s">
        <v>374</v>
      </c>
      <c r="E402" s="393">
        <f>'d3'!E402-d3П!E402</f>
        <v>0</v>
      </c>
      <c r="F402" s="393">
        <f>'d3'!F402-d3П!F402</f>
        <v>0</v>
      </c>
      <c r="G402" s="393">
        <f>'d3'!G402-d3П!G402</f>
        <v>0</v>
      </c>
      <c r="H402" s="393">
        <f>'d3'!H402-d3П!H402</f>
        <v>0</v>
      </c>
      <c r="I402" s="393">
        <f>'d3'!I402-d3П!I402</f>
        <v>0</v>
      </c>
      <c r="J402" s="393">
        <f>'d3'!J402-d3П!J402</f>
        <v>0</v>
      </c>
      <c r="K402" s="393">
        <f>'d3'!K402-d3П!K402</f>
        <v>0</v>
      </c>
      <c r="L402" s="393">
        <f>'d3'!L402-d3П!L402</f>
        <v>0</v>
      </c>
      <c r="M402" s="393">
        <f>'d3'!M402-d3П!M402</f>
        <v>0</v>
      </c>
      <c r="N402" s="393">
        <f>'d3'!N402-d3П!N402</f>
        <v>0</v>
      </c>
      <c r="O402" s="393">
        <f>'d3'!O402-d3П!O402</f>
        <v>0</v>
      </c>
      <c r="P402" s="393">
        <f>'d3'!P402-d3П!P402</f>
        <v>0</v>
      </c>
      <c r="Q402" s="20"/>
      <c r="R402" s="45"/>
    </row>
    <row r="403" spans="1:19" ht="46.5" thickTop="1" thickBot="1" x14ac:dyDescent="0.25">
      <c r="A403" s="403" t="s">
        <v>168</v>
      </c>
      <c r="B403" s="403"/>
      <c r="C403" s="403"/>
      <c r="D403" s="404" t="s">
        <v>27</v>
      </c>
      <c r="E403" s="406">
        <f>E404</f>
        <v>3490891</v>
      </c>
      <c r="F403" s="405">
        <f t="shared" ref="F403:G403" si="91">F404</f>
        <v>3490891</v>
      </c>
      <c r="G403" s="405">
        <f t="shared" si="91"/>
        <v>100000</v>
      </c>
      <c r="H403" s="405">
        <f>H404</f>
        <v>0</v>
      </c>
      <c r="I403" s="405">
        <f t="shared" ref="I403" si="92">I404</f>
        <v>0</v>
      </c>
      <c r="J403" s="406">
        <f>J404</f>
        <v>0</v>
      </c>
      <c r="K403" s="405">
        <f>K404</f>
        <v>0</v>
      </c>
      <c r="L403" s="405">
        <f>L404</f>
        <v>0</v>
      </c>
      <c r="M403" s="405">
        <f t="shared" ref="M403" si="93">M404</f>
        <v>0</v>
      </c>
      <c r="N403" s="405">
        <f>N404</f>
        <v>0</v>
      </c>
      <c r="O403" s="406">
        <f>O404</f>
        <v>0</v>
      </c>
      <c r="P403" s="405">
        <f t="shared" ref="P403" si="94">P404</f>
        <v>3490891</v>
      </c>
      <c r="Q403" s="20"/>
    </row>
    <row r="404" spans="1:19" ht="91.5" thickTop="1" thickBot="1" x14ac:dyDescent="0.25">
      <c r="A404" s="407" t="s">
        <v>169</v>
      </c>
      <c r="B404" s="407"/>
      <c r="C404" s="407"/>
      <c r="D404" s="408" t="s">
        <v>40</v>
      </c>
      <c r="E404" s="409">
        <f>E405+E411+E418+E408</f>
        <v>3490891</v>
      </c>
      <c r="F404" s="409">
        <f t="shared" ref="F404:P404" si="95">F405+F411+F418+F408</f>
        <v>3490891</v>
      </c>
      <c r="G404" s="409">
        <f t="shared" si="95"/>
        <v>100000</v>
      </c>
      <c r="H404" s="409">
        <f t="shared" si="95"/>
        <v>0</v>
      </c>
      <c r="I404" s="409">
        <f t="shared" si="95"/>
        <v>0</v>
      </c>
      <c r="J404" s="409">
        <f t="shared" si="95"/>
        <v>0</v>
      </c>
      <c r="K404" s="409">
        <f t="shared" si="95"/>
        <v>0</v>
      </c>
      <c r="L404" s="409">
        <f t="shared" si="95"/>
        <v>0</v>
      </c>
      <c r="M404" s="409">
        <f t="shared" si="95"/>
        <v>0</v>
      </c>
      <c r="N404" s="409">
        <f t="shared" si="95"/>
        <v>0</v>
      </c>
      <c r="O404" s="409">
        <f t="shared" si="95"/>
        <v>0</v>
      </c>
      <c r="P404" s="409">
        <f t="shared" si="95"/>
        <v>3490891</v>
      </c>
      <c r="Q404" s="353" t="b">
        <f>P404=P406+P412+P414+P420</f>
        <v>1</v>
      </c>
      <c r="R404" s="45"/>
    </row>
    <row r="405" spans="1:19" ht="47.25" thickTop="1" thickBot="1" x14ac:dyDescent="0.25">
      <c r="A405" s="346" t="s">
        <v>851</v>
      </c>
      <c r="B405" s="346" t="s">
        <v>690</v>
      </c>
      <c r="C405" s="346"/>
      <c r="D405" s="346" t="s">
        <v>691</v>
      </c>
      <c r="E405" s="393">
        <f>'d3'!E405-d3П!E405</f>
        <v>115000</v>
      </c>
      <c r="F405" s="393">
        <f>'d3'!F405-d3П!F405</f>
        <v>115000</v>
      </c>
      <c r="G405" s="393">
        <f>'d3'!G405-d3П!G405</f>
        <v>100000</v>
      </c>
      <c r="H405" s="393">
        <f>'d3'!H405-d3П!H405</f>
        <v>0</v>
      </c>
      <c r="I405" s="393">
        <f>'d3'!I405-d3П!I405</f>
        <v>0</v>
      </c>
      <c r="J405" s="393">
        <f>'d3'!J405-d3П!J405</f>
        <v>0</v>
      </c>
      <c r="K405" s="393">
        <f>'d3'!K405-d3П!K405</f>
        <v>0</v>
      </c>
      <c r="L405" s="393">
        <f>'d3'!L405-d3П!L405</f>
        <v>0</v>
      </c>
      <c r="M405" s="393">
        <f>'d3'!M405-d3П!M405</f>
        <v>0</v>
      </c>
      <c r="N405" s="393">
        <f>'d3'!N405-d3П!N405</f>
        <v>0</v>
      </c>
      <c r="O405" s="393">
        <f>'d3'!O405-d3П!O405</f>
        <v>0</v>
      </c>
      <c r="P405" s="393">
        <f>'d3'!P405-d3П!P405</f>
        <v>115000</v>
      </c>
      <c r="Q405" s="47"/>
      <c r="R405" s="50"/>
    </row>
    <row r="406" spans="1:19" ht="93" thickTop="1" thickBot="1" x14ac:dyDescent="0.25">
      <c r="A406" s="119" t="s">
        <v>424</v>
      </c>
      <c r="B406" s="119" t="s">
        <v>240</v>
      </c>
      <c r="C406" s="119" t="s">
        <v>238</v>
      </c>
      <c r="D406" s="119" t="s">
        <v>239</v>
      </c>
      <c r="E406" s="393">
        <f>'d3'!E406-d3П!E406</f>
        <v>115000</v>
      </c>
      <c r="F406" s="393">
        <f>'d3'!F406-d3П!F406</f>
        <v>115000</v>
      </c>
      <c r="G406" s="393">
        <f>'d3'!G406-d3П!G406</f>
        <v>100000</v>
      </c>
      <c r="H406" s="393">
        <f>'d3'!H406-d3П!H406</f>
        <v>0</v>
      </c>
      <c r="I406" s="393">
        <f>'d3'!I406-d3П!I406</f>
        <v>0</v>
      </c>
      <c r="J406" s="393">
        <f>'d3'!J406-d3П!J406</f>
        <v>0</v>
      </c>
      <c r="K406" s="393">
        <f>'d3'!K406-d3П!K406</f>
        <v>0</v>
      </c>
      <c r="L406" s="393">
        <f>'d3'!L406-d3П!L406</f>
        <v>0</v>
      </c>
      <c r="M406" s="393">
        <f>'d3'!M406-d3П!M406</f>
        <v>0</v>
      </c>
      <c r="N406" s="393">
        <f>'d3'!N406-d3П!N406</f>
        <v>0</v>
      </c>
      <c r="O406" s="393">
        <f>'d3'!O406-d3П!O406</f>
        <v>0</v>
      </c>
      <c r="P406" s="393">
        <f>'d3'!P406-d3П!P406</f>
        <v>115000</v>
      </c>
      <c r="Q406" s="47"/>
      <c r="R406" s="50"/>
      <c r="S406" s="47"/>
    </row>
    <row r="407" spans="1:19" ht="93" hidden="1" thickTop="1" thickBot="1" x14ac:dyDescent="0.25">
      <c r="A407" s="144" t="s">
        <v>640</v>
      </c>
      <c r="B407" s="144" t="s">
        <v>366</v>
      </c>
      <c r="C407" s="144" t="s">
        <v>631</v>
      </c>
      <c r="D407" s="144" t="s">
        <v>632</v>
      </c>
      <c r="E407" s="393">
        <f>'d3'!E407-d3П!E407</f>
        <v>0</v>
      </c>
      <c r="F407" s="393">
        <f>'d3'!F407-d3П!F407</f>
        <v>0</v>
      </c>
      <c r="G407" s="393">
        <f>'d3'!G407-d3П!G407</f>
        <v>0</v>
      </c>
      <c r="H407" s="393">
        <f>'d3'!H407-d3П!H407</f>
        <v>0</v>
      </c>
      <c r="I407" s="393">
        <f>'d3'!I407-d3П!I407</f>
        <v>0</v>
      </c>
      <c r="J407" s="393">
        <f>'d3'!J407-d3П!J407</f>
        <v>0</v>
      </c>
      <c r="K407" s="393">
        <f>'d3'!K407-d3П!K407</f>
        <v>0</v>
      </c>
      <c r="L407" s="393">
        <f>'d3'!L407-d3П!L407</f>
        <v>0</v>
      </c>
      <c r="M407" s="393">
        <f>'d3'!M407-d3П!M407</f>
        <v>0</v>
      </c>
      <c r="N407" s="393">
        <f>'d3'!N407-d3П!N407</f>
        <v>0</v>
      </c>
      <c r="O407" s="393">
        <f>'d3'!O407-d3П!O407</f>
        <v>0</v>
      </c>
      <c r="P407" s="393">
        <f>'d3'!P407-d3П!P407</f>
        <v>0</v>
      </c>
      <c r="Q407" s="47"/>
      <c r="R407" s="50"/>
    </row>
    <row r="408" spans="1:19" ht="47.25" hidden="1" thickTop="1" thickBot="1" x14ac:dyDescent="0.25">
      <c r="A408" s="152" t="s">
        <v>1229</v>
      </c>
      <c r="B408" s="152" t="s">
        <v>697</v>
      </c>
      <c r="C408" s="152"/>
      <c r="D408" s="152" t="s">
        <v>695</v>
      </c>
      <c r="E408" s="393">
        <f>'d3'!E408-d3П!E408</f>
        <v>0</v>
      </c>
      <c r="F408" s="393">
        <f>'d3'!F408-d3П!F408</f>
        <v>0</v>
      </c>
      <c r="G408" s="393">
        <f>'d3'!G408-d3П!G408</f>
        <v>0</v>
      </c>
      <c r="H408" s="393">
        <f>'d3'!H408-d3П!H408</f>
        <v>0</v>
      </c>
      <c r="I408" s="393">
        <f>'d3'!I408-d3П!I408</f>
        <v>0</v>
      </c>
      <c r="J408" s="393">
        <f>'d3'!J408-d3П!J408</f>
        <v>0</v>
      </c>
      <c r="K408" s="393">
        <f>'d3'!K408-d3П!K408</f>
        <v>0</v>
      </c>
      <c r="L408" s="393">
        <f>'d3'!L408-d3П!L408</f>
        <v>0</v>
      </c>
      <c r="M408" s="393">
        <f>'d3'!M408-d3П!M408</f>
        <v>0</v>
      </c>
      <c r="N408" s="393">
        <f>'d3'!N408-d3П!N408</f>
        <v>0</v>
      </c>
      <c r="O408" s="393">
        <f>'d3'!O408-d3П!O408</f>
        <v>0</v>
      </c>
      <c r="P408" s="393">
        <f>'d3'!P408-d3П!P408</f>
        <v>0</v>
      </c>
      <c r="Q408" s="47"/>
      <c r="R408" s="50"/>
    </row>
    <row r="409" spans="1:19" ht="47.25" hidden="1" thickTop="1" thickBot="1" x14ac:dyDescent="0.25">
      <c r="A409" s="156" t="s">
        <v>1230</v>
      </c>
      <c r="B409" s="156" t="s">
        <v>700</v>
      </c>
      <c r="C409" s="156"/>
      <c r="D409" s="156" t="s">
        <v>698</v>
      </c>
      <c r="E409" s="393">
        <f>'d3'!E409-d3П!E409</f>
        <v>0</v>
      </c>
      <c r="F409" s="393">
        <f>'d3'!F409-d3П!F409</f>
        <v>0</v>
      </c>
      <c r="G409" s="393">
        <f>'d3'!G409-d3П!G409</f>
        <v>0</v>
      </c>
      <c r="H409" s="393">
        <f>'d3'!H409-d3П!H409</f>
        <v>0</v>
      </c>
      <c r="I409" s="393">
        <f>'d3'!I409-d3П!I409</f>
        <v>0</v>
      </c>
      <c r="J409" s="393">
        <f>'d3'!J409-d3П!J409</f>
        <v>0</v>
      </c>
      <c r="K409" s="393">
        <f>'d3'!K409-d3П!K409</f>
        <v>0</v>
      </c>
      <c r="L409" s="393">
        <f>'d3'!L409-d3П!L409</f>
        <v>0</v>
      </c>
      <c r="M409" s="393">
        <f>'d3'!M409-d3П!M409</f>
        <v>0</v>
      </c>
      <c r="N409" s="393">
        <f>'d3'!N409-d3П!N409</f>
        <v>0</v>
      </c>
      <c r="O409" s="393">
        <f>'d3'!O409-d3П!O409</f>
        <v>0</v>
      </c>
      <c r="P409" s="393">
        <f>'d3'!P409-d3П!P409</f>
        <v>0</v>
      </c>
      <c r="Q409" s="47"/>
      <c r="R409" s="50"/>
    </row>
    <row r="410" spans="1:19" ht="47.25" hidden="1" thickTop="1" thickBot="1" x14ac:dyDescent="0.25">
      <c r="A410" s="144" t="s">
        <v>1231</v>
      </c>
      <c r="B410" s="144" t="s">
        <v>261</v>
      </c>
      <c r="C410" s="144" t="s">
        <v>170</v>
      </c>
      <c r="D410" s="144" t="s">
        <v>259</v>
      </c>
      <c r="E410" s="393">
        <f>'d3'!E410-d3П!E410</f>
        <v>0</v>
      </c>
      <c r="F410" s="393">
        <f>'d3'!F410-d3П!F410</f>
        <v>0</v>
      </c>
      <c r="G410" s="393">
        <f>'d3'!G410-d3П!G410</f>
        <v>0</v>
      </c>
      <c r="H410" s="393">
        <f>'d3'!H410-d3П!H410</f>
        <v>0</v>
      </c>
      <c r="I410" s="393">
        <f>'d3'!I410-d3П!I410</f>
        <v>0</v>
      </c>
      <c r="J410" s="393">
        <f>'d3'!J410-d3П!J410</f>
        <v>0</v>
      </c>
      <c r="K410" s="393">
        <f>'d3'!K410-d3П!K410</f>
        <v>0</v>
      </c>
      <c r="L410" s="393">
        <f>'d3'!L410-d3П!L410</f>
        <v>0</v>
      </c>
      <c r="M410" s="393">
        <f>'d3'!M410-d3П!M410</f>
        <v>0</v>
      </c>
      <c r="N410" s="393">
        <f>'d3'!N410-d3П!N410</f>
        <v>0</v>
      </c>
      <c r="O410" s="393">
        <f>'d3'!O410-d3П!O410</f>
        <v>0</v>
      </c>
      <c r="P410" s="393">
        <f>'d3'!P410-d3П!P410</f>
        <v>0</v>
      </c>
      <c r="Q410" s="47"/>
      <c r="R410" s="50"/>
    </row>
    <row r="411" spans="1:19" ht="47.25" thickTop="1" thickBot="1" x14ac:dyDescent="0.25">
      <c r="A411" s="346" t="s">
        <v>852</v>
      </c>
      <c r="B411" s="346" t="s">
        <v>702</v>
      </c>
      <c r="C411" s="346"/>
      <c r="D411" s="346" t="s">
        <v>703</v>
      </c>
      <c r="E411" s="393">
        <f>'d3'!E411-d3П!E411</f>
        <v>3375891</v>
      </c>
      <c r="F411" s="393">
        <f>'d3'!F411-d3П!F411</f>
        <v>3375891</v>
      </c>
      <c r="G411" s="393">
        <f>'d3'!G411-d3П!G411</f>
        <v>0</v>
      </c>
      <c r="H411" s="393">
        <f>'d3'!H411-d3П!H411</f>
        <v>0</v>
      </c>
      <c r="I411" s="393">
        <f>'d3'!I411-d3П!I411</f>
        <v>0</v>
      </c>
      <c r="J411" s="393">
        <f>'d3'!J411-d3П!J411</f>
        <v>0</v>
      </c>
      <c r="K411" s="393">
        <f>'d3'!K411-d3П!K411</f>
        <v>0</v>
      </c>
      <c r="L411" s="393">
        <f>'d3'!L411-d3П!L411</f>
        <v>0</v>
      </c>
      <c r="M411" s="393">
        <f>'d3'!M411-d3П!M411</f>
        <v>0</v>
      </c>
      <c r="N411" s="393">
        <f>'d3'!N411-d3П!N411</f>
        <v>0</v>
      </c>
      <c r="O411" s="393">
        <f>'d3'!O411-d3П!O411</f>
        <v>0</v>
      </c>
      <c r="P411" s="393">
        <f>'d3'!P411-d3П!P411</f>
        <v>3375891</v>
      </c>
      <c r="Q411" s="47"/>
      <c r="R411" s="50"/>
    </row>
    <row r="412" spans="1:19" ht="47.25" thickTop="1" thickBot="1" x14ac:dyDescent="0.25">
      <c r="A412" s="500">
        <v>3718600</v>
      </c>
      <c r="B412" s="500">
        <v>8600</v>
      </c>
      <c r="C412" s="348" t="s">
        <v>366</v>
      </c>
      <c r="D412" s="500" t="s">
        <v>456</v>
      </c>
      <c r="E412" s="393">
        <f>'d3'!E412-d3П!E412</f>
        <v>0</v>
      </c>
      <c r="F412" s="393">
        <f>'d3'!F412-d3П!F412</f>
        <v>0</v>
      </c>
      <c r="G412" s="393">
        <f>'d3'!G412-d3П!G412</f>
        <v>0</v>
      </c>
      <c r="H412" s="393">
        <f>'d3'!H412-d3П!H412</f>
        <v>0</v>
      </c>
      <c r="I412" s="393">
        <f>'d3'!I412-d3П!I412</f>
        <v>0</v>
      </c>
      <c r="J412" s="393">
        <f>'d3'!J412-d3П!J412</f>
        <v>0</v>
      </c>
      <c r="K412" s="393">
        <f>'d3'!K412-d3П!K412</f>
        <v>0</v>
      </c>
      <c r="L412" s="393">
        <f>'d3'!L412-d3П!L412</f>
        <v>0</v>
      </c>
      <c r="M412" s="393">
        <f>'d3'!M412-d3П!M412</f>
        <v>0</v>
      </c>
      <c r="N412" s="393">
        <f>'d3'!N412-d3П!N412</f>
        <v>0</v>
      </c>
      <c r="O412" s="393">
        <f>'d3'!O412-d3П!O412</f>
        <v>0</v>
      </c>
      <c r="P412" s="393">
        <f>'d3'!P412-d3П!P412</f>
        <v>0</v>
      </c>
      <c r="Q412" s="20"/>
    </row>
    <row r="413" spans="1:19" ht="47.25" thickTop="1" thickBot="1" x14ac:dyDescent="0.25">
      <c r="A413" s="500">
        <v>3718700</v>
      </c>
      <c r="B413" s="500">
        <v>8700</v>
      </c>
      <c r="C413" s="348"/>
      <c r="D413" s="500" t="s">
        <v>853</v>
      </c>
      <c r="E413" s="393">
        <f>'d3'!E413-d3П!E413</f>
        <v>3375891</v>
      </c>
      <c r="F413" s="393">
        <f>'d3'!F413-d3П!F413</f>
        <v>3375891</v>
      </c>
      <c r="G413" s="393">
        <f>'d3'!G413-d3П!G413</f>
        <v>0</v>
      </c>
      <c r="H413" s="393">
        <f>'d3'!H413-d3П!H413</f>
        <v>0</v>
      </c>
      <c r="I413" s="393">
        <f>'d3'!I413-d3П!I413</f>
        <v>0</v>
      </c>
      <c r="J413" s="393">
        <f>'d3'!J413-d3П!J413</f>
        <v>0</v>
      </c>
      <c r="K413" s="393">
        <f>'d3'!K413-d3П!K413</f>
        <v>0</v>
      </c>
      <c r="L413" s="393">
        <f>'d3'!L413-d3П!L413</f>
        <v>0</v>
      </c>
      <c r="M413" s="393">
        <f>'d3'!M413-d3П!M413</f>
        <v>0</v>
      </c>
      <c r="N413" s="393">
        <f>'d3'!N413-d3П!N413</f>
        <v>0</v>
      </c>
      <c r="O413" s="393">
        <f>'d3'!O413-d3П!O413</f>
        <v>0</v>
      </c>
      <c r="P413" s="393">
        <f>'d3'!P413-d3П!P413</f>
        <v>3375891</v>
      </c>
      <c r="Q413" s="20"/>
    </row>
    <row r="414" spans="1:19" ht="69" customHeight="1" thickTop="1" thickBot="1" x14ac:dyDescent="0.25">
      <c r="A414" s="401">
        <v>3718710</v>
      </c>
      <c r="B414" s="401">
        <v>8710</v>
      </c>
      <c r="C414" s="119" t="s">
        <v>42</v>
      </c>
      <c r="D414" s="413" t="s">
        <v>646</v>
      </c>
      <c r="E414" s="393">
        <f>'d3'!E414-d3П!E414</f>
        <v>3375891</v>
      </c>
      <c r="F414" s="393">
        <f>'d3'!F414-d3П!F414</f>
        <v>3375891</v>
      </c>
      <c r="G414" s="393">
        <f>'d3'!G414-d3П!G414</f>
        <v>0</v>
      </c>
      <c r="H414" s="393">
        <f>'d3'!H414-d3П!H414</f>
        <v>0</v>
      </c>
      <c r="I414" s="393">
        <f>'d3'!I414-d3П!I414</f>
        <v>0</v>
      </c>
      <c r="J414" s="393">
        <f>'d3'!J414-d3П!J414</f>
        <v>0</v>
      </c>
      <c r="K414" s="393">
        <f>'d3'!K414-d3П!K414</f>
        <v>0</v>
      </c>
      <c r="L414" s="393">
        <f>'d3'!L414-d3П!L414</f>
        <v>0</v>
      </c>
      <c r="M414" s="393">
        <f>'d3'!M414-d3П!M414</f>
        <v>0</v>
      </c>
      <c r="N414" s="393">
        <f>'d3'!N414-d3П!N414</f>
        <v>0</v>
      </c>
      <c r="O414" s="393">
        <f>'d3'!O414-d3П!O414</f>
        <v>0</v>
      </c>
      <c r="P414" s="393">
        <f>'d3'!P414-d3П!P414</f>
        <v>3375891</v>
      </c>
      <c r="Q414" s="20"/>
    </row>
    <row r="415" spans="1:19" ht="47.25" hidden="1" thickTop="1" thickBot="1" x14ac:dyDescent="0.25">
      <c r="A415" s="182">
        <v>3718800</v>
      </c>
      <c r="B415" s="182">
        <v>8800</v>
      </c>
      <c r="C415" s="152"/>
      <c r="D415" s="182" t="s">
        <v>861</v>
      </c>
      <c r="E415" s="393">
        <f>'d3'!E415-d3П!E415</f>
        <v>0</v>
      </c>
      <c r="F415" s="393">
        <f>'d3'!F415-d3П!F415</f>
        <v>0</v>
      </c>
      <c r="G415" s="393">
        <f>'d3'!G415-d3П!G415</f>
        <v>0</v>
      </c>
      <c r="H415" s="393">
        <f>'d3'!H415-d3П!H415</f>
        <v>0</v>
      </c>
      <c r="I415" s="393">
        <f>'d3'!I415-d3П!I415</f>
        <v>0</v>
      </c>
      <c r="J415" s="393">
        <f>'d3'!J415-d3П!J415</f>
        <v>0</v>
      </c>
      <c r="K415" s="393">
        <f>'d3'!K415-d3П!K415</f>
        <v>0</v>
      </c>
      <c r="L415" s="393">
        <f>'d3'!L415-d3П!L415</f>
        <v>0</v>
      </c>
      <c r="M415" s="393">
        <f>'d3'!M415-d3П!M415</f>
        <v>0</v>
      </c>
      <c r="N415" s="393">
        <f>'d3'!N415-d3П!N415</f>
        <v>0</v>
      </c>
      <c r="O415" s="393">
        <f>'d3'!O415-d3П!O415</f>
        <v>0</v>
      </c>
      <c r="P415" s="393">
        <f>'d3'!P415-d3П!P415</f>
        <v>0</v>
      </c>
      <c r="Q415" s="20"/>
    </row>
    <row r="416" spans="1:19" ht="93" hidden="1" thickTop="1" thickBot="1" x14ac:dyDescent="0.25">
      <c r="A416" s="183">
        <v>3718880</v>
      </c>
      <c r="B416" s="183">
        <v>8880</v>
      </c>
      <c r="C416" s="156"/>
      <c r="D416" s="169" t="s">
        <v>1176</v>
      </c>
      <c r="E416" s="393">
        <f>'d3'!E416-d3П!E416</f>
        <v>0</v>
      </c>
      <c r="F416" s="393">
        <f>'d3'!F416-d3П!F416</f>
        <v>0</v>
      </c>
      <c r="G416" s="393">
        <f>'d3'!G416-d3П!G416</f>
        <v>0</v>
      </c>
      <c r="H416" s="393">
        <f>'d3'!H416-d3П!H416</f>
        <v>0</v>
      </c>
      <c r="I416" s="393">
        <f>'d3'!I416-d3П!I416</f>
        <v>0</v>
      </c>
      <c r="J416" s="393">
        <f>'d3'!J416-d3П!J416</f>
        <v>0</v>
      </c>
      <c r="K416" s="393">
        <f>'d3'!K416-d3П!K416</f>
        <v>0</v>
      </c>
      <c r="L416" s="393">
        <f>'d3'!L416-d3П!L416</f>
        <v>0</v>
      </c>
      <c r="M416" s="393">
        <f>'d3'!M416-d3П!M416</f>
        <v>0</v>
      </c>
      <c r="N416" s="393">
        <f>'d3'!N416-d3П!N416</f>
        <v>0</v>
      </c>
      <c r="O416" s="393">
        <f>'d3'!O416-d3П!O416</f>
        <v>0</v>
      </c>
      <c r="P416" s="393">
        <f>'d3'!P416-d3П!P416</f>
        <v>0</v>
      </c>
      <c r="Q416" s="20"/>
    </row>
    <row r="417" spans="1:18" ht="93" hidden="1" thickTop="1" thickBot="1" x14ac:dyDescent="0.25">
      <c r="A417" s="144">
        <v>3718881</v>
      </c>
      <c r="B417" s="144">
        <v>8881</v>
      </c>
      <c r="C417" s="144" t="s">
        <v>170</v>
      </c>
      <c r="D417" s="144" t="s">
        <v>1177</v>
      </c>
      <c r="E417" s="393">
        <f>'d3'!E417-d3П!E417</f>
        <v>0</v>
      </c>
      <c r="F417" s="393">
        <f>'d3'!F417-d3П!F417</f>
        <v>0</v>
      </c>
      <c r="G417" s="393">
        <f>'d3'!G417-d3П!G417</f>
        <v>0</v>
      </c>
      <c r="H417" s="393">
        <f>'d3'!H417-d3П!H417</f>
        <v>0</v>
      </c>
      <c r="I417" s="393">
        <f>'d3'!I417-d3П!I417</f>
        <v>0</v>
      </c>
      <c r="J417" s="393">
        <f>'d3'!J417-d3П!J417</f>
        <v>0</v>
      </c>
      <c r="K417" s="393">
        <f>'d3'!K417-d3П!K417</f>
        <v>0</v>
      </c>
      <c r="L417" s="393">
        <f>'d3'!L417-d3П!L417</f>
        <v>0</v>
      </c>
      <c r="M417" s="393">
        <f>'d3'!M417-d3П!M417</f>
        <v>0</v>
      </c>
      <c r="N417" s="393">
        <f>'d3'!N417-d3П!N417</f>
        <v>0</v>
      </c>
      <c r="O417" s="393">
        <f>'d3'!O417-d3П!O417</f>
        <v>0</v>
      </c>
      <c r="P417" s="393">
        <f>'d3'!P417-d3П!P417</f>
        <v>0</v>
      </c>
      <c r="Q417" s="20"/>
    </row>
    <row r="418" spans="1:18" ht="47.25" thickTop="1" thickBot="1" x14ac:dyDescent="0.25">
      <c r="A418" s="346" t="s">
        <v>854</v>
      </c>
      <c r="B418" s="346" t="s">
        <v>708</v>
      </c>
      <c r="C418" s="346"/>
      <c r="D418" s="346" t="s">
        <v>709</v>
      </c>
      <c r="E418" s="393">
        <f>'d3'!E418-d3П!E418</f>
        <v>0</v>
      </c>
      <c r="F418" s="393">
        <f>'d3'!F418-d3П!F418</f>
        <v>0</v>
      </c>
      <c r="G418" s="393">
        <f>'d3'!G418-d3П!G418</f>
        <v>0</v>
      </c>
      <c r="H418" s="393">
        <f>'d3'!H418-d3П!H418</f>
        <v>0</v>
      </c>
      <c r="I418" s="393">
        <f>'d3'!I418-d3П!I418</f>
        <v>0</v>
      </c>
      <c r="J418" s="393">
        <f>'d3'!J418-d3П!J418</f>
        <v>0</v>
      </c>
      <c r="K418" s="393">
        <f>'d3'!K418-d3П!K418</f>
        <v>0</v>
      </c>
      <c r="L418" s="393">
        <f>'d3'!L418-d3П!L418</f>
        <v>0</v>
      </c>
      <c r="M418" s="393">
        <f>'d3'!M418-d3П!M418</f>
        <v>0</v>
      </c>
      <c r="N418" s="393">
        <f>'d3'!N418-d3П!N418</f>
        <v>0</v>
      </c>
      <c r="O418" s="393">
        <f>'d3'!O418-d3П!O418</f>
        <v>0</v>
      </c>
      <c r="P418" s="393">
        <f>'d3'!P418-d3П!P418</f>
        <v>0</v>
      </c>
      <c r="Q418" s="20"/>
    </row>
    <row r="419" spans="1:18" ht="47.25" thickTop="1" thickBot="1" x14ac:dyDescent="0.25">
      <c r="A419" s="500">
        <v>3719100</v>
      </c>
      <c r="B419" s="348" t="s">
        <v>856</v>
      </c>
      <c r="C419" s="348"/>
      <c r="D419" s="348" t="s">
        <v>855</v>
      </c>
      <c r="E419" s="393">
        <f>'d3'!E419-d3П!E419</f>
        <v>0</v>
      </c>
      <c r="F419" s="393">
        <f>'d3'!F419-d3П!F419</f>
        <v>0</v>
      </c>
      <c r="G419" s="393">
        <f>'d3'!G419-d3П!G419</f>
        <v>0</v>
      </c>
      <c r="H419" s="393">
        <f>'d3'!H419-d3П!H419</f>
        <v>0</v>
      </c>
      <c r="I419" s="393">
        <f>'d3'!I419-d3П!I419</f>
        <v>0</v>
      </c>
      <c r="J419" s="393">
        <f>'d3'!J419-d3П!J419</f>
        <v>0</v>
      </c>
      <c r="K419" s="393">
        <f>'d3'!K419-d3П!K419</f>
        <v>0</v>
      </c>
      <c r="L419" s="393">
        <f>'d3'!L419-d3П!L419</f>
        <v>0</v>
      </c>
      <c r="M419" s="393">
        <f>'d3'!M419-d3П!M419</f>
        <v>0</v>
      </c>
      <c r="N419" s="393">
        <f>'d3'!N419-d3П!N419</f>
        <v>0</v>
      </c>
      <c r="O419" s="393">
        <f>'d3'!O419-d3П!O419</f>
        <v>0</v>
      </c>
      <c r="P419" s="393">
        <f>'d3'!P419-d3П!P419</f>
        <v>0</v>
      </c>
      <c r="Q419" s="20"/>
    </row>
    <row r="420" spans="1:18" ht="51" customHeight="1" thickTop="1" thickBot="1" x14ac:dyDescent="0.25">
      <c r="A420" s="401">
        <v>3719110</v>
      </c>
      <c r="B420" s="401">
        <v>9110</v>
      </c>
      <c r="C420" s="119" t="s">
        <v>43</v>
      </c>
      <c r="D420" s="413" t="s">
        <v>455</v>
      </c>
      <c r="E420" s="393">
        <f>'d3'!E420-d3П!E420</f>
        <v>0</v>
      </c>
      <c r="F420" s="393">
        <f>'d3'!F420-d3П!F420</f>
        <v>0</v>
      </c>
      <c r="G420" s="393">
        <f>'d3'!G420-d3П!G420</f>
        <v>0</v>
      </c>
      <c r="H420" s="393">
        <f>'d3'!H420-d3П!H420</f>
        <v>0</v>
      </c>
      <c r="I420" s="393">
        <f>'d3'!I420-d3П!I420</f>
        <v>0</v>
      </c>
      <c r="J420" s="393">
        <f>'d3'!J420-d3П!J420</f>
        <v>0</v>
      </c>
      <c r="K420" s="393">
        <f>'d3'!K420-d3П!K420</f>
        <v>0</v>
      </c>
      <c r="L420" s="393">
        <f>'d3'!L420-d3П!L420</f>
        <v>0</v>
      </c>
      <c r="M420" s="393">
        <f>'d3'!M420-d3П!M420</f>
        <v>0</v>
      </c>
      <c r="N420" s="393">
        <f>'d3'!N420-d3П!N420</f>
        <v>0</v>
      </c>
      <c r="O420" s="393">
        <f>'d3'!O420-d3П!O420</f>
        <v>0</v>
      </c>
      <c r="P420" s="393">
        <f>'d3'!P420-d3П!P420</f>
        <v>0</v>
      </c>
      <c r="Q420" s="20"/>
    </row>
    <row r="421" spans="1:18" ht="111" customHeight="1" thickTop="1" thickBot="1" x14ac:dyDescent="0.25">
      <c r="A421" s="566" t="s">
        <v>385</v>
      </c>
      <c r="B421" s="566" t="s">
        <v>385</v>
      </c>
      <c r="C421" s="566" t="s">
        <v>385</v>
      </c>
      <c r="D421" s="566" t="s">
        <v>395</v>
      </c>
      <c r="E421" s="567">
        <f t="shared" ref="E421:P421" si="96">E16+E46+E216+E104+E134+E194++E313+E338+E404+E366+E385+E395+E347+E278+E252</f>
        <v>19482770</v>
      </c>
      <c r="F421" s="567">
        <f t="shared" si="96"/>
        <v>19482770</v>
      </c>
      <c r="G421" s="567">
        <f t="shared" si="96"/>
        <v>3155496</v>
      </c>
      <c r="H421" s="567">
        <f t="shared" si="96"/>
        <v>-841798</v>
      </c>
      <c r="I421" s="567">
        <f t="shared" si="96"/>
        <v>0</v>
      </c>
      <c r="J421" s="567">
        <f t="shared" si="96"/>
        <v>-19509382</v>
      </c>
      <c r="K421" s="567">
        <f t="shared" si="96"/>
        <v>-19482770</v>
      </c>
      <c r="L421" s="567">
        <f t="shared" si="96"/>
        <v>-26612</v>
      </c>
      <c r="M421" s="567">
        <f t="shared" si="96"/>
        <v>0</v>
      </c>
      <c r="N421" s="567">
        <f t="shared" si="96"/>
        <v>0</v>
      </c>
      <c r="O421" s="567">
        <f t="shared" si="96"/>
        <v>-19482770</v>
      </c>
      <c r="P421" s="567">
        <f t="shared" si="96"/>
        <v>-26612</v>
      </c>
      <c r="Q421" s="89" t="b">
        <f>P421=J421+E421</f>
        <v>1</v>
      </c>
    </row>
    <row r="422" spans="1:18" ht="46.5" thickTop="1" x14ac:dyDescent="0.2">
      <c r="A422" s="729" t="s">
        <v>1332</v>
      </c>
      <c r="B422" s="730"/>
      <c r="C422" s="730"/>
      <c r="D422" s="730"/>
      <c r="E422" s="730"/>
      <c r="F422" s="730"/>
      <c r="G422" s="730"/>
      <c r="H422" s="730"/>
      <c r="I422" s="730"/>
      <c r="J422" s="730"/>
      <c r="K422" s="730"/>
      <c r="L422" s="730"/>
      <c r="M422" s="730"/>
      <c r="N422" s="730"/>
      <c r="O422" s="730"/>
      <c r="P422" s="730"/>
      <c r="Q422" s="93"/>
    </row>
    <row r="423" spans="1:18" ht="60.75" hidden="1" x14ac:dyDescent="0.2">
      <c r="A423" s="184"/>
      <c r="B423" s="185"/>
      <c r="C423" s="185"/>
      <c r="D423" s="185"/>
      <c r="E423" s="394">
        <f>F423</f>
        <v>4227810431.0600004</v>
      </c>
      <c r="F423" s="394">
        <f>(((((((((((3042022336.28+630802893+8260086)-9359911-150000-4895000)+408547246.84-3366523)-1013222.5)+88281-36901152.46-451590-500000))+166679104.83+12298837.72+1000000-20000+170000+151300-546000)-6500000)+81133279.88)+2413596+168829)+74909739.47-150000000+6000000)+6868300</f>
        <v>4227810431.0600004</v>
      </c>
      <c r="G423" s="394">
        <f>((((((97820900+700442852+88293048+2636610+43398010+109636660+47666561+1669391+510343880+3045420)+13450+3532532)+840600)+72361.47+497899)+1978358)+30121300-2000000-241814+48240.96+270000)-2500000+100000+2443300-100600+44606+3168190</f>
        <v>1643241755.4300001</v>
      </c>
      <c r="H423" s="394">
        <f>((((((((7110100+195613308+216098+5150735+74329+8494910+3165886+4570553+4601586)+142020.09+148400+52329.48)+134764.64+243030+245850)-898850)+168829)-48072913.68-1105000-100000-360000)-230954)-245798)-196000</f>
        <v>178923212.52999997</v>
      </c>
      <c r="I423" s="394">
        <v>0</v>
      </c>
      <c r="J423" s="394">
        <f>(((((((((411784702.72+'d2'!E42-'d4'!N17)+13686000+150000+4895000)+715534375.97+3366523)+36901152.46+451590+500000)+(392213224.81-(7972860-45000))+89386247.57-1000000+20000-170000-151300+546000)+6500000)+50866720.12)+11560925.14)-72423320.76-6000000)-6894912</f>
        <v>1640305069.03</v>
      </c>
      <c r="K423" s="394">
        <f>(((((((((411784702.72+'d2'!F42-'d4'!N17-2950700-1350000-188624447)+13686000+150000+4895000)+715534375.97-6350319-2606434-1286664.08+3366523)+36901152.46+451590+500000)+(392213224.81-(7972860-45000)-1250000)+89386247.57-1000000+20000-170000-151300+546000)-1000000+6500000)+50866720.12-600000)+11560925.14)-72423320.76-2828521-6000000)-6894912-(-26612)</f>
        <v>1431484595.95</v>
      </c>
      <c r="L423" s="394">
        <f>((((((3326700+171685130+2118642+1000000+640000+211210+9125775)+784434+6275319+506938.21+479725.87-50000)+127001)+80000+852942+700000-700000)+600000)+1582602)-26612</f>
        <v>199319807.08000001</v>
      </c>
      <c r="M423" s="394">
        <f>((39544820+350000+361000+5000+1072780+6635445)+1468040)+587980-78000</f>
        <v>49947065</v>
      </c>
      <c r="N423" s="394">
        <f>((15551110+158000+55000+195110+383875+290560)+350000)+20000</f>
        <v>17003655</v>
      </c>
      <c r="O423" s="394">
        <f>((((((((((411784702.72+'d2'!F42-'d4'!N17-188624447-2950700-1350000+(90000+122380+3445630+185680)+974000)+13686000+150000+4895000)+(715534375.97-6350319-2606434-1286664.08)+1822000+75000+300000+50000+3366523)+36901152.46-127001+451590+500000)+(392213224.81-(7972860-45000)-1250000)-80000-700000+397058)+700000+89386247.57-1000000+20000-170000-151300+546000)+6500000)+50866720.12-600000)+11560925.14)-72423320.76-1582602-6000000)-6894912-(-26612)</f>
        <v>1440985261.95</v>
      </c>
      <c r="P423" s="394">
        <f>((((((((3453807039+'d2'!E42-'d4'!Q28+630802893+8260086)+16400+4309689)+1124081622.81)+88281)+558892329.64)+101685085.29)+132000000)+13974521.14+168829)+2486418.71-150000000</f>
        <v>5868142112.0900002</v>
      </c>
      <c r="Q423" s="89" t="b">
        <f>E423+J423=P423</f>
        <v>0</v>
      </c>
      <c r="R423" s="56"/>
    </row>
    <row r="424" spans="1:18" ht="45.75" x14ac:dyDescent="0.65">
      <c r="A424" s="15"/>
      <c r="B424" s="16"/>
      <c r="C424" s="16"/>
      <c r="D424" s="644" t="s">
        <v>1586</v>
      </c>
      <c r="E424" s="361"/>
      <c r="F424" s="361"/>
      <c r="G424" s="617"/>
      <c r="H424" s="3"/>
      <c r="I424" s="2"/>
      <c r="J424" s="3"/>
      <c r="K424" s="617" t="s">
        <v>1587</v>
      </c>
      <c r="L424" s="2"/>
      <c r="M424" s="2"/>
      <c r="N424" s="2"/>
      <c r="O424" s="2"/>
      <c r="P424" s="2"/>
      <c r="Q424" s="93"/>
    </row>
    <row r="425" spans="1:18" ht="45.75" hidden="1" x14ac:dyDescent="0.65">
      <c r="A425" s="15"/>
      <c r="B425" s="16"/>
      <c r="C425" s="16"/>
      <c r="D425" s="3" t="s">
        <v>1548</v>
      </c>
      <c r="E425" s="361"/>
      <c r="F425" s="361"/>
      <c r="G425" s="617"/>
      <c r="H425" s="3"/>
      <c r="I425" s="2"/>
      <c r="J425" s="3"/>
      <c r="K425" s="3" t="s">
        <v>1549</v>
      </c>
      <c r="L425" s="2"/>
      <c r="M425" s="2"/>
      <c r="N425" s="2"/>
      <c r="O425" s="2"/>
      <c r="P425" s="2"/>
      <c r="Q425" s="93"/>
    </row>
    <row r="426" spans="1:18" ht="26.25" customHeight="1" x14ac:dyDescent="0.65">
      <c r="A426" s="15"/>
      <c r="B426" s="16"/>
      <c r="C426" s="16"/>
      <c r="D426" s="703"/>
      <c r="E426" s="703"/>
      <c r="F426" s="703"/>
      <c r="G426" s="703"/>
      <c r="H426" s="703"/>
      <c r="I426" s="703"/>
      <c r="J426" s="703"/>
      <c r="K426" s="703"/>
      <c r="L426" s="703"/>
      <c r="M426" s="703"/>
      <c r="N426" s="703"/>
      <c r="O426" s="703"/>
      <c r="P426" s="703"/>
      <c r="Q426" s="93"/>
    </row>
    <row r="427" spans="1:18" ht="50.25" customHeight="1" thickBot="1" x14ac:dyDescent="0.7">
      <c r="A427" s="15"/>
      <c r="B427" s="16"/>
      <c r="C427" s="16"/>
      <c r="D427" s="673" t="s">
        <v>528</v>
      </c>
      <c r="E427" s="674"/>
      <c r="F427" s="674"/>
      <c r="G427" s="618"/>
      <c r="H427" s="618"/>
      <c r="I427" s="2"/>
      <c r="J427" s="2"/>
      <c r="K427" s="3" t="s">
        <v>1435</v>
      </c>
      <c r="L427" s="2"/>
      <c r="M427" s="2"/>
      <c r="N427" s="2"/>
      <c r="O427" s="2"/>
      <c r="P427" s="2"/>
      <c r="Q427" s="93"/>
    </row>
    <row r="428" spans="1:18" ht="47.25" thickTop="1" thickBot="1" x14ac:dyDescent="0.7">
      <c r="A428" s="19"/>
      <c r="B428" s="19"/>
      <c r="C428" s="19"/>
      <c r="D428" s="731"/>
      <c r="E428" s="731"/>
      <c r="F428" s="731"/>
      <c r="G428" s="731"/>
      <c r="H428" s="731"/>
      <c r="I428" s="731"/>
      <c r="J428" s="731"/>
      <c r="K428" s="731"/>
      <c r="L428" s="731"/>
      <c r="M428" s="731"/>
      <c r="N428" s="731"/>
      <c r="O428" s="731"/>
      <c r="P428" s="731"/>
      <c r="Q428" s="94"/>
    </row>
    <row r="429" spans="1:18" ht="95.25" customHeight="1" thickTop="1" x14ac:dyDescent="0.55000000000000004">
      <c r="G429" s="58"/>
      <c r="H429" s="58"/>
      <c r="I429" s="102"/>
      <c r="J429" s="103"/>
      <c r="K429" s="103"/>
      <c r="L429" s="102"/>
      <c r="M429" s="102"/>
      <c r="N429" s="102"/>
      <c r="O429" s="102"/>
      <c r="P429" s="103"/>
      <c r="Q429" s="92"/>
    </row>
    <row r="430" spans="1:18" x14ac:dyDescent="0.2">
      <c r="E430" s="59"/>
      <c r="F430" s="60"/>
      <c r="G430" s="58"/>
      <c r="H430" s="58"/>
      <c r="I430" s="102"/>
      <c r="J430" s="104"/>
      <c r="K430" s="104"/>
      <c r="L430" s="102"/>
      <c r="M430" s="102"/>
      <c r="N430" s="102"/>
      <c r="O430" s="102"/>
      <c r="P430" s="103"/>
    </row>
    <row r="431" spans="1:18" x14ac:dyDescent="0.2">
      <c r="E431" s="59"/>
      <c r="F431" s="60"/>
      <c r="G431" s="58"/>
      <c r="H431" s="58"/>
      <c r="I431" s="102"/>
      <c r="J431" s="104"/>
      <c r="K431" s="104"/>
      <c r="L431" s="102"/>
      <c r="M431" s="102"/>
      <c r="N431" s="102"/>
      <c r="O431" s="102"/>
      <c r="P431" s="103"/>
    </row>
    <row r="432" spans="1:18" ht="60.75" x14ac:dyDescent="0.2">
      <c r="E432" s="89" t="b">
        <f>E423=E421</f>
        <v>0</v>
      </c>
      <c r="F432" s="89" t="b">
        <f>F423=F421</f>
        <v>0</v>
      </c>
      <c r="G432" s="89" t="b">
        <f>G423=G421</f>
        <v>0</v>
      </c>
      <c r="H432" s="89" t="b">
        <f t="shared" ref="H432:O432" si="97">H423=H421</f>
        <v>0</v>
      </c>
      <c r="I432" s="89" t="b">
        <f>I423=I421</f>
        <v>1</v>
      </c>
      <c r="J432" s="89" t="b">
        <f>J423=J421</f>
        <v>0</v>
      </c>
      <c r="K432" s="89" t="b">
        <f>K423=K421</f>
        <v>0</v>
      </c>
      <c r="L432" s="89" t="b">
        <f t="shared" si="97"/>
        <v>0</v>
      </c>
      <c r="M432" s="89" t="b">
        <f t="shared" si="97"/>
        <v>0</v>
      </c>
      <c r="N432" s="89" t="b">
        <f>N423=N421</f>
        <v>0</v>
      </c>
      <c r="O432" s="89" t="b">
        <f t="shared" si="97"/>
        <v>0</v>
      </c>
      <c r="P432" s="89" t="b">
        <f>P423=P421</f>
        <v>0</v>
      </c>
    </row>
    <row r="433" spans="1:18" ht="61.5" x14ac:dyDescent="0.2">
      <c r="E433" s="89" t="b">
        <f>E421=F421</f>
        <v>1</v>
      </c>
      <c r="F433" s="112">
        <f>F414/E421</f>
        <v>0.17327572003365024</v>
      </c>
      <c r="G433" s="96"/>
      <c r="H433" s="97"/>
      <c r="I433" s="98"/>
      <c r="J433" s="89" t="b">
        <f>J423=L423+O423</f>
        <v>1</v>
      </c>
      <c r="K433" s="105"/>
      <c r="L433" s="89"/>
      <c r="M433" s="98"/>
      <c r="N433" s="98"/>
      <c r="O433" s="89"/>
      <c r="P433" s="89" t="b">
        <f>E421+J421=P421</f>
        <v>1</v>
      </c>
    </row>
    <row r="434" spans="1:18" ht="60.75" x14ac:dyDescent="0.2">
      <c r="E434" s="99"/>
      <c r="F434" s="100"/>
      <c r="G434" s="99"/>
      <c r="H434" s="101"/>
      <c r="I434" s="99"/>
      <c r="J434" s="59"/>
      <c r="K434" s="59"/>
    </row>
    <row r="435" spans="1:18" ht="61.5" x14ac:dyDescent="0.2">
      <c r="A435" s="21"/>
      <c r="B435" s="21"/>
      <c r="C435" s="21"/>
      <c r="D435" s="22"/>
      <c r="E435" s="37">
        <f>E421-E423</f>
        <v>-4208327661.0600004</v>
      </c>
      <c r="F435" s="112">
        <f>400000/E421</f>
        <v>2.0530961459792423E-2</v>
      </c>
      <c r="G435" s="96"/>
      <c r="H435" s="61"/>
      <c r="I435" s="22"/>
      <c r="J435" s="37">
        <f>J421-J423</f>
        <v>-1659814451.03</v>
      </c>
      <c r="K435" s="37">
        <f>K421-K423</f>
        <v>-1450967365.95</v>
      </c>
      <c r="L435" s="37"/>
      <c r="M435" s="37"/>
      <c r="N435" s="37"/>
      <c r="O435" s="37">
        <f>O421-O423</f>
        <v>-1460468031.95</v>
      </c>
      <c r="P435" s="37"/>
    </row>
    <row r="436" spans="1:18" ht="61.5" x14ac:dyDescent="0.2">
      <c r="D436" s="22"/>
      <c r="E436" s="37"/>
      <c r="F436" s="63"/>
      <c r="G436" s="55"/>
      <c r="H436" s="61"/>
      <c r="I436" s="22"/>
      <c r="J436" s="37"/>
      <c r="K436" s="37"/>
      <c r="L436" s="64"/>
      <c r="P436" s="55"/>
      <c r="Q436" s="95"/>
      <c r="R436" s="65"/>
    </row>
    <row r="437" spans="1:18" ht="60.75" x14ac:dyDescent="0.2">
      <c r="A437" s="21"/>
      <c r="B437" s="21"/>
      <c r="C437" s="21"/>
      <c r="D437" s="22"/>
      <c r="E437" s="26"/>
      <c r="F437" s="26"/>
      <c r="G437" s="26"/>
      <c r="H437" s="26"/>
      <c r="I437" s="66"/>
      <c r="J437" s="26"/>
      <c r="K437" s="26"/>
      <c r="L437" s="26"/>
      <c r="M437" s="26"/>
      <c r="N437" s="26"/>
      <c r="O437" s="26"/>
      <c r="P437" s="26"/>
      <c r="Q437" s="95"/>
      <c r="R437" s="65"/>
    </row>
    <row r="438" spans="1:18" ht="60.75" x14ac:dyDescent="0.2">
      <c r="D438" s="22"/>
      <c r="E438" s="37"/>
      <c r="F438" s="67"/>
      <c r="O438" s="55"/>
      <c r="P438" s="55"/>
    </row>
    <row r="439" spans="1:18" ht="60.75" x14ac:dyDescent="0.2">
      <c r="A439" s="21"/>
      <c r="B439" s="21"/>
      <c r="C439" s="21"/>
      <c r="D439" s="22"/>
      <c r="E439" s="37"/>
      <c r="F439" s="62"/>
      <c r="G439" s="64"/>
      <c r="I439" s="68"/>
      <c r="J439" s="59"/>
      <c r="K439" s="59"/>
      <c r="L439" s="21"/>
      <c r="M439" s="21"/>
      <c r="N439" s="21"/>
      <c r="O439" s="21"/>
      <c r="P439" s="55"/>
    </row>
    <row r="440" spans="1:18" ht="62.25" x14ac:dyDescent="0.8">
      <c r="A440" s="21"/>
      <c r="B440" s="21"/>
      <c r="C440" s="21"/>
      <c r="D440" s="21"/>
      <c r="E440" s="69"/>
      <c r="F440" s="62"/>
      <c r="J440" s="59"/>
      <c r="K440" s="59"/>
      <c r="L440" s="21"/>
      <c r="M440" s="21"/>
      <c r="N440" s="21"/>
      <c r="O440" s="21"/>
      <c r="P440" s="70"/>
    </row>
    <row r="441" spans="1:18" ht="45.75" x14ac:dyDescent="0.2">
      <c r="E441" s="71"/>
      <c r="F441" s="67"/>
    </row>
    <row r="442" spans="1:18" ht="45.75" x14ac:dyDescent="0.2">
      <c r="A442" s="21"/>
      <c r="B442" s="21"/>
      <c r="C442" s="21"/>
      <c r="D442" s="21"/>
      <c r="E442" s="69"/>
      <c r="F442" s="62"/>
      <c r="L442" s="21"/>
      <c r="M442" s="21"/>
      <c r="N442" s="21"/>
      <c r="O442" s="21"/>
      <c r="P442" s="21"/>
    </row>
    <row r="443" spans="1:18" ht="45.75" x14ac:dyDescent="0.2">
      <c r="E443" s="72"/>
      <c r="F443" s="67"/>
    </row>
    <row r="444" spans="1:18" ht="45.75" x14ac:dyDescent="0.2">
      <c r="E444" s="72"/>
      <c r="F444" s="67"/>
    </row>
    <row r="445" spans="1:18" ht="45.75" x14ac:dyDescent="0.2">
      <c r="E445" s="72"/>
      <c r="F445" s="67"/>
    </row>
    <row r="446" spans="1:18" ht="45.75" x14ac:dyDescent="0.2">
      <c r="A446" s="21"/>
      <c r="B446" s="21"/>
      <c r="C446" s="21"/>
      <c r="D446" s="21"/>
      <c r="E446" s="72"/>
      <c r="F446" s="67"/>
      <c r="G446" s="21"/>
      <c r="H446" s="21"/>
      <c r="I446" s="21"/>
      <c r="J446" s="21"/>
      <c r="K446" s="21"/>
      <c r="L446" s="21"/>
      <c r="M446" s="21"/>
      <c r="N446" s="21"/>
      <c r="O446" s="21"/>
      <c r="P446" s="21"/>
    </row>
    <row r="447" spans="1:18" ht="45.75" x14ac:dyDescent="0.2">
      <c r="A447" s="21"/>
      <c r="B447" s="21"/>
      <c r="C447" s="21"/>
      <c r="D447" s="21"/>
      <c r="E447" s="72"/>
      <c r="F447" s="67"/>
      <c r="G447" s="21"/>
      <c r="H447" s="21"/>
      <c r="I447" s="21"/>
      <c r="J447" s="21"/>
      <c r="K447" s="21"/>
      <c r="L447" s="21"/>
      <c r="M447" s="21"/>
      <c r="N447" s="21"/>
      <c r="O447" s="21"/>
      <c r="P447" s="21"/>
    </row>
    <row r="448" spans="1:18" ht="45.75" x14ac:dyDescent="0.2">
      <c r="A448" s="21"/>
      <c r="B448" s="21"/>
      <c r="C448" s="21"/>
      <c r="D448" s="21"/>
      <c r="E448" s="72"/>
      <c r="F448" s="67"/>
      <c r="G448" s="21"/>
      <c r="H448" s="21"/>
      <c r="I448" s="21"/>
      <c r="J448" s="21"/>
      <c r="K448" s="21"/>
      <c r="L448" s="21"/>
      <c r="M448" s="21"/>
      <c r="N448" s="21"/>
      <c r="O448" s="21"/>
      <c r="P448" s="21"/>
    </row>
    <row r="449" spans="1:16" ht="45.75" x14ac:dyDescent="0.2">
      <c r="A449" s="21"/>
      <c r="B449" s="21"/>
      <c r="C449" s="21"/>
      <c r="D449" s="21"/>
      <c r="E449" s="72"/>
      <c r="F449" s="67"/>
      <c r="G449" s="21"/>
      <c r="H449" s="21"/>
      <c r="I449" s="21"/>
      <c r="J449" s="21"/>
      <c r="K449" s="21"/>
      <c r="L449" s="21"/>
      <c r="M449" s="21"/>
      <c r="N449" s="21"/>
      <c r="O449" s="21"/>
      <c r="P449" s="21"/>
    </row>
  </sheetData>
  <mergeCells count="173">
    <mergeCell ref="A9:B9"/>
    <mergeCell ref="A11:A13"/>
    <mergeCell ref="B11:B13"/>
    <mergeCell ref="C11:C13"/>
    <mergeCell ref="D11:D13"/>
    <mergeCell ref="E11:I11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O30:O31"/>
    <mergeCell ref="P30:P31"/>
    <mergeCell ref="O12:O13"/>
    <mergeCell ref="A30:A31"/>
    <mergeCell ref="B30:B31"/>
    <mergeCell ref="C30:C31"/>
    <mergeCell ref="E30:E31"/>
    <mergeCell ref="F30:F31"/>
    <mergeCell ref="G30:G31"/>
    <mergeCell ref="H30:H31"/>
    <mergeCell ref="I30:I31"/>
    <mergeCell ref="J30:J31"/>
    <mergeCell ref="N166:N169"/>
    <mergeCell ref="A75:A76"/>
    <mergeCell ref="B75:B76"/>
    <mergeCell ref="C75:C76"/>
    <mergeCell ref="D75:D76"/>
    <mergeCell ref="A56:A57"/>
    <mergeCell ref="B56:B57"/>
    <mergeCell ref="C56:C57"/>
    <mergeCell ref="K30:K31"/>
    <mergeCell ref="L30:L31"/>
    <mergeCell ref="M30:M31"/>
    <mergeCell ref="N30:N31"/>
    <mergeCell ref="M170:M172"/>
    <mergeCell ref="O162:O165"/>
    <mergeCell ref="P162:P165"/>
    <mergeCell ref="Q162:Q165"/>
    <mergeCell ref="R162:R165"/>
    <mergeCell ref="A166:A169"/>
    <mergeCell ref="B166:B169"/>
    <mergeCell ref="C166:C169"/>
    <mergeCell ref="E166:E169"/>
    <mergeCell ref="F166:F169"/>
    <mergeCell ref="G166:G169"/>
    <mergeCell ref="I162:I165"/>
    <mergeCell ref="J162:J165"/>
    <mergeCell ref="K162:K165"/>
    <mergeCell ref="L162:L165"/>
    <mergeCell ref="M162:M165"/>
    <mergeCell ref="N162:N165"/>
    <mergeCell ref="A162:A165"/>
    <mergeCell ref="B162:B165"/>
    <mergeCell ref="C162:C165"/>
    <mergeCell ref="E162:E165"/>
    <mergeCell ref="F162:F165"/>
    <mergeCell ref="G162:G165"/>
    <mergeCell ref="H162:H165"/>
    <mergeCell ref="H170:H172"/>
    <mergeCell ref="I170:I172"/>
    <mergeCell ref="J170:J172"/>
    <mergeCell ref="K170:K172"/>
    <mergeCell ref="O166:O169"/>
    <mergeCell ref="P166:P169"/>
    <mergeCell ref="R166:R169"/>
    <mergeCell ref="A170:A172"/>
    <mergeCell ref="B170:B172"/>
    <mergeCell ref="C170:C172"/>
    <mergeCell ref="E170:E172"/>
    <mergeCell ref="F170:F172"/>
    <mergeCell ref="G170:G172"/>
    <mergeCell ref="H166:H169"/>
    <mergeCell ref="I166:I169"/>
    <mergeCell ref="J166:J169"/>
    <mergeCell ref="K166:K169"/>
    <mergeCell ref="L166:L169"/>
    <mergeCell ref="M166:M169"/>
    <mergeCell ref="N170:N172"/>
    <mergeCell ref="O170:O172"/>
    <mergeCell ref="P170:P172"/>
    <mergeCell ref="R170:R172"/>
    <mergeCell ref="L170:L172"/>
    <mergeCell ref="O173:O175"/>
    <mergeCell ref="P173:P175"/>
    <mergeCell ref="R173:R175"/>
    <mergeCell ref="A191:A192"/>
    <mergeCell ref="B191:B192"/>
    <mergeCell ref="C191:C192"/>
    <mergeCell ref="E191:E192"/>
    <mergeCell ref="F191:F192"/>
    <mergeCell ref="G191:G192"/>
    <mergeCell ref="H173:H175"/>
    <mergeCell ref="I173:I175"/>
    <mergeCell ref="J173:J175"/>
    <mergeCell ref="K173:K175"/>
    <mergeCell ref="L173:L175"/>
    <mergeCell ref="M173:M175"/>
    <mergeCell ref="N191:N192"/>
    <mergeCell ref="O191:O192"/>
    <mergeCell ref="P191:P192"/>
    <mergeCell ref="J191:J192"/>
    <mergeCell ref="K191:K192"/>
    <mergeCell ref="L191:L192"/>
    <mergeCell ref="M191:M192"/>
    <mergeCell ref="A173:A175"/>
    <mergeCell ref="B173:B175"/>
    <mergeCell ref="B272:B273"/>
    <mergeCell ref="C272:C273"/>
    <mergeCell ref="E272:E273"/>
    <mergeCell ref="F272:F273"/>
    <mergeCell ref="G272:G273"/>
    <mergeCell ref="H272:H273"/>
    <mergeCell ref="H191:H192"/>
    <mergeCell ref="I191:I192"/>
    <mergeCell ref="N173:N175"/>
    <mergeCell ref="C173:C175"/>
    <mergeCell ref="F173:F175"/>
    <mergeCell ref="G173:G175"/>
    <mergeCell ref="O272:O273"/>
    <mergeCell ref="P272:P273"/>
    <mergeCell ref="A301:A302"/>
    <mergeCell ref="B301:B302"/>
    <mergeCell ref="C301:C302"/>
    <mergeCell ref="E301:E302"/>
    <mergeCell ref="F301:F302"/>
    <mergeCell ref="G301:G302"/>
    <mergeCell ref="H301:H302"/>
    <mergeCell ref="I301:I302"/>
    <mergeCell ref="I272:I273"/>
    <mergeCell ref="J272:J273"/>
    <mergeCell ref="K272:K273"/>
    <mergeCell ref="L272:L273"/>
    <mergeCell ref="M272:M273"/>
    <mergeCell ref="N272:N273"/>
    <mergeCell ref="P301:P302"/>
    <mergeCell ref="J301:J302"/>
    <mergeCell ref="K301:K302"/>
    <mergeCell ref="L301:L302"/>
    <mergeCell ref="M301:M302"/>
    <mergeCell ref="N301:N302"/>
    <mergeCell ref="O301:O302"/>
    <mergeCell ref="A272:A273"/>
    <mergeCell ref="A422:P422"/>
    <mergeCell ref="D426:P426"/>
    <mergeCell ref="D427:F427"/>
    <mergeCell ref="D428:P428"/>
    <mergeCell ref="K334:K335"/>
    <mergeCell ref="L334:L335"/>
    <mergeCell ref="M334:M335"/>
    <mergeCell ref="N334:N335"/>
    <mergeCell ref="O334:O335"/>
    <mergeCell ref="P334:P335"/>
    <mergeCell ref="A334:A335"/>
    <mergeCell ref="B334:B335"/>
    <mergeCell ref="C334:C335"/>
    <mergeCell ref="E334:E335"/>
    <mergeCell ref="F334:F335"/>
    <mergeCell ref="G334:G335"/>
    <mergeCell ref="H334:H335"/>
    <mergeCell ref="I334:I335"/>
    <mergeCell ref="J334:J335"/>
  </mergeCells>
  <conditionalFormatting sqref="Q338:Q345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Q347:Q348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Q349:Q364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Q385:Q390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Q391:Q393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404:Q405 Q407:R411 R406:S406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Q406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Q366:R372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R338:R339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R340:R345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R347:R348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R349:R364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R373:R383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85:R386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387:R390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R397:R399 Q395:R396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400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402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404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405">
    <cfRule type="iconSet" priority="11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3" orientation="landscape" r:id="rId1"/>
  <headerFooter alignWithMargins="0">
    <oddFooter>&amp;C&amp;"Times New Roman Cyr,курсив"Сторінка &amp;P з &amp;N</oddFooter>
  </headerFooter>
  <rowBreaks count="2" manualBreakCount="2">
    <brk id="291" max="15" man="1"/>
    <brk id="354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4"/>
  <sheetViews>
    <sheetView view="pageBreakPreview" topLeftCell="A51" zoomScale="90" zoomScaleSheetLayoutView="90" workbookViewId="0">
      <selection activeCell="A62" sqref="A62:XFD62"/>
    </sheetView>
  </sheetViews>
  <sheetFormatPr defaultColWidth="9.140625" defaultRowHeight="12.75" x14ac:dyDescent="0.2"/>
  <cols>
    <col min="1" max="1" width="9.7109375" style="13" customWidth="1"/>
    <col min="2" max="3" width="22.140625" style="13" customWidth="1"/>
    <col min="4" max="4" width="15.5703125" style="13" customWidth="1"/>
    <col min="5" max="5" width="15.28515625" style="13" customWidth="1"/>
    <col min="6" max="6" width="15.42578125" style="13" customWidth="1"/>
    <col min="7" max="7" width="15.140625" style="13" customWidth="1"/>
    <col min="8" max="8" width="16.42578125" style="13" customWidth="1"/>
    <col min="9" max="9" width="8.28515625" style="13" customWidth="1"/>
    <col min="10" max="10" width="9.140625" style="13"/>
    <col min="11" max="11" width="9.7109375" style="13" customWidth="1"/>
    <col min="12" max="12" width="9.140625" style="13"/>
    <col min="13" max="13" width="8.140625" style="13" customWidth="1"/>
    <col min="14" max="16384" width="9.140625" style="13"/>
  </cols>
  <sheetData>
    <row r="1" spans="1:17" x14ac:dyDescent="0.2">
      <c r="A1"/>
      <c r="B1"/>
      <c r="C1"/>
      <c r="D1"/>
      <c r="E1"/>
      <c r="F1" s="373" t="s">
        <v>114</v>
      </c>
    </row>
    <row r="2" spans="1:17" x14ac:dyDescent="0.2">
      <c r="A2"/>
      <c r="B2"/>
      <c r="C2"/>
      <c r="D2"/>
      <c r="E2"/>
      <c r="F2" s="373" t="s">
        <v>973</v>
      </c>
    </row>
    <row r="3" spans="1:17" x14ac:dyDescent="0.2">
      <c r="A3"/>
      <c r="B3"/>
      <c r="C3"/>
      <c r="D3"/>
      <c r="E3"/>
      <c r="F3" s="373" t="s">
        <v>1364</v>
      </c>
    </row>
    <row r="4" spans="1:17" x14ac:dyDescent="0.2">
      <c r="A4"/>
      <c r="B4"/>
      <c r="C4"/>
      <c r="D4"/>
      <c r="E4"/>
      <c r="F4"/>
    </row>
    <row r="5" spans="1:17" ht="18.75" x14ac:dyDescent="0.2">
      <c r="A5" s="663" t="s">
        <v>577</v>
      </c>
      <c r="B5" s="663"/>
      <c r="C5" s="663"/>
      <c r="D5" s="663"/>
      <c r="E5" s="663"/>
      <c r="F5" s="663"/>
    </row>
    <row r="6" spans="1:17" ht="18.75" x14ac:dyDescent="0.2">
      <c r="A6" s="663" t="s">
        <v>1288</v>
      </c>
      <c r="B6" s="663"/>
      <c r="C6" s="663"/>
      <c r="D6" s="663"/>
      <c r="E6" s="663"/>
      <c r="F6" s="663"/>
    </row>
    <row r="7" spans="1:17" ht="18.75" x14ac:dyDescent="0.2">
      <c r="A7" s="374"/>
      <c r="B7" s="374"/>
      <c r="C7" s="374"/>
      <c r="D7" s="374"/>
      <c r="E7" s="374"/>
      <c r="F7" s="374"/>
    </row>
    <row r="8" spans="1:17" x14ac:dyDescent="0.2">
      <c r="A8" s="664">
        <v>2256400000</v>
      </c>
      <c r="B8" s="665"/>
      <c r="C8" s="666"/>
      <c r="D8" s="666"/>
      <c r="E8" s="666"/>
      <c r="F8" s="666"/>
      <c r="G8" s="20"/>
    </row>
    <row r="9" spans="1:17" ht="15" customHeight="1" x14ac:dyDescent="0.2">
      <c r="A9" s="667" t="s">
        <v>494</v>
      </c>
      <c r="B9" s="668"/>
      <c r="C9" s="666"/>
      <c r="D9" s="666"/>
      <c r="E9" s="666"/>
      <c r="F9" s="666"/>
      <c r="G9" s="20"/>
    </row>
    <row r="10" spans="1:17" ht="13.5" thickBot="1" x14ac:dyDescent="0.25">
      <c r="A10" s="375"/>
      <c r="B10" s="375"/>
      <c r="C10"/>
      <c r="D10"/>
      <c r="E10"/>
      <c r="F10" s="376" t="s">
        <v>408</v>
      </c>
      <c r="G10" s="20"/>
    </row>
    <row r="11" spans="1:17" ht="14.25" thickTop="1" thickBot="1" x14ac:dyDescent="0.25">
      <c r="A11" s="669" t="s">
        <v>57</v>
      </c>
      <c r="B11" s="669" t="s">
        <v>382</v>
      </c>
      <c r="C11" s="669" t="s">
        <v>387</v>
      </c>
      <c r="D11" s="669" t="s">
        <v>12</v>
      </c>
      <c r="E11" s="669" t="s">
        <v>52</v>
      </c>
      <c r="F11" s="669"/>
      <c r="G11" s="20"/>
    </row>
    <row r="12" spans="1:17" ht="35.450000000000003" customHeight="1" thickTop="1" thickBot="1" x14ac:dyDescent="0.25">
      <c r="A12" s="669"/>
      <c r="B12" s="669"/>
      <c r="C12" s="669"/>
      <c r="D12" s="670"/>
      <c r="E12" s="377" t="s">
        <v>388</v>
      </c>
      <c r="F12" s="377" t="s">
        <v>389</v>
      </c>
      <c r="G12" s="20"/>
    </row>
    <row r="13" spans="1:17" ht="14.25" thickTop="1" thickBot="1" x14ac:dyDescent="0.25">
      <c r="A13" s="378">
        <v>1</v>
      </c>
      <c r="B13" s="378">
        <v>2</v>
      </c>
      <c r="C13" s="378">
        <v>3</v>
      </c>
      <c r="D13" s="378">
        <v>4</v>
      </c>
      <c r="E13" s="378">
        <v>5</v>
      </c>
      <c r="F13" s="378">
        <v>6</v>
      </c>
      <c r="G13" s="20"/>
    </row>
    <row r="14" spans="1:17" ht="30.75" customHeight="1" thickTop="1" thickBot="1" x14ac:dyDescent="0.25">
      <c r="A14" s="671" t="s">
        <v>383</v>
      </c>
      <c r="B14" s="671"/>
      <c r="C14" s="672"/>
      <c r="D14" s="672"/>
      <c r="E14" s="672"/>
      <c r="F14" s="672"/>
      <c r="G14" s="20"/>
    </row>
    <row r="15" spans="1:17" ht="26.25" customHeight="1" thickTop="1" thickBot="1" x14ac:dyDescent="0.25">
      <c r="A15" s="512" t="s">
        <v>115</v>
      </c>
      <c r="B15" s="550" t="s">
        <v>116</v>
      </c>
      <c r="C15" s="512">
        <f>C16+C25+C20</f>
        <v>952151603.80999994</v>
      </c>
      <c r="D15" s="512">
        <f>D16+D25+D20</f>
        <v>-434289910.71999979</v>
      </c>
      <c r="E15" s="512">
        <f>E16+E25+E20</f>
        <v>1386441514.5299997</v>
      </c>
      <c r="F15" s="512">
        <f>F16+F25+F20</f>
        <v>1381548416.4499998</v>
      </c>
      <c r="G15" s="623">
        <f>E15-F15</f>
        <v>4893098.0799999237</v>
      </c>
      <c r="H15" s="133"/>
      <c r="I15" s="133"/>
      <c r="J15" s="133"/>
      <c r="K15" s="133"/>
      <c r="L15" s="133"/>
      <c r="M15" s="133"/>
      <c r="N15" s="133"/>
      <c r="O15" s="133"/>
      <c r="P15" s="133"/>
      <c r="Q15" s="133"/>
    </row>
    <row r="16" spans="1:17" ht="42" hidden="1" thickTop="1" thickBot="1" x14ac:dyDescent="0.25">
      <c r="A16" s="516">
        <v>202000</v>
      </c>
      <c r="B16" s="517" t="s">
        <v>979</v>
      </c>
      <c r="C16" s="518">
        <f t="shared" ref="C16:C17" si="0">SUM(D16,E16)</f>
        <v>0</v>
      </c>
      <c r="D16" s="518">
        <f t="shared" ref="D16" si="1">D17</f>
        <v>0</v>
      </c>
      <c r="E16" s="518">
        <f>E17</f>
        <v>0</v>
      </c>
      <c r="F16" s="518">
        <f t="shared" ref="F16" si="2">F17</f>
        <v>0</v>
      </c>
      <c r="G16" s="623"/>
      <c r="H16" s="133"/>
      <c r="I16" s="133"/>
      <c r="J16" s="133"/>
      <c r="K16" s="133"/>
      <c r="L16" s="133"/>
      <c r="M16" s="133"/>
      <c r="N16" s="133"/>
      <c r="O16" s="133"/>
      <c r="P16" s="133"/>
      <c r="Q16" s="133"/>
    </row>
    <row r="17" spans="1:17" ht="27" hidden="1" thickTop="1" thickBot="1" x14ac:dyDescent="0.25">
      <c r="A17" s="510">
        <v>202200</v>
      </c>
      <c r="B17" s="511" t="s">
        <v>981</v>
      </c>
      <c r="C17" s="512">
        <f t="shared" si="0"/>
        <v>0</v>
      </c>
      <c r="D17" s="512">
        <f>SUM(D18:D19)</f>
        <v>0</v>
      </c>
      <c r="E17" s="512">
        <f>SUM(E18:E19)</f>
        <v>0</v>
      </c>
      <c r="F17" s="512">
        <f>SUM(F18:F19)</f>
        <v>0</v>
      </c>
      <c r="G17" s="623"/>
      <c r="H17" s="133"/>
      <c r="I17" s="133"/>
      <c r="J17" s="133"/>
      <c r="K17" s="133"/>
      <c r="L17" s="133"/>
      <c r="M17" s="133"/>
      <c r="N17" s="133"/>
      <c r="O17" s="133"/>
      <c r="P17" s="133"/>
      <c r="Q17" s="133"/>
    </row>
    <row r="18" spans="1:17" ht="14.25" hidden="1" thickTop="1" thickBot="1" x14ac:dyDescent="0.25">
      <c r="A18" s="513">
        <v>202210</v>
      </c>
      <c r="B18" s="514" t="s">
        <v>980</v>
      </c>
      <c r="C18" s="515">
        <f>SUM(D18,E18)</f>
        <v>0</v>
      </c>
      <c r="D18" s="512"/>
      <c r="E18" s="515">
        <v>0</v>
      </c>
      <c r="F18" s="515">
        <v>0</v>
      </c>
      <c r="G18" s="623"/>
      <c r="H18" s="133"/>
      <c r="I18" s="133"/>
      <c r="J18" s="133"/>
      <c r="K18" s="133"/>
      <c r="L18" s="133"/>
      <c r="M18" s="133"/>
      <c r="N18" s="133"/>
      <c r="O18" s="133"/>
      <c r="P18" s="133"/>
      <c r="Q18" s="133"/>
    </row>
    <row r="19" spans="1:17" ht="14.25" hidden="1" thickTop="1" thickBot="1" x14ac:dyDescent="0.25">
      <c r="A19" s="513">
        <v>202220</v>
      </c>
      <c r="B19" s="514" t="s">
        <v>363</v>
      </c>
      <c r="C19" s="515">
        <f>SUM(D19,E19)</f>
        <v>0</v>
      </c>
      <c r="D19" s="512"/>
      <c r="E19" s="515">
        <v>0</v>
      </c>
      <c r="F19" s="515">
        <v>0</v>
      </c>
      <c r="G19" s="623"/>
      <c r="H19" s="133"/>
      <c r="I19" s="133"/>
      <c r="J19" s="133"/>
      <c r="K19" s="133"/>
      <c r="L19" s="133"/>
      <c r="M19" s="133"/>
      <c r="N19" s="133"/>
      <c r="O19" s="133"/>
      <c r="P19" s="133"/>
      <c r="Q19" s="133"/>
    </row>
    <row r="20" spans="1:17" ht="70.5" customHeight="1" thickTop="1" thickBot="1" x14ac:dyDescent="0.25">
      <c r="A20" s="516">
        <v>206000</v>
      </c>
      <c r="B20" s="551" t="s">
        <v>1578</v>
      </c>
      <c r="C20" s="518">
        <f>C21+C23</f>
        <v>-150000000</v>
      </c>
      <c r="D20" s="518">
        <f t="shared" ref="D20:F20" si="3">D21+D23</f>
        <v>-150000000</v>
      </c>
      <c r="E20" s="518">
        <f t="shared" si="3"/>
        <v>0</v>
      </c>
      <c r="F20" s="518">
        <f t="shared" si="3"/>
        <v>0</v>
      </c>
      <c r="G20" s="623"/>
      <c r="H20" s="133"/>
      <c r="I20" s="133"/>
      <c r="J20" s="133"/>
      <c r="K20" s="133"/>
      <c r="L20" s="133"/>
      <c r="M20" s="133"/>
      <c r="N20" s="133"/>
      <c r="O20" s="133"/>
      <c r="P20" s="133"/>
      <c r="Q20" s="133"/>
    </row>
    <row r="21" spans="1:17" ht="65.25" thickTop="1" thickBot="1" x14ac:dyDescent="0.25">
      <c r="A21" s="519">
        <v>206100</v>
      </c>
      <c r="B21" s="648" t="s">
        <v>1579</v>
      </c>
      <c r="C21" s="521">
        <f>C22</f>
        <v>500000000</v>
      </c>
      <c r="D21" s="521">
        <f t="shared" ref="D21" si="4">D22</f>
        <v>500000000</v>
      </c>
      <c r="E21" s="521">
        <f t="shared" ref="E21" si="5">E22</f>
        <v>0</v>
      </c>
      <c r="F21" s="521">
        <f t="shared" ref="F21" si="6">F22</f>
        <v>0</v>
      </c>
      <c r="G21" s="623"/>
      <c r="H21" s="133"/>
      <c r="I21" s="133"/>
      <c r="J21" s="133"/>
      <c r="K21" s="133"/>
      <c r="L21" s="133"/>
      <c r="M21" s="133"/>
      <c r="N21" s="133"/>
      <c r="O21" s="133"/>
      <c r="P21" s="133"/>
      <c r="Q21" s="133"/>
    </row>
    <row r="22" spans="1:17" ht="39.75" thickTop="1" thickBot="1" x14ac:dyDescent="0.25">
      <c r="A22" s="513">
        <v>206120</v>
      </c>
      <c r="B22" s="514" t="s">
        <v>1581</v>
      </c>
      <c r="C22" s="515">
        <f>D22+E22</f>
        <v>500000000</v>
      </c>
      <c r="D22" s="515">
        <f>(500000000)+0</f>
        <v>500000000</v>
      </c>
      <c r="E22" s="515">
        <v>0</v>
      </c>
      <c r="F22" s="515">
        <v>0</v>
      </c>
      <c r="G22" s="623"/>
      <c r="H22" s="133"/>
      <c r="I22" s="133"/>
      <c r="J22" s="133"/>
      <c r="K22" s="133"/>
      <c r="L22" s="133"/>
      <c r="M22" s="133"/>
      <c r="N22" s="133"/>
      <c r="O22" s="133"/>
      <c r="P22" s="133"/>
      <c r="Q22" s="133"/>
    </row>
    <row r="23" spans="1:17" ht="52.5" thickTop="1" thickBot="1" x14ac:dyDescent="0.25">
      <c r="A23" s="519">
        <v>206200</v>
      </c>
      <c r="B23" s="648" t="s">
        <v>1580</v>
      </c>
      <c r="C23" s="521">
        <f>C24</f>
        <v>-650000000</v>
      </c>
      <c r="D23" s="521">
        <f t="shared" ref="D23:F23" si="7">D24</f>
        <v>-650000000</v>
      </c>
      <c r="E23" s="521">
        <f t="shared" si="7"/>
        <v>0</v>
      </c>
      <c r="F23" s="521">
        <f t="shared" si="7"/>
        <v>0</v>
      </c>
      <c r="G23" s="623"/>
      <c r="H23" s="133"/>
      <c r="I23" s="133"/>
      <c r="J23" s="133"/>
      <c r="K23" s="133"/>
      <c r="L23" s="133"/>
      <c r="M23" s="133"/>
      <c r="N23" s="133"/>
      <c r="O23" s="133"/>
      <c r="P23" s="133"/>
      <c r="Q23" s="133"/>
    </row>
    <row r="24" spans="1:17" ht="27" thickTop="1" thickBot="1" x14ac:dyDescent="0.25">
      <c r="A24" s="513">
        <v>206220</v>
      </c>
      <c r="B24" s="514" t="s">
        <v>1582</v>
      </c>
      <c r="C24" s="515">
        <f>D24+E24</f>
        <v>-650000000</v>
      </c>
      <c r="D24" s="515">
        <f>-((500000000)+150000000)</f>
        <v>-650000000</v>
      </c>
      <c r="E24" s="515">
        <v>0</v>
      </c>
      <c r="F24" s="515">
        <v>0</v>
      </c>
      <c r="G24" s="623"/>
      <c r="H24" s="133"/>
      <c r="I24" s="133"/>
      <c r="J24" s="133"/>
      <c r="K24" s="133"/>
      <c r="L24" s="133"/>
      <c r="M24" s="133"/>
      <c r="N24" s="133"/>
      <c r="O24" s="133"/>
      <c r="P24" s="133"/>
      <c r="Q24" s="133"/>
    </row>
    <row r="25" spans="1:17" ht="42" thickTop="1" thickBot="1" x14ac:dyDescent="0.25">
      <c r="A25" s="516">
        <v>208000</v>
      </c>
      <c r="B25" s="551" t="s">
        <v>983</v>
      </c>
      <c r="C25" s="518">
        <f>C26+C29+C27</f>
        <v>1102151603.8099999</v>
      </c>
      <c r="D25" s="518">
        <f>D26+D29+D27</f>
        <v>-284289910.71999979</v>
      </c>
      <c r="E25" s="518">
        <f>E26+E29+E27</f>
        <v>1386441514.5299997</v>
      </c>
      <c r="F25" s="518">
        <f>F26+F29+F27</f>
        <v>1381548416.4499998</v>
      </c>
      <c r="G25" s="624">
        <f>E25-F25</f>
        <v>4893098.0799999237</v>
      </c>
      <c r="H25" s="133"/>
      <c r="I25" s="133"/>
      <c r="J25" s="133"/>
      <c r="K25" s="133"/>
      <c r="L25" s="133"/>
      <c r="M25" s="133"/>
      <c r="N25" s="133"/>
      <c r="O25" s="133"/>
      <c r="P25" s="133"/>
      <c r="Q25" s="133"/>
    </row>
    <row r="26" spans="1:17" ht="15" thickTop="1" thickBot="1" x14ac:dyDescent="0.25">
      <c r="A26" s="516" t="s">
        <v>117</v>
      </c>
      <c r="B26" s="517" t="s">
        <v>118</v>
      </c>
      <c r="C26" s="518">
        <f>SUM(D26,E26)</f>
        <v>1102151603.8099999</v>
      </c>
      <c r="D26" s="518">
        <v>1089100053.98</v>
      </c>
      <c r="E26" s="518">
        <f>(12051549.83)+1000000</f>
        <v>13051549.83</v>
      </c>
      <c r="F26" s="518">
        <v>8158451.75</v>
      </c>
      <c r="G26" s="624"/>
      <c r="H26" s="133"/>
      <c r="I26" s="133"/>
      <c r="J26" s="133"/>
      <c r="K26" s="133"/>
      <c r="L26" s="133"/>
      <c r="M26" s="133"/>
      <c r="N26" s="133"/>
      <c r="O26" s="133"/>
      <c r="P26" s="133"/>
      <c r="Q26" s="133"/>
    </row>
    <row r="27" spans="1:17" ht="15" hidden="1" thickTop="1" thickBot="1" x14ac:dyDescent="0.25">
      <c r="A27" s="552">
        <v>208300</v>
      </c>
      <c r="B27" s="553" t="s">
        <v>986</v>
      </c>
      <c r="C27" s="554">
        <f>SUM(D27,E27)</f>
        <v>0</v>
      </c>
      <c r="D27" s="518">
        <f>D28</f>
        <v>0</v>
      </c>
      <c r="E27" s="518">
        <f>E28</f>
        <v>0</v>
      </c>
      <c r="F27" s="518">
        <f>F28</f>
        <v>0</v>
      </c>
      <c r="G27" s="623"/>
      <c r="H27" s="133"/>
      <c r="I27" s="133"/>
      <c r="J27" s="133"/>
      <c r="K27" s="133"/>
      <c r="L27" s="133"/>
      <c r="M27" s="133"/>
      <c r="N27" s="133"/>
      <c r="O27" s="133"/>
      <c r="P27" s="133"/>
      <c r="Q27" s="133"/>
    </row>
    <row r="28" spans="1:17" ht="52.5" hidden="1" thickTop="1" thickBot="1" x14ac:dyDescent="0.25">
      <c r="A28" s="555">
        <v>208330</v>
      </c>
      <c r="B28" s="556" t="s">
        <v>987</v>
      </c>
      <c r="C28" s="554">
        <f>SUM(D28,E28)</f>
        <v>0</v>
      </c>
      <c r="D28" s="515"/>
      <c r="E28" s="515">
        <f>-D28</f>
        <v>0</v>
      </c>
      <c r="F28" s="515">
        <f>E28</f>
        <v>0</v>
      </c>
      <c r="G28" s="623"/>
      <c r="H28" s="133"/>
      <c r="I28" s="133"/>
      <c r="J28" s="133"/>
      <c r="K28" s="133"/>
      <c r="L28" s="133"/>
      <c r="M28" s="133"/>
      <c r="N28" s="133"/>
      <c r="O28" s="133"/>
      <c r="P28" s="133"/>
      <c r="Q28" s="133"/>
    </row>
    <row r="29" spans="1:17" ht="55.5" thickTop="1" thickBot="1" x14ac:dyDescent="0.25">
      <c r="A29" s="516">
        <v>208400</v>
      </c>
      <c r="B29" s="517" t="s">
        <v>119</v>
      </c>
      <c r="C29" s="518">
        <f>SUM(D29,E29)</f>
        <v>0</v>
      </c>
      <c r="D29" s="518">
        <f>'d3'!E421-'d1'!D143+'d4'!N28+(-D20)-D26</f>
        <v>-1373389964.6999998</v>
      </c>
      <c r="E29" s="518">
        <f>-D29</f>
        <v>1373389964.6999998</v>
      </c>
      <c r="F29" s="518">
        <f>E29</f>
        <v>1373389964.6999998</v>
      </c>
      <c r="G29" s="624" t="b">
        <f>E29=('d3'!J421+'d4'!O28)-('d1'!E143+E30+E26)</f>
        <v>1</v>
      </c>
      <c r="H29" s="133"/>
      <c r="I29" s="133"/>
      <c r="J29" s="133"/>
      <c r="K29" s="133"/>
      <c r="L29" s="133"/>
      <c r="M29" s="133"/>
      <c r="N29" s="133"/>
      <c r="O29" s="133"/>
      <c r="P29" s="133"/>
      <c r="Q29" s="133"/>
    </row>
    <row r="30" spans="1:17" ht="14.25" thickTop="1" thickBot="1" x14ac:dyDescent="0.25">
      <c r="A30" s="510">
        <v>300000</v>
      </c>
      <c r="B30" s="511" t="s">
        <v>360</v>
      </c>
      <c r="C30" s="512">
        <f>C31</f>
        <v>11750000</v>
      </c>
      <c r="D30" s="512">
        <f>D31</f>
        <v>0</v>
      </c>
      <c r="E30" s="512">
        <f>E31</f>
        <v>11750000</v>
      </c>
      <c r="F30" s="512">
        <f>F31</f>
        <v>11750000</v>
      </c>
      <c r="G30" s="132"/>
      <c r="H30" s="133"/>
      <c r="I30" s="133"/>
      <c r="J30" s="133"/>
      <c r="K30" s="133"/>
      <c r="L30" s="133"/>
      <c r="M30" s="133"/>
      <c r="N30" s="133"/>
      <c r="O30" s="133"/>
      <c r="P30" s="133"/>
      <c r="Q30" s="133"/>
    </row>
    <row r="31" spans="1:17" ht="42" thickTop="1" thickBot="1" x14ac:dyDescent="0.25">
      <c r="A31" s="516">
        <v>301000</v>
      </c>
      <c r="B31" s="517" t="s">
        <v>361</v>
      </c>
      <c r="C31" s="518">
        <f>C32+C33</f>
        <v>11750000</v>
      </c>
      <c r="D31" s="518">
        <f>D32+D33</f>
        <v>0</v>
      </c>
      <c r="E31" s="518">
        <f>E32+E33</f>
        <v>11750000</v>
      </c>
      <c r="F31" s="518">
        <f>F32+F33</f>
        <v>11750000</v>
      </c>
      <c r="G31" s="132"/>
      <c r="H31" s="133"/>
      <c r="I31" s="133"/>
      <c r="J31" s="133"/>
      <c r="K31" s="133"/>
      <c r="L31" s="133"/>
      <c r="M31" s="133"/>
      <c r="N31" s="133"/>
      <c r="O31" s="133"/>
      <c r="P31" s="133"/>
      <c r="Q31" s="133"/>
    </row>
    <row r="32" spans="1:17" ht="14.25" thickTop="1" thickBot="1" x14ac:dyDescent="0.25">
      <c r="A32" s="513">
        <v>301100</v>
      </c>
      <c r="B32" s="514" t="s">
        <v>362</v>
      </c>
      <c r="C32" s="515">
        <f>SUM(D32,E32)</f>
        <v>14450000</v>
      </c>
      <c r="D32" s="515"/>
      <c r="E32" s="515">
        <v>14450000</v>
      </c>
      <c r="F32" s="515">
        <v>14450000</v>
      </c>
      <c r="G32" s="132"/>
      <c r="H32" s="133"/>
      <c r="I32" s="133"/>
      <c r="J32" s="133"/>
      <c r="K32" s="133"/>
      <c r="L32" s="133"/>
      <c r="M32" s="133"/>
      <c r="N32" s="133"/>
      <c r="O32" s="133"/>
      <c r="P32" s="133"/>
      <c r="Q32" s="133"/>
    </row>
    <row r="33" spans="1:17" ht="14.25" thickTop="1" thickBot="1" x14ac:dyDescent="0.25">
      <c r="A33" s="513">
        <v>301200</v>
      </c>
      <c r="B33" s="514" t="s">
        <v>363</v>
      </c>
      <c r="C33" s="515">
        <f>SUM(D33,E33)</f>
        <v>-2700000</v>
      </c>
      <c r="D33" s="515"/>
      <c r="E33" s="515">
        <v>-2700000</v>
      </c>
      <c r="F33" s="515">
        <v>-2700000</v>
      </c>
      <c r="G33" s="132"/>
      <c r="H33" s="133"/>
      <c r="I33" s="133"/>
      <c r="J33" s="133"/>
      <c r="K33" s="133"/>
      <c r="L33" s="133"/>
      <c r="M33" s="133"/>
      <c r="N33" s="133"/>
      <c r="O33" s="133"/>
      <c r="P33" s="133"/>
      <c r="Q33" s="133"/>
    </row>
    <row r="34" spans="1:17" ht="24" customHeight="1" thickTop="1" thickBot="1" x14ac:dyDescent="0.25">
      <c r="A34" s="573" t="s">
        <v>385</v>
      </c>
      <c r="B34" s="574" t="s">
        <v>384</v>
      </c>
      <c r="C34" s="575">
        <f>C15+C30</f>
        <v>963901603.80999994</v>
      </c>
      <c r="D34" s="575">
        <f>D15+D30</f>
        <v>-434289910.71999979</v>
      </c>
      <c r="E34" s="575">
        <f>E15+E30</f>
        <v>1398191514.5299997</v>
      </c>
      <c r="F34" s="575">
        <f>F15+F30</f>
        <v>1393298416.4499998</v>
      </c>
      <c r="G34" s="132"/>
      <c r="H34" s="133"/>
      <c r="I34" s="133"/>
      <c r="J34" s="133"/>
      <c r="K34" s="133"/>
      <c r="L34" s="133"/>
      <c r="M34" s="133"/>
      <c r="N34" s="133"/>
      <c r="O34" s="133"/>
      <c r="P34" s="133"/>
      <c r="Q34" s="133"/>
    </row>
    <row r="35" spans="1:17" ht="35.450000000000003" customHeight="1" thickTop="1" thickBot="1" x14ac:dyDescent="0.25">
      <c r="A35" s="671" t="s">
        <v>386</v>
      </c>
      <c r="B35" s="671"/>
      <c r="C35" s="672"/>
      <c r="D35" s="672"/>
      <c r="E35" s="672"/>
      <c r="F35" s="672"/>
      <c r="G35" s="132"/>
      <c r="H35" s="133"/>
      <c r="I35" s="133"/>
      <c r="J35" s="133"/>
      <c r="K35" s="133"/>
      <c r="L35" s="133"/>
      <c r="M35" s="133"/>
      <c r="N35" s="133"/>
      <c r="O35" s="133"/>
      <c r="P35" s="133"/>
      <c r="Q35" s="133"/>
    </row>
    <row r="36" spans="1:17" ht="27" thickTop="1" thickBot="1" x14ac:dyDescent="0.25">
      <c r="A36" s="510">
        <v>400000</v>
      </c>
      <c r="B36" s="511" t="s">
        <v>120</v>
      </c>
      <c r="C36" s="512">
        <f>C37+C42</f>
        <v>11750000</v>
      </c>
      <c r="D36" s="512">
        <f>D37+D42</f>
        <v>0</v>
      </c>
      <c r="E36" s="512">
        <f>E37+E42</f>
        <v>11750000</v>
      </c>
      <c r="F36" s="512">
        <f>F37+F42</f>
        <v>11750000</v>
      </c>
      <c r="G36" s="132"/>
      <c r="H36" s="133"/>
      <c r="I36" s="133"/>
      <c r="J36" s="133"/>
      <c r="K36" s="133"/>
      <c r="L36" s="133"/>
      <c r="M36" s="133"/>
      <c r="N36" s="133"/>
      <c r="O36" s="133"/>
      <c r="P36" s="133"/>
      <c r="Q36" s="133"/>
    </row>
    <row r="37" spans="1:17" ht="15" thickTop="1" thickBot="1" x14ac:dyDescent="0.25">
      <c r="A37" s="516">
        <v>401000</v>
      </c>
      <c r="B37" s="517" t="s">
        <v>121</v>
      </c>
      <c r="C37" s="518">
        <f>C38+C40</f>
        <v>14450000</v>
      </c>
      <c r="D37" s="518">
        <f>D38+D40</f>
        <v>0</v>
      </c>
      <c r="E37" s="518">
        <f>E38+E40</f>
        <v>14450000</v>
      </c>
      <c r="F37" s="518">
        <f>F38+F40</f>
        <v>14450000</v>
      </c>
      <c r="G37" s="132"/>
      <c r="H37" s="133"/>
      <c r="I37" s="133"/>
      <c r="J37" s="133"/>
      <c r="K37" s="133"/>
      <c r="L37" s="133"/>
      <c r="M37" s="133"/>
      <c r="N37" s="133"/>
      <c r="O37" s="133"/>
      <c r="P37" s="133"/>
      <c r="Q37" s="133"/>
    </row>
    <row r="38" spans="1:17" ht="14.25" hidden="1" thickTop="1" thickBot="1" x14ac:dyDescent="0.25">
      <c r="A38" s="519">
        <v>401100</v>
      </c>
      <c r="B38" s="520" t="s">
        <v>982</v>
      </c>
      <c r="C38" s="521">
        <f>C39</f>
        <v>0</v>
      </c>
      <c r="D38" s="521">
        <f>D39</f>
        <v>0</v>
      </c>
      <c r="E38" s="521">
        <f>E39</f>
        <v>0</v>
      </c>
      <c r="F38" s="521">
        <f>F39</f>
        <v>0</v>
      </c>
      <c r="G38" s="132"/>
      <c r="H38" s="133"/>
      <c r="I38" s="133"/>
      <c r="J38" s="133"/>
      <c r="K38" s="133"/>
      <c r="L38" s="133"/>
      <c r="M38" s="133"/>
      <c r="N38" s="133"/>
      <c r="O38" s="133"/>
      <c r="P38" s="133"/>
      <c r="Q38" s="133"/>
    </row>
    <row r="39" spans="1:17" ht="27" hidden="1" thickTop="1" thickBot="1" x14ac:dyDescent="0.25">
      <c r="A39" s="513">
        <v>401101</v>
      </c>
      <c r="B39" s="514" t="s">
        <v>977</v>
      </c>
      <c r="C39" s="515">
        <f>SUM(D39,E39)</f>
        <v>0</v>
      </c>
      <c r="D39" s="512"/>
      <c r="E39" s="515">
        <v>0</v>
      </c>
      <c r="F39" s="515">
        <v>0</v>
      </c>
      <c r="G39" s="132"/>
      <c r="H39" s="133"/>
      <c r="I39" s="133"/>
      <c r="J39" s="133"/>
      <c r="K39" s="133"/>
      <c r="L39" s="133"/>
      <c r="M39" s="133"/>
      <c r="N39" s="133"/>
      <c r="O39" s="133"/>
      <c r="P39" s="133"/>
      <c r="Q39" s="133"/>
    </row>
    <row r="40" spans="1:17" s="4" customFormat="1" ht="14.25" thickTop="1" thickBot="1" x14ac:dyDescent="0.25">
      <c r="A40" s="519">
        <v>401200</v>
      </c>
      <c r="B40" s="520" t="s">
        <v>364</v>
      </c>
      <c r="C40" s="521">
        <f>SUM(D40,E40)</f>
        <v>14450000</v>
      </c>
      <c r="D40" s="521"/>
      <c r="E40" s="521">
        <f>E41</f>
        <v>14450000</v>
      </c>
      <c r="F40" s="521">
        <f>F41</f>
        <v>14450000</v>
      </c>
      <c r="G40" s="137"/>
      <c r="H40" s="138"/>
      <c r="I40" s="138"/>
      <c r="J40" s="138"/>
      <c r="K40" s="138"/>
      <c r="L40" s="138"/>
      <c r="M40" s="138"/>
      <c r="N40" s="138"/>
      <c r="O40" s="138"/>
      <c r="P40" s="138"/>
      <c r="Q40" s="138"/>
    </row>
    <row r="41" spans="1:17" ht="27" thickTop="1" thickBot="1" x14ac:dyDescent="0.25">
      <c r="A41" s="513">
        <v>401201</v>
      </c>
      <c r="B41" s="514" t="s">
        <v>977</v>
      </c>
      <c r="C41" s="515">
        <f>SUM(D41,E41)</f>
        <v>14450000</v>
      </c>
      <c r="D41" s="512"/>
      <c r="E41" s="515">
        <v>14450000</v>
      </c>
      <c r="F41" s="515">
        <v>14450000</v>
      </c>
      <c r="G41" s="132"/>
      <c r="H41" s="133"/>
      <c r="I41" s="133"/>
      <c r="J41" s="133"/>
      <c r="K41" s="133"/>
      <c r="L41" s="133"/>
      <c r="M41" s="133"/>
      <c r="N41" s="133"/>
      <c r="O41" s="133"/>
      <c r="P41" s="133"/>
      <c r="Q41" s="133"/>
    </row>
    <row r="42" spans="1:17" s="4" customFormat="1" ht="15" thickTop="1" thickBot="1" x14ac:dyDescent="0.25">
      <c r="A42" s="516">
        <v>402000</v>
      </c>
      <c r="B42" s="517" t="s">
        <v>365</v>
      </c>
      <c r="C42" s="518">
        <f>C45+C43</f>
        <v>-2700000</v>
      </c>
      <c r="D42" s="518">
        <f>D45+D43</f>
        <v>0</v>
      </c>
      <c r="E42" s="518">
        <f>E45+E43</f>
        <v>-2700000</v>
      </c>
      <c r="F42" s="518">
        <f>F45+F43</f>
        <v>-2700000</v>
      </c>
      <c r="G42" s="137"/>
      <c r="H42" s="138"/>
      <c r="I42" s="138"/>
      <c r="J42" s="138"/>
      <c r="K42" s="138"/>
      <c r="L42" s="138"/>
      <c r="M42" s="138"/>
      <c r="N42" s="138"/>
      <c r="O42" s="138"/>
      <c r="P42" s="138"/>
      <c r="Q42" s="138"/>
    </row>
    <row r="43" spans="1:17" s="4" customFormat="1" ht="14.25" hidden="1" thickTop="1" thickBot="1" x14ac:dyDescent="0.25">
      <c r="A43" s="519">
        <v>402100</v>
      </c>
      <c r="B43" s="520" t="s">
        <v>1039</v>
      </c>
      <c r="C43" s="521">
        <f>C44</f>
        <v>0</v>
      </c>
      <c r="D43" s="521">
        <f>D44</f>
        <v>0</v>
      </c>
      <c r="E43" s="521">
        <f>E44</f>
        <v>0</v>
      </c>
      <c r="F43" s="521">
        <f>F44</f>
        <v>0</v>
      </c>
      <c r="G43" s="137"/>
      <c r="H43" s="138"/>
      <c r="I43" s="138"/>
      <c r="J43" s="138"/>
      <c r="K43" s="138"/>
      <c r="L43" s="138"/>
      <c r="M43" s="138"/>
      <c r="N43" s="138"/>
      <c r="O43" s="138"/>
      <c r="P43" s="138"/>
      <c r="Q43" s="138"/>
    </row>
    <row r="44" spans="1:17" s="4" customFormat="1" ht="27" hidden="1" thickTop="1" thickBot="1" x14ac:dyDescent="0.25">
      <c r="A44" s="513">
        <v>402101</v>
      </c>
      <c r="B44" s="514" t="s">
        <v>977</v>
      </c>
      <c r="C44" s="515">
        <f>SUM(D44,E44)</f>
        <v>0</v>
      </c>
      <c r="D44" s="512"/>
      <c r="E44" s="515">
        <v>0</v>
      </c>
      <c r="F44" s="515">
        <v>0</v>
      </c>
      <c r="G44" s="137"/>
      <c r="H44" s="138"/>
      <c r="I44" s="138"/>
      <c r="J44" s="138"/>
      <c r="K44" s="138"/>
      <c r="L44" s="138"/>
      <c r="M44" s="138"/>
      <c r="N44" s="138"/>
      <c r="O44" s="138"/>
      <c r="P44" s="138"/>
      <c r="Q44" s="138"/>
    </row>
    <row r="45" spans="1:17" s="4" customFormat="1" ht="14.25" thickTop="1" thickBot="1" x14ac:dyDescent="0.25">
      <c r="A45" s="519">
        <v>402200</v>
      </c>
      <c r="B45" s="520" t="s">
        <v>976</v>
      </c>
      <c r="C45" s="521">
        <f>SUM(C46,C47)</f>
        <v>-2700000</v>
      </c>
      <c r="D45" s="521"/>
      <c r="E45" s="521">
        <f>SUM(E46,E47)</f>
        <v>-2700000</v>
      </c>
      <c r="F45" s="521">
        <f>SUM(F46,F47)</f>
        <v>-2700000</v>
      </c>
      <c r="G45" s="137"/>
      <c r="H45" s="138"/>
      <c r="I45" s="138"/>
      <c r="J45" s="138"/>
      <c r="K45" s="138"/>
      <c r="L45" s="138"/>
      <c r="M45" s="138"/>
      <c r="N45" s="138"/>
      <c r="O45" s="138"/>
      <c r="P45" s="138"/>
      <c r="Q45" s="138"/>
    </row>
    <row r="46" spans="1:17" s="4" customFormat="1" ht="27" thickTop="1" thickBot="1" x14ac:dyDescent="0.25">
      <c r="A46" s="513">
        <v>402201</v>
      </c>
      <c r="B46" s="514" t="s">
        <v>977</v>
      </c>
      <c r="C46" s="515">
        <f>SUM(D46,E46)</f>
        <v>-2700000</v>
      </c>
      <c r="D46" s="512"/>
      <c r="E46" s="515">
        <v>-2700000</v>
      </c>
      <c r="F46" s="515">
        <v>-2700000</v>
      </c>
      <c r="G46" s="137"/>
      <c r="H46" s="138"/>
      <c r="I46" s="138"/>
      <c r="J46" s="138"/>
      <c r="K46" s="138"/>
      <c r="L46" s="138"/>
      <c r="M46" s="138"/>
      <c r="N46" s="138"/>
      <c r="O46" s="138"/>
      <c r="P46" s="138"/>
      <c r="Q46" s="138"/>
    </row>
    <row r="47" spans="1:17" ht="27" hidden="1" thickTop="1" thickBot="1" x14ac:dyDescent="0.25">
      <c r="A47" s="134">
        <v>402202</v>
      </c>
      <c r="B47" s="135" t="s">
        <v>978</v>
      </c>
      <c r="C47" s="136">
        <f>SUM(D47,E47)</f>
        <v>0</v>
      </c>
      <c r="D47" s="602"/>
      <c r="E47" s="603">
        <v>0</v>
      </c>
      <c r="F47" s="136">
        <v>0</v>
      </c>
      <c r="G47" s="132"/>
      <c r="H47" s="133"/>
      <c r="I47" s="133"/>
      <c r="J47" s="133"/>
      <c r="K47" s="133"/>
      <c r="L47" s="133"/>
      <c r="M47" s="133"/>
      <c r="N47" s="133"/>
      <c r="O47" s="133"/>
      <c r="P47" s="133"/>
      <c r="Q47" s="133"/>
    </row>
    <row r="48" spans="1:17" ht="27" thickTop="1" thickBot="1" x14ac:dyDescent="0.25">
      <c r="A48" s="510" t="s">
        <v>122</v>
      </c>
      <c r="B48" s="511" t="s">
        <v>123</v>
      </c>
      <c r="C48" s="512">
        <f>C54+C49</f>
        <v>952151603.80999994</v>
      </c>
      <c r="D48" s="512">
        <f t="shared" ref="D48:F48" si="8">D54+D49</f>
        <v>-434289910.71999979</v>
      </c>
      <c r="E48" s="512">
        <f t="shared" si="8"/>
        <v>1386441514.5299997</v>
      </c>
      <c r="F48" s="512">
        <f t="shared" si="8"/>
        <v>1381548416.4499998</v>
      </c>
      <c r="G48" s="132"/>
      <c r="H48" s="133"/>
      <c r="I48" s="133"/>
      <c r="J48" s="133"/>
      <c r="K48" s="133"/>
      <c r="L48" s="133"/>
      <c r="M48" s="133"/>
      <c r="N48" s="133"/>
      <c r="O48" s="133"/>
      <c r="P48" s="133"/>
      <c r="Q48" s="133"/>
    </row>
    <row r="49" spans="1:17" ht="64.5" customHeight="1" thickTop="1" thickBot="1" x14ac:dyDescent="0.25">
      <c r="A49" s="516">
        <v>601000</v>
      </c>
      <c r="B49" s="517" t="s">
        <v>1583</v>
      </c>
      <c r="C49" s="518">
        <f>C50+C52</f>
        <v>-150000000</v>
      </c>
      <c r="D49" s="518">
        <f t="shared" ref="D49:F49" si="9">D50+D52</f>
        <v>-150000000</v>
      </c>
      <c r="E49" s="518">
        <f t="shared" si="9"/>
        <v>0</v>
      </c>
      <c r="F49" s="518">
        <f t="shared" si="9"/>
        <v>0</v>
      </c>
      <c r="G49" s="132"/>
      <c r="H49" s="133"/>
      <c r="I49" s="133"/>
      <c r="J49" s="133"/>
      <c r="K49" s="133"/>
      <c r="L49" s="133"/>
      <c r="M49" s="133"/>
      <c r="N49" s="133"/>
      <c r="O49" s="133"/>
      <c r="P49" s="133"/>
      <c r="Q49" s="133"/>
    </row>
    <row r="50" spans="1:17" ht="39" customHeight="1" thickTop="1" thickBot="1" x14ac:dyDescent="0.25">
      <c r="A50" s="519">
        <v>601100</v>
      </c>
      <c r="B50" s="520" t="s">
        <v>1579</v>
      </c>
      <c r="C50" s="521">
        <f>C51</f>
        <v>500000000</v>
      </c>
      <c r="D50" s="521">
        <f t="shared" ref="D50:F50" si="10">D51</f>
        <v>500000000</v>
      </c>
      <c r="E50" s="521">
        <f t="shared" si="10"/>
        <v>0</v>
      </c>
      <c r="F50" s="521">
        <f t="shared" si="10"/>
        <v>0</v>
      </c>
      <c r="G50" s="132"/>
      <c r="H50" s="133"/>
      <c r="I50" s="133"/>
      <c r="J50" s="133"/>
      <c r="K50" s="133"/>
      <c r="L50" s="133"/>
      <c r="M50" s="133"/>
      <c r="N50" s="133"/>
      <c r="O50" s="133"/>
      <c r="P50" s="133"/>
      <c r="Q50" s="133"/>
    </row>
    <row r="51" spans="1:17" ht="39.75" thickTop="1" thickBot="1" x14ac:dyDescent="0.25">
      <c r="A51" s="513">
        <v>601120</v>
      </c>
      <c r="B51" s="514" t="s">
        <v>1581</v>
      </c>
      <c r="C51" s="515">
        <f>D51+E51</f>
        <v>500000000</v>
      </c>
      <c r="D51" s="515">
        <v>500000000</v>
      </c>
      <c r="E51" s="515">
        <v>0</v>
      </c>
      <c r="F51" s="515">
        <v>0</v>
      </c>
      <c r="G51" s="132"/>
      <c r="H51" s="133"/>
      <c r="I51" s="133"/>
      <c r="J51" s="133"/>
      <c r="K51" s="133"/>
      <c r="L51" s="133"/>
      <c r="M51" s="133"/>
      <c r="N51" s="133"/>
      <c r="O51" s="133"/>
      <c r="P51" s="133"/>
      <c r="Q51" s="133"/>
    </row>
    <row r="52" spans="1:17" ht="52.5" thickTop="1" thickBot="1" x14ac:dyDescent="0.25">
      <c r="A52" s="519">
        <v>601200</v>
      </c>
      <c r="B52" s="520" t="s">
        <v>1584</v>
      </c>
      <c r="C52" s="521">
        <f>C53</f>
        <v>-650000000</v>
      </c>
      <c r="D52" s="521">
        <f t="shared" ref="D52" si="11">D53</f>
        <v>-650000000</v>
      </c>
      <c r="E52" s="521">
        <f t="shared" ref="E52" si="12">E53</f>
        <v>0</v>
      </c>
      <c r="F52" s="521">
        <f t="shared" ref="F52" si="13">F53</f>
        <v>0</v>
      </c>
      <c r="G52" s="132"/>
      <c r="H52" s="133"/>
      <c r="I52" s="133"/>
      <c r="J52" s="133"/>
      <c r="K52" s="133"/>
      <c r="L52" s="133"/>
      <c r="M52" s="133"/>
      <c r="N52" s="133"/>
      <c r="O52" s="133"/>
      <c r="P52" s="133"/>
      <c r="Q52" s="133"/>
    </row>
    <row r="53" spans="1:17" ht="27" thickTop="1" thickBot="1" x14ac:dyDescent="0.25">
      <c r="A53" s="513">
        <v>601220</v>
      </c>
      <c r="B53" s="514" t="s">
        <v>1585</v>
      </c>
      <c r="C53" s="515">
        <f>D53+E53</f>
        <v>-650000000</v>
      </c>
      <c r="D53" s="515">
        <f>-((500000000)+150000000)</f>
        <v>-650000000</v>
      </c>
      <c r="E53" s="515">
        <v>0</v>
      </c>
      <c r="F53" s="515">
        <v>0</v>
      </c>
      <c r="G53" s="132"/>
      <c r="H53" s="133"/>
      <c r="I53" s="133"/>
      <c r="J53" s="133"/>
      <c r="K53" s="133"/>
      <c r="L53" s="133"/>
      <c r="M53" s="133"/>
      <c r="N53" s="133"/>
      <c r="O53" s="133"/>
      <c r="P53" s="133"/>
      <c r="Q53" s="133"/>
    </row>
    <row r="54" spans="1:17" ht="28.5" thickTop="1" thickBot="1" x14ac:dyDescent="0.25">
      <c r="A54" s="516">
        <v>602000</v>
      </c>
      <c r="B54" s="517" t="s">
        <v>984</v>
      </c>
      <c r="C54" s="518">
        <f>C55+C58+C56</f>
        <v>1102151603.8099999</v>
      </c>
      <c r="D54" s="518">
        <f>D55+D58+D56</f>
        <v>-284289910.71999979</v>
      </c>
      <c r="E54" s="518">
        <f>E55+E58+E56</f>
        <v>1386441514.5299997</v>
      </c>
      <c r="F54" s="518">
        <f>F55+F58+F56</f>
        <v>1381548416.4499998</v>
      </c>
      <c r="G54" s="132"/>
      <c r="H54" s="133"/>
      <c r="I54" s="133"/>
      <c r="J54" s="133"/>
      <c r="K54" s="133"/>
      <c r="L54" s="133"/>
      <c r="M54" s="133"/>
      <c r="N54" s="133"/>
      <c r="O54" s="133"/>
      <c r="P54" s="133"/>
      <c r="Q54" s="133"/>
    </row>
    <row r="55" spans="1:17" ht="14.25" thickTop="1" thickBot="1" x14ac:dyDescent="0.25">
      <c r="A55" s="519">
        <v>602100</v>
      </c>
      <c r="B55" s="520" t="s">
        <v>985</v>
      </c>
      <c r="C55" s="521">
        <f>SUM(D55,E55)</f>
        <v>1102151603.8099999</v>
      </c>
      <c r="D55" s="521">
        <f>D26</f>
        <v>1089100053.98</v>
      </c>
      <c r="E55" s="521">
        <f>E26</f>
        <v>13051549.83</v>
      </c>
      <c r="F55" s="521">
        <f>F26</f>
        <v>8158451.75</v>
      </c>
      <c r="G55" s="132"/>
      <c r="H55" s="133"/>
      <c r="I55" s="133"/>
      <c r="J55" s="133"/>
      <c r="K55" s="133"/>
      <c r="L55" s="133"/>
      <c r="M55" s="133"/>
      <c r="N55" s="133"/>
      <c r="O55" s="133"/>
      <c r="P55" s="133"/>
      <c r="Q55" s="133"/>
    </row>
    <row r="56" spans="1:17" ht="14.25" hidden="1" thickTop="1" thickBot="1" x14ac:dyDescent="0.25">
      <c r="A56" s="519">
        <v>602300</v>
      </c>
      <c r="B56" s="520" t="s">
        <v>986</v>
      </c>
      <c r="C56" s="521">
        <f>SUM(D56,E56)</f>
        <v>0</v>
      </c>
      <c r="D56" s="521">
        <f>D57</f>
        <v>0</v>
      </c>
      <c r="E56" s="521">
        <f>E57</f>
        <v>0</v>
      </c>
      <c r="F56" s="521">
        <f>E56</f>
        <v>0</v>
      </c>
      <c r="G56" s="132"/>
      <c r="H56" s="133"/>
      <c r="I56" s="133"/>
      <c r="J56" s="133"/>
      <c r="K56" s="133"/>
      <c r="L56" s="133"/>
      <c r="M56" s="133"/>
      <c r="N56" s="133"/>
      <c r="O56" s="133"/>
      <c r="P56" s="133"/>
      <c r="Q56" s="133"/>
    </row>
    <row r="57" spans="1:17" ht="52.5" hidden="1" thickTop="1" thickBot="1" x14ac:dyDescent="0.25">
      <c r="A57" s="513">
        <v>602303</v>
      </c>
      <c r="B57" s="514" t="s">
        <v>987</v>
      </c>
      <c r="C57" s="515">
        <f>SUM(D57,E57)</f>
        <v>0</v>
      </c>
      <c r="D57" s="515"/>
      <c r="E57" s="515">
        <f>-D57</f>
        <v>0</v>
      </c>
      <c r="F57" s="515">
        <f>E57</f>
        <v>0</v>
      </c>
      <c r="G57" s="132"/>
      <c r="H57" s="133"/>
      <c r="I57" s="133"/>
      <c r="J57" s="133"/>
      <c r="K57" s="133"/>
      <c r="L57" s="133"/>
      <c r="M57" s="133"/>
      <c r="N57" s="133"/>
      <c r="O57" s="133"/>
      <c r="P57" s="133"/>
      <c r="Q57" s="133"/>
    </row>
    <row r="58" spans="1:17" ht="52.5" thickTop="1" thickBot="1" x14ac:dyDescent="0.25">
      <c r="A58" s="519">
        <v>602400</v>
      </c>
      <c r="B58" s="520" t="s">
        <v>119</v>
      </c>
      <c r="C58" s="521">
        <f>SUM(D58,E58)</f>
        <v>0</v>
      </c>
      <c r="D58" s="521">
        <f>D29</f>
        <v>-1373389964.6999998</v>
      </c>
      <c r="E58" s="521">
        <f>E29</f>
        <v>1373389964.6999998</v>
      </c>
      <c r="F58" s="521">
        <f>F29</f>
        <v>1373389964.6999998</v>
      </c>
      <c r="G58" s="132"/>
      <c r="H58" s="133"/>
      <c r="I58" s="133"/>
      <c r="J58" s="133"/>
      <c r="K58" s="133"/>
      <c r="L58" s="133"/>
      <c r="M58" s="133"/>
      <c r="N58" s="133"/>
      <c r="O58" s="133"/>
      <c r="P58" s="133"/>
      <c r="Q58" s="133"/>
    </row>
    <row r="59" spans="1:17" ht="30" customHeight="1" thickTop="1" thickBot="1" x14ac:dyDescent="0.25">
      <c r="A59" s="573" t="s">
        <v>385</v>
      </c>
      <c r="B59" s="574" t="s">
        <v>384</v>
      </c>
      <c r="C59" s="575">
        <f>C36+C48</f>
        <v>963901603.80999994</v>
      </c>
      <c r="D59" s="575">
        <f>D36+D48</f>
        <v>-434289910.71999979</v>
      </c>
      <c r="E59" s="575">
        <f>E36+E48</f>
        <v>1398191514.5299997</v>
      </c>
      <c r="F59" s="575">
        <f>F36+F48</f>
        <v>1393298416.4499998</v>
      </c>
      <c r="G59" s="132"/>
      <c r="H59" s="133"/>
      <c r="I59" s="133"/>
      <c r="J59" s="133"/>
      <c r="K59" s="133"/>
      <c r="L59" s="133"/>
      <c r="M59" s="133"/>
      <c r="N59" s="133"/>
      <c r="O59" s="133"/>
      <c r="P59" s="133"/>
      <c r="Q59" s="133"/>
    </row>
    <row r="60" spans="1:17" ht="13.5" thickTop="1" x14ac:dyDescent="0.2">
      <c r="A60" s="139"/>
      <c r="B60" s="139"/>
      <c r="C60" s="139"/>
      <c r="D60" s="139"/>
      <c r="E60" s="139"/>
      <c r="F60" s="139"/>
      <c r="G60" s="139"/>
      <c r="H60" s="139"/>
      <c r="I60" s="139"/>
    </row>
    <row r="61" spans="1:17" ht="45.75" x14ac:dyDescent="0.65">
      <c r="A61" s="139"/>
      <c r="B61" s="649" t="s">
        <v>1586</v>
      </c>
      <c r="C61"/>
      <c r="D61"/>
      <c r="E61" s="14" t="s">
        <v>1587</v>
      </c>
      <c r="F61" s="14"/>
      <c r="G61" s="140"/>
      <c r="H61" s="140"/>
      <c r="I61" s="140"/>
      <c r="J61" s="140"/>
      <c r="K61" s="140"/>
      <c r="L61" s="140"/>
      <c r="M61" s="140"/>
      <c r="N61" s="140"/>
      <c r="O61" s="140"/>
    </row>
    <row r="62" spans="1:17" ht="27" hidden="1" customHeight="1" x14ac:dyDescent="0.25">
      <c r="A62" s="139"/>
      <c r="B62" s="643" t="s">
        <v>1548</v>
      </c>
      <c r="C62"/>
      <c r="D62"/>
      <c r="E62" s="645" t="s">
        <v>1549</v>
      </c>
      <c r="F62" s="499"/>
      <c r="G62" s="139"/>
      <c r="H62" s="139"/>
      <c r="I62" s="139"/>
    </row>
    <row r="63" spans="1:17" ht="15.75" x14ac:dyDescent="0.25">
      <c r="A63" s="139"/>
      <c r="B63" s="639"/>
      <c r="C63" s="639"/>
      <c r="D63" s="640"/>
      <c r="E63" s="499"/>
      <c r="F63" s="499"/>
      <c r="G63" s="139"/>
      <c r="H63" s="139"/>
      <c r="I63" s="139"/>
    </row>
    <row r="64" spans="1:17" ht="15.75" customHeight="1" x14ac:dyDescent="0.25">
      <c r="B64" s="661" t="s">
        <v>528</v>
      </c>
      <c r="C64" s="662"/>
      <c r="D64" s="662"/>
      <c r="E64" s="1" t="s">
        <v>1435</v>
      </c>
      <c r="F64" s="1"/>
    </row>
  </sheetData>
  <mergeCells count="12">
    <mergeCell ref="B64:D64"/>
    <mergeCell ref="A5:F5"/>
    <mergeCell ref="A6:F6"/>
    <mergeCell ref="A8:F8"/>
    <mergeCell ref="A9:F9"/>
    <mergeCell ref="A11:A12"/>
    <mergeCell ref="B11:B12"/>
    <mergeCell ref="C11:C12"/>
    <mergeCell ref="D11:D12"/>
    <mergeCell ref="E11:F11"/>
    <mergeCell ref="A14:F14"/>
    <mergeCell ref="A35:F35"/>
  </mergeCells>
  <pageMargins left="1.1811023622047245" right="0.44" top="0.39370078740157483" bottom="0.19685039370078741" header="0.39370078740157483" footer="0.15748031496062992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49"/>
  <sheetViews>
    <sheetView view="pageBreakPreview" zoomScale="25" zoomScaleNormal="25" zoomScaleSheetLayoutView="25" zoomScalePageLayoutView="10" workbookViewId="0">
      <pane ySplit="14" topLeftCell="A411" activePane="bottomLeft" state="frozen"/>
      <selection activeCell="B52" sqref="B52:E52"/>
      <selection pane="bottomLeft" activeCell="A425" sqref="A425:XFD425"/>
    </sheetView>
  </sheetViews>
  <sheetFormatPr defaultColWidth="9.140625" defaultRowHeight="12.75" x14ac:dyDescent="0.2"/>
  <cols>
    <col min="1" max="1" width="48" style="18" customWidth="1"/>
    <col min="2" max="2" width="52.5703125" style="18" customWidth="1"/>
    <col min="3" max="3" width="65.7109375" style="18" customWidth="1"/>
    <col min="4" max="4" width="256.140625" style="18" customWidth="1"/>
    <col min="5" max="5" width="66.42578125" style="57" customWidth="1"/>
    <col min="6" max="6" width="62.5703125" style="18" customWidth="1"/>
    <col min="7" max="7" width="59.7109375" style="18" customWidth="1"/>
    <col min="8" max="8" width="53.140625" style="18" customWidth="1"/>
    <col min="9" max="9" width="41.85546875" style="18" customWidth="1"/>
    <col min="10" max="10" width="50.5703125" style="57" customWidth="1"/>
    <col min="11" max="11" width="52.5703125" style="57" customWidth="1"/>
    <col min="12" max="12" width="56.140625" style="18" customWidth="1"/>
    <col min="13" max="13" width="54.85546875" style="18" customWidth="1"/>
    <col min="14" max="14" width="51" style="18" customWidth="1"/>
    <col min="15" max="15" width="56.140625" style="18" bestFit="1" customWidth="1"/>
    <col min="16" max="16" width="86.28515625" style="57" customWidth="1"/>
    <col min="17" max="17" width="52.140625" style="91" customWidth="1"/>
    <col min="18" max="18" width="33.85546875" style="20" customWidth="1"/>
    <col min="19" max="19" width="40.140625" style="21" bestFit="1" customWidth="1"/>
    <col min="20" max="20" width="43.5703125" style="21" bestFit="1" customWidth="1"/>
    <col min="21" max="16384" width="9.140625" style="21"/>
  </cols>
  <sheetData>
    <row r="1" spans="1:18" ht="45.75" x14ac:dyDescent="0.2">
      <c r="A1" s="77"/>
      <c r="B1" s="77"/>
      <c r="C1" s="77"/>
      <c r="D1" s="78"/>
      <c r="E1" s="79"/>
      <c r="F1" s="80"/>
      <c r="G1" s="79"/>
      <c r="H1" s="79"/>
      <c r="I1" s="79"/>
      <c r="J1" s="79"/>
      <c r="K1" s="79"/>
      <c r="L1" s="79"/>
      <c r="M1" s="79"/>
      <c r="N1" s="716" t="s">
        <v>497</v>
      </c>
      <c r="O1" s="717"/>
      <c r="P1" s="717"/>
      <c r="Q1" s="717"/>
    </row>
    <row r="2" spans="1:18" ht="45.75" x14ac:dyDescent="0.2">
      <c r="A2" s="78"/>
      <c r="B2" s="78"/>
      <c r="C2" s="78"/>
      <c r="D2" s="78"/>
      <c r="E2" s="79"/>
      <c r="F2" s="80"/>
      <c r="G2" s="79"/>
      <c r="H2" s="79"/>
      <c r="I2" s="79"/>
      <c r="J2" s="79"/>
      <c r="K2" s="79"/>
      <c r="L2" s="79"/>
      <c r="M2" s="79"/>
      <c r="N2" s="716" t="s">
        <v>1365</v>
      </c>
      <c r="O2" s="718"/>
      <c r="P2" s="718"/>
      <c r="Q2" s="718"/>
    </row>
    <row r="3" spans="1:18" ht="40.700000000000003" customHeight="1" x14ac:dyDescent="0.2">
      <c r="A3" s="78"/>
      <c r="B3" s="78"/>
      <c r="C3" s="78"/>
      <c r="D3" s="78"/>
      <c r="E3" s="79"/>
      <c r="F3" s="80"/>
      <c r="G3" s="79"/>
      <c r="H3" s="79"/>
      <c r="I3" s="79"/>
      <c r="J3" s="79"/>
      <c r="K3" s="79"/>
      <c r="L3" s="79"/>
      <c r="M3" s="79"/>
      <c r="N3" s="79"/>
      <c r="O3" s="716"/>
      <c r="P3" s="719"/>
      <c r="Q3" s="90"/>
    </row>
    <row r="4" spans="1:18" ht="45.75" hidden="1" x14ac:dyDescent="0.2">
      <c r="A4" s="78"/>
      <c r="B4" s="78"/>
      <c r="C4" s="78"/>
      <c r="D4" s="78"/>
      <c r="E4" s="79"/>
      <c r="F4" s="80"/>
      <c r="G4" s="79"/>
      <c r="H4" s="79"/>
      <c r="I4" s="79"/>
      <c r="J4" s="79"/>
      <c r="K4" s="79"/>
      <c r="L4" s="79"/>
      <c r="M4" s="79"/>
      <c r="N4" s="79"/>
      <c r="O4" s="78"/>
      <c r="P4" s="80"/>
      <c r="Q4" s="90"/>
    </row>
    <row r="5" spans="1:18" ht="45" x14ac:dyDescent="0.2">
      <c r="A5" s="720" t="s">
        <v>570</v>
      </c>
      <c r="B5" s="720"/>
      <c r="C5" s="720"/>
      <c r="D5" s="720"/>
      <c r="E5" s="720"/>
      <c r="F5" s="720"/>
      <c r="G5" s="720"/>
      <c r="H5" s="720"/>
      <c r="I5" s="720"/>
      <c r="J5" s="720"/>
      <c r="K5" s="720"/>
      <c r="L5" s="720"/>
      <c r="M5" s="720"/>
      <c r="N5" s="720"/>
      <c r="O5" s="720"/>
      <c r="P5" s="720"/>
      <c r="Q5" s="90"/>
    </row>
    <row r="6" spans="1:18" ht="45" x14ac:dyDescent="0.2">
      <c r="A6" s="720" t="s">
        <v>1287</v>
      </c>
      <c r="B6" s="720"/>
      <c r="C6" s="720"/>
      <c r="D6" s="720"/>
      <c r="E6" s="720"/>
      <c r="F6" s="720"/>
      <c r="G6" s="720"/>
      <c r="H6" s="720"/>
      <c r="I6" s="720"/>
      <c r="J6" s="720"/>
      <c r="K6" s="720"/>
      <c r="L6" s="720"/>
      <c r="M6" s="720"/>
      <c r="N6" s="720"/>
      <c r="O6" s="720"/>
      <c r="P6" s="720"/>
      <c r="Q6" s="90"/>
    </row>
    <row r="7" spans="1:18" ht="45" x14ac:dyDescent="0.2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90"/>
    </row>
    <row r="8" spans="1:18" ht="45.75" x14ac:dyDescent="0.65">
      <c r="A8" s="721">
        <v>2256400000</v>
      </c>
      <c r="B8" s="722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13"/>
    </row>
    <row r="9" spans="1:18" ht="45.75" x14ac:dyDescent="0.2">
      <c r="A9" s="726" t="s">
        <v>494</v>
      </c>
      <c r="B9" s="727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13"/>
    </row>
    <row r="10" spans="1:18" ht="53.45" customHeight="1" thickBot="1" x14ac:dyDescent="0.25">
      <c r="A10" s="79"/>
      <c r="B10" s="79"/>
      <c r="C10" s="79"/>
      <c r="D10" s="79"/>
      <c r="E10" s="79"/>
      <c r="F10" s="80"/>
      <c r="G10" s="79"/>
      <c r="H10" s="79"/>
      <c r="I10" s="79"/>
      <c r="J10" s="79"/>
      <c r="K10" s="79"/>
      <c r="L10" s="79"/>
      <c r="M10" s="79"/>
      <c r="N10" s="79"/>
      <c r="O10" s="79"/>
      <c r="P10" s="356" t="s">
        <v>408</v>
      </c>
      <c r="Q10" s="13"/>
    </row>
    <row r="11" spans="1:18" ht="62.45" customHeight="1" thickTop="1" thickBot="1" x14ac:dyDescent="0.25">
      <c r="A11" s="725" t="s">
        <v>495</v>
      </c>
      <c r="B11" s="725" t="s">
        <v>496</v>
      </c>
      <c r="C11" s="725" t="s">
        <v>394</v>
      </c>
      <c r="D11" s="725" t="s">
        <v>578</v>
      </c>
      <c r="E11" s="723" t="s">
        <v>12</v>
      </c>
      <c r="F11" s="723"/>
      <c r="G11" s="723"/>
      <c r="H11" s="723"/>
      <c r="I11" s="723"/>
      <c r="J11" s="723" t="s">
        <v>52</v>
      </c>
      <c r="K11" s="723"/>
      <c r="L11" s="723"/>
      <c r="M11" s="723"/>
      <c r="N11" s="723"/>
      <c r="O11" s="724"/>
      <c r="P11" s="723" t="s">
        <v>11</v>
      </c>
      <c r="Q11" s="20"/>
    </row>
    <row r="12" spans="1:18" ht="96" customHeight="1" thickTop="1" thickBot="1" x14ac:dyDescent="0.25">
      <c r="A12" s="723"/>
      <c r="B12" s="728"/>
      <c r="C12" s="728"/>
      <c r="D12" s="723"/>
      <c r="E12" s="725" t="s">
        <v>388</v>
      </c>
      <c r="F12" s="725" t="s">
        <v>53</v>
      </c>
      <c r="G12" s="725" t="s">
        <v>13</v>
      </c>
      <c r="H12" s="725"/>
      <c r="I12" s="725" t="s">
        <v>55</v>
      </c>
      <c r="J12" s="725" t="s">
        <v>388</v>
      </c>
      <c r="K12" s="725" t="s">
        <v>389</v>
      </c>
      <c r="L12" s="725" t="s">
        <v>53</v>
      </c>
      <c r="M12" s="725" t="s">
        <v>13</v>
      </c>
      <c r="N12" s="725"/>
      <c r="O12" s="725" t="s">
        <v>55</v>
      </c>
      <c r="P12" s="723"/>
      <c r="Q12" s="20"/>
    </row>
    <row r="13" spans="1:18" ht="328.7" customHeight="1" thickTop="1" thickBot="1" x14ac:dyDescent="0.25">
      <c r="A13" s="728"/>
      <c r="B13" s="728"/>
      <c r="C13" s="728"/>
      <c r="D13" s="728"/>
      <c r="E13" s="725"/>
      <c r="F13" s="725"/>
      <c r="G13" s="357" t="s">
        <v>54</v>
      </c>
      <c r="H13" s="357" t="s">
        <v>15</v>
      </c>
      <c r="I13" s="725"/>
      <c r="J13" s="725"/>
      <c r="K13" s="725"/>
      <c r="L13" s="725"/>
      <c r="M13" s="357" t="s">
        <v>54</v>
      </c>
      <c r="N13" s="357" t="s">
        <v>15</v>
      </c>
      <c r="O13" s="725"/>
      <c r="P13" s="723"/>
      <c r="Q13" s="20"/>
    </row>
    <row r="14" spans="1:18" s="24" customFormat="1" ht="47.25" thickTop="1" thickBot="1" x14ac:dyDescent="0.25">
      <c r="A14" s="346" t="s">
        <v>2</v>
      </c>
      <c r="B14" s="346" t="s">
        <v>3</v>
      </c>
      <c r="C14" s="346" t="s">
        <v>14</v>
      </c>
      <c r="D14" s="346" t="s">
        <v>5</v>
      </c>
      <c r="E14" s="346" t="s">
        <v>396</v>
      </c>
      <c r="F14" s="346" t="s">
        <v>397</v>
      </c>
      <c r="G14" s="346" t="s">
        <v>398</v>
      </c>
      <c r="H14" s="346" t="s">
        <v>399</v>
      </c>
      <c r="I14" s="346" t="s">
        <v>400</v>
      </c>
      <c r="J14" s="346" t="s">
        <v>401</v>
      </c>
      <c r="K14" s="346" t="s">
        <v>402</v>
      </c>
      <c r="L14" s="346" t="s">
        <v>403</v>
      </c>
      <c r="M14" s="346" t="s">
        <v>404</v>
      </c>
      <c r="N14" s="346" t="s">
        <v>405</v>
      </c>
      <c r="O14" s="346" t="s">
        <v>406</v>
      </c>
      <c r="P14" s="346" t="s">
        <v>407</v>
      </c>
      <c r="Q14" s="142"/>
      <c r="R14" s="23"/>
    </row>
    <row r="15" spans="1:18" s="24" customFormat="1" ht="46.5" thickTop="1" thickBot="1" x14ac:dyDescent="0.25">
      <c r="A15" s="403" t="s">
        <v>148</v>
      </c>
      <c r="B15" s="403"/>
      <c r="C15" s="403"/>
      <c r="D15" s="404" t="s">
        <v>150</v>
      </c>
      <c r="E15" s="406">
        <f>E16</f>
        <v>361911102.94999999</v>
      </c>
      <c r="F15" s="405">
        <f t="shared" ref="F15:N15" si="0">F16</f>
        <v>361911102.94999999</v>
      </c>
      <c r="G15" s="405">
        <f t="shared" si="0"/>
        <v>93320900</v>
      </c>
      <c r="H15" s="405">
        <f t="shared" si="0"/>
        <v>6005100</v>
      </c>
      <c r="I15" s="405">
        <f t="shared" si="0"/>
        <v>0</v>
      </c>
      <c r="J15" s="406">
        <f t="shared" si="0"/>
        <v>255304388.57000002</v>
      </c>
      <c r="K15" s="405">
        <f t="shared" si="0"/>
        <v>250549692.36000001</v>
      </c>
      <c r="L15" s="405">
        <f t="shared" si="0"/>
        <v>3957638.209999999</v>
      </c>
      <c r="M15" s="405">
        <f t="shared" si="0"/>
        <v>0</v>
      </c>
      <c r="N15" s="405">
        <f t="shared" si="0"/>
        <v>0</v>
      </c>
      <c r="O15" s="406">
        <f>O16</f>
        <v>251346750.36000001</v>
      </c>
      <c r="P15" s="405">
        <f t="shared" ref="P15" si="1">P16</f>
        <v>617215491.51999998</v>
      </c>
      <c r="Q15" s="25"/>
      <c r="R15" s="25"/>
    </row>
    <row r="16" spans="1:18" s="24" customFormat="1" ht="91.5" thickTop="1" thickBot="1" x14ac:dyDescent="0.25">
      <c r="A16" s="407" t="s">
        <v>149</v>
      </c>
      <c r="B16" s="407"/>
      <c r="C16" s="407"/>
      <c r="D16" s="408" t="s">
        <v>151</v>
      </c>
      <c r="E16" s="409">
        <f>E17+E22+E33+E39</f>
        <v>361911102.94999999</v>
      </c>
      <c r="F16" s="409">
        <f>F17+F22+F33+F39</f>
        <v>361911102.94999999</v>
      </c>
      <c r="G16" s="409">
        <f>G17+G22+G33+G39</f>
        <v>93320900</v>
      </c>
      <c r="H16" s="409">
        <f>H17+H22+H33+H39</f>
        <v>6005100</v>
      </c>
      <c r="I16" s="409">
        <f>I17+I22+I33+I39</f>
        <v>0</v>
      </c>
      <c r="J16" s="409">
        <f>L16+O16</f>
        <v>255304388.57000002</v>
      </c>
      <c r="K16" s="409">
        <f>K17+K22+K33+K39</f>
        <v>250549692.36000001</v>
      </c>
      <c r="L16" s="409">
        <f>L17+L22+L33+L39</f>
        <v>3957638.209999999</v>
      </c>
      <c r="M16" s="409">
        <f>M17+M22+M33+M39</f>
        <v>0</v>
      </c>
      <c r="N16" s="409">
        <f>N17+N22+N33+N39</f>
        <v>0</v>
      </c>
      <c r="O16" s="409">
        <f>O17+O22+O33+O39</f>
        <v>251346750.36000001</v>
      </c>
      <c r="P16" s="409">
        <f>E16+J16</f>
        <v>617215491.51999998</v>
      </c>
      <c r="Q16" s="402" t="b">
        <f>P16=P18+P20+P21+P24+P28+P30+P32+P35+P36+P38+P41+P42+P43+P44+P27</f>
        <v>1</v>
      </c>
      <c r="R16" s="26"/>
    </row>
    <row r="17" spans="1:18" s="28" customFormat="1" ht="47.25" thickTop="1" thickBot="1" x14ac:dyDescent="0.25">
      <c r="A17" s="346" t="s">
        <v>689</v>
      </c>
      <c r="B17" s="346" t="s">
        <v>690</v>
      </c>
      <c r="C17" s="346"/>
      <c r="D17" s="346" t="s">
        <v>691</v>
      </c>
      <c r="E17" s="393">
        <f>SUM(E18:E21)</f>
        <v>163754027</v>
      </c>
      <c r="F17" s="393">
        <f>SUM(F18:F21)</f>
        <v>163754027</v>
      </c>
      <c r="G17" s="393">
        <f t="shared" ref="G17:P17" si="2">SUM(G18:G21)</f>
        <v>93320900</v>
      </c>
      <c r="H17" s="393">
        <f t="shared" si="2"/>
        <v>6005100</v>
      </c>
      <c r="I17" s="393">
        <f t="shared" si="2"/>
        <v>0</v>
      </c>
      <c r="J17" s="393">
        <f t="shared" si="2"/>
        <v>4620522</v>
      </c>
      <c r="K17" s="393">
        <f t="shared" si="2"/>
        <v>4620522</v>
      </c>
      <c r="L17" s="393">
        <f t="shared" si="2"/>
        <v>0</v>
      </c>
      <c r="M17" s="393">
        <f t="shared" si="2"/>
        <v>0</v>
      </c>
      <c r="N17" s="393">
        <f t="shared" si="2"/>
        <v>0</v>
      </c>
      <c r="O17" s="393">
        <f t="shared" si="2"/>
        <v>4620522</v>
      </c>
      <c r="P17" s="393">
        <f t="shared" si="2"/>
        <v>168374549</v>
      </c>
      <c r="Q17" s="31"/>
      <c r="R17" s="27"/>
    </row>
    <row r="18" spans="1:18" ht="138.75" thickTop="1" thickBot="1" x14ac:dyDescent="0.25">
      <c r="A18" s="119" t="s">
        <v>236</v>
      </c>
      <c r="B18" s="119" t="s">
        <v>237</v>
      </c>
      <c r="C18" s="119" t="s">
        <v>238</v>
      </c>
      <c r="D18" s="119" t="s">
        <v>235</v>
      </c>
      <c r="E18" s="393">
        <f t="shared" ref="E18:E41" si="3">F18</f>
        <v>128204957</v>
      </c>
      <c r="F18" s="389">
        <f>((((((135815958)+13895+600+500000)-86000)+98000+95000+93000+85000+750000+37600+84450+2000-86450)+141904)-4805000)-4535000</f>
        <v>128204957</v>
      </c>
      <c r="G18" s="389">
        <f>((97820900)-2000000)-2500000</f>
        <v>93320900</v>
      </c>
      <c r="H18" s="389">
        <f>(3400000+149000+3021200+420900+119000)-50000-50000-900000-65000-40000</f>
        <v>6005100</v>
      </c>
      <c r="I18" s="389"/>
      <c r="J18" s="393">
        <f t="shared" ref="J18:J28" si="4">L18+O18</f>
        <v>4620522</v>
      </c>
      <c r="K18" s="389">
        <f>((2000000)+2135522)+500000+1705000+285000+150000+964000+50000+151300-1705000-964000-500000-151300</f>
        <v>4620522</v>
      </c>
      <c r="L18" s="390"/>
      <c r="M18" s="395"/>
      <c r="N18" s="395"/>
      <c r="O18" s="351">
        <f t="shared" ref="O18:O28" si="5">K18</f>
        <v>4620522</v>
      </c>
      <c r="P18" s="393">
        <f>+J18+E18</f>
        <v>132825479</v>
      </c>
      <c r="Q18" s="149"/>
      <c r="R18" s="29"/>
    </row>
    <row r="19" spans="1:18" ht="93" hidden="1" thickTop="1" thickBot="1" x14ac:dyDescent="0.25">
      <c r="A19" s="144" t="s">
        <v>589</v>
      </c>
      <c r="B19" s="144" t="s">
        <v>240</v>
      </c>
      <c r="C19" s="144" t="s">
        <v>238</v>
      </c>
      <c r="D19" s="144" t="s">
        <v>239</v>
      </c>
      <c r="E19" s="143">
        <f t="shared" ref="E19" si="6">F19</f>
        <v>0</v>
      </c>
      <c r="F19" s="145"/>
      <c r="G19" s="145"/>
      <c r="H19" s="145"/>
      <c r="I19" s="145"/>
      <c r="J19" s="143">
        <f t="shared" ref="J19" si="7">L19+O19</f>
        <v>0</v>
      </c>
      <c r="K19" s="145"/>
      <c r="L19" s="146"/>
      <c r="M19" s="147"/>
      <c r="N19" s="147"/>
      <c r="O19" s="148">
        <f t="shared" si="5"/>
        <v>0</v>
      </c>
      <c r="P19" s="143">
        <f>+J19+E19</f>
        <v>0</v>
      </c>
      <c r="Q19" s="149"/>
      <c r="R19" s="29"/>
    </row>
    <row r="20" spans="1:18" ht="93" thickTop="1" thickBot="1" x14ac:dyDescent="0.25">
      <c r="A20" s="119" t="s">
        <v>630</v>
      </c>
      <c r="B20" s="119" t="s">
        <v>366</v>
      </c>
      <c r="C20" s="119" t="s">
        <v>631</v>
      </c>
      <c r="D20" s="119" t="s">
        <v>632</v>
      </c>
      <c r="E20" s="393">
        <f t="shared" ref="E20" si="8">F20</f>
        <v>139400</v>
      </c>
      <c r="F20" s="389">
        <f>((49000)+4400)+86000</f>
        <v>139400</v>
      </c>
      <c r="G20" s="389"/>
      <c r="H20" s="389"/>
      <c r="I20" s="389"/>
      <c r="J20" s="393">
        <f t="shared" ref="J20" si="9">L20+O20</f>
        <v>0</v>
      </c>
      <c r="K20" s="389"/>
      <c r="L20" s="390"/>
      <c r="M20" s="395"/>
      <c r="N20" s="395"/>
      <c r="O20" s="351">
        <f t="shared" si="5"/>
        <v>0</v>
      </c>
      <c r="P20" s="393">
        <f>+J20+E20</f>
        <v>139400</v>
      </c>
      <c r="Q20" s="149"/>
      <c r="R20" s="30"/>
    </row>
    <row r="21" spans="1:18" ht="48" thickTop="1" thickBot="1" x14ac:dyDescent="0.25">
      <c r="A21" s="119" t="s">
        <v>251</v>
      </c>
      <c r="B21" s="119" t="s">
        <v>43</v>
      </c>
      <c r="C21" s="119" t="s">
        <v>42</v>
      </c>
      <c r="D21" s="119" t="s">
        <v>252</v>
      </c>
      <c r="E21" s="393">
        <f t="shared" si="3"/>
        <v>35409670</v>
      </c>
      <c r="F21" s="350">
        <f>(((((26700470+20000000+10000000)-17307000-5864000)+107839798-50000000-5963614)-33705184-6300000)+100000+3729200+31024533-44724533+13700000)-13820000</f>
        <v>35409670</v>
      </c>
      <c r="G21" s="350"/>
      <c r="H21" s="350"/>
      <c r="I21" s="350"/>
      <c r="J21" s="393">
        <f t="shared" si="4"/>
        <v>0</v>
      </c>
      <c r="K21" s="350"/>
      <c r="L21" s="350"/>
      <c r="M21" s="350"/>
      <c r="N21" s="350"/>
      <c r="O21" s="351">
        <f t="shared" si="5"/>
        <v>0</v>
      </c>
      <c r="P21" s="393">
        <f>E21+J21</f>
        <v>35409670</v>
      </c>
      <c r="Q21" s="149"/>
      <c r="R21" s="30"/>
    </row>
    <row r="22" spans="1:18" s="28" customFormat="1" ht="47.25" thickTop="1" thickBot="1" x14ac:dyDescent="0.3">
      <c r="A22" s="346" t="s">
        <v>753</v>
      </c>
      <c r="B22" s="346" t="s">
        <v>754</v>
      </c>
      <c r="C22" s="346"/>
      <c r="D22" s="346" t="s">
        <v>755</v>
      </c>
      <c r="E22" s="393">
        <f t="shared" ref="E22:P22" si="10">SUM(E23:E32)-E23-E26-E29</f>
        <v>7612809.4800000004</v>
      </c>
      <c r="F22" s="393">
        <f t="shared" si="10"/>
        <v>7612809.4800000004</v>
      </c>
      <c r="G22" s="393">
        <f t="shared" si="10"/>
        <v>0</v>
      </c>
      <c r="H22" s="393">
        <f t="shared" si="10"/>
        <v>0</v>
      </c>
      <c r="I22" s="393">
        <f t="shared" si="10"/>
        <v>0</v>
      </c>
      <c r="J22" s="393">
        <f t="shared" si="10"/>
        <v>7047368.2100000018</v>
      </c>
      <c r="K22" s="393">
        <f t="shared" si="10"/>
        <v>2292672</v>
      </c>
      <c r="L22" s="393">
        <f t="shared" si="10"/>
        <v>3957638.209999999</v>
      </c>
      <c r="M22" s="393">
        <f t="shared" si="10"/>
        <v>0</v>
      </c>
      <c r="N22" s="393">
        <f t="shared" si="10"/>
        <v>0</v>
      </c>
      <c r="O22" s="393">
        <f t="shared" si="10"/>
        <v>3089730</v>
      </c>
      <c r="P22" s="393">
        <f t="shared" si="10"/>
        <v>14660177.690000001</v>
      </c>
      <c r="Q22" s="151"/>
      <c r="R22" s="31"/>
    </row>
    <row r="23" spans="1:18" s="33" customFormat="1" ht="47.25" thickTop="1" thickBot="1" x14ac:dyDescent="0.25">
      <c r="A23" s="348" t="s">
        <v>692</v>
      </c>
      <c r="B23" s="348" t="s">
        <v>693</v>
      </c>
      <c r="C23" s="348"/>
      <c r="D23" s="348" t="s">
        <v>694</v>
      </c>
      <c r="E23" s="352">
        <f t="shared" ref="E23:P23" si="11">SUM(E24:E25)</f>
        <v>5063364.9800000004</v>
      </c>
      <c r="F23" s="352">
        <f t="shared" si="11"/>
        <v>5063364.9800000004</v>
      </c>
      <c r="G23" s="352">
        <f t="shared" si="11"/>
        <v>0</v>
      </c>
      <c r="H23" s="352">
        <f t="shared" si="11"/>
        <v>0</v>
      </c>
      <c r="I23" s="352">
        <f t="shared" si="11"/>
        <v>0</v>
      </c>
      <c r="J23" s="352">
        <f t="shared" si="11"/>
        <v>2235000</v>
      </c>
      <c r="K23" s="352">
        <f t="shared" si="11"/>
        <v>2235000</v>
      </c>
      <c r="L23" s="352">
        <f t="shared" si="11"/>
        <v>0</v>
      </c>
      <c r="M23" s="352">
        <f t="shared" si="11"/>
        <v>0</v>
      </c>
      <c r="N23" s="352">
        <f t="shared" si="11"/>
        <v>0</v>
      </c>
      <c r="O23" s="352">
        <f t="shared" si="11"/>
        <v>2235000</v>
      </c>
      <c r="P23" s="352">
        <f t="shared" si="11"/>
        <v>7298364.9800000004</v>
      </c>
      <c r="Q23" s="154"/>
      <c r="R23" s="32"/>
    </row>
    <row r="24" spans="1:18" ht="48" thickTop="1" thickBot="1" x14ac:dyDescent="0.25">
      <c r="A24" s="119" t="s">
        <v>242</v>
      </c>
      <c r="B24" s="119" t="s">
        <v>243</v>
      </c>
      <c r="C24" s="119" t="s">
        <v>244</v>
      </c>
      <c r="D24" s="119" t="s">
        <v>241</v>
      </c>
      <c r="E24" s="393">
        <f t="shared" si="3"/>
        <v>5063364.9800000004</v>
      </c>
      <c r="F24" s="350">
        <f>((4937300)+91064.98)+35000</f>
        <v>5063364.9800000004</v>
      </c>
      <c r="G24" s="350"/>
      <c r="H24" s="350"/>
      <c r="I24" s="350"/>
      <c r="J24" s="393">
        <f t="shared" si="4"/>
        <v>2235000</v>
      </c>
      <c r="K24" s="350">
        <f>(1680000)+350000+205000</f>
        <v>2235000</v>
      </c>
      <c r="L24" s="350"/>
      <c r="M24" s="350"/>
      <c r="N24" s="350"/>
      <c r="O24" s="351">
        <f t="shared" si="5"/>
        <v>2235000</v>
      </c>
      <c r="P24" s="393">
        <f>+J24+E24</f>
        <v>7298364.9800000004</v>
      </c>
      <c r="Q24" s="149"/>
      <c r="R24" s="29"/>
    </row>
    <row r="25" spans="1:18" ht="93" hidden="1" thickTop="1" thickBot="1" x14ac:dyDescent="0.25">
      <c r="A25" s="41" t="s">
        <v>990</v>
      </c>
      <c r="B25" s="41" t="s">
        <v>991</v>
      </c>
      <c r="C25" s="41" t="s">
        <v>244</v>
      </c>
      <c r="D25" s="41" t="s">
        <v>992</v>
      </c>
      <c r="E25" s="143">
        <f t="shared" si="3"/>
        <v>0</v>
      </c>
      <c r="F25" s="150">
        <v>0</v>
      </c>
      <c r="G25" s="150"/>
      <c r="H25" s="150"/>
      <c r="I25" s="150"/>
      <c r="J25" s="143">
        <f t="shared" si="4"/>
        <v>0</v>
      </c>
      <c r="K25" s="43"/>
      <c r="L25" s="43"/>
      <c r="M25" s="43"/>
      <c r="N25" s="43"/>
      <c r="O25" s="44"/>
      <c r="P25" s="42">
        <f>+J25+E25</f>
        <v>0</v>
      </c>
      <c r="Q25" s="149"/>
      <c r="R25" s="29"/>
    </row>
    <row r="26" spans="1:18" ht="47.25" thickTop="1" thickBot="1" x14ac:dyDescent="0.25">
      <c r="A26" s="348" t="s">
        <v>696</v>
      </c>
      <c r="B26" s="348" t="s">
        <v>697</v>
      </c>
      <c r="C26" s="348"/>
      <c r="D26" s="348" t="s">
        <v>695</v>
      </c>
      <c r="E26" s="352">
        <f>SUM(E28)+E29+E27</f>
        <v>2549444.5</v>
      </c>
      <c r="F26" s="352">
        <f t="shared" ref="F26:P26" si="12">SUM(F28)+F29+F27</f>
        <v>2549444.5</v>
      </c>
      <c r="G26" s="352">
        <f t="shared" si="12"/>
        <v>0</v>
      </c>
      <c r="H26" s="352">
        <f t="shared" si="12"/>
        <v>0</v>
      </c>
      <c r="I26" s="352">
        <f t="shared" si="12"/>
        <v>0</v>
      </c>
      <c r="J26" s="352">
        <f t="shared" si="12"/>
        <v>4812368.21</v>
      </c>
      <c r="K26" s="352">
        <f t="shared" si="12"/>
        <v>57672.000000000233</v>
      </c>
      <c r="L26" s="352">
        <f t="shared" si="12"/>
        <v>3957638.21</v>
      </c>
      <c r="M26" s="352">
        <f t="shared" si="12"/>
        <v>0</v>
      </c>
      <c r="N26" s="352">
        <f t="shared" si="12"/>
        <v>0</v>
      </c>
      <c r="O26" s="352">
        <f t="shared" si="12"/>
        <v>854730.00000000023</v>
      </c>
      <c r="P26" s="352">
        <f t="shared" si="12"/>
        <v>7361812.71</v>
      </c>
      <c r="Q26" s="155"/>
      <c r="R26" s="34"/>
    </row>
    <row r="27" spans="1:18" ht="48" thickTop="1" thickBot="1" x14ac:dyDescent="0.25">
      <c r="A27" s="119" t="s">
        <v>1501</v>
      </c>
      <c r="B27" s="119" t="s">
        <v>216</v>
      </c>
      <c r="C27" s="119" t="s">
        <v>217</v>
      </c>
      <c r="D27" s="119" t="s">
        <v>41</v>
      </c>
      <c r="E27" s="393">
        <f t="shared" si="3"/>
        <v>0</v>
      </c>
      <c r="F27" s="350"/>
      <c r="G27" s="350"/>
      <c r="H27" s="350"/>
      <c r="I27" s="350"/>
      <c r="J27" s="393">
        <f t="shared" si="4"/>
        <v>57672.000000000233</v>
      </c>
      <c r="K27" s="350">
        <f>(1000000)+1591587.2-1591587.2-942328</f>
        <v>57672.000000000233</v>
      </c>
      <c r="L27" s="350"/>
      <c r="M27" s="350"/>
      <c r="N27" s="350"/>
      <c r="O27" s="351">
        <f t="shared" si="5"/>
        <v>57672.000000000233</v>
      </c>
      <c r="P27" s="393">
        <f>+J27+E27</f>
        <v>57672.000000000233</v>
      </c>
      <c r="Q27" s="155"/>
      <c r="R27" s="34"/>
    </row>
    <row r="28" spans="1:18" ht="48" thickTop="1" thickBot="1" x14ac:dyDescent="0.25">
      <c r="A28" s="119" t="s">
        <v>303</v>
      </c>
      <c r="B28" s="119" t="s">
        <v>304</v>
      </c>
      <c r="C28" s="119" t="s">
        <v>170</v>
      </c>
      <c r="D28" s="119" t="s">
        <v>446</v>
      </c>
      <c r="E28" s="393">
        <f t="shared" si="3"/>
        <v>341770.5</v>
      </c>
      <c r="F28" s="350">
        <f>(292900)+48870.5</f>
        <v>341770.5</v>
      </c>
      <c r="G28" s="350"/>
      <c r="H28" s="350"/>
      <c r="I28" s="350"/>
      <c r="J28" s="393">
        <f t="shared" si="4"/>
        <v>0</v>
      </c>
      <c r="K28" s="350"/>
      <c r="L28" s="350"/>
      <c r="M28" s="350"/>
      <c r="N28" s="350"/>
      <c r="O28" s="351">
        <f t="shared" si="5"/>
        <v>0</v>
      </c>
      <c r="P28" s="393">
        <f>+J28+E28</f>
        <v>341770.5</v>
      </c>
      <c r="Q28" s="149"/>
      <c r="R28" s="30"/>
    </row>
    <row r="29" spans="1:18" ht="48" thickTop="1" thickBot="1" x14ac:dyDescent="0.25">
      <c r="A29" s="399" t="s">
        <v>699</v>
      </c>
      <c r="B29" s="399" t="s">
        <v>700</v>
      </c>
      <c r="C29" s="399"/>
      <c r="D29" s="400" t="s">
        <v>698</v>
      </c>
      <c r="E29" s="388">
        <f>SUM(E30:E32)</f>
        <v>2207674</v>
      </c>
      <c r="F29" s="388">
        <f t="shared" ref="F29:O29" si="13">SUM(F30:F32)</f>
        <v>2207674</v>
      </c>
      <c r="G29" s="388">
        <f t="shared" si="13"/>
        <v>0</v>
      </c>
      <c r="H29" s="388">
        <f t="shared" si="13"/>
        <v>0</v>
      </c>
      <c r="I29" s="388">
        <f t="shared" si="13"/>
        <v>0</v>
      </c>
      <c r="J29" s="388">
        <f t="shared" si="13"/>
        <v>4754696.21</v>
      </c>
      <c r="K29" s="388">
        <f t="shared" si="13"/>
        <v>0</v>
      </c>
      <c r="L29" s="388">
        <f t="shared" si="13"/>
        <v>3957638.21</v>
      </c>
      <c r="M29" s="388">
        <f t="shared" si="13"/>
        <v>0</v>
      </c>
      <c r="N29" s="388">
        <f t="shared" si="13"/>
        <v>0</v>
      </c>
      <c r="O29" s="388">
        <f t="shared" si="13"/>
        <v>797058</v>
      </c>
      <c r="P29" s="388">
        <f>E29+J29</f>
        <v>6962370.21</v>
      </c>
      <c r="Q29" s="155"/>
      <c r="R29" s="35"/>
    </row>
    <row r="30" spans="1:18" s="33" customFormat="1" ht="247.5" customHeight="1" thickTop="1" thickBot="1" x14ac:dyDescent="0.7">
      <c r="A30" s="702" t="s">
        <v>343</v>
      </c>
      <c r="B30" s="702" t="s">
        <v>342</v>
      </c>
      <c r="C30" s="702" t="s">
        <v>170</v>
      </c>
      <c r="D30" s="81" t="s">
        <v>444</v>
      </c>
      <c r="E30" s="707">
        <f t="shared" si="3"/>
        <v>0</v>
      </c>
      <c r="F30" s="708"/>
      <c r="G30" s="708"/>
      <c r="H30" s="708"/>
      <c r="I30" s="708"/>
      <c r="J30" s="682">
        <f>L30+O30</f>
        <v>4754696.21</v>
      </c>
      <c r="K30" s="708"/>
      <c r="L30" s="708">
        <f>((919800+166000+357900+1407000)+6360+500578.21)+600000</f>
        <v>3957638.21</v>
      </c>
      <c r="M30" s="708"/>
      <c r="N30" s="708"/>
      <c r="O30" s="732">
        <f>((100000)+300000)+397058</f>
        <v>797058</v>
      </c>
      <c r="P30" s="734">
        <f>E30+J30</f>
        <v>4754696.21</v>
      </c>
      <c r="Q30" s="158"/>
      <c r="R30" s="36"/>
    </row>
    <row r="31" spans="1:18" s="33" customFormat="1" ht="130.5" customHeight="1" thickTop="1" thickBot="1" x14ac:dyDescent="0.25">
      <c r="A31" s="711"/>
      <c r="B31" s="710"/>
      <c r="C31" s="711"/>
      <c r="D31" s="82" t="s">
        <v>445</v>
      </c>
      <c r="E31" s="711"/>
      <c r="F31" s="709"/>
      <c r="G31" s="709"/>
      <c r="H31" s="709"/>
      <c r="I31" s="709"/>
      <c r="J31" s="736"/>
      <c r="K31" s="709"/>
      <c r="L31" s="709"/>
      <c r="M31" s="709"/>
      <c r="N31" s="709"/>
      <c r="O31" s="733"/>
      <c r="P31" s="735"/>
      <c r="Q31" s="36"/>
      <c r="R31" s="36"/>
    </row>
    <row r="32" spans="1:18" s="33" customFormat="1" ht="48" thickTop="1" thickBot="1" x14ac:dyDescent="0.25">
      <c r="A32" s="119" t="s">
        <v>923</v>
      </c>
      <c r="B32" s="119" t="s">
        <v>261</v>
      </c>
      <c r="C32" s="119" t="s">
        <v>170</v>
      </c>
      <c r="D32" s="119" t="s">
        <v>259</v>
      </c>
      <c r="E32" s="393">
        <f>F32</f>
        <v>2207674</v>
      </c>
      <c r="F32" s="350">
        <f>((2207674)+200000)-200000</f>
        <v>2207674</v>
      </c>
      <c r="G32" s="350"/>
      <c r="H32" s="350"/>
      <c r="I32" s="350"/>
      <c r="J32" s="393">
        <f>L32+O32</f>
        <v>0</v>
      </c>
      <c r="K32" s="350"/>
      <c r="L32" s="350"/>
      <c r="M32" s="350"/>
      <c r="N32" s="350"/>
      <c r="O32" s="351"/>
      <c r="P32" s="393">
        <f>E32+J32</f>
        <v>2207674</v>
      </c>
      <c r="Q32" s="36"/>
      <c r="R32" s="36"/>
    </row>
    <row r="33" spans="1:18" s="33" customFormat="1" ht="46.5" customHeight="1" thickTop="1" thickBot="1" x14ac:dyDescent="0.25">
      <c r="A33" s="346" t="s">
        <v>701</v>
      </c>
      <c r="B33" s="346" t="s">
        <v>702</v>
      </c>
      <c r="C33" s="346"/>
      <c r="D33" s="346" t="s">
        <v>703</v>
      </c>
      <c r="E33" s="393">
        <f t="shared" ref="E33:P33" si="14">E37+E34</f>
        <v>28071746</v>
      </c>
      <c r="F33" s="393">
        <f t="shared" si="14"/>
        <v>28071746</v>
      </c>
      <c r="G33" s="393">
        <f t="shared" si="14"/>
        <v>0</v>
      </c>
      <c r="H33" s="393">
        <f t="shared" si="14"/>
        <v>0</v>
      </c>
      <c r="I33" s="393">
        <f t="shared" si="14"/>
        <v>0</v>
      </c>
      <c r="J33" s="393">
        <f t="shared" si="14"/>
        <v>54149800</v>
      </c>
      <c r="K33" s="393">
        <f t="shared" si="14"/>
        <v>54149800</v>
      </c>
      <c r="L33" s="393">
        <f t="shared" si="14"/>
        <v>0</v>
      </c>
      <c r="M33" s="393">
        <f t="shared" si="14"/>
        <v>0</v>
      </c>
      <c r="N33" s="393">
        <f t="shared" si="14"/>
        <v>0</v>
      </c>
      <c r="O33" s="393">
        <f t="shared" si="14"/>
        <v>54149800</v>
      </c>
      <c r="P33" s="393">
        <f t="shared" si="14"/>
        <v>82221546</v>
      </c>
      <c r="Q33" s="36"/>
      <c r="R33" s="36"/>
    </row>
    <row r="34" spans="1:18" s="33" customFormat="1" ht="103.5" customHeight="1" thickTop="1" thickBot="1" x14ac:dyDescent="0.25">
      <c r="A34" s="348" t="s">
        <v>1209</v>
      </c>
      <c r="B34" s="348" t="s">
        <v>1210</v>
      </c>
      <c r="C34" s="348"/>
      <c r="D34" s="348" t="s">
        <v>1208</v>
      </c>
      <c r="E34" s="352">
        <f t="shared" ref="E34:P34" si="15">SUM(E35:E36)</f>
        <v>18191746</v>
      </c>
      <c r="F34" s="352">
        <f t="shared" si="15"/>
        <v>18191746</v>
      </c>
      <c r="G34" s="352">
        <f t="shared" si="15"/>
        <v>0</v>
      </c>
      <c r="H34" s="352">
        <f t="shared" si="15"/>
        <v>0</v>
      </c>
      <c r="I34" s="352">
        <f t="shared" si="15"/>
        <v>0</v>
      </c>
      <c r="J34" s="352">
        <f t="shared" si="15"/>
        <v>53234800</v>
      </c>
      <c r="K34" s="352">
        <f t="shared" si="15"/>
        <v>53234800</v>
      </c>
      <c r="L34" s="352">
        <f t="shared" si="15"/>
        <v>0</v>
      </c>
      <c r="M34" s="352">
        <f t="shared" si="15"/>
        <v>0</v>
      </c>
      <c r="N34" s="352">
        <f t="shared" si="15"/>
        <v>0</v>
      </c>
      <c r="O34" s="352">
        <f t="shared" si="15"/>
        <v>53234800</v>
      </c>
      <c r="P34" s="352">
        <f t="shared" si="15"/>
        <v>71426546</v>
      </c>
      <c r="Q34" s="36"/>
      <c r="R34" s="36"/>
    </row>
    <row r="35" spans="1:18" s="33" customFormat="1" ht="103.5" customHeight="1" thickTop="1" thickBot="1" x14ac:dyDescent="0.25">
      <c r="A35" s="119" t="s">
        <v>1237</v>
      </c>
      <c r="B35" s="119" t="s">
        <v>1238</v>
      </c>
      <c r="C35" s="119" t="s">
        <v>1212</v>
      </c>
      <c r="D35" s="119" t="s">
        <v>1239</v>
      </c>
      <c r="E35" s="393">
        <f>F35</f>
        <v>9720200</v>
      </c>
      <c r="F35" s="350">
        <f>((((600000)+500000)+500000)+2013000-392800+6000000)+500000</f>
        <v>9720200</v>
      </c>
      <c r="G35" s="350"/>
      <c r="H35" s="350"/>
      <c r="I35" s="350"/>
      <c r="J35" s="393">
        <f>L35+O35</f>
        <v>47994800</v>
      </c>
      <c r="K35" s="350">
        <f>(((((400000)+6000000)+6500000)+7000000)+14987000+392800+16000000+2533915.2+4028130-6562045.2-6000000)+1935000+780000</f>
        <v>47994800</v>
      </c>
      <c r="L35" s="350"/>
      <c r="M35" s="350"/>
      <c r="N35" s="350"/>
      <c r="O35" s="351">
        <f>K35</f>
        <v>47994800</v>
      </c>
      <c r="P35" s="393">
        <f>E35+J35</f>
        <v>57715000</v>
      </c>
      <c r="Q35" s="36"/>
      <c r="R35" s="36"/>
    </row>
    <row r="36" spans="1:18" s="33" customFormat="1" ht="48" thickTop="1" thickBot="1" x14ac:dyDescent="0.25">
      <c r="A36" s="119" t="s">
        <v>1213</v>
      </c>
      <c r="B36" s="119" t="s">
        <v>1214</v>
      </c>
      <c r="C36" s="119" t="s">
        <v>1212</v>
      </c>
      <c r="D36" s="119" t="s">
        <v>1211</v>
      </c>
      <c r="E36" s="393">
        <f>F36</f>
        <v>8471546</v>
      </c>
      <c r="F36" s="350">
        <v>8471546</v>
      </c>
      <c r="G36" s="350"/>
      <c r="H36" s="350"/>
      <c r="I36" s="350"/>
      <c r="J36" s="393">
        <f>L36+O36</f>
        <v>5240000</v>
      </c>
      <c r="K36" s="350">
        <f>((100000)+2500000+500000)+150000+120000+1870000</f>
        <v>5240000</v>
      </c>
      <c r="L36" s="350"/>
      <c r="M36" s="350"/>
      <c r="N36" s="350"/>
      <c r="O36" s="351">
        <f>K36</f>
        <v>5240000</v>
      </c>
      <c r="P36" s="393">
        <f>E36+J36</f>
        <v>13711546</v>
      </c>
      <c r="Q36" s="36"/>
      <c r="R36" s="36"/>
    </row>
    <row r="37" spans="1:18" s="33" customFormat="1" ht="47.25" thickTop="1" thickBot="1" x14ac:dyDescent="0.25">
      <c r="A37" s="348" t="s">
        <v>704</v>
      </c>
      <c r="B37" s="348" t="s">
        <v>705</v>
      </c>
      <c r="C37" s="348"/>
      <c r="D37" s="348" t="s">
        <v>706</v>
      </c>
      <c r="E37" s="352">
        <f>SUM(E38)</f>
        <v>9880000</v>
      </c>
      <c r="F37" s="352">
        <f t="shared" ref="F37:P37" si="16">SUM(F38)</f>
        <v>9880000</v>
      </c>
      <c r="G37" s="352">
        <f t="shared" si="16"/>
        <v>0</v>
      </c>
      <c r="H37" s="352">
        <f t="shared" si="16"/>
        <v>0</v>
      </c>
      <c r="I37" s="352">
        <f t="shared" si="16"/>
        <v>0</v>
      </c>
      <c r="J37" s="352">
        <f t="shared" si="16"/>
        <v>915000</v>
      </c>
      <c r="K37" s="352">
        <f t="shared" si="16"/>
        <v>915000</v>
      </c>
      <c r="L37" s="352">
        <f t="shared" si="16"/>
        <v>0</v>
      </c>
      <c r="M37" s="352">
        <f t="shared" si="16"/>
        <v>0</v>
      </c>
      <c r="N37" s="352">
        <f t="shared" si="16"/>
        <v>0</v>
      </c>
      <c r="O37" s="352">
        <f t="shared" si="16"/>
        <v>915000</v>
      </c>
      <c r="P37" s="352">
        <f t="shared" si="16"/>
        <v>10795000</v>
      </c>
      <c r="Q37" s="36"/>
    </row>
    <row r="38" spans="1:18" ht="48" thickTop="1" thickBot="1" x14ac:dyDescent="0.25">
      <c r="A38" s="119" t="s">
        <v>245</v>
      </c>
      <c r="B38" s="119" t="s">
        <v>246</v>
      </c>
      <c r="C38" s="119" t="s">
        <v>247</v>
      </c>
      <c r="D38" s="119" t="s">
        <v>248</v>
      </c>
      <c r="E38" s="393">
        <f>F38</f>
        <v>9880000</v>
      </c>
      <c r="F38" s="350">
        <f>((7500000)+1000000+220000+150000+340000+120000+360000-360000)+250000+300000</f>
        <v>9880000</v>
      </c>
      <c r="G38" s="350"/>
      <c r="H38" s="350"/>
      <c r="I38" s="350"/>
      <c r="J38" s="393">
        <f>L38+O38</f>
        <v>915000</v>
      </c>
      <c r="K38" s="350">
        <f>0+964000+125000+790000-964000</f>
        <v>915000</v>
      </c>
      <c r="L38" s="350"/>
      <c r="M38" s="350"/>
      <c r="N38" s="350"/>
      <c r="O38" s="351">
        <f>K38</f>
        <v>915000</v>
      </c>
      <c r="P38" s="393">
        <f>E38+J38</f>
        <v>10795000</v>
      </c>
      <c r="Q38" s="20"/>
    </row>
    <row r="39" spans="1:18" ht="47.25" thickTop="1" thickBot="1" x14ac:dyDescent="0.25">
      <c r="A39" s="346" t="s">
        <v>707</v>
      </c>
      <c r="B39" s="346" t="s">
        <v>708</v>
      </c>
      <c r="C39" s="346"/>
      <c r="D39" s="346" t="s">
        <v>709</v>
      </c>
      <c r="E39" s="393">
        <f>E40+E43+E44</f>
        <v>162472520.47</v>
      </c>
      <c r="F39" s="393">
        <f>F40+F43+F44</f>
        <v>162472520.47</v>
      </c>
      <c r="G39" s="393">
        <f t="shared" ref="G39:I39" si="17">G40+G43+G44</f>
        <v>0</v>
      </c>
      <c r="H39" s="393">
        <f t="shared" si="17"/>
        <v>0</v>
      </c>
      <c r="I39" s="393">
        <f t="shared" si="17"/>
        <v>0</v>
      </c>
      <c r="J39" s="393">
        <f t="shared" ref="J39" si="18">J40+J43+J44</f>
        <v>189486698.36000001</v>
      </c>
      <c r="K39" s="393">
        <f t="shared" ref="K39" si="19">K40+K43+K44</f>
        <v>189486698.36000001</v>
      </c>
      <c r="L39" s="393">
        <f t="shared" ref="L39" si="20">L40+L43+L44</f>
        <v>0</v>
      </c>
      <c r="M39" s="393">
        <f t="shared" ref="M39" si="21">M40+M43+M44</f>
        <v>0</v>
      </c>
      <c r="N39" s="393">
        <f t="shared" ref="N39" si="22">N40+N43+N44</f>
        <v>0</v>
      </c>
      <c r="O39" s="393">
        <f t="shared" ref="O39" si="23">O40+O43+O44</f>
        <v>189486698.36000001</v>
      </c>
      <c r="P39" s="393">
        <f t="shared" ref="P39" si="24">P40+P43+P44</f>
        <v>351959218.83000004</v>
      </c>
      <c r="Q39" s="20"/>
    </row>
    <row r="40" spans="1:18" s="33" customFormat="1" ht="91.5" thickTop="1" thickBot="1" x14ac:dyDescent="0.25">
      <c r="A40" s="348" t="s">
        <v>710</v>
      </c>
      <c r="B40" s="348" t="s">
        <v>711</v>
      </c>
      <c r="C40" s="348"/>
      <c r="D40" s="348" t="s">
        <v>712</v>
      </c>
      <c r="E40" s="352">
        <f>SUM(E41:E42)</f>
        <v>1312400</v>
      </c>
      <c r="F40" s="352">
        <f t="shared" ref="F40:P40" si="25">SUM(F41:F42)</f>
        <v>1312400</v>
      </c>
      <c r="G40" s="352">
        <f t="shared" si="25"/>
        <v>0</v>
      </c>
      <c r="H40" s="352">
        <f t="shared" si="25"/>
        <v>0</v>
      </c>
      <c r="I40" s="352">
        <f t="shared" si="25"/>
        <v>0</v>
      </c>
      <c r="J40" s="352">
        <f t="shared" si="25"/>
        <v>0</v>
      </c>
      <c r="K40" s="352">
        <f t="shared" si="25"/>
        <v>0</v>
      </c>
      <c r="L40" s="352">
        <f t="shared" si="25"/>
        <v>0</v>
      </c>
      <c r="M40" s="352">
        <f t="shared" si="25"/>
        <v>0</v>
      </c>
      <c r="N40" s="352">
        <f t="shared" si="25"/>
        <v>0</v>
      </c>
      <c r="O40" s="352">
        <f t="shared" si="25"/>
        <v>0</v>
      </c>
      <c r="P40" s="352">
        <f t="shared" si="25"/>
        <v>1312400</v>
      </c>
      <c r="Q40" s="36"/>
      <c r="R40" s="36"/>
    </row>
    <row r="41" spans="1:18" ht="138.75" thickTop="1" thickBot="1" x14ac:dyDescent="0.25">
      <c r="A41" s="119" t="s">
        <v>249</v>
      </c>
      <c r="B41" s="119" t="s">
        <v>250</v>
      </c>
      <c r="C41" s="119" t="s">
        <v>43</v>
      </c>
      <c r="D41" s="119" t="s">
        <v>447</v>
      </c>
      <c r="E41" s="393">
        <f t="shared" si="3"/>
        <v>1163700</v>
      </c>
      <c r="F41" s="350">
        <v>1163700</v>
      </c>
      <c r="G41" s="350"/>
      <c r="H41" s="350"/>
      <c r="I41" s="350"/>
      <c r="J41" s="393">
        <f>L41+O41</f>
        <v>0</v>
      </c>
      <c r="K41" s="350"/>
      <c r="L41" s="350"/>
      <c r="M41" s="350"/>
      <c r="N41" s="350"/>
      <c r="O41" s="351">
        <f>K41</f>
        <v>0</v>
      </c>
      <c r="P41" s="393">
        <f>E41+J41</f>
        <v>1163700</v>
      </c>
      <c r="Q41" s="20"/>
    </row>
    <row r="42" spans="1:18" ht="48" thickTop="1" thickBot="1" x14ac:dyDescent="0.25">
      <c r="A42" s="119" t="s">
        <v>580</v>
      </c>
      <c r="B42" s="119" t="s">
        <v>367</v>
      </c>
      <c r="C42" s="119" t="s">
        <v>43</v>
      </c>
      <c r="D42" s="119" t="s">
        <v>368</v>
      </c>
      <c r="E42" s="393">
        <f t="shared" ref="E42:E44" si="26">F42</f>
        <v>148700</v>
      </c>
      <c r="F42" s="350">
        <v>148700</v>
      </c>
      <c r="G42" s="350"/>
      <c r="H42" s="350"/>
      <c r="I42" s="350"/>
      <c r="J42" s="393">
        <f>L42+O42</f>
        <v>0</v>
      </c>
      <c r="K42" s="350">
        <f>(1000000)-1000000</f>
        <v>0</v>
      </c>
      <c r="L42" s="350"/>
      <c r="M42" s="350"/>
      <c r="N42" s="350"/>
      <c r="O42" s="351">
        <f>K42</f>
        <v>0</v>
      </c>
      <c r="P42" s="393">
        <f>E42+J42</f>
        <v>148700</v>
      </c>
      <c r="Q42" s="20"/>
    </row>
    <row r="43" spans="1:18" ht="91.5" thickTop="1" thickBot="1" x14ac:dyDescent="0.25">
      <c r="A43" s="348" t="s">
        <v>517</v>
      </c>
      <c r="B43" s="348" t="s">
        <v>518</v>
      </c>
      <c r="C43" s="348" t="s">
        <v>43</v>
      </c>
      <c r="D43" s="348" t="s">
        <v>519</v>
      </c>
      <c r="E43" s="352">
        <f t="shared" si="26"/>
        <v>161160120.47</v>
      </c>
      <c r="F43" s="352">
        <f>((((((10831000+415230+969000)+10811682+300000+1000000-86000+505900+115000+3805614)+19381401.33-410000+5800000)+450000+1000000+200000+781571.38+2000000+198000+421109+445122+175351+24984+8269+183792+83800+62040+17127467+1000000+170000-546000)+47584626.76+234000+20997+1210000)+33386164)+1500000</f>
        <v>161160120.47</v>
      </c>
      <c r="G43" s="352"/>
      <c r="H43" s="352"/>
      <c r="I43" s="352"/>
      <c r="J43" s="352">
        <f>L43+O43</f>
        <v>189486698.36000001</v>
      </c>
      <c r="K43" s="350">
        <f>(((((12286000+1300000+150000+4895000)+25598520+1400000+86000+75000+1100000+2158000)+33049720.46+500000)+798000+230000-781571.38+163000+350000+4860000+51025755-798000-1000000-170000+546000)+38510438.28-20997)+13175833</f>
        <v>189486698.36000001</v>
      </c>
      <c r="L43" s="352"/>
      <c r="M43" s="352"/>
      <c r="N43" s="352"/>
      <c r="O43" s="352">
        <f>K43</f>
        <v>189486698.36000001</v>
      </c>
      <c r="P43" s="352">
        <f>E43+J43</f>
        <v>350646818.83000004</v>
      </c>
      <c r="Q43" s="20"/>
      <c r="R43" s="26"/>
    </row>
    <row r="44" spans="1:18" ht="192.75" hidden="1" thickTop="1" thickBot="1" x14ac:dyDescent="0.25">
      <c r="A44" s="119" t="s">
        <v>1480</v>
      </c>
      <c r="B44" s="119" t="s">
        <v>1481</v>
      </c>
      <c r="C44" s="119" t="s">
        <v>43</v>
      </c>
      <c r="D44" s="625" t="s">
        <v>1479</v>
      </c>
      <c r="E44" s="393">
        <f t="shared" si="26"/>
        <v>0</v>
      </c>
      <c r="F44" s="350">
        <f>(2000000)-2000000</f>
        <v>0</v>
      </c>
      <c r="G44" s="350"/>
      <c r="H44" s="350"/>
      <c r="I44" s="350"/>
      <c r="J44" s="393">
        <f>L44+O44</f>
        <v>0</v>
      </c>
      <c r="K44" s="350"/>
      <c r="L44" s="350"/>
      <c r="M44" s="350"/>
      <c r="N44" s="350"/>
      <c r="O44" s="351">
        <f>K44</f>
        <v>0</v>
      </c>
      <c r="P44" s="393">
        <f>E44+J44</f>
        <v>0</v>
      </c>
      <c r="Q44" s="20"/>
      <c r="R44" s="26"/>
    </row>
    <row r="45" spans="1:18" ht="177.75" customHeight="1" thickTop="1" thickBot="1" x14ac:dyDescent="0.25">
      <c r="A45" s="403" t="s">
        <v>152</v>
      </c>
      <c r="B45" s="403"/>
      <c r="C45" s="403"/>
      <c r="D45" s="404" t="s">
        <v>0</v>
      </c>
      <c r="E45" s="406">
        <f>E46</f>
        <v>2001067069.77</v>
      </c>
      <c r="F45" s="405">
        <f t="shared" ref="F45" si="27">F46</f>
        <v>2001067069.77</v>
      </c>
      <c r="G45" s="405">
        <f>G46</f>
        <v>1251921092</v>
      </c>
      <c r="H45" s="405">
        <f>H46</f>
        <v>151784823.66</v>
      </c>
      <c r="I45" s="405">
        <f t="shared" ref="I45" si="28">I46</f>
        <v>0</v>
      </c>
      <c r="J45" s="406">
        <f>J46</f>
        <v>371486376.13</v>
      </c>
      <c r="K45" s="405">
        <f>K46</f>
        <v>193553707.13</v>
      </c>
      <c r="L45" s="405">
        <f>L46</f>
        <v>173278121</v>
      </c>
      <c r="M45" s="405">
        <f t="shared" ref="M45" si="29">M46</f>
        <v>39544820</v>
      </c>
      <c r="N45" s="405">
        <f>N46</f>
        <v>15551110</v>
      </c>
      <c r="O45" s="406">
        <f>O46</f>
        <v>198208255.13000003</v>
      </c>
      <c r="P45" s="405">
        <f t="shared" ref="P45" si="30">P46</f>
        <v>2372553445.9000001</v>
      </c>
      <c r="Q45" s="20"/>
    </row>
    <row r="46" spans="1:18" ht="159" customHeight="1" thickTop="1" thickBot="1" x14ac:dyDescent="0.25">
      <c r="A46" s="407" t="s">
        <v>153</v>
      </c>
      <c r="B46" s="407"/>
      <c r="C46" s="407"/>
      <c r="D46" s="408" t="s">
        <v>1</v>
      </c>
      <c r="E46" s="409">
        <f>E47+E88+E100+E91+E97</f>
        <v>2001067069.77</v>
      </c>
      <c r="F46" s="409">
        <f>F47+F88+F100+F91+F97</f>
        <v>2001067069.77</v>
      </c>
      <c r="G46" s="409">
        <f>G47+G88+G100+G91+G97</f>
        <v>1251921092</v>
      </c>
      <c r="H46" s="409">
        <f>H47+H88+H100+H91+H97</f>
        <v>151784823.66</v>
      </c>
      <c r="I46" s="409">
        <f>I47+I88+I100+I91+I97</f>
        <v>0</v>
      </c>
      <c r="J46" s="409">
        <f>L46+O46</f>
        <v>371486376.13</v>
      </c>
      <c r="K46" s="409">
        <f>K47+K88+K100+K91+K97</f>
        <v>193553707.13</v>
      </c>
      <c r="L46" s="409">
        <f>L47+L88+L100+L91+L97</f>
        <v>173278121</v>
      </c>
      <c r="M46" s="409">
        <f>M47+M88+M100+M91+M97</f>
        <v>39544820</v>
      </c>
      <c r="N46" s="409">
        <f>N47+N88+N100+N91+N97</f>
        <v>15551110</v>
      </c>
      <c r="O46" s="409">
        <f>O47+O88+O100+O91+O97</f>
        <v>198208255.13000003</v>
      </c>
      <c r="P46" s="409">
        <f>E46+J46</f>
        <v>2372553445.9000001</v>
      </c>
      <c r="Q46" s="402" t="b">
        <f>P46=P48+P50+P51+P52+P59+P61+P64+P65+P67+P69+P80+P90+P94+P99+P54+P55+P62+P77+P68+P96+P84+P83+P89+P78+P86+P87</f>
        <v>1</v>
      </c>
      <c r="R46" s="26"/>
    </row>
    <row r="47" spans="1:18" ht="47.25" thickTop="1" thickBot="1" x14ac:dyDescent="0.25">
      <c r="A47" s="346" t="s">
        <v>713</v>
      </c>
      <c r="B47" s="346" t="s">
        <v>714</v>
      </c>
      <c r="C47" s="346"/>
      <c r="D47" s="346" t="s">
        <v>715</v>
      </c>
      <c r="E47" s="393">
        <f>E48+E49+E53+E59+E60+E63+E66+E69+E70+E77+E56+E78+E73+E79+E82+E85</f>
        <v>1997987919.77</v>
      </c>
      <c r="F47" s="393">
        <f t="shared" ref="F47:P47" si="31">F48+F49+F53+F59+F60+F63+F66+F69+F70+F77+F56+F78+F73+F79+F82+F85</f>
        <v>1997987919.77</v>
      </c>
      <c r="G47" s="393">
        <f t="shared" si="31"/>
        <v>1251921092</v>
      </c>
      <c r="H47" s="393">
        <f t="shared" si="31"/>
        <v>150414924.66</v>
      </c>
      <c r="I47" s="393">
        <f t="shared" si="31"/>
        <v>0</v>
      </c>
      <c r="J47" s="393">
        <f t="shared" si="31"/>
        <v>309836047.78999996</v>
      </c>
      <c r="K47" s="393">
        <f t="shared" si="31"/>
        <v>131903378.79000001</v>
      </c>
      <c r="L47" s="393">
        <f t="shared" si="31"/>
        <v>173278121</v>
      </c>
      <c r="M47" s="393">
        <f t="shared" si="31"/>
        <v>39544820</v>
      </c>
      <c r="N47" s="393">
        <f t="shared" si="31"/>
        <v>15551110</v>
      </c>
      <c r="O47" s="393">
        <f t="shared" si="31"/>
        <v>136557926.79000002</v>
      </c>
      <c r="P47" s="393">
        <f t="shared" si="31"/>
        <v>2307823967.5599999</v>
      </c>
      <c r="Q47" s="30"/>
      <c r="R47" s="26"/>
    </row>
    <row r="48" spans="1:18" ht="99" customHeight="1" thickTop="1" thickBot="1" x14ac:dyDescent="0.6">
      <c r="A48" s="119" t="s">
        <v>202</v>
      </c>
      <c r="B48" s="119" t="s">
        <v>203</v>
      </c>
      <c r="C48" s="119" t="s">
        <v>205</v>
      </c>
      <c r="D48" s="119" t="s">
        <v>206</v>
      </c>
      <c r="E48" s="393">
        <f>F48</f>
        <v>554505327.41999984</v>
      </c>
      <c r="F48" s="350">
        <f>((((((400040240+6826450+124590+53766100+4976300+32989243+2983694+26550438+1371161+1730057+724954+69630+3560+1548795+200000+410000+22000+1000000+500000+875000)+1082161+4198058+61993.56+3565000)+504026-40000)+10037.05+2039944+199618+108144+332495+160289+1000000+200000+118630+33758+39691+195834+133962+23921+1950000+155000+155000+189540+187731+199981+187965+95303+81390+117112+198249+93207+52627+495153+825000)+100000-1548795+340300+148151+52026+99839+1327225+89328+88473+187549+93329)+19226100-14677000-8095098-290000+18914+84955-84955-130406.19+32050+99097+413559+117485+22071+255798+199620+43892+15381+181865+79432+99339-551707)+956400-151921</f>
        <v>554505327.41999984</v>
      </c>
      <c r="G48" s="350">
        <f>((327901836)+16803000)+775100-125200</f>
        <v>345354736</v>
      </c>
      <c r="H48" s="350">
        <f>((32989243+2983694+26550438+1371161+1730057+724954)+10037.05)-14677000</f>
        <v>51682584.049999997</v>
      </c>
      <c r="I48" s="350"/>
      <c r="J48" s="393">
        <f t="shared" ref="J48:J72" si="32">L48+O48</f>
        <v>94179909</v>
      </c>
      <c r="K48" s="350">
        <f>(((((80000+800000+4500000)+1000000+179520+5000000+500000)+40000)-80000+1812317+100000+3500000-3500000)+800000)-4400000-100000-3761338</f>
        <v>6470499</v>
      </c>
      <c r="L48" s="350">
        <f>(((85884000)-22999+30000)+80000)+19110</f>
        <v>85990111</v>
      </c>
      <c r="M48" s="350">
        <v>15449160</v>
      </c>
      <c r="N48" s="350">
        <v>4392000</v>
      </c>
      <c r="O48" s="351">
        <f>(((K48+1825410)+22999-30000)-80000)-19110</f>
        <v>8189798</v>
      </c>
      <c r="P48" s="393">
        <f t="shared" ref="P48:P61" si="33">E48+J48</f>
        <v>648685236.41999984</v>
      </c>
      <c r="Q48" s="159"/>
      <c r="R48" s="26"/>
    </row>
    <row r="49" spans="1:20" ht="48" thickTop="1" thickBot="1" x14ac:dyDescent="0.6">
      <c r="A49" s="399" t="s">
        <v>207</v>
      </c>
      <c r="B49" s="399" t="s">
        <v>204</v>
      </c>
      <c r="C49" s="399"/>
      <c r="D49" s="399" t="s">
        <v>649</v>
      </c>
      <c r="E49" s="388">
        <f>E50+E51+E52</f>
        <v>580823452.71999991</v>
      </c>
      <c r="F49" s="388">
        <f>F50+F51+F52</f>
        <v>580823452.71999991</v>
      </c>
      <c r="G49" s="388">
        <f t="shared" ref="G49:I49" si="34">G50+G51+G52</f>
        <v>273411350</v>
      </c>
      <c r="H49" s="388">
        <f t="shared" si="34"/>
        <v>74310406.609999999</v>
      </c>
      <c r="I49" s="388">
        <f t="shared" si="34"/>
        <v>0</v>
      </c>
      <c r="J49" s="388">
        <f t="shared" ref="J49" si="35">J50+J51+J52</f>
        <v>129563574.39000002</v>
      </c>
      <c r="K49" s="388">
        <f t="shared" ref="K49" si="36">K50+K51+K52</f>
        <v>74129354.390000015</v>
      </c>
      <c r="L49" s="388">
        <f t="shared" ref="L49" si="37">L50+L51+L52</f>
        <v>54213500</v>
      </c>
      <c r="M49" s="388">
        <f t="shared" ref="M49" si="38">M50+M51+M52</f>
        <v>15085870</v>
      </c>
      <c r="N49" s="388">
        <f t="shared" ref="N49" si="39">N50+N51+N52</f>
        <v>1403040</v>
      </c>
      <c r="O49" s="388">
        <f t="shared" ref="O49" si="40">O50+O51+O52</f>
        <v>75350074.390000015</v>
      </c>
      <c r="P49" s="388">
        <f>E49+J49</f>
        <v>710387027.1099999</v>
      </c>
      <c r="Q49" s="159"/>
      <c r="R49" s="37"/>
    </row>
    <row r="50" spans="1:20" ht="93" thickTop="1" thickBot="1" x14ac:dyDescent="0.6">
      <c r="A50" s="119" t="s">
        <v>647</v>
      </c>
      <c r="B50" s="119" t="s">
        <v>648</v>
      </c>
      <c r="C50" s="119" t="s">
        <v>208</v>
      </c>
      <c r="D50" s="119" t="s">
        <v>1336</v>
      </c>
      <c r="E50" s="393">
        <f t="shared" ref="E50:E61" si="41">F50</f>
        <v>530353686.21999991</v>
      </c>
      <c r="F50" s="350">
        <f>((((((278478740+14949120+232788+68902488.28+6324200+49423800+1957040+28032408+2824915+6227487+147250+17044+402147+7030+1000000+620800+1258600+2000000+1300000+1505000+4601586)+428761+335283+40000+384864+79778+28689487.61+58752.45+1154067+3430000-1543567+396762)+853015+300000+364381+23946+66470+79400+122699)+605767+84568+179993+96661+147840+118497+97809+200000+196866+196000+698760+500000+100000+167208+1820000+111476+132797+94987+175728+199618+183597+394617+1749112+99707+248989+108976+364959+215252+196764+115344+841000+350223+189388+199928+189055+97860+199669+8280+499226+110000-73198+89862+710000+710000+430000+67992+12629950)+56400+65620+289050+100000+323700+42857+38193+479400+19831+1099650+290030+32000+1427352+650923+83898.88)+14543000-23420600+926219-210000+75848-851215-140000-918360+47777+40000+586881+200000+444000+186608+421825+26000+201984+240708+119557+80877-1111097)+1537100</f>
        <v>530353686.21999991</v>
      </c>
      <c r="G50" s="350">
        <f>((228261262)+14708900)+1223000</f>
        <v>244193162</v>
      </c>
      <c r="H50" s="350">
        <f>((49423800+1957040+28032408+2824915+6227487+4601586)+45699.61)-23420600</f>
        <v>69692335.609999999</v>
      </c>
      <c r="I50" s="350"/>
      <c r="J50" s="393">
        <f t="shared" si="32"/>
        <v>128773848.70000002</v>
      </c>
      <c r="K50" s="350">
        <f>(((((300000+800000+2064862.22+1330068.27+500000+450000+300000+300000+300000+300000+300000+3000000+1000000+1200000+7740000)+545838+746697.15+30878+185905+57151+53047+47077+4393825+108378.06+500000+10500000+500000)+1749105+121900+125620+83060+70400)+750000+1363128+320045+885514+434432+526202+490023+3096760-92696.47+96393.95-59096.4-15002.9-38302+2386312+2249222.72+2133480.56+4175264+761098.73+135642+396000+1600000+797745+73198+9000000+2964799+1447886+1053439+2270000+2500000-2249222.72)-6269222+1000000+3860000-83898.88)+300000-167680.59-457990.04-115778.6-2065982.8+260000+71000+483000-6194505+3719610.44</f>
        <v>73494628.700000018</v>
      </c>
      <c r="L50" s="350">
        <v>54058500</v>
      </c>
      <c r="M50" s="350">
        <v>15085870</v>
      </c>
      <c r="N50" s="350">
        <v>1329840</v>
      </c>
      <c r="O50" s="351">
        <f>(K50+1220720)</f>
        <v>74715348.700000018</v>
      </c>
      <c r="P50" s="393">
        <f t="shared" si="33"/>
        <v>659127534.91999996</v>
      </c>
      <c r="Q50" s="159"/>
      <c r="R50" s="26"/>
      <c r="T50" s="38"/>
    </row>
    <row r="51" spans="1:20" ht="138.75" thickTop="1" thickBot="1" x14ac:dyDescent="0.25">
      <c r="A51" s="119" t="s">
        <v>656</v>
      </c>
      <c r="B51" s="119" t="s">
        <v>657</v>
      </c>
      <c r="C51" s="119" t="s">
        <v>211</v>
      </c>
      <c r="D51" s="119" t="s">
        <v>1337</v>
      </c>
      <c r="E51" s="393">
        <f t="shared" si="41"/>
        <v>26943141</v>
      </c>
      <c r="F51" s="350">
        <f>((((25431320+268386+7230+657580+216630+2600+1606499+33482+292578+12894+4700+5400+20000+70000)+405237)+224100+74385+19921+22718+62247+91531+16998)+16600)-2328200-295000+70005-66700</f>
        <v>26943141</v>
      </c>
      <c r="G51" s="350">
        <f>(20845344)-1605100</f>
        <v>19240244</v>
      </c>
      <c r="H51" s="350">
        <f>(1606499+33482+292578+12894)-295000</f>
        <v>1650453</v>
      </c>
      <c r="I51" s="350"/>
      <c r="J51" s="393">
        <f t="shared" si="32"/>
        <v>474640</v>
      </c>
      <c r="K51" s="350">
        <f>(((360000)+200000)+25000+50000)+44640-360000</f>
        <v>319640</v>
      </c>
      <c r="L51" s="350">
        <v>155000</v>
      </c>
      <c r="M51" s="350"/>
      <c r="N51" s="350">
        <v>73200</v>
      </c>
      <c r="O51" s="351">
        <f>K51</f>
        <v>319640</v>
      </c>
      <c r="P51" s="393">
        <f t="shared" si="33"/>
        <v>27417781</v>
      </c>
      <c r="Q51" s="20"/>
      <c r="R51" s="27"/>
    </row>
    <row r="52" spans="1:20" ht="93" thickTop="1" thickBot="1" x14ac:dyDescent="0.25">
      <c r="A52" s="119" t="s">
        <v>1010</v>
      </c>
      <c r="B52" s="119" t="s">
        <v>1011</v>
      </c>
      <c r="C52" s="119" t="s">
        <v>211</v>
      </c>
      <c r="D52" s="119" t="s">
        <v>1338</v>
      </c>
      <c r="E52" s="393">
        <f t="shared" ref="E52" si="42">F52</f>
        <v>23526625.5</v>
      </c>
      <c r="F52" s="350">
        <f>((((13126400+398670+13800+5375100+417390+199390+2311854+120372+1153100+20392+3310+2700+170000+200000+21700+150000+35000)+2619663)+8300)-1111300-638100-1000000-123915.5)+52800</f>
        <v>23526625.5</v>
      </c>
      <c r="G52" s="350">
        <f>((10759344)-832200)+50800</f>
        <v>9977944</v>
      </c>
      <c r="H52" s="350">
        <f>(2311854+120372+1153100+20392)-638100</f>
        <v>2967618</v>
      </c>
      <c r="I52" s="350"/>
      <c r="J52" s="393">
        <f t="shared" ref="J52" si="43">L52+O52</f>
        <v>315085.69</v>
      </c>
      <c r="K52" s="350">
        <f>((50000+65000+180000)-9914.31)+30000</f>
        <v>315085.69</v>
      </c>
      <c r="L52" s="350"/>
      <c r="M52" s="350"/>
      <c r="N52" s="350"/>
      <c r="O52" s="351">
        <f>K52</f>
        <v>315085.69</v>
      </c>
      <c r="P52" s="393">
        <f t="shared" ref="P52" si="44">E52+J52</f>
        <v>23841711.190000001</v>
      </c>
      <c r="Q52" s="20"/>
      <c r="R52" s="27"/>
    </row>
    <row r="53" spans="1:20" ht="48" thickTop="1" thickBot="1" x14ac:dyDescent="0.25">
      <c r="A53" s="399" t="s">
        <v>502</v>
      </c>
      <c r="B53" s="399" t="s">
        <v>209</v>
      </c>
      <c r="C53" s="399"/>
      <c r="D53" s="399" t="s">
        <v>664</v>
      </c>
      <c r="E53" s="388">
        <f>SUM(E54:E55)</f>
        <v>606356586</v>
      </c>
      <c r="F53" s="388">
        <f>SUM(F54:F55)</f>
        <v>606356586</v>
      </c>
      <c r="G53" s="388">
        <f>SUM(G54:G55)</f>
        <v>493394860</v>
      </c>
      <c r="H53" s="388">
        <f>SUM(H54:H55)</f>
        <v>0</v>
      </c>
      <c r="I53" s="388">
        <f>SUM(I54:I55)</f>
        <v>0</v>
      </c>
      <c r="J53" s="388">
        <f t="shared" ref="J53:P53" si="45">SUM(J54:J55)</f>
        <v>0</v>
      </c>
      <c r="K53" s="388">
        <f t="shared" si="45"/>
        <v>0</v>
      </c>
      <c r="L53" s="388">
        <f t="shared" si="45"/>
        <v>0</v>
      </c>
      <c r="M53" s="388">
        <f t="shared" si="45"/>
        <v>0</v>
      </c>
      <c r="N53" s="388">
        <f t="shared" si="45"/>
        <v>0</v>
      </c>
      <c r="O53" s="388">
        <f t="shared" si="45"/>
        <v>0</v>
      </c>
      <c r="P53" s="388">
        <f t="shared" si="45"/>
        <v>606356586</v>
      </c>
      <c r="Q53" s="20"/>
      <c r="R53" s="35"/>
    </row>
    <row r="54" spans="1:20" ht="93" thickTop="1" thickBot="1" x14ac:dyDescent="0.25">
      <c r="A54" s="119" t="s">
        <v>665</v>
      </c>
      <c r="B54" s="119" t="s">
        <v>666</v>
      </c>
      <c r="C54" s="119" t="s">
        <v>208</v>
      </c>
      <c r="D54" s="119" t="s">
        <v>1339</v>
      </c>
      <c r="E54" s="393">
        <f t="shared" ref="E54:E55" si="46">F54</f>
        <v>603316886</v>
      </c>
      <c r="F54" s="350">
        <f>(((595757900+4544686)+16400)+2967500)+30400</f>
        <v>603316886</v>
      </c>
      <c r="G54" s="350">
        <f>(((488326150)+13450)+2523800)+30400</f>
        <v>490893800</v>
      </c>
      <c r="H54" s="350"/>
      <c r="I54" s="350"/>
      <c r="J54" s="393">
        <f t="shared" ref="J54:J55" si="47">L54+O54</f>
        <v>0</v>
      </c>
      <c r="K54" s="350"/>
      <c r="L54" s="350"/>
      <c r="M54" s="350"/>
      <c r="N54" s="350"/>
      <c r="O54" s="351">
        <f>K54</f>
        <v>0</v>
      </c>
      <c r="P54" s="393">
        <f t="shared" ref="P54:P58" si="48">E54+J54</f>
        <v>603316886</v>
      </c>
      <c r="Q54" s="20"/>
      <c r="R54" s="30"/>
    </row>
    <row r="55" spans="1:20" ht="93" thickTop="1" thickBot="1" x14ac:dyDescent="0.25">
      <c r="A55" s="119" t="s">
        <v>1151</v>
      </c>
      <c r="B55" s="427" t="s">
        <v>1152</v>
      </c>
      <c r="C55" s="119" t="s">
        <v>211</v>
      </c>
      <c r="D55" s="119" t="s">
        <v>1340</v>
      </c>
      <c r="E55" s="393">
        <f t="shared" si="46"/>
        <v>3039700</v>
      </c>
      <c r="F55" s="410">
        <f>((2286600)+783500)-30400</f>
        <v>3039700</v>
      </c>
      <c r="G55" s="410">
        <f>((1874260)+657200)-30400</f>
        <v>2501060</v>
      </c>
      <c r="H55" s="410"/>
      <c r="I55" s="410"/>
      <c r="J55" s="393">
        <f t="shared" si="47"/>
        <v>0</v>
      </c>
      <c r="K55" s="410"/>
      <c r="L55" s="410"/>
      <c r="M55" s="410"/>
      <c r="N55" s="410"/>
      <c r="O55" s="392"/>
      <c r="P55" s="393">
        <f t="shared" si="48"/>
        <v>3039700</v>
      </c>
      <c r="Q55" s="20"/>
      <c r="R55" s="30"/>
    </row>
    <row r="56" spans="1:20" ht="183.75" hidden="1" thickTop="1" x14ac:dyDescent="0.65">
      <c r="A56" s="715" t="s">
        <v>939</v>
      </c>
      <c r="B56" s="715" t="s">
        <v>50</v>
      </c>
      <c r="C56" s="715"/>
      <c r="D56" s="428" t="s">
        <v>942</v>
      </c>
      <c r="E56" s="704">
        <f t="shared" ref="E56:O56" si="49">E58</f>
        <v>0</v>
      </c>
      <c r="F56" s="704">
        <f t="shared" si="49"/>
        <v>0</v>
      </c>
      <c r="G56" s="704">
        <f t="shared" si="49"/>
        <v>0</v>
      </c>
      <c r="H56" s="704">
        <f t="shared" si="49"/>
        <v>0</v>
      </c>
      <c r="I56" s="704">
        <f t="shared" si="49"/>
        <v>0</v>
      </c>
      <c r="J56" s="704">
        <f t="shared" si="49"/>
        <v>0</v>
      </c>
      <c r="K56" s="704">
        <f t="shared" si="49"/>
        <v>0</v>
      </c>
      <c r="L56" s="704">
        <f t="shared" si="49"/>
        <v>0</v>
      </c>
      <c r="M56" s="704">
        <f t="shared" si="49"/>
        <v>0</v>
      </c>
      <c r="N56" s="704">
        <f t="shared" si="49"/>
        <v>0</v>
      </c>
      <c r="O56" s="704">
        <f t="shared" si="49"/>
        <v>0</v>
      </c>
      <c r="P56" s="704">
        <f>E56+J56</f>
        <v>0</v>
      </c>
      <c r="Q56" s="20"/>
      <c r="R56" s="30"/>
    </row>
    <row r="57" spans="1:20" ht="92.25" hidden="1" thickBot="1" x14ac:dyDescent="0.25">
      <c r="A57" s="677"/>
      <c r="B57" s="677"/>
      <c r="C57" s="677"/>
      <c r="D57" s="429" t="s">
        <v>943</v>
      </c>
      <c r="E57" s="677"/>
      <c r="F57" s="677"/>
      <c r="G57" s="677"/>
      <c r="H57" s="677"/>
      <c r="I57" s="677"/>
      <c r="J57" s="677"/>
      <c r="K57" s="677"/>
      <c r="L57" s="677"/>
      <c r="M57" s="677"/>
      <c r="N57" s="677"/>
      <c r="O57" s="677"/>
      <c r="P57" s="677"/>
      <c r="Q57" s="20"/>
      <c r="R57" s="30"/>
    </row>
    <row r="58" spans="1:20" ht="48" hidden="1" thickTop="1" thickBot="1" x14ac:dyDescent="0.25">
      <c r="A58" s="396" t="s">
        <v>940</v>
      </c>
      <c r="B58" s="396" t="s">
        <v>941</v>
      </c>
      <c r="C58" s="396" t="s">
        <v>208</v>
      </c>
      <c r="D58" s="396" t="s">
        <v>944</v>
      </c>
      <c r="E58" s="430">
        <f t="shared" ref="E58" si="50">F58</f>
        <v>0</v>
      </c>
      <c r="F58" s="411"/>
      <c r="G58" s="411"/>
      <c r="H58" s="411"/>
      <c r="I58" s="411"/>
      <c r="J58" s="430">
        <f t="shared" ref="J58" si="51">L58+O58</f>
        <v>0</v>
      </c>
      <c r="K58" s="411"/>
      <c r="L58" s="411"/>
      <c r="M58" s="411"/>
      <c r="N58" s="411"/>
      <c r="O58" s="431">
        <f>K58</f>
        <v>0</v>
      </c>
      <c r="P58" s="430">
        <f t="shared" si="48"/>
        <v>0</v>
      </c>
      <c r="Q58" s="20"/>
      <c r="R58" s="26"/>
    </row>
    <row r="59" spans="1:20" ht="93" thickTop="1" thickBot="1" x14ac:dyDescent="0.25">
      <c r="A59" s="119" t="s">
        <v>667</v>
      </c>
      <c r="B59" s="119" t="s">
        <v>210</v>
      </c>
      <c r="C59" s="119" t="s">
        <v>185</v>
      </c>
      <c r="D59" s="119" t="s">
        <v>503</v>
      </c>
      <c r="E59" s="393">
        <f t="shared" si="41"/>
        <v>33630973.450000003</v>
      </c>
      <c r="F59" s="350">
        <f>(((((25963460+430050+14000+475600+159020+3164837+73186+907670+79855+39033+3510+237440+310+250000)+188000)+66250+1720500)-11730)+964000-1326500+219182.45)+13300</f>
        <v>33630973.450000003</v>
      </c>
      <c r="G59" s="350">
        <f>((21281525)+988800)+0</f>
        <v>22270325</v>
      </c>
      <c r="H59" s="350">
        <f>(3164837+73186+907670+79855+39033)-1326500</f>
        <v>2938081</v>
      </c>
      <c r="I59" s="350"/>
      <c r="J59" s="393">
        <f t="shared" si="32"/>
        <v>11766782.6</v>
      </c>
      <c r="K59" s="350">
        <f>(10000000)+674352.6</f>
        <v>10674352.6</v>
      </c>
      <c r="L59" s="350">
        <v>872930</v>
      </c>
      <c r="M59" s="350">
        <v>15440</v>
      </c>
      <c r="N59" s="350">
        <v>111310</v>
      </c>
      <c r="O59" s="351">
        <f>(K59+219500)</f>
        <v>10893852.6</v>
      </c>
      <c r="P59" s="393">
        <f t="shared" si="33"/>
        <v>45397756.050000004</v>
      </c>
      <c r="Q59" s="20"/>
      <c r="R59" s="26"/>
    </row>
    <row r="60" spans="1:20" ht="93" thickTop="1" thickBot="1" x14ac:dyDescent="0.25">
      <c r="A60" s="399" t="s">
        <v>212</v>
      </c>
      <c r="B60" s="399" t="s">
        <v>195</v>
      </c>
      <c r="C60" s="399"/>
      <c r="D60" s="399" t="s">
        <v>504</v>
      </c>
      <c r="E60" s="388">
        <f>E61+E62</f>
        <v>176236662.68000001</v>
      </c>
      <c r="F60" s="388">
        <f t="shared" ref="F60:O60" si="52">F61+F62</f>
        <v>176236662.68000001</v>
      </c>
      <c r="G60" s="388">
        <f t="shared" si="52"/>
        <v>87522152</v>
      </c>
      <c r="H60" s="388">
        <f t="shared" si="52"/>
        <v>19631464</v>
      </c>
      <c r="I60" s="388">
        <f t="shared" si="52"/>
        <v>0</v>
      </c>
      <c r="J60" s="388">
        <f t="shared" si="52"/>
        <v>47111704.829999998</v>
      </c>
      <c r="K60" s="388">
        <f t="shared" si="52"/>
        <v>16721704.83</v>
      </c>
      <c r="L60" s="388">
        <f t="shared" si="52"/>
        <v>30160000</v>
      </c>
      <c r="M60" s="388">
        <f t="shared" si="52"/>
        <v>8894270</v>
      </c>
      <c r="N60" s="388">
        <f t="shared" si="52"/>
        <v>9529290</v>
      </c>
      <c r="O60" s="388">
        <f t="shared" si="52"/>
        <v>16951704.829999998</v>
      </c>
      <c r="P60" s="388">
        <f t="shared" si="33"/>
        <v>223348367.50999999</v>
      </c>
      <c r="Q60" s="20"/>
      <c r="R60" s="35"/>
    </row>
    <row r="61" spans="1:20" ht="93" thickTop="1" thickBot="1" x14ac:dyDescent="0.25">
      <c r="A61" s="119" t="s">
        <v>668</v>
      </c>
      <c r="B61" s="119" t="s">
        <v>669</v>
      </c>
      <c r="C61" s="119" t="s">
        <v>213</v>
      </c>
      <c r="D61" s="119" t="s">
        <v>670</v>
      </c>
      <c r="E61" s="393">
        <f t="shared" si="41"/>
        <v>155614062.68000001</v>
      </c>
      <c r="F61" s="350">
        <f>((((((84519260+111000+22600+5254600+433200+14205640+1588100+11939030+21300+186500+15360+33077300+1043800+500000+250000)+5454565.87-99000)+930229)+98204.81+201528+395500+290660+424175+2103243+456425+124580+495860+543124+360473+125623+66400-898850+40150+858700)+135272)+1064200-6670380-1800000-2420000+196280.8-196280.8+86756.4-86756.4+321945.48-321945.48+25490-375000)+515200</f>
        <v>155614062.68000001</v>
      </c>
      <c r="G61" s="350">
        <f>((69278082)+902800)+378800</f>
        <v>70559682</v>
      </c>
      <c r="H61" s="350">
        <f>(((((14205640+1588100+11939030+21300+186500)+6629.87)+98204.81)-898850)+135272)-6670380-196280.8-86756.4-321945.48-375000</f>
        <v>19631464</v>
      </c>
      <c r="I61" s="350"/>
      <c r="J61" s="393">
        <f>L61+O61</f>
        <v>47111704.829999998</v>
      </c>
      <c r="K61" s="350">
        <f>((((101468.23+800000)+99000+200000)+82825+15665)+6948195+32811+1200000+194000+1575310+1770793+2998616+266421.6)-2914551.33+410186+1031057+1473308.33+61600+375000</f>
        <v>16721704.83</v>
      </c>
      <c r="L61" s="350">
        <f>(30210000)-50000</f>
        <v>30160000</v>
      </c>
      <c r="M61" s="350">
        <v>8894270</v>
      </c>
      <c r="N61" s="350">
        <v>9529290</v>
      </c>
      <c r="O61" s="351">
        <f>(K61+180000)+50000</f>
        <v>16951704.829999998</v>
      </c>
      <c r="P61" s="393">
        <f t="shared" si="33"/>
        <v>202725767.50999999</v>
      </c>
      <c r="Q61" s="20"/>
      <c r="R61" s="26"/>
    </row>
    <row r="62" spans="1:20" ht="93" thickTop="1" thickBot="1" x14ac:dyDescent="0.25">
      <c r="A62" s="119" t="s">
        <v>672</v>
      </c>
      <c r="B62" s="119" t="s">
        <v>671</v>
      </c>
      <c r="C62" s="119" t="s">
        <v>213</v>
      </c>
      <c r="D62" s="119" t="s">
        <v>673</v>
      </c>
      <c r="E62" s="393">
        <f t="shared" ref="E62" si="53">F62</f>
        <v>20622600</v>
      </c>
      <c r="F62" s="350">
        <f>(24373600)-3751000</f>
        <v>20622600</v>
      </c>
      <c r="G62" s="350">
        <f>(20143470)-3181000</f>
        <v>16962470</v>
      </c>
      <c r="H62" s="350"/>
      <c r="I62" s="350"/>
      <c r="J62" s="393">
        <f>L62+O62</f>
        <v>0</v>
      </c>
      <c r="K62" s="350"/>
      <c r="L62" s="350"/>
      <c r="M62" s="350"/>
      <c r="N62" s="350"/>
      <c r="O62" s="351"/>
      <c r="P62" s="393">
        <f t="shared" ref="P62" si="54">E62+J62</f>
        <v>20622600</v>
      </c>
      <c r="Q62" s="20"/>
      <c r="R62" s="30"/>
    </row>
    <row r="63" spans="1:20" ht="48" thickTop="1" thickBot="1" x14ac:dyDescent="0.25">
      <c r="A63" s="399" t="s">
        <v>675</v>
      </c>
      <c r="B63" s="399" t="s">
        <v>674</v>
      </c>
      <c r="C63" s="399"/>
      <c r="D63" s="399" t="s">
        <v>676</v>
      </c>
      <c r="E63" s="388">
        <f>E64+E65</f>
        <v>30749131</v>
      </c>
      <c r="F63" s="388">
        <f t="shared" ref="F63:O63" si="55">F64+F65</f>
        <v>30749131</v>
      </c>
      <c r="G63" s="388">
        <f t="shared" si="55"/>
        <v>18411941</v>
      </c>
      <c r="H63" s="388">
        <f t="shared" si="55"/>
        <v>1658842</v>
      </c>
      <c r="I63" s="388">
        <f t="shared" si="55"/>
        <v>0</v>
      </c>
      <c r="J63" s="388">
        <f t="shared" si="55"/>
        <v>6463440.9000000004</v>
      </c>
      <c r="K63" s="388">
        <f t="shared" si="55"/>
        <v>5958740.9000000004</v>
      </c>
      <c r="L63" s="388">
        <f t="shared" si="55"/>
        <v>504700</v>
      </c>
      <c r="M63" s="388">
        <f t="shared" si="55"/>
        <v>100080</v>
      </c>
      <c r="N63" s="388">
        <f t="shared" si="55"/>
        <v>115470</v>
      </c>
      <c r="O63" s="388">
        <f t="shared" si="55"/>
        <v>5958740.9000000004</v>
      </c>
      <c r="P63" s="388">
        <f>E63+J63</f>
        <v>37212571.899999999</v>
      </c>
      <c r="Q63" s="20"/>
      <c r="R63" s="35"/>
    </row>
    <row r="64" spans="1:20" ht="48" thickTop="1" thickBot="1" x14ac:dyDescent="0.25">
      <c r="A64" s="119" t="s">
        <v>677</v>
      </c>
      <c r="B64" s="119" t="s">
        <v>678</v>
      </c>
      <c r="C64" s="119" t="s">
        <v>214</v>
      </c>
      <c r="D64" s="119" t="s">
        <v>505</v>
      </c>
      <c r="E64" s="393">
        <f>F64</f>
        <v>30229311</v>
      </c>
      <c r="F64" s="350">
        <f>(((((23305100+814015+1855+882100+1246141+24736+912211+25654+6060+2700+200000)+742713+2700)+100000+556514+7000+147600+57500+92200+1000000+50004+7500+7500+96825+34800+175962)+8300+8000+700000)-1089500-549900+140000+361100)+151921</f>
        <v>30229311</v>
      </c>
      <c r="G64" s="350">
        <f>(19102541)-815800+125200</f>
        <v>18411941</v>
      </c>
      <c r="H64" s="350">
        <f>(1246141+24736+912211+25654)-549900</f>
        <v>1658842</v>
      </c>
      <c r="I64" s="350"/>
      <c r="J64" s="393">
        <f>L64+O64</f>
        <v>6463440.9000000004</v>
      </c>
      <c r="K64" s="350">
        <f>((500000+100000)+5603701)-244960.1</f>
        <v>5958740.9000000004</v>
      </c>
      <c r="L64" s="350">
        <v>504700</v>
      </c>
      <c r="M64" s="350">
        <v>100080</v>
      </c>
      <c r="N64" s="350">
        <v>115470</v>
      </c>
      <c r="O64" s="351">
        <f>K64</f>
        <v>5958740.9000000004</v>
      </c>
      <c r="P64" s="393">
        <f>E64+J64</f>
        <v>36692751.899999999</v>
      </c>
      <c r="Q64" s="20"/>
      <c r="R64" s="30"/>
    </row>
    <row r="65" spans="1:18" ht="48" thickTop="1" thickBot="1" x14ac:dyDescent="0.25">
      <c r="A65" s="119" t="s">
        <v>679</v>
      </c>
      <c r="B65" s="119" t="s">
        <v>680</v>
      </c>
      <c r="C65" s="119" t="s">
        <v>214</v>
      </c>
      <c r="D65" s="119" t="s">
        <v>341</v>
      </c>
      <c r="E65" s="393">
        <f>F65</f>
        <v>519820</v>
      </c>
      <c r="F65" s="350">
        <f>(219820)+300000</f>
        <v>519820</v>
      </c>
      <c r="G65" s="350"/>
      <c r="H65" s="350"/>
      <c r="I65" s="350"/>
      <c r="J65" s="393">
        <f>L65+O65</f>
        <v>0</v>
      </c>
      <c r="K65" s="350"/>
      <c r="L65" s="350"/>
      <c r="M65" s="350"/>
      <c r="N65" s="350"/>
      <c r="O65" s="351">
        <f>K65</f>
        <v>0</v>
      </c>
      <c r="P65" s="393">
        <f>E65+J65</f>
        <v>519820</v>
      </c>
      <c r="Q65" s="20"/>
      <c r="R65" s="30"/>
    </row>
    <row r="66" spans="1:18" ht="48" thickTop="1" thickBot="1" x14ac:dyDescent="0.25">
      <c r="A66" s="399" t="s">
        <v>681</v>
      </c>
      <c r="B66" s="399" t="s">
        <v>682</v>
      </c>
      <c r="C66" s="399"/>
      <c r="D66" s="399" t="s">
        <v>433</v>
      </c>
      <c r="E66" s="388">
        <f>E67+E68</f>
        <v>4765521.5</v>
      </c>
      <c r="F66" s="388">
        <f>F67+F68</f>
        <v>4765521.5</v>
      </c>
      <c r="G66" s="388">
        <f t="shared" ref="G66:O66" si="56">G67+G68</f>
        <v>3561772</v>
      </c>
      <c r="H66" s="388">
        <f t="shared" si="56"/>
        <v>92665</v>
      </c>
      <c r="I66" s="388">
        <f t="shared" si="56"/>
        <v>0</v>
      </c>
      <c r="J66" s="388">
        <f t="shared" si="56"/>
        <v>219300</v>
      </c>
      <c r="K66" s="388">
        <f t="shared" si="56"/>
        <v>219300</v>
      </c>
      <c r="L66" s="388">
        <f t="shared" si="56"/>
        <v>0</v>
      </c>
      <c r="M66" s="388">
        <f t="shared" si="56"/>
        <v>0</v>
      </c>
      <c r="N66" s="388">
        <f t="shared" si="56"/>
        <v>0</v>
      </c>
      <c r="O66" s="388">
        <f t="shared" si="56"/>
        <v>219300</v>
      </c>
      <c r="P66" s="388">
        <f>E66+J66</f>
        <v>4984821.5</v>
      </c>
      <c r="Q66" s="20"/>
      <c r="R66" s="35"/>
    </row>
    <row r="67" spans="1:18" ht="93" thickTop="1" thickBot="1" x14ac:dyDescent="0.25">
      <c r="A67" s="119" t="s">
        <v>683</v>
      </c>
      <c r="B67" s="119" t="s">
        <v>684</v>
      </c>
      <c r="C67" s="119" t="s">
        <v>214</v>
      </c>
      <c r="D67" s="119" t="s">
        <v>685</v>
      </c>
      <c r="E67" s="393">
        <f>F67</f>
        <v>1050121.5</v>
      </c>
      <c r="F67" s="350">
        <f>(((((736700+167810+59750+5000+125493+10551+31952+2569+900)+1489.5)+76907)+16600)-125300-77900)+17600</f>
        <v>1050121.5</v>
      </c>
      <c r="G67" s="350">
        <f>((603852)-103100)+15600</f>
        <v>516352</v>
      </c>
      <c r="H67" s="350">
        <f>(125493+10551+31952+2569)-77900</f>
        <v>92665</v>
      </c>
      <c r="I67" s="350"/>
      <c r="J67" s="393">
        <f>L67+O67</f>
        <v>219300</v>
      </c>
      <c r="K67" s="350">
        <f>219300</f>
        <v>219300</v>
      </c>
      <c r="L67" s="350"/>
      <c r="M67" s="350"/>
      <c r="N67" s="350"/>
      <c r="O67" s="351">
        <f>K67</f>
        <v>219300</v>
      </c>
      <c r="P67" s="393">
        <f>E67+J67</f>
        <v>1269421.5</v>
      </c>
      <c r="Q67" s="20"/>
      <c r="R67" s="26"/>
    </row>
    <row r="68" spans="1:18" ht="93" thickTop="1" thickBot="1" x14ac:dyDescent="0.25">
      <c r="A68" s="119" t="s">
        <v>686</v>
      </c>
      <c r="B68" s="119" t="s">
        <v>687</v>
      </c>
      <c r="C68" s="119" t="s">
        <v>214</v>
      </c>
      <c r="D68" s="119" t="s">
        <v>688</v>
      </c>
      <c r="E68" s="393">
        <f>F68</f>
        <v>3715400</v>
      </c>
      <c r="F68" s="350">
        <v>3715400</v>
      </c>
      <c r="G68" s="350">
        <v>3045420</v>
      </c>
      <c r="H68" s="350"/>
      <c r="I68" s="350"/>
      <c r="J68" s="393">
        <f t="shared" ref="J68" si="57">L68+O68</f>
        <v>0</v>
      </c>
      <c r="K68" s="350"/>
      <c r="L68" s="350"/>
      <c r="M68" s="350"/>
      <c r="N68" s="350"/>
      <c r="O68" s="351">
        <f t="shared" ref="O68" si="58">K68</f>
        <v>0</v>
      </c>
      <c r="P68" s="393">
        <f t="shared" ref="P68" si="59">E68+J68</f>
        <v>3715400</v>
      </c>
      <c r="Q68" s="20"/>
      <c r="R68" s="30"/>
    </row>
    <row r="69" spans="1:18" ht="93" thickTop="1" thickBot="1" x14ac:dyDescent="0.25">
      <c r="A69" s="119" t="s">
        <v>653</v>
      </c>
      <c r="B69" s="119" t="s">
        <v>654</v>
      </c>
      <c r="C69" s="119" t="s">
        <v>214</v>
      </c>
      <c r="D69" s="119" t="s">
        <v>655</v>
      </c>
      <c r="E69" s="393">
        <f t="shared" ref="E69" si="60">F69</f>
        <v>3526880</v>
      </c>
      <c r="F69" s="350">
        <f>((2939060+224488+42150+10000+60964+6421+28228+5269)+42000)+93300+75000</f>
        <v>3526880</v>
      </c>
      <c r="G69" s="350">
        <f>(2409066)+74000</f>
        <v>2483066</v>
      </c>
      <c r="H69" s="350">
        <f>60964+6421+28228+5269</f>
        <v>100882</v>
      </c>
      <c r="I69" s="350"/>
      <c r="J69" s="393">
        <f t="shared" ref="J69" si="61">L69+O69</f>
        <v>400000</v>
      </c>
      <c r="K69" s="350">
        <f>(200000)+200000</f>
        <v>400000</v>
      </c>
      <c r="L69" s="350"/>
      <c r="M69" s="350"/>
      <c r="N69" s="350"/>
      <c r="O69" s="351">
        <f t="shared" ref="O69" si="62">K69</f>
        <v>400000</v>
      </c>
      <c r="P69" s="393">
        <f t="shared" ref="P69" si="63">E69+J69</f>
        <v>3926880</v>
      </c>
      <c r="Q69" s="20"/>
      <c r="R69" s="26"/>
    </row>
    <row r="70" spans="1:18" s="33" customFormat="1" ht="93" hidden="1" thickTop="1" thickBot="1" x14ac:dyDescent="0.25">
      <c r="A70" s="432" t="s">
        <v>658</v>
      </c>
      <c r="B70" s="432" t="s">
        <v>659</v>
      </c>
      <c r="C70" s="432"/>
      <c r="D70" s="432" t="s">
        <v>660</v>
      </c>
      <c r="E70" s="412">
        <f t="shared" ref="E70:E90" si="64">F70</f>
        <v>0</v>
      </c>
      <c r="F70" s="412">
        <f>SUM(F71:F72)</f>
        <v>0</v>
      </c>
      <c r="G70" s="412">
        <f t="shared" ref="G70:I70" si="65">SUM(G71:G72)</f>
        <v>0</v>
      </c>
      <c r="H70" s="412">
        <f t="shared" si="65"/>
        <v>0</v>
      </c>
      <c r="I70" s="412">
        <f t="shared" si="65"/>
        <v>0</v>
      </c>
      <c r="J70" s="412">
        <f t="shared" si="32"/>
        <v>0</v>
      </c>
      <c r="K70" s="388">
        <f>SUM(K71:K72)</f>
        <v>0</v>
      </c>
      <c r="L70" s="412">
        <f t="shared" ref="L70:N70" si="66">SUM(L71:L72)</f>
        <v>0</v>
      </c>
      <c r="M70" s="412">
        <f t="shared" si="66"/>
        <v>0</v>
      </c>
      <c r="N70" s="412">
        <f t="shared" si="66"/>
        <v>0</v>
      </c>
      <c r="O70" s="412">
        <f>SUM(O71:O72)</f>
        <v>0</v>
      </c>
      <c r="P70" s="412">
        <f t="shared" ref="P70:P75" si="67">E70+J70</f>
        <v>0</v>
      </c>
      <c r="Q70" s="36"/>
      <c r="R70" s="37"/>
    </row>
    <row r="71" spans="1:18" s="33" customFormat="1" ht="138.75" hidden="1" thickTop="1" thickBot="1" x14ac:dyDescent="0.25">
      <c r="A71" s="396" t="s">
        <v>661</v>
      </c>
      <c r="B71" s="396" t="s">
        <v>662</v>
      </c>
      <c r="C71" s="396" t="s">
        <v>214</v>
      </c>
      <c r="D71" s="396" t="s">
        <v>663</v>
      </c>
      <c r="E71" s="430">
        <f t="shared" si="64"/>
        <v>0</v>
      </c>
      <c r="F71" s="411"/>
      <c r="G71" s="411"/>
      <c r="H71" s="411"/>
      <c r="I71" s="411"/>
      <c r="J71" s="430">
        <f t="shared" si="32"/>
        <v>0</v>
      </c>
      <c r="K71" s="350"/>
      <c r="L71" s="411"/>
      <c r="M71" s="411"/>
      <c r="N71" s="411"/>
      <c r="O71" s="431">
        <f t="shared" ref="O71:O72" si="68">K71</f>
        <v>0</v>
      </c>
      <c r="P71" s="430">
        <f t="shared" si="67"/>
        <v>0</v>
      </c>
      <c r="Q71" s="36"/>
      <c r="R71" s="26"/>
    </row>
    <row r="72" spans="1:18" s="33" customFormat="1" ht="138.75" hidden="1" thickTop="1" thickBot="1" x14ac:dyDescent="0.25">
      <c r="A72" s="396" t="s">
        <v>993</v>
      </c>
      <c r="B72" s="396" t="s">
        <v>994</v>
      </c>
      <c r="C72" s="396" t="s">
        <v>214</v>
      </c>
      <c r="D72" s="396" t="s">
        <v>995</v>
      </c>
      <c r="E72" s="430">
        <f t="shared" si="64"/>
        <v>0</v>
      </c>
      <c r="F72" s="411"/>
      <c r="G72" s="411"/>
      <c r="H72" s="411"/>
      <c r="I72" s="411"/>
      <c r="J72" s="430">
        <f t="shared" si="32"/>
        <v>0</v>
      </c>
      <c r="K72" s="350"/>
      <c r="L72" s="411"/>
      <c r="M72" s="411"/>
      <c r="N72" s="411"/>
      <c r="O72" s="431">
        <f t="shared" si="68"/>
        <v>0</v>
      </c>
      <c r="P72" s="430">
        <f t="shared" si="67"/>
        <v>0</v>
      </c>
      <c r="Q72" s="36"/>
      <c r="R72" s="26"/>
    </row>
    <row r="73" spans="1:18" s="33" customFormat="1" ht="184.5" hidden="1" thickTop="1" thickBot="1" x14ac:dyDescent="0.25">
      <c r="A73" s="432" t="s">
        <v>1012</v>
      </c>
      <c r="B73" s="432" t="s">
        <v>1014</v>
      </c>
      <c r="C73" s="432"/>
      <c r="D73" s="432" t="s">
        <v>1016</v>
      </c>
      <c r="E73" s="412">
        <f>E74+E75</f>
        <v>0</v>
      </c>
      <c r="F73" s="412">
        <f>F74+F75</f>
        <v>0</v>
      </c>
      <c r="G73" s="412">
        <f t="shared" ref="G73:I73" si="69">G74+G75</f>
        <v>0</v>
      </c>
      <c r="H73" s="412">
        <f t="shared" si="69"/>
        <v>0</v>
      </c>
      <c r="I73" s="412">
        <f t="shared" si="69"/>
        <v>0</v>
      </c>
      <c r="J73" s="412">
        <f>L73+O73</f>
        <v>0</v>
      </c>
      <c r="K73" s="388">
        <f t="shared" ref="K73:O73" si="70">K74+K75</f>
        <v>0</v>
      </c>
      <c r="L73" s="412">
        <f t="shared" si="70"/>
        <v>0</v>
      </c>
      <c r="M73" s="412">
        <f t="shared" si="70"/>
        <v>0</v>
      </c>
      <c r="N73" s="412">
        <f t="shared" si="70"/>
        <v>0</v>
      </c>
      <c r="O73" s="412">
        <f t="shared" si="70"/>
        <v>0</v>
      </c>
      <c r="P73" s="412">
        <f t="shared" si="67"/>
        <v>0</v>
      </c>
      <c r="Q73" s="36"/>
      <c r="R73" s="26"/>
    </row>
    <row r="74" spans="1:18" s="33" customFormat="1" ht="230.25" hidden="1" thickTop="1" thickBot="1" x14ac:dyDescent="0.25">
      <c r="A74" s="396" t="s">
        <v>1013</v>
      </c>
      <c r="B74" s="396" t="s">
        <v>1015</v>
      </c>
      <c r="C74" s="396" t="s">
        <v>214</v>
      </c>
      <c r="D74" s="396" t="s">
        <v>1017</v>
      </c>
      <c r="E74" s="430">
        <f t="shared" ref="E74" si="71">F74</f>
        <v>0</v>
      </c>
      <c r="F74" s="411"/>
      <c r="G74" s="411"/>
      <c r="H74" s="411"/>
      <c r="I74" s="411"/>
      <c r="J74" s="430">
        <f t="shared" ref="J74" si="72">L74+O74</f>
        <v>0</v>
      </c>
      <c r="K74" s="350">
        <f>4547046.18-4547046.18</f>
        <v>0</v>
      </c>
      <c r="L74" s="411"/>
      <c r="M74" s="411"/>
      <c r="N74" s="411"/>
      <c r="O74" s="431">
        <f t="shared" ref="O74" si="73">K74</f>
        <v>0</v>
      </c>
      <c r="P74" s="430">
        <f t="shared" si="67"/>
        <v>0</v>
      </c>
      <c r="Q74" s="36"/>
      <c r="R74" s="26"/>
    </row>
    <row r="75" spans="1:18" s="33" customFormat="1" ht="45.75" hidden="1" thickTop="1" x14ac:dyDescent="0.2">
      <c r="A75" s="681" t="s">
        <v>1032</v>
      </c>
      <c r="B75" s="681" t="s">
        <v>1033</v>
      </c>
      <c r="C75" s="681" t="s">
        <v>214</v>
      </c>
      <c r="D75" s="681" t="s">
        <v>1034</v>
      </c>
      <c r="E75" s="675">
        <f t="shared" ref="E75" si="74">F75</f>
        <v>0</v>
      </c>
      <c r="F75" s="675"/>
      <c r="G75" s="675"/>
      <c r="H75" s="675"/>
      <c r="I75" s="675"/>
      <c r="J75" s="675">
        <f t="shared" ref="J75" si="75">L75+O75</f>
        <v>0</v>
      </c>
      <c r="K75" s="695">
        <f>10623233.82-10623233.82</f>
        <v>0</v>
      </c>
      <c r="L75" s="675"/>
      <c r="M75" s="675"/>
      <c r="N75" s="675"/>
      <c r="O75" s="678">
        <f t="shared" ref="O75" si="76">K75</f>
        <v>0</v>
      </c>
      <c r="P75" s="675">
        <f t="shared" si="67"/>
        <v>0</v>
      </c>
      <c r="Q75" s="36"/>
      <c r="R75" s="26"/>
    </row>
    <row r="76" spans="1:18" s="33" customFormat="1" ht="45.75" hidden="1" thickBot="1" x14ac:dyDescent="0.25">
      <c r="A76" s="677"/>
      <c r="B76" s="677"/>
      <c r="C76" s="677"/>
      <c r="D76" s="677"/>
      <c r="E76" s="677"/>
      <c r="F76" s="677"/>
      <c r="G76" s="677"/>
      <c r="H76" s="677"/>
      <c r="I76" s="677"/>
      <c r="J76" s="677"/>
      <c r="K76" s="684"/>
      <c r="L76" s="677"/>
      <c r="M76" s="677"/>
      <c r="N76" s="677"/>
      <c r="O76" s="677"/>
      <c r="P76" s="677"/>
      <c r="Q76" s="36"/>
      <c r="R76" s="26"/>
    </row>
    <row r="77" spans="1:18" s="33" customFormat="1" ht="138.75" thickTop="1" thickBot="1" x14ac:dyDescent="0.25">
      <c r="A77" s="119" t="s">
        <v>650</v>
      </c>
      <c r="B77" s="119" t="s">
        <v>651</v>
      </c>
      <c r="C77" s="119" t="s">
        <v>214</v>
      </c>
      <c r="D77" s="119" t="s">
        <v>652</v>
      </c>
      <c r="E77" s="393">
        <f t="shared" si="64"/>
        <v>4309689</v>
      </c>
      <c r="F77" s="350">
        <v>4309689</v>
      </c>
      <c r="G77" s="350">
        <v>3532532</v>
      </c>
      <c r="H77" s="350"/>
      <c r="I77" s="350"/>
      <c r="J77" s="393">
        <f t="shared" ref="J77" si="77">L77+O77</f>
        <v>0</v>
      </c>
      <c r="K77" s="350"/>
      <c r="L77" s="350"/>
      <c r="M77" s="350"/>
      <c r="N77" s="350"/>
      <c r="O77" s="351">
        <f t="shared" ref="O77" si="78">K77</f>
        <v>0</v>
      </c>
      <c r="P77" s="393">
        <f t="shared" ref="P77" si="79">E77+J77</f>
        <v>4309689</v>
      </c>
      <c r="Q77" s="36"/>
      <c r="R77" s="26"/>
    </row>
    <row r="78" spans="1:18" s="33" customFormat="1" ht="138.75" thickTop="1" thickBot="1" x14ac:dyDescent="0.25">
      <c r="A78" s="119" t="s">
        <v>953</v>
      </c>
      <c r="B78" s="119" t="s">
        <v>954</v>
      </c>
      <c r="C78" s="119" t="s">
        <v>214</v>
      </c>
      <c r="D78" s="119" t="s">
        <v>1552</v>
      </c>
      <c r="E78" s="393">
        <f t="shared" ref="E78" si="80">F78</f>
        <v>2413596</v>
      </c>
      <c r="F78" s="350">
        <v>2413596</v>
      </c>
      <c r="G78" s="350">
        <v>1978358</v>
      </c>
      <c r="H78" s="350"/>
      <c r="I78" s="350"/>
      <c r="J78" s="393">
        <f t="shared" ref="J78" si="81">L78+O78</f>
        <v>0</v>
      </c>
      <c r="K78" s="350">
        <v>0</v>
      </c>
      <c r="L78" s="350"/>
      <c r="M78" s="350"/>
      <c r="N78" s="350"/>
      <c r="O78" s="351">
        <f t="shared" ref="O78" si="82">K78</f>
        <v>0</v>
      </c>
      <c r="P78" s="393">
        <f t="shared" ref="P78" si="83">E78+J78</f>
        <v>2413596</v>
      </c>
      <c r="Q78" s="36"/>
      <c r="R78" s="26"/>
    </row>
    <row r="79" spans="1:18" s="33" customFormat="1" ht="93" thickTop="1" thickBot="1" x14ac:dyDescent="0.25">
      <c r="A79" s="399" t="s">
        <v>1018</v>
      </c>
      <c r="B79" s="399" t="s">
        <v>1020</v>
      </c>
      <c r="C79" s="399"/>
      <c r="D79" s="399" t="s">
        <v>1543</v>
      </c>
      <c r="E79" s="388">
        <f>F79</f>
        <v>0</v>
      </c>
      <c r="F79" s="388">
        <f>SUM(F80:F81)</f>
        <v>0</v>
      </c>
      <c r="G79" s="388">
        <f>SUM(G80:G81)</f>
        <v>0</v>
      </c>
      <c r="H79" s="388">
        <f>SUM(H80:H81)</f>
        <v>0</v>
      </c>
      <c r="I79" s="388">
        <f>SUM(I80:I81)</f>
        <v>0</v>
      </c>
      <c r="J79" s="388">
        <f>L79+O79</f>
        <v>1780336.07</v>
      </c>
      <c r="K79" s="388">
        <f>SUM(K80:K81)</f>
        <v>1780336.07</v>
      </c>
      <c r="L79" s="388">
        <f>SUM(L80:L81)</f>
        <v>0</v>
      </c>
      <c r="M79" s="388">
        <f>SUM(M80:M81)</f>
        <v>0</v>
      </c>
      <c r="N79" s="388">
        <f>SUM(N80:N81)</f>
        <v>0</v>
      </c>
      <c r="O79" s="388">
        <f>SUM(O80:O81)</f>
        <v>1780336.07</v>
      </c>
      <c r="P79" s="388">
        <f>E79+J79</f>
        <v>1780336.07</v>
      </c>
      <c r="Q79" s="36"/>
      <c r="R79" s="26"/>
    </row>
    <row r="80" spans="1:18" s="33" customFormat="1" ht="138.75" thickTop="1" thickBot="1" x14ac:dyDescent="0.25">
      <c r="A80" s="119" t="s">
        <v>1019</v>
      </c>
      <c r="B80" s="119" t="s">
        <v>1021</v>
      </c>
      <c r="C80" s="119" t="s">
        <v>214</v>
      </c>
      <c r="D80" s="119" t="s">
        <v>1294</v>
      </c>
      <c r="E80" s="393">
        <f>F80</f>
        <v>0</v>
      </c>
      <c r="F80" s="350"/>
      <c r="G80" s="350"/>
      <c r="H80" s="350"/>
      <c r="I80" s="350"/>
      <c r="J80" s="393">
        <f t="shared" ref="J80:J81" si="84">L80+O80</f>
        <v>1780336.07</v>
      </c>
      <c r="K80" s="350">
        <f>(1611703)+168633.07</f>
        <v>1780336.07</v>
      </c>
      <c r="L80" s="350"/>
      <c r="M80" s="350"/>
      <c r="N80" s="350"/>
      <c r="O80" s="351">
        <f t="shared" ref="O80:O81" si="85">K80</f>
        <v>1780336.07</v>
      </c>
      <c r="P80" s="393">
        <f>E80+J80</f>
        <v>1780336.07</v>
      </c>
      <c r="Q80" s="36"/>
      <c r="R80" s="26"/>
    </row>
    <row r="81" spans="1:18" s="33" customFormat="1" ht="138.75" hidden="1" thickTop="1" thickBot="1" x14ac:dyDescent="0.25">
      <c r="A81" s="396" t="s">
        <v>1068</v>
      </c>
      <c r="B81" s="396" t="s">
        <v>1069</v>
      </c>
      <c r="C81" s="396" t="s">
        <v>214</v>
      </c>
      <c r="D81" s="396" t="s">
        <v>1067</v>
      </c>
      <c r="E81" s="393">
        <f>F81</f>
        <v>0</v>
      </c>
      <c r="F81" s="350">
        <f>(553900)-553900</f>
        <v>0</v>
      </c>
      <c r="G81" s="350"/>
      <c r="H81" s="350"/>
      <c r="I81" s="350"/>
      <c r="J81" s="393">
        <f t="shared" si="84"/>
        <v>0</v>
      </c>
      <c r="K81" s="350"/>
      <c r="L81" s="411"/>
      <c r="M81" s="411"/>
      <c r="N81" s="411"/>
      <c r="O81" s="431">
        <f t="shared" si="85"/>
        <v>0</v>
      </c>
      <c r="P81" s="430">
        <f>E81+J81</f>
        <v>0</v>
      </c>
      <c r="Q81" s="36"/>
      <c r="R81" s="26"/>
    </row>
    <row r="82" spans="1:18" s="33" customFormat="1" ht="93" thickTop="1" thickBot="1" x14ac:dyDescent="0.25">
      <c r="A82" s="399" t="s">
        <v>1484</v>
      </c>
      <c r="B82" s="399" t="s">
        <v>1485</v>
      </c>
      <c r="C82" s="399"/>
      <c r="D82" s="399" t="s">
        <v>1483</v>
      </c>
      <c r="E82" s="388">
        <f>SUM(E83:E84)</f>
        <v>0</v>
      </c>
      <c r="F82" s="388">
        <f t="shared" ref="F82:P82" si="86">SUM(F83:F84)</f>
        <v>0</v>
      </c>
      <c r="G82" s="388">
        <f t="shared" si="86"/>
        <v>0</v>
      </c>
      <c r="H82" s="388">
        <f t="shared" si="86"/>
        <v>0</v>
      </c>
      <c r="I82" s="388">
        <f t="shared" si="86"/>
        <v>0</v>
      </c>
      <c r="J82" s="388">
        <f t="shared" si="86"/>
        <v>15200000</v>
      </c>
      <c r="K82" s="388">
        <f t="shared" si="86"/>
        <v>15200000</v>
      </c>
      <c r="L82" s="388">
        <f t="shared" si="86"/>
        <v>0</v>
      </c>
      <c r="M82" s="388">
        <f t="shared" si="86"/>
        <v>0</v>
      </c>
      <c r="N82" s="388">
        <f t="shared" si="86"/>
        <v>0</v>
      </c>
      <c r="O82" s="388">
        <f t="shared" si="86"/>
        <v>15200000</v>
      </c>
      <c r="P82" s="388">
        <f t="shared" si="86"/>
        <v>15200000</v>
      </c>
      <c r="Q82" s="36"/>
      <c r="R82" s="26"/>
    </row>
    <row r="83" spans="1:18" s="33" customFormat="1" ht="138.75" thickTop="1" thickBot="1" x14ac:dyDescent="0.25">
      <c r="A83" s="119" t="s">
        <v>1486</v>
      </c>
      <c r="B83" s="119" t="s">
        <v>1487</v>
      </c>
      <c r="C83" s="119" t="s">
        <v>214</v>
      </c>
      <c r="D83" s="119" t="s">
        <v>1488</v>
      </c>
      <c r="E83" s="393">
        <f>F83</f>
        <v>0</v>
      </c>
      <c r="F83" s="350"/>
      <c r="G83" s="350"/>
      <c r="H83" s="350"/>
      <c r="I83" s="350"/>
      <c r="J83" s="393">
        <f t="shared" ref="J83:J84" si="87">L83+O83</f>
        <v>8000000</v>
      </c>
      <c r="K83" s="350">
        <f>(7000000)+1000000</f>
        <v>8000000</v>
      </c>
      <c r="L83" s="350"/>
      <c r="M83" s="350"/>
      <c r="N83" s="350"/>
      <c r="O83" s="351">
        <f t="shared" ref="O83:O84" si="88">K83</f>
        <v>8000000</v>
      </c>
      <c r="P83" s="393">
        <f>E83+J83</f>
        <v>8000000</v>
      </c>
      <c r="Q83" s="36"/>
      <c r="R83" s="26"/>
    </row>
    <row r="84" spans="1:18" s="33" customFormat="1" ht="138.75" thickTop="1" thickBot="1" x14ac:dyDescent="0.25">
      <c r="A84" s="119" t="s">
        <v>1489</v>
      </c>
      <c r="B84" s="119" t="s">
        <v>1490</v>
      </c>
      <c r="C84" s="119" t="s">
        <v>214</v>
      </c>
      <c r="D84" s="119" t="s">
        <v>1491</v>
      </c>
      <c r="E84" s="393">
        <f>F84</f>
        <v>0</v>
      </c>
      <c r="F84" s="350"/>
      <c r="G84" s="350"/>
      <c r="H84" s="350"/>
      <c r="I84" s="350"/>
      <c r="J84" s="393">
        <f t="shared" si="87"/>
        <v>7200000</v>
      </c>
      <c r="K84" s="350">
        <v>7200000</v>
      </c>
      <c r="L84" s="350"/>
      <c r="M84" s="350"/>
      <c r="N84" s="350"/>
      <c r="O84" s="351">
        <f t="shared" si="88"/>
        <v>7200000</v>
      </c>
      <c r="P84" s="393">
        <f>E84+J84</f>
        <v>7200000</v>
      </c>
      <c r="Q84" s="36"/>
      <c r="R84" s="26"/>
    </row>
    <row r="85" spans="1:18" s="33" customFormat="1" ht="138.75" thickTop="1" thickBot="1" x14ac:dyDescent="0.25">
      <c r="A85" s="399" t="s">
        <v>1568</v>
      </c>
      <c r="B85" s="399" t="s">
        <v>1567</v>
      </c>
      <c r="C85" s="399"/>
      <c r="D85" s="399" t="s">
        <v>1569</v>
      </c>
      <c r="E85" s="388">
        <f>SUM(E86:E87)</f>
        <v>670100</v>
      </c>
      <c r="F85" s="388">
        <f t="shared" ref="F85:O85" si="89">SUM(F86:F87)</f>
        <v>670100</v>
      </c>
      <c r="G85" s="388">
        <f t="shared" si="89"/>
        <v>0</v>
      </c>
      <c r="H85" s="388">
        <f t="shared" si="89"/>
        <v>0</v>
      </c>
      <c r="I85" s="388">
        <f t="shared" si="89"/>
        <v>0</v>
      </c>
      <c r="J85" s="388">
        <f t="shared" si="89"/>
        <v>3151000</v>
      </c>
      <c r="K85" s="388">
        <f t="shared" si="89"/>
        <v>349091</v>
      </c>
      <c r="L85" s="388">
        <f t="shared" si="89"/>
        <v>1536880</v>
      </c>
      <c r="M85" s="388">
        <f t="shared" si="89"/>
        <v>0</v>
      </c>
      <c r="N85" s="388">
        <f t="shared" si="89"/>
        <v>0</v>
      </c>
      <c r="O85" s="388">
        <f t="shared" si="89"/>
        <v>1614120</v>
      </c>
      <c r="P85" s="388">
        <f>SUM(P86:P87)</f>
        <v>3821100</v>
      </c>
      <c r="Q85" s="36"/>
      <c r="R85" s="26"/>
    </row>
    <row r="86" spans="1:18" s="33" customFormat="1" ht="93" thickTop="1" thickBot="1" x14ac:dyDescent="0.25">
      <c r="A86" s="119" t="s">
        <v>1570</v>
      </c>
      <c r="B86" s="119" t="s">
        <v>1571</v>
      </c>
      <c r="C86" s="119" t="s">
        <v>214</v>
      </c>
      <c r="D86" s="119" t="s">
        <v>1575</v>
      </c>
      <c r="E86" s="393">
        <f t="shared" ref="E86:E87" si="90">F86</f>
        <v>670100</v>
      </c>
      <c r="F86" s="350">
        <v>670100</v>
      </c>
      <c r="G86" s="350"/>
      <c r="H86" s="350"/>
      <c r="I86" s="350"/>
      <c r="J86" s="393">
        <f t="shared" ref="J86:J87" si="91">L86+O86</f>
        <v>349091</v>
      </c>
      <c r="K86" s="350">
        <f>349091</f>
        <v>349091</v>
      </c>
      <c r="L86" s="350"/>
      <c r="M86" s="350"/>
      <c r="N86" s="350"/>
      <c r="O86" s="351">
        <f t="shared" ref="O86" si="92">K86</f>
        <v>349091</v>
      </c>
      <c r="P86" s="393">
        <f t="shared" ref="P86:P87" si="93">E86+J86</f>
        <v>1019191</v>
      </c>
      <c r="Q86" s="36"/>
      <c r="R86" s="26"/>
    </row>
    <row r="87" spans="1:18" s="33" customFormat="1" ht="138.75" thickTop="1" thickBot="1" x14ac:dyDescent="0.25">
      <c r="A87" s="119" t="s">
        <v>1572</v>
      </c>
      <c r="B87" s="119" t="s">
        <v>1573</v>
      </c>
      <c r="C87" s="119" t="s">
        <v>214</v>
      </c>
      <c r="D87" s="119" t="s">
        <v>1574</v>
      </c>
      <c r="E87" s="393">
        <f t="shared" si="90"/>
        <v>0</v>
      </c>
      <c r="F87" s="350"/>
      <c r="G87" s="350"/>
      <c r="H87" s="350"/>
      <c r="I87" s="350"/>
      <c r="J87" s="393">
        <f t="shared" si="91"/>
        <v>2801909</v>
      </c>
      <c r="K87" s="350"/>
      <c r="L87" s="350">
        <f>(1563492)-26612</f>
        <v>1536880</v>
      </c>
      <c r="M87" s="350"/>
      <c r="N87" s="350"/>
      <c r="O87" s="351">
        <f>K87+814545+450484</f>
        <v>1265029</v>
      </c>
      <c r="P87" s="393">
        <f t="shared" si="93"/>
        <v>2801909</v>
      </c>
      <c r="Q87" s="36"/>
      <c r="R87" s="26"/>
    </row>
    <row r="88" spans="1:18" s="33" customFormat="1" ht="47.25" thickTop="1" thickBot="1" x14ac:dyDescent="0.25">
      <c r="A88" s="346" t="s">
        <v>716</v>
      </c>
      <c r="B88" s="346" t="s">
        <v>717</v>
      </c>
      <c r="C88" s="346"/>
      <c r="D88" s="346" t="s">
        <v>718</v>
      </c>
      <c r="E88" s="393">
        <f>SUM(E89:E90)</f>
        <v>3079150</v>
      </c>
      <c r="F88" s="393">
        <f t="shared" ref="F88:P88" si="94">SUM(F89:F90)</f>
        <v>3079150</v>
      </c>
      <c r="G88" s="393">
        <f t="shared" si="94"/>
        <v>0</v>
      </c>
      <c r="H88" s="393">
        <f t="shared" si="94"/>
        <v>1369899</v>
      </c>
      <c r="I88" s="393">
        <f t="shared" si="94"/>
        <v>0</v>
      </c>
      <c r="J88" s="393">
        <f t="shared" si="94"/>
        <v>0</v>
      </c>
      <c r="K88" s="393">
        <f t="shared" si="94"/>
        <v>0</v>
      </c>
      <c r="L88" s="393">
        <f t="shared" si="94"/>
        <v>0</v>
      </c>
      <c r="M88" s="393">
        <f t="shared" si="94"/>
        <v>0</v>
      </c>
      <c r="N88" s="393">
        <f t="shared" si="94"/>
        <v>0</v>
      </c>
      <c r="O88" s="393">
        <f t="shared" si="94"/>
        <v>0</v>
      </c>
      <c r="P88" s="393">
        <f t="shared" si="94"/>
        <v>3079150</v>
      </c>
      <c r="Q88" s="36"/>
      <c r="R88" s="26"/>
    </row>
    <row r="89" spans="1:18" s="33" customFormat="1" ht="138.75" thickTop="1" thickBot="1" x14ac:dyDescent="0.25">
      <c r="A89" s="119" t="s">
        <v>435</v>
      </c>
      <c r="B89" s="119" t="s">
        <v>436</v>
      </c>
      <c r="C89" s="119" t="s">
        <v>189</v>
      </c>
      <c r="D89" s="119" t="s">
        <v>434</v>
      </c>
      <c r="E89" s="393">
        <f t="shared" si="64"/>
        <v>715000</v>
      </c>
      <c r="F89" s="350">
        <v>715000</v>
      </c>
      <c r="G89" s="350"/>
      <c r="H89" s="350"/>
      <c r="I89" s="350"/>
      <c r="J89" s="393">
        <f>L89+O89</f>
        <v>0</v>
      </c>
      <c r="K89" s="350"/>
      <c r="L89" s="350"/>
      <c r="M89" s="350"/>
      <c r="N89" s="350"/>
      <c r="O89" s="351">
        <f>K89</f>
        <v>0</v>
      </c>
      <c r="P89" s="393">
        <f>E89+J89</f>
        <v>715000</v>
      </c>
      <c r="Q89" s="36"/>
      <c r="R89" s="39"/>
    </row>
    <row r="90" spans="1:18" s="33" customFormat="1" ht="93" thickTop="1" thickBot="1" x14ac:dyDescent="0.25">
      <c r="A90" s="119" t="s">
        <v>1259</v>
      </c>
      <c r="B90" s="119" t="s">
        <v>1225</v>
      </c>
      <c r="C90" s="119" t="s">
        <v>210</v>
      </c>
      <c r="D90" s="413" t="s">
        <v>1226</v>
      </c>
      <c r="E90" s="393">
        <f t="shared" si="64"/>
        <v>2364150</v>
      </c>
      <c r="F90" s="350">
        <f>(1518300)+845850</f>
        <v>2364150</v>
      </c>
      <c r="G90" s="350"/>
      <c r="H90" s="350">
        <f>((561600)+96000+7500+136200+6150)+265601+9633+287215</f>
        <v>1369899</v>
      </c>
      <c r="I90" s="350"/>
      <c r="J90" s="393">
        <f>L90+O90</f>
        <v>0</v>
      </c>
      <c r="K90" s="350"/>
      <c r="L90" s="350"/>
      <c r="M90" s="350"/>
      <c r="N90" s="350"/>
      <c r="O90" s="351">
        <f>K90</f>
        <v>0</v>
      </c>
      <c r="P90" s="393">
        <f>E90+J90</f>
        <v>2364150</v>
      </c>
      <c r="Q90" s="36"/>
      <c r="R90" s="39"/>
    </row>
    <row r="91" spans="1:18" s="33" customFormat="1" ht="47.25" thickTop="1" thickBot="1" x14ac:dyDescent="0.25">
      <c r="A91" s="346" t="s">
        <v>1108</v>
      </c>
      <c r="B91" s="346" t="s">
        <v>754</v>
      </c>
      <c r="C91" s="346"/>
      <c r="D91" s="346" t="s">
        <v>1107</v>
      </c>
      <c r="E91" s="393">
        <f>E92+E95</f>
        <v>0</v>
      </c>
      <c r="F91" s="393">
        <f t="shared" ref="F91:P91" si="95">F92+F95</f>
        <v>0</v>
      </c>
      <c r="G91" s="393">
        <f t="shared" si="95"/>
        <v>0</v>
      </c>
      <c r="H91" s="393">
        <f t="shared" si="95"/>
        <v>0</v>
      </c>
      <c r="I91" s="393">
        <f t="shared" si="95"/>
        <v>0</v>
      </c>
      <c r="J91" s="393">
        <f t="shared" si="95"/>
        <v>57880328.339999996</v>
      </c>
      <c r="K91" s="393">
        <f t="shared" si="95"/>
        <v>57880328.339999996</v>
      </c>
      <c r="L91" s="393">
        <f t="shared" si="95"/>
        <v>0</v>
      </c>
      <c r="M91" s="393">
        <f t="shared" si="95"/>
        <v>0</v>
      </c>
      <c r="N91" s="393">
        <f t="shared" si="95"/>
        <v>0</v>
      </c>
      <c r="O91" s="393">
        <f t="shared" si="95"/>
        <v>57880328.339999996</v>
      </c>
      <c r="P91" s="393">
        <f t="shared" si="95"/>
        <v>57880328.339999996</v>
      </c>
      <c r="Q91" s="36"/>
      <c r="R91" s="26"/>
    </row>
    <row r="92" spans="1:18" s="33" customFormat="1" ht="47.25" thickTop="1" thickBot="1" x14ac:dyDescent="0.25">
      <c r="A92" s="348" t="s">
        <v>1106</v>
      </c>
      <c r="B92" s="348" t="s">
        <v>810</v>
      </c>
      <c r="C92" s="348"/>
      <c r="D92" s="348" t="s">
        <v>811</v>
      </c>
      <c r="E92" s="352">
        <f>E93</f>
        <v>0</v>
      </c>
      <c r="F92" s="352">
        <f t="shared" ref="F92:P93" si="96">F93</f>
        <v>0</v>
      </c>
      <c r="G92" s="352">
        <f t="shared" si="96"/>
        <v>0</v>
      </c>
      <c r="H92" s="352">
        <f t="shared" si="96"/>
        <v>0</v>
      </c>
      <c r="I92" s="352">
        <f t="shared" si="96"/>
        <v>0</v>
      </c>
      <c r="J92" s="352">
        <f t="shared" si="96"/>
        <v>31498395.659999996</v>
      </c>
      <c r="K92" s="352">
        <f t="shared" si="96"/>
        <v>31498395.659999996</v>
      </c>
      <c r="L92" s="352">
        <f t="shared" si="96"/>
        <v>0</v>
      </c>
      <c r="M92" s="352">
        <f t="shared" si="96"/>
        <v>0</v>
      </c>
      <c r="N92" s="352">
        <f t="shared" si="96"/>
        <v>0</v>
      </c>
      <c r="O92" s="352">
        <f t="shared" si="96"/>
        <v>31498395.659999996</v>
      </c>
      <c r="P92" s="352">
        <f t="shared" si="96"/>
        <v>31498395.659999996</v>
      </c>
      <c r="Q92" s="36"/>
      <c r="R92" s="26"/>
    </row>
    <row r="93" spans="1:18" s="33" customFormat="1" ht="54" thickTop="1" thickBot="1" x14ac:dyDescent="0.25">
      <c r="A93" s="399" t="s">
        <v>1109</v>
      </c>
      <c r="B93" s="399" t="s">
        <v>828</v>
      </c>
      <c r="C93" s="399"/>
      <c r="D93" s="399" t="s">
        <v>1292</v>
      </c>
      <c r="E93" s="388">
        <f>E94</f>
        <v>0</v>
      </c>
      <c r="F93" s="388">
        <f t="shared" si="96"/>
        <v>0</v>
      </c>
      <c r="G93" s="388">
        <f t="shared" si="96"/>
        <v>0</v>
      </c>
      <c r="H93" s="388">
        <f t="shared" si="96"/>
        <v>0</v>
      </c>
      <c r="I93" s="388">
        <f t="shared" si="96"/>
        <v>0</v>
      </c>
      <c r="J93" s="388">
        <f t="shared" si="96"/>
        <v>31498395.659999996</v>
      </c>
      <c r="K93" s="388">
        <f t="shared" si="96"/>
        <v>31498395.659999996</v>
      </c>
      <c r="L93" s="388">
        <f t="shared" si="96"/>
        <v>0</v>
      </c>
      <c r="M93" s="388">
        <f t="shared" si="96"/>
        <v>0</v>
      </c>
      <c r="N93" s="388">
        <f t="shared" si="96"/>
        <v>0</v>
      </c>
      <c r="O93" s="388">
        <f t="shared" si="96"/>
        <v>31498395.659999996</v>
      </c>
      <c r="P93" s="388">
        <f t="shared" si="96"/>
        <v>31498395.659999996</v>
      </c>
      <c r="Q93" s="36"/>
      <c r="R93" s="26"/>
    </row>
    <row r="94" spans="1:18" s="33" customFormat="1" ht="54" thickTop="1" thickBot="1" x14ac:dyDescent="0.25">
      <c r="A94" s="119" t="s">
        <v>1121</v>
      </c>
      <c r="B94" s="119" t="s">
        <v>315</v>
      </c>
      <c r="C94" s="119" t="s">
        <v>308</v>
      </c>
      <c r="D94" s="119" t="s">
        <v>1293</v>
      </c>
      <c r="E94" s="393">
        <f t="shared" ref="E94" si="97">F94</f>
        <v>0</v>
      </c>
      <c r="F94" s="350"/>
      <c r="G94" s="350"/>
      <c r="H94" s="350"/>
      <c r="I94" s="350"/>
      <c r="J94" s="393">
        <f t="shared" ref="J94" si="98">L94+O94</f>
        <v>31498395.659999996</v>
      </c>
      <c r="K94" s="350">
        <f>((((10000000+200000+2597000)+60228541+5550.6)-7000000+2983231+1000000+420000)-37935926.94)-1000000</f>
        <v>31498395.659999996</v>
      </c>
      <c r="L94" s="350"/>
      <c r="M94" s="350"/>
      <c r="N94" s="350"/>
      <c r="O94" s="351">
        <f t="shared" ref="O94" si="99">K94</f>
        <v>31498395.659999996</v>
      </c>
      <c r="P94" s="393">
        <f>E94+J94</f>
        <v>31498395.659999996</v>
      </c>
      <c r="Q94" s="30"/>
      <c r="R94" s="26"/>
    </row>
    <row r="95" spans="1:18" s="33" customFormat="1" ht="47.25" thickTop="1" thickBot="1" x14ac:dyDescent="0.25">
      <c r="A95" s="348" t="s">
        <v>1110</v>
      </c>
      <c r="B95" s="348" t="s">
        <v>697</v>
      </c>
      <c r="C95" s="348"/>
      <c r="D95" s="348" t="s">
        <v>695</v>
      </c>
      <c r="E95" s="352">
        <f>E96</f>
        <v>0</v>
      </c>
      <c r="F95" s="352">
        <f t="shared" ref="F95:P95" si="100">F96</f>
        <v>0</v>
      </c>
      <c r="G95" s="352">
        <f t="shared" si="100"/>
        <v>0</v>
      </c>
      <c r="H95" s="352">
        <f t="shared" si="100"/>
        <v>0</v>
      </c>
      <c r="I95" s="352">
        <f t="shared" si="100"/>
        <v>0</v>
      </c>
      <c r="J95" s="352">
        <f t="shared" si="100"/>
        <v>26381932.68</v>
      </c>
      <c r="K95" s="352">
        <f t="shared" si="100"/>
        <v>26381932.68</v>
      </c>
      <c r="L95" s="352">
        <f t="shared" si="100"/>
        <v>0</v>
      </c>
      <c r="M95" s="352">
        <f t="shared" si="100"/>
        <v>0</v>
      </c>
      <c r="N95" s="352">
        <f t="shared" si="100"/>
        <v>0</v>
      </c>
      <c r="O95" s="352">
        <f t="shared" si="100"/>
        <v>26381932.68</v>
      </c>
      <c r="P95" s="352">
        <f t="shared" si="100"/>
        <v>26381932.68</v>
      </c>
      <c r="Q95" s="30"/>
      <c r="R95" s="26"/>
    </row>
    <row r="96" spans="1:18" s="33" customFormat="1" ht="48" thickTop="1" thickBot="1" x14ac:dyDescent="0.25">
      <c r="A96" s="119" t="s">
        <v>1111</v>
      </c>
      <c r="B96" s="119" t="s">
        <v>216</v>
      </c>
      <c r="C96" s="119" t="s">
        <v>217</v>
      </c>
      <c r="D96" s="119" t="s">
        <v>41</v>
      </c>
      <c r="E96" s="393">
        <f t="shared" ref="E96" si="101">F96</f>
        <v>0</v>
      </c>
      <c r="F96" s="350"/>
      <c r="G96" s="350"/>
      <c r="H96" s="350"/>
      <c r="I96" s="350"/>
      <c r="J96" s="393">
        <f t="shared" ref="J96" si="102">L96+O96</f>
        <v>26381932.68</v>
      </c>
      <c r="K96" s="350">
        <f>((((45000000)+400000)+455977.12)-16381644.44)-3092400</f>
        <v>26381932.68</v>
      </c>
      <c r="L96" s="350"/>
      <c r="M96" s="350"/>
      <c r="N96" s="350"/>
      <c r="O96" s="351">
        <f t="shared" ref="O96" si="103">K96</f>
        <v>26381932.68</v>
      </c>
      <c r="P96" s="393">
        <f>E96+J96</f>
        <v>26381932.68</v>
      </c>
      <c r="Q96" s="30"/>
      <c r="R96" s="26"/>
    </row>
    <row r="97" spans="1:18" s="33" customFormat="1" ht="47.25" thickTop="1" thickBot="1" x14ac:dyDescent="0.25">
      <c r="A97" s="346" t="s">
        <v>1249</v>
      </c>
      <c r="B97" s="346" t="s">
        <v>702</v>
      </c>
      <c r="C97" s="346"/>
      <c r="D97" s="346" t="s">
        <v>703</v>
      </c>
      <c r="E97" s="393">
        <f t="shared" ref="E97:P98" si="104">E98</f>
        <v>0</v>
      </c>
      <c r="F97" s="393">
        <f t="shared" si="104"/>
        <v>0</v>
      </c>
      <c r="G97" s="393">
        <f t="shared" si="104"/>
        <v>0</v>
      </c>
      <c r="H97" s="393">
        <f t="shared" si="104"/>
        <v>0</v>
      </c>
      <c r="I97" s="393">
        <f t="shared" si="104"/>
        <v>0</v>
      </c>
      <c r="J97" s="393">
        <f t="shared" si="104"/>
        <v>3770000</v>
      </c>
      <c r="K97" s="393">
        <f t="shared" si="104"/>
        <v>3770000</v>
      </c>
      <c r="L97" s="393">
        <f t="shared" si="104"/>
        <v>0</v>
      </c>
      <c r="M97" s="393">
        <f t="shared" si="104"/>
        <v>0</v>
      </c>
      <c r="N97" s="393">
        <f t="shared" si="104"/>
        <v>0</v>
      </c>
      <c r="O97" s="393">
        <f t="shared" si="104"/>
        <v>3770000</v>
      </c>
      <c r="P97" s="393">
        <f t="shared" si="104"/>
        <v>3770000</v>
      </c>
      <c r="Q97" s="30"/>
      <c r="R97" s="26"/>
    </row>
    <row r="98" spans="1:18" s="33" customFormat="1" ht="47.25" thickTop="1" thickBot="1" x14ac:dyDescent="0.25">
      <c r="A98" s="348" t="s">
        <v>1250</v>
      </c>
      <c r="B98" s="348" t="s">
        <v>1210</v>
      </c>
      <c r="C98" s="348"/>
      <c r="D98" s="348" t="s">
        <v>1208</v>
      </c>
      <c r="E98" s="352">
        <f t="shared" si="104"/>
        <v>0</v>
      </c>
      <c r="F98" s="352">
        <f t="shared" si="104"/>
        <v>0</v>
      </c>
      <c r="G98" s="352">
        <f t="shared" si="104"/>
        <v>0</v>
      </c>
      <c r="H98" s="352">
        <f t="shared" si="104"/>
        <v>0</v>
      </c>
      <c r="I98" s="352">
        <f t="shared" si="104"/>
        <v>0</v>
      </c>
      <c r="J98" s="352">
        <f t="shared" si="104"/>
        <v>3770000</v>
      </c>
      <c r="K98" s="352">
        <f t="shared" si="104"/>
        <v>3770000</v>
      </c>
      <c r="L98" s="352">
        <f t="shared" si="104"/>
        <v>0</v>
      </c>
      <c r="M98" s="352">
        <f t="shared" si="104"/>
        <v>0</v>
      </c>
      <c r="N98" s="352">
        <f t="shared" si="104"/>
        <v>0</v>
      </c>
      <c r="O98" s="352">
        <f t="shared" si="104"/>
        <v>3770000</v>
      </c>
      <c r="P98" s="352">
        <f t="shared" si="104"/>
        <v>3770000</v>
      </c>
      <c r="Q98" s="30"/>
      <c r="R98" s="26"/>
    </row>
    <row r="99" spans="1:18" s="33" customFormat="1" ht="48" thickTop="1" thickBot="1" x14ac:dyDescent="0.25">
      <c r="A99" s="119" t="s">
        <v>1251</v>
      </c>
      <c r="B99" s="119" t="s">
        <v>1214</v>
      </c>
      <c r="C99" s="119" t="s">
        <v>1212</v>
      </c>
      <c r="D99" s="119" t="s">
        <v>1211</v>
      </c>
      <c r="E99" s="393">
        <f>F99</f>
        <v>0</v>
      </c>
      <c r="F99" s="350"/>
      <c r="G99" s="350"/>
      <c r="H99" s="350"/>
      <c r="I99" s="350"/>
      <c r="J99" s="393">
        <f>L99+O99</f>
        <v>3770000</v>
      </c>
      <c r="K99" s="350">
        <v>3770000</v>
      </c>
      <c r="L99" s="350"/>
      <c r="M99" s="350"/>
      <c r="N99" s="350"/>
      <c r="O99" s="351">
        <f>K99</f>
        <v>3770000</v>
      </c>
      <c r="P99" s="393">
        <f>E99+J99</f>
        <v>3770000</v>
      </c>
      <c r="Q99" s="30"/>
      <c r="R99" s="26"/>
    </row>
    <row r="100" spans="1:18" s="33" customFormat="1" ht="47.25" hidden="1" customHeight="1" thickTop="1" thickBot="1" x14ac:dyDescent="0.25">
      <c r="A100" s="162" t="s">
        <v>1044</v>
      </c>
      <c r="B100" s="162" t="s">
        <v>708</v>
      </c>
      <c r="C100" s="162"/>
      <c r="D100" s="162" t="s">
        <v>709</v>
      </c>
      <c r="E100" s="42">
        <f>E101</f>
        <v>0</v>
      </c>
      <c r="F100" s="42">
        <f t="shared" ref="F100:P101" si="105">F101</f>
        <v>0</v>
      </c>
      <c r="G100" s="42">
        <f t="shared" si="105"/>
        <v>0</v>
      </c>
      <c r="H100" s="42">
        <f t="shared" si="105"/>
        <v>0</v>
      </c>
      <c r="I100" s="42">
        <f t="shared" si="105"/>
        <v>0</v>
      </c>
      <c r="J100" s="42">
        <f t="shared" si="105"/>
        <v>0</v>
      </c>
      <c r="K100" s="42">
        <f t="shared" si="105"/>
        <v>0</v>
      </c>
      <c r="L100" s="42">
        <f t="shared" si="105"/>
        <v>0</v>
      </c>
      <c r="M100" s="42">
        <f t="shared" si="105"/>
        <v>0</v>
      </c>
      <c r="N100" s="42">
        <f t="shared" si="105"/>
        <v>0</v>
      </c>
      <c r="O100" s="42">
        <f t="shared" si="105"/>
        <v>0</v>
      </c>
      <c r="P100" s="42">
        <f t="shared" si="105"/>
        <v>0</v>
      </c>
      <c r="Q100" s="36"/>
      <c r="R100" s="26"/>
    </row>
    <row r="101" spans="1:18" s="33" customFormat="1" ht="91.5" hidden="1" thickTop="1" thickBot="1" x14ac:dyDescent="0.25">
      <c r="A101" s="163" t="s">
        <v>1045</v>
      </c>
      <c r="B101" s="163" t="s">
        <v>711</v>
      </c>
      <c r="C101" s="163"/>
      <c r="D101" s="163" t="s">
        <v>712</v>
      </c>
      <c r="E101" s="164">
        <f>E102</f>
        <v>0</v>
      </c>
      <c r="F101" s="164">
        <f t="shared" si="105"/>
        <v>0</v>
      </c>
      <c r="G101" s="164">
        <f t="shared" si="105"/>
        <v>0</v>
      </c>
      <c r="H101" s="164">
        <f t="shared" si="105"/>
        <v>0</v>
      </c>
      <c r="I101" s="164">
        <f t="shared" si="105"/>
        <v>0</v>
      </c>
      <c r="J101" s="164">
        <f t="shared" si="105"/>
        <v>0</v>
      </c>
      <c r="K101" s="164">
        <f t="shared" si="105"/>
        <v>0</v>
      </c>
      <c r="L101" s="164">
        <f t="shared" si="105"/>
        <v>0</v>
      </c>
      <c r="M101" s="164">
        <f t="shared" si="105"/>
        <v>0</v>
      </c>
      <c r="N101" s="164">
        <f t="shared" si="105"/>
        <v>0</v>
      </c>
      <c r="O101" s="164">
        <f t="shared" si="105"/>
        <v>0</v>
      </c>
      <c r="P101" s="164">
        <f t="shared" si="105"/>
        <v>0</v>
      </c>
      <c r="Q101" s="36"/>
      <c r="R101" s="26"/>
    </row>
    <row r="102" spans="1:18" s="33" customFormat="1" ht="48" hidden="1" thickTop="1" thickBot="1" x14ac:dyDescent="0.25">
      <c r="A102" s="41" t="s">
        <v>1046</v>
      </c>
      <c r="B102" s="41" t="s">
        <v>367</v>
      </c>
      <c r="C102" s="41" t="s">
        <v>43</v>
      </c>
      <c r="D102" s="41" t="s">
        <v>368</v>
      </c>
      <c r="E102" s="42">
        <f t="shared" ref="E102" si="106">F102</f>
        <v>0</v>
      </c>
      <c r="F102" s="43"/>
      <c r="G102" s="43"/>
      <c r="H102" s="43"/>
      <c r="I102" s="43"/>
      <c r="J102" s="42">
        <f>L102+O102</f>
        <v>0</v>
      </c>
      <c r="K102" s="43"/>
      <c r="L102" s="43"/>
      <c r="M102" s="43"/>
      <c r="N102" s="43"/>
      <c r="O102" s="44">
        <f>K102</f>
        <v>0</v>
      </c>
      <c r="P102" s="42">
        <f>E102+J102</f>
        <v>0</v>
      </c>
      <c r="Q102" s="36"/>
      <c r="R102" s="26"/>
    </row>
    <row r="103" spans="1:18" ht="91.5" thickTop="1" thickBot="1" x14ac:dyDescent="0.25">
      <c r="A103" s="403" t="s">
        <v>154</v>
      </c>
      <c r="B103" s="403"/>
      <c r="C103" s="403"/>
      <c r="D103" s="404" t="s">
        <v>18</v>
      </c>
      <c r="E103" s="406">
        <f>E104</f>
        <v>161453412</v>
      </c>
      <c r="F103" s="405">
        <f t="shared" ref="F103:G103" si="107">F104</f>
        <v>161453412</v>
      </c>
      <c r="G103" s="405">
        <f t="shared" si="107"/>
        <v>4896310</v>
      </c>
      <c r="H103" s="405">
        <f>H104</f>
        <v>438898</v>
      </c>
      <c r="I103" s="405">
        <f t="shared" ref="I103" si="108">I104</f>
        <v>0</v>
      </c>
      <c r="J103" s="406">
        <f>J104</f>
        <v>121571115.23999999</v>
      </c>
      <c r="K103" s="405">
        <f>K104</f>
        <v>121571115.23999999</v>
      </c>
      <c r="L103" s="405">
        <f>L104</f>
        <v>0</v>
      </c>
      <c r="M103" s="405">
        <f t="shared" ref="M103" si="109">M104</f>
        <v>0</v>
      </c>
      <c r="N103" s="405">
        <f>N104</f>
        <v>0</v>
      </c>
      <c r="O103" s="406">
        <f>O104</f>
        <v>121571115.23999999</v>
      </c>
      <c r="P103" s="405">
        <f>P104</f>
        <v>283024527.24000001</v>
      </c>
      <c r="Q103" s="20"/>
    </row>
    <row r="104" spans="1:18" ht="91.5" thickTop="1" thickBot="1" x14ac:dyDescent="0.25">
      <c r="A104" s="407" t="s">
        <v>155</v>
      </c>
      <c r="B104" s="407"/>
      <c r="C104" s="407"/>
      <c r="D104" s="408" t="s">
        <v>36</v>
      </c>
      <c r="E104" s="409">
        <f>E105+E108+E123+E121</f>
        <v>161453412</v>
      </c>
      <c r="F104" s="409">
        <f t="shared" ref="F104:P104" si="110">F105+F108+F123+F121</f>
        <v>161453412</v>
      </c>
      <c r="G104" s="409">
        <f t="shared" si="110"/>
        <v>4896310</v>
      </c>
      <c r="H104" s="409">
        <f t="shared" si="110"/>
        <v>438898</v>
      </c>
      <c r="I104" s="409">
        <f t="shared" si="110"/>
        <v>0</v>
      </c>
      <c r="J104" s="409">
        <f t="shared" si="110"/>
        <v>121571115.23999999</v>
      </c>
      <c r="K104" s="409">
        <f t="shared" si="110"/>
        <v>121571115.23999999</v>
      </c>
      <c r="L104" s="409">
        <f t="shared" si="110"/>
        <v>0</v>
      </c>
      <c r="M104" s="409">
        <f t="shared" si="110"/>
        <v>0</v>
      </c>
      <c r="N104" s="409">
        <f t="shared" si="110"/>
        <v>0</v>
      </c>
      <c r="O104" s="409">
        <f t="shared" si="110"/>
        <v>121571115.23999999</v>
      </c>
      <c r="P104" s="409">
        <f t="shared" si="110"/>
        <v>283024527.24000001</v>
      </c>
      <c r="Q104" s="402" t="b">
        <f>P104=P106+P109+P110+P111+P112+P115+P119+P120+P122+P130+P107+P126</f>
        <v>1</v>
      </c>
      <c r="R104" s="26"/>
    </row>
    <row r="105" spans="1:18" ht="47.25" thickTop="1" thickBot="1" x14ac:dyDescent="0.25">
      <c r="A105" s="346" t="s">
        <v>719</v>
      </c>
      <c r="B105" s="346" t="s">
        <v>690</v>
      </c>
      <c r="C105" s="346"/>
      <c r="D105" s="346" t="s">
        <v>691</v>
      </c>
      <c r="E105" s="393">
        <f>SUM(E106:E107)</f>
        <v>3147800</v>
      </c>
      <c r="F105" s="393">
        <f t="shared" ref="F105:P105" si="111">SUM(F106:F107)</f>
        <v>3147800</v>
      </c>
      <c r="G105" s="393">
        <f t="shared" si="111"/>
        <v>2259700</v>
      </c>
      <c r="H105" s="393">
        <f t="shared" si="111"/>
        <v>222800</v>
      </c>
      <c r="I105" s="393">
        <f t="shared" si="111"/>
        <v>0</v>
      </c>
      <c r="J105" s="393">
        <f t="shared" si="111"/>
        <v>180000</v>
      </c>
      <c r="K105" s="393">
        <f t="shared" si="111"/>
        <v>180000</v>
      </c>
      <c r="L105" s="393">
        <f t="shared" si="111"/>
        <v>0</v>
      </c>
      <c r="M105" s="393">
        <f t="shared" si="111"/>
        <v>0</v>
      </c>
      <c r="N105" s="393">
        <f t="shared" si="111"/>
        <v>0</v>
      </c>
      <c r="O105" s="393">
        <f t="shared" si="111"/>
        <v>180000</v>
      </c>
      <c r="P105" s="393">
        <f t="shared" si="111"/>
        <v>3327800</v>
      </c>
      <c r="Q105" s="30"/>
      <c r="R105" s="26"/>
    </row>
    <row r="106" spans="1:18" ht="93" thickTop="1" thickBot="1" x14ac:dyDescent="0.25">
      <c r="A106" s="119" t="s">
        <v>420</v>
      </c>
      <c r="B106" s="119" t="s">
        <v>240</v>
      </c>
      <c r="C106" s="119" t="s">
        <v>238</v>
      </c>
      <c r="D106" s="119" t="s">
        <v>239</v>
      </c>
      <c r="E106" s="393">
        <f>F106</f>
        <v>3140800</v>
      </c>
      <c r="F106" s="350">
        <v>3140800</v>
      </c>
      <c r="G106" s="350">
        <v>2259700</v>
      </c>
      <c r="H106" s="350">
        <f>3700+90000+129100</f>
        <v>222800</v>
      </c>
      <c r="I106" s="350"/>
      <c r="J106" s="393">
        <f t="shared" ref="J106:J132" si="112">L106+O106</f>
        <v>180000</v>
      </c>
      <c r="K106" s="350">
        <f>((60000)+1386951-1386951+20000)+100000</f>
        <v>180000</v>
      </c>
      <c r="L106" s="350"/>
      <c r="M106" s="350"/>
      <c r="N106" s="350"/>
      <c r="O106" s="351">
        <f>K106</f>
        <v>180000</v>
      </c>
      <c r="P106" s="393">
        <f t="shared" ref="P106:P132" si="113">E106+J106</f>
        <v>3320800</v>
      </c>
      <c r="Q106" s="39"/>
      <c r="R106" s="26"/>
    </row>
    <row r="107" spans="1:18" ht="93" thickTop="1" thickBot="1" x14ac:dyDescent="0.25">
      <c r="A107" s="119" t="s">
        <v>1305</v>
      </c>
      <c r="B107" s="119" t="s">
        <v>366</v>
      </c>
      <c r="C107" s="119" t="s">
        <v>631</v>
      </c>
      <c r="D107" s="119" t="s">
        <v>632</v>
      </c>
      <c r="E107" s="393">
        <f>F107</f>
        <v>7000</v>
      </c>
      <c r="F107" s="350">
        <v>7000</v>
      </c>
      <c r="G107" s="350"/>
      <c r="H107" s="350"/>
      <c r="I107" s="350"/>
      <c r="J107" s="393">
        <f t="shared" si="112"/>
        <v>0</v>
      </c>
      <c r="K107" s="350"/>
      <c r="L107" s="350"/>
      <c r="M107" s="350"/>
      <c r="N107" s="350"/>
      <c r="O107" s="351">
        <f>K107</f>
        <v>0</v>
      </c>
      <c r="P107" s="393">
        <f t="shared" si="113"/>
        <v>7000</v>
      </c>
      <c r="Q107" s="39"/>
      <c r="R107" s="26"/>
    </row>
    <row r="108" spans="1:18" ht="47.25" thickTop="1" thickBot="1" x14ac:dyDescent="0.25">
      <c r="A108" s="346" t="s">
        <v>720</v>
      </c>
      <c r="B108" s="346" t="s">
        <v>721</v>
      </c>
      <c r="C108" s="346"/>
      <c r="D108" s="346" t="s">
        <v>722</v>
      </c>
      <c r="E108" s="393">
        <f>SUM(E109:E120)-E114-E116-E118</f>
        <v>158205612</v>
      </c>
      <c r="F108" s="393">
        <f t="shared" ref="F108:P108" si="114">SUM(F109:F120)-F114-F116-F118</f>
        <v>158205612</v>
      </c>
      <c r="G108" s="393">
        <f t="shared" si="114"/>
        <v>2636610</v>
      </c>
      <c r="H108" s="393">
        <f t="shared" si="114"/>
        <v>216098</v>
      </c>
      <c r="I108" s="393">
        <f t="shared" si="114"/>
        <v>0</v>
      </c>
      <c r="J108" s="393">
        <f t="shared" si="114"/>
        <v>72319954</v>
      </c>
      <c r="K108" s="393">
        <f t="shared" si="114"/>
        <v>72319954</v>
      </c>
      <c r="L108" s="393">
        <f t="shared" si="114"/>
        <v>0</v>
      </c>
      <c r="M108" s="393">
        <f t="shared" si="114"/>
        <v>0</v>
      </c>
      <c r="N108" s="393">
        <f t="shared" si="114"/>
        <v>0</v>
      </c>
      <c r="O108" s="393">
        <f t="shared" si="114"/>
        <v>72319954</v>
      </c>
      <c r="P108" s="393">
        <f t="shared" si="114"/>
        <v>230525566</v>
      </c>
      <c r="Q108" s="39"/>
      <c r="R108" s="39"/>
    </row>
    <row r="109" spans="1:18" ht="48" thickTop="1" thickBot="1" x14ac:dyDescent="0.25">
      <c r="A109" s="119" t="s">
        <v>218</v>
      </c>
      <c r="B109" s="119" t="s">
        <v>215</v>
      </c>
      <c r="C109" s="119" t="s">
        <v>219</v>
      </c>
      <c r="D109" s="119" t="s">
        <v>19</v>
      </c>
      <c r="E109" s="393">
        <f>F109</f>
        <v>70365435</v>
      </c>
      <c r="F109" s="350">
        <f>((((32850105+1231068)+17889080+11808500+575000-1100000-99000)+61200)+500000)+9073482-2430000+6000</f>
        <v>70365435</v>
      </c>
      <c r="G109" s="350"/>
      <c r="H109" s="350"/>
      <c r="I109" s="350"/>
      <c r="J109" s="393">
        <f t="shared" si="112"/>
        <v>55786703</v>
      </c>
      <c r="K109" s="350">
        <f>(((((((2200000+490000)+18809407+11200000-1800000)+150000+88800)+2576822+1500000+500000+1000000+6700000+1000000+2600000+3429000)+1725674+500000-500000)-6000)+3723000)-100000</f>
        <v>55786703</v>
      </c>
      <c r="L109" s="350"/>
      <c r="M109" s="350"/>
      <c r="N109" s="350"/>
      <c r="O109" s="351">
        <f>K109</f>
        <v>55786703</v>
      </c>
      <c r="P109" s="393">
        <f t="shared" si="113"/>
        <v>126152138</v>
      </c>
      <c r="Q109" s="20"/>
      <c r="R109" s="30"/>
    </row>
    <row r="110" spans="1:18" ht="48" thickTop="1" thickBot="1" x14ac:dyDescent="0.25">
      <c r="A110" s="119" t="s">
        <v>509</v>
      </c>
      <c r="B110" s="119" t="s">
        <v>512</v>
      </c>
      <c r="C110" s="119" t="s">
        <v>511</v>
      </c>
      <c r="D110" s="119" t="s">
        <v>510</v>
      </c>
      <c r="E110" s="393">
        <f>F110</f>
        <v>18020999</v>
      </c>
      <c r="F110" s="350">
        <f>(((11450199+1590500)+2200000)+2980300)-200000</f>
        <v>18020999</v>
      </c>
      <c r="G110" s="350"/>
      <c r="H110" s="350"/>
      <c r="I110" s="350"/>
      <c r="J110" s="393">
        <f t="shared" si="112"/>
        <v>0</v>
      </c>
      <c r="K110" s="350"/>
      <c r="L110" s="350"/>
      <c r="M110" s="350"/>
      <c r="N110" s="350"/>
      <c r="O110" s="351">
        <f>K110</f>
        <v>0</v>
      </c>
      <c r="P110" s="393">
        <f t="shared" si="113"/>
        <v>18020999</v>
      </c>
      <c r="Q110" s="20"/>
      <c r="R110" s="39"/>
    </row>
    <row r="111" spans="1:18" ht="48" thickTop="1" thickBot="1" x14ac:dyDescent="0.25">
      <c r="A111" s="119" t="s">
        <v>220</v>
      </c>
      <c r="B111" s="119" t="s">
        <v>221</v>
      </c>
      <c r="C111" s="119" t="s">
        <v>222</v>
      </c>
      <c r="D111" s="119" t="s">
        <v>223</v>
      </c>
      <c r="E111" s="393">
        <f t="shared" ref="E111:E132" si="115">F111</f>
        <v>17507732</v>
      </c>
      <c r="F111" s="350">
        <f>((10157732)+3800000+5000000)-1450000</f>
        <v>17507732</v>
      </c>
      <c r="G111" s="350"/>
      <c r="H111" s="350"/>
      <c r="I111" s="350"/>
      <c r="J111" s="393">
        <f t="shared" si="112"/>
        <v>11986984</v>
      </c>
      <c r="K111" s="350">
        <f>((920000+4900000)+2304837+1568410+678566)+1615171</f>
        <v>11986984</v>
      </c>
      <c r="L111" s="350"/>
      <c r="M111" s="350"/>
      <c r="N111" s="350"/>
      <c r="O111" s="351">
        <f>K111</f>
        <v>11986984</v>
      </c>
      <c r="P111" s="393">
        <f t="shared" si="113"/>
        <v>29494716</v>
      </c>
      <c r="Q111" s="20"/>
      <c r="R111" s="39"/>
    </row>
    <row r="112" spans="1:18" ht="93" thickTop="1" thickBot="1" x14ac:dyDescent="0.25">
      <c r="A112" s="119" t="s">
        <v>224</v>
      </c>
      <c r="B112" s="119" t="s">
        <v>225</v>
      </c>
      <c r="C112" s="119" t="s">
        <v>226</v>
      </c>
      <c r="D112" s="119" t="s">
        <v>349</v>
      </c>
      <c r="E112" s="393">
        <f t="shared" si="115"/>
        <v>24297895</v>
      </c>
      <c r="F112" s="350">
        <f>((((25043595)+51900)+1500000)-2050000)-247600</f>
        <v>24297895</v>
      </c>
      <c r="G112" s="350"/>
      <c r="H112" s="350"/>
      <c r="I112" s="350"/>
      <c r="J112" s="393">
        <f t="shared" si="112"/>
        <v>1546267</v>
      </c>
      <c r="K112" s="350">
        <f>((94300)+1204367)+247600</f>
        <v>1546267</v>
      </c>
      <c r="L112" s="350"/>
      <c r="M112" s="350"/>
      <c r="N112" s="350"/>
      <c r="O112" s="351">
        <f>K112</f>
        <v>1546267</v>
      </c>
      <c r="P112" s="393">
        <f t="shared" si="113"/>
        <v>25844162</v>
      </c>
      <c r="Q112" s="20"/>
      <c r="R112" s="39"/>
    </row>
    <row r="113" spans="1:18" ht="48" hidden="1" thickTop="1" thickBot="1" x14ac:dyDescent="0.25">
      <c r="A113" s="144" t="s">
        <v>227</v>
      </c>
      <c r="B113" s="144" t="s">
        <v>228</v>
      </c>
      <c r="C113" s="144" t="s">
        <v>229</v>
      </c>
      <c r="D113" s="144" t="s">
        <v>230</v>
      </c>
      <c r="E113" s="393">
        <f t="shared" si="115"/>
        <v>0</v>
      </c>
      <c r="F113" s="350">
        <f>(7556300)-7556300</f>
        <v>0</v>
      </c>
      <c r="G113" s="350"/>
      <c r="H113" s="350"/>
      <c r="I113" s="350"/>
      <c r="J113" s="393">
        <f t="shared" si="112"/>
        <v>0</v>
      </c>
      <c r="K113" s="350">
        <f>(200000)-200000</f>
        <v>0</v>
      </c>
      <c r="L113" s="350"/>
      <c r="M113" s="350"/>
      <c r="N113" s="350"/>
      <c r="O113" s="351">
        <f>K113</f>
        <v>0</v>
      </c>
      <c r="P113" s="393">
        <f t="shared" si="113"/>
        <v>0</v>
      </c>
      <c r="Q113" s="20"/>
      <c r="R113" s="39"/>
    </row>
    <row r="114" spans="1:18" ht="48" thickTop="1" thickBot="1" x14ac:dyDescent="0.25">
      <c r="A114" s="399" t="s">
        <v>723</v>
      </c>
      <c r="B114" s="399" t="s">
        <v>724</v>
      </c>
      <c r="C114" s="399"/>
      <c r="D114" s="399" t="s">
        <v>725</v>
      </c>
      <c r="E114" s="388">
        <f>E115</f>
        <v>17571325</v>
      </c>
      <c r="F114" s="388">
        <f t="shared" ref="F114:P114" si="116">F115</f>
        <v>17571325</v>
      </c>
      <c r="G114" s="388">
        <f t="shared" si="116"/>
        <v>0</v>
      </c>
      <c r="H114" s="388">
        <f t="shared" si="116"/>
        <v>0</v>
      </c>
      <c r="I114" s="388">
        <f t="shared" si="116"/>
        <v>0</v>
      </c>
      <c r="J114" s="388">
        <f t="shared" si="116"/>
        <v>3000000</v>
      </c>
      <c r="K114" s="388">
        <f t="shared" si="116"/>
        <v>3000000</v>
      </c>
      <c r="L114" s="388">
        <f t="shared" si="116"/>
        <v>0</v>
      </c>
      <c r="M114" s="388">
        <f t="shared" si="116"/>
        <v>0</v>
      </c>
      <c r="N114" s="388">
        <f t="shared" si="116"/>
        <v>0</v>
      </c>
      <c r="O114" s="388">
        <f t="shared" si="116"/>
        <v>3000000</v>
      </c>
      <c r="P114" s="388">
        <f t="shared" si="116"/>
        <v>20571325</v>
      </c>
      <c r="Q114" s="20"/>
      <c r="R114" s="39"/>
    </row>
    <row r="115" spans="1:18" ht="93" thickTop="1" thickBot="1" x14ac:dyDescent="0.25">
      <c r="A115" s="119" t="s">
        <v>231</v>
      </c>
      <c r="B115" s="119" t="s">
        <v>232</v>
      </c>
      <c r="C115" s="119" t="s">
        <v>350</v>
      </c>
      <c r="D115" s="119" t="s">
        <v>233</v>
      </c>
      <c r="E115" s="393">
        <f t="shared" si="115"/>
        <v>17571325</v>
      </c>
      <c r="F115" s="350">
        <f>(18156325)-585000</f>
        <v>17571325</v>
      </c>
      <c r="G115" s="350"/>
      <c r="H115" s="350"/>
      <c r="I115" s="350"/>
      <c r="J115" s="393">
        <f t="shared" si="112"/>
        <v>3000000</v>
      </c>
      <c r="K115" s="350">
        <f>0+3000000</f>
        <v>3000000</v>
      </c>
      <c r="L115" s="350"/>
      <c r="M115" s="350"/>
      <c r="N115" s="350"/>
      <c r="O115" s="351">
        <f t="shared" ref="O115:O132" si="117">K115</f>
        <v>3000000</v>
      </c>
      <c r="P115" s="393">
        <f t="shared" si="113"/>
        <v>20571325</v>
      </c>
      <c r="Q115" s="20"/>
      <c r="R115" s="39"/>
    </row>
    <row r="116" spans="1:18" ht="48" hidden="1" thickTop="1" thickBot="1" x14ac:dyDescent="0.25">
      <c r="A116" s="156" t="s">
        <v>726</v>
      </c>
      <c r="B116" s="156" t="s">
        <v>727</v>
      </c>
      <c r="C116" s="156"/>
      <c r="D116" s="156" t="s">
        <v>728</v>
      </c>
      <c r="E116" s="157">
        <f>E117</f>
        <v>0</v>
      </c>
      <c r="F116" s="157">
        <f t="shared" ref="F116:P116" si="118">F117</f>
        <v>0</v>
      </c>
      <c r="G116" s="388">
        <f t="shared" si="118"/>
        <v>0</v>
      </c>
      <c r="H116" s="388">
        <f t="shared" si="118"/>
        <v>0</v>
      </c>
      <c r="I116" s="388">
        <f t="shared" si="118"/>
        <v>0</v>
      </c>
      <c r="J116" s="412">
        <f t="shared" si="118"/>
        <v>0</v>
      </c>
      <c r="K116" s="412">
        <f t="shared" si="118"/>
        <v>0</v>
      </c>
      <c r="L116" s="412">
        <f t="shared" si="118"/>
        <v>0</v>
      </c>
      <c r="M116" s="412">
        <f t="shared" si="118"/>
        <v>0</v>
      </c>
      <c r="N116" s="412">
        <f t="shared" si="118"/>
        <v>0</v>
      </c>
      <c r="O116" s="412">
        <f t="shared" si="118"/>
        <v>0</v>
      </c>
      <c r="P116" s="412">
        <f t="shared" si="118"/>
        <v>0</v>
      </c>
      <c r="Q116" s="20"/>
      <c r="R116" s="39"/>
    </row>
    <row r="117" spans="1:18" ht="48" hidden="1" thickTop="1" thickBot="1" x14ac:dyDescent="0.25">
      <c r="A117" s="144" t="s">
        <v>479</v>
      </c>
      <c r="B117" s="144" t="s">
        <v>480</v>
      </c>
      <c r="C117" s="144" t="s">
        <v>234</v>
      </c>
      <c r="D117" s="144" t="s">
        <v>481</v>
      </c>
      <c r="E117" s="143">
        <f t="shared" si="115"/>
        <v>0</v>
      </c>
      <c r="F117" s="150">
        <v>0</v>
      </c>
      <c r="G117" s="350"/>
      <c r="H117" s="350"/>
      <c r="I117" s="350"/>
      <c r="J117" s="430">
        <f t="shared" si="112"/>
        <v>0</v>
      </c>
      <c r="K117" s="411"/>
      <c r="L117" s="411"/>
      <c r="M117" s="411"/>
      <c r="N117" s="411"/>
      <c r="O117" s="431">
        <f t="shared" si="117"/>
        <v>0</v>
      </c>
      <c r="P117" s="430">
        <f t="shared" si="113"/>
        <v>0</v>
      </c>
      <c r="Q117" s="20"/>
      <c r="R117" s="39"/>
    </row>
    <row r="118" spans="1:18" ht="48" thickTop="1" thickBot="1" x14ac:dyDescent="0.25">
      <c r="A118" s="399" t="s">
        <v>729</v>
      </c>
      <c r="B118" s="399" t="s">
        <v>730</v>
      </c>
      <c r="C118" s="399"/>
      <c r="D118" s="399" t="s">
        <v>731</v>
      </c>
      <c r="E118" s="388">
        <f>SUM(E119:E120)</f>
        <v>10442226</v>
      </c>
      <c r="F118" s="388">
        <f t="shared" ref="F118:P118" si="119">SUM(F119:F120)</f>
        <v>10442226</v>
      </c>
      <c r="G118" s="388">
        <f t="shared" si="119"/>
        <v>2636610</v>
      </c>
      <c r="H118" s="388">
        <f t="shared" si="119"/>
        <v>216098</v>
      </c>
      <c r="I118" s="388">
        <f t="shared" si="119"/>
        <v>0</v>
      </c>
      <c r="J118" s="388">
        <f t="shared" si="119"/>
        <v>0</v>
      </c>
      <c r="K118" s="388">
        <f t="shared" si="119"/>
        <v>0</v>
      </c>
      <c r="L118" s="388">
        <f t="shared" si="119"/>
        <v>0</v>
      </c>
      <c r="M118" s="388">
        <f t="shared" si="119"/>
        <v>0</v>
      </c>
      <c r="N118" s="388">
        <f t="shared" si="119"/>
        <v>0</v>
      </c>
      <c r="O118" s="388">
        <f t="shared" si="119"/>
        <v>0</v>
      </c>
      <c r="P118" s="388">
        <f t="shared" si="119"/>
        <v>10442226</v>
      </c>
      <c r="Q118" s="20"/>
      <c r="R118" s="39"/>
    </row>
    <row r="119" spans="1:18" s="33" customFormat="1" ht="48" thickTop="1" thickBot="1" x14ac:dyDescent="0.25">
      <c r="A119" s="119" t="s">
        <v>325</v>
      </c>
      <c r="B119" s="119" t="s">
        <v>327</v>
      </c>
      <c r="C119" s="119" t="s">
        <v>234</v>
      </c>
      <c r="D119" s="413" t="s">
        <v>323</v>
      </c>
      <c r="E119" s="393">
        <f t="shared" si="115"/>
        <v>3648776</v>
      </c>
      <c r="F119" s="350">
        <v>3648776</v>
      </c>
      <c r="G119" s="350">
        <v>2636610</v>
      </c>
      <c r="H119" s="350">
        <v>216098</v>
      </c>
      <c r="I119" s="350"/>
      <c r="J119" s="393">
        <f t="shared" si="112"/>
        <v>0</v>
      </c>
      <c r="K119" s="350"/>
      <c r="L119" s="350"/>
      <c r="M119" s="350"/>
      <c r="N119" s="350"/>
      <c r="O119" s="351">
        <f t="shared" si="117"/>
        <v>0</v>
      </c>
      <c r="P119" s="393">
        <f t="shared" si="113"/>
        <v>3648776</v>
      </c>
      <c r="Q119" s="36"/>
      <c r="R119" s="26"/>
    </row>
    <row r="120" spans="1:18" s="33" customFormat="1" ht="48" thickTop="1" thickBot="1" x14ac:dyDescent="0.25">
      <c r="A120" s="119" t="s">
        <v>326</v>
      </c>
      <c r="B120" s="119" t="s">
        <v>328</v>
      </c>
      <c r="C120" s="119" t="s">
        <v>234</v>
      </c>
      <c r="D120" s="413" t="s">
        <v>324</v>
      </c>
      <c r="E120" s="393">
        <f t="shared" si="115"/>
        <v>6793450</v>
      </c>
      <c r="F120" s="350">
        <f>((5434200)+859250)+500000</f>
        <v>6793450</v>
      </c>
      <c r="G120" s="350"/>
      <c r="H120" s="350"/>
      <c r="I120" s="350"/>
      <c r="J120" s="393">
        <f t="shared" si="112"/>
        <v>0</v>
      </c>
      <c r="K120" s="350"/>
      <c r="L120" s="350"/>
      <c r="M120" s="350"/>
      <c r="N120" s="350"/>
      <c r="O120" s="351">
        <f t="shared" si="117"/>
        <v>0</v>
      </c>
      <c r="P120" s="393">
        <f t="shared" si="113"/>
        <v>6793450</v>
      </c>
      <c r="Q120" s="36"/>
      <c r="R120" s="39"/>
    </row>
    <row r="121" spans="1:18" s="33" customFormat="1" ht="47.25" thickTop="1" thickBot="1" x14ac:dyDescent="0.25">
      <c r="A121" s="346" t="s">
        <v>1223</v>
      </c>
      <c r="B121" s="346" t="s">
        <v>717</v>
      </c>
      <c r="C121" s="346"/>
      <c r="D121" s="346" t="s">
        <v>718</v>
      </c>
      <c r="E121" s="393">
        <f>E122</f>
        <v>100000</v>
      </c>
      <c r="F121" s="393">
        <f t="shared" ref="F121:P121" si="120">F122</f>
        <v>100000</v>
      </c>
      <c r="G121" s="393">
        <f t="shared" si="120"/>
        <v>0</v>
      </c>
      <c r="H121" s="393">
        <f t="shared" si="120"/>
        <v>0</v>
      </c>
      <c r="I121" s="393">
        <f t="shared" si="120"/>
        <v>0</v>
      </c>
      <c r="J121" s="393">
        <f t="shared" si="120"/>
        <v>0</v>
      </c>
      <c r="K121" s="393">
        <f t="shared" si="120"/>
        <v>0</v>
      </c>
      <c r="L121" s="393">
        <f t="shared" si="120"/>
        <v>0</v>
      </c>
      <c r="M121" s="393">
        <f t="shared" si="120"/>
        <v>0</v>
      </c>
      <c r="N121" s="393">
        <f t="shared" si="120"/>
        <v>0</v>
      </c>
      <c r="O121" s="393">
        <f t="shared" si="120"/>
        <v>0</v>
      </c>
      <c r="P121" s="393">
        <f t="shared" si="120"/>
        <v>100000</v>
      </c>
      <c r="Q121" s="36"/>
      <c r="R121" s="39"/>
    </row>
    <row r="122" spans="1:18" s="33" customFormat="1" ht="93" thickTop="1" thickBot="1" x14ac:dyDescent="0.25">
      <c r="A122" s="119" t="s">
        <v>1224</v>
      </c>
      <c r="B122" s="119" t="s">
        <v>1225</v>
      </c>
      <c r="C122" s="119" t="s">
        <v>210</v>
      </c>
      <c r="D122" s="413" t="s">
        <v>1226</v>
      </c>
      <c r="E122" s="393">
        <f t="shared" ref="E122" si="121">F122</f>
        <v>100000</v>
      </c>
      <c r="F122" s="350">
        <v>100000</v>
      </c>
      <c r="G122" s="350"/>
      <c r="H122" s="350"/>
      <c r="I122" s="350"/>
      <c r="J122" s="393">
        <f t="shared" ref="J122" si="122">L122+O122</f>
        <v>0</v>
      </c>
      <c r="K122" s="350"/>
      <c r="L122" s="350"/>
      <c r="M122" s="350"/>
      <c r="N122" s="350"/>
      <c r="O122" s="351">
        <f t="shared" ref="O122" si="123">K122</f>
        <v>0</v>
      </c>
      <c r="P122" s="393">
        <f t="shared" ref="P122" si="124">E122+J122</f>
        <v>100000</v>
      </c>
      <c r="Q122" s="36"/>
      <c r="R122" s="39"/>
    </row>
    <row r="123" spans="1:18" s="33" customFormat="1" ht="47.25" thickTop="1" thickBot="1" x14ac:dyDescent="0.25">
      <c r="A123" s="346" t="s">
        <v>756</v>
      </c>
      <c r="B123" s="346" t="s">
        <v>754</v>
      </c>
      <c r="C123" s="346"/>
      <c r="D123" s="346" t="s">
        <v>755</v>
      </c>
      <c r="E123" s="393">
        <f>SUM(E129)+E124</f>
        <v>0</v>
      </c>
      <c r="F123" s="393">
        <f t="shared" ref="F123:P123" si="125">SUM(F129)+F124</f>
        <v>0</v>
      </c>
      <c r="G123" s="393">
        <f t="shared" si="125"/>
        <v>0</v>
      </c>
      <c r="H123" s="393">
        <f t="shared" si="125"/>
        <v>0</v>
      </c>
      <c r="I123" s="393">
        <f t="shared" si="125"/>
        <v>0</v>
      </c>
      <c r="J123" s="393">
        <f t="shared" si="125"/>
        <v>49071161.239999995</v>
      </c>
      <c r="K123" s="393">
        <f t="shared" si="125"/>
        <v>49071161.239999995</v>
      </c>
      <c r="L123" s="393">
        <f t="shared" si="125"/>
        <v>0</v>
      </c>
      <c r="M123" s="393">
        <f t="shared" si="125"/>
        <v>0</v>
      </c>
      <c r="N123" s="393">
        <f t="shared" si="125"/>
        <v>0</v>
      </c>
      <c r="O123" s="393">
        <f t="shared" si="125"/>
        <v>49071161.239999995</v>
      </c>
      <c r="P123" s="393">
        <f t="shared" si="125"/>
        <v>49071161.239999995</v>
      </c>
      <c r="Q123" s="36"/>
      <c r="R123" s="39"/>
    </row>
    <row r="124" spans="1:18" s="33" customFormat="1" ht="47.25" thickTop="1" thickBot="1" x14ac:dyDescent="0.25">
      <c r="A124" s="348" t="s">
        <v>1072</v>
      </c>
      <c r="B124" s="348" t="s">
        <v>810</v>
      </c>
      <c r="C124" s="348"/>
      <c r="D124" s="348" t="s">
        <v>811</v>
      </c>
      <c r="E124" s="352">
        <f>E127+E125</f>
        <v>0</v>
      </c>
      <c r="F124" s="352">
        <f t="shared" ref="F124:P124" si="126">F127+F125</f>
        <v>0</v>
      </c>
      <c r="G124" s="352">
        <f t="shared" si="126"/>
        <v>0</v>
      </c>
      <c r="H124" s="352">
        <f t="shared" si="126"/>
        <v>0</v>
      </c>
      <c r="I124" s="352">
        <f t="shared" si="126"/>
        <v>0</v>
      </c>
      <c r="J124" s="352">
        <f t="shared" si="126"/>
        <v>24670053</v>
      </c>
      <c r="K124" s="352">
        <f t="shared" si="126"/>
        <v>24670053</v>
      </c>
      <c r="L124" s="352">
        <f t="shared" si="126"/>
        <v>0</v>
      </c>
      <c r="M124" s="352">
        <f t="shared" si="126"/>
        <v>0</v>
      </c>
      <c r="N124" s="352">
        <f t="shared" si="126"/>
        <v>0</v>
      </c>
      <c r="O124" s="352">
        <f t="shared" si="126"/>
        <v>24670053</v>
      </c>
      <c r="P124" s="352">
        <f t="shared" si="126"/>
        <v>24670053</v>
      </c>
      <c r="Q124" s="36"/>
      <c r="R124" s="39"/>
    </row>
    <row r="125" spans="1:18" s="33" customFormat="1" ht="54.75" thickTop="1" thickBot="1" x14ac:dyDescent="0.25">
      <c r="A125" s="399" t="s">
        <v>1204</v>
      </c>
      <c r="B125" s="399" t="s">
        <v>828</v>
      </c>
      <c r="C125" s="399"/>
      <c r="D125" s="399" t="s">
        <v>1308</v>
      </c>
      <c r="E125" s="388">
        <f>E126</f>
        <v>0</v>
      </c>
      <c r="F125" s="388">
        <f t="shared" ref="F125:P125" si="127">F126</f>
        <v>0</v>
      </c>
      <c r="G125" s="388">
        <f t="shared" si="127"/>
        <v>0</v>
      </c>
      <c r="H125" s="388">
        <f t="shared" si="127"/>
        <v>0</v>
      </c>
      <c r="I125" s="388">
        <f t="shared" si="127"/>
        <v>0</v>
      </c>
      <c r="J125" s="388">
        <f t="shared" si="127"/>
        <v>24670053</v>
      </c>
      <c r="K125" s="388">
        <f t="shared" si="127"/>
        <v>24670053</v>
      </c>
      <c r="L125" s="388">
        <f t="shared" si="127"/>
        <v>0</v>
      </c>
      <c r="M125" s="388">
        <f t="shared" si="127"/>
        <v>0</v>
      </c>
      <c r="N125" s="388">
        <f t="shared" si="127"/>
        <v>0</v>
      </c>
      <c r="O125" s="388">
        <f t="shared" si="127"/>
        <v>24670053</v>
      </c>
      <c r="P125" s="388">
        <f t="shared" si="127"/>
        <v>24670053</v>
      </c>
      <c r="Q125" s="36"/>
      <c r="R125" s="39"/>
    </row>
    <row r="126" spans="1:18" s="33" customFormat="1" ht="54" thickTop="1" thickBot="1" x14ac:dyDescent="0.25">
      <c r="A126" s="119" t="s">
        <v>1203</v>
      </c>
      <c r="B126" s="119" t="s">
        <v>1205</v>
      </c>
      <c r="C126" s="119" t="s">
        <v>308</v>
      </c>
      <c r="D126" s="119" t="s">
        <v>1307</v>
      </c>
      <c r="E126" s="393">
        <f t="shared" ref="E126" si="128">F126</f>
        <v>0</v>
      </c>
      <c r="F126" s="350"/>
      <c r="G126" s="350"/>
      <c r="H126" s="350"/>
      <c r="I126" s="350"/>
      <c r="J126" s="393">
        <f t="shared" ref="J126" si="129">L126+O126</f>
        <v>24670053</v>
      </c>
      <c r="K126" s="350">
        <f>(11239495)+5841803+7588755</f>
        <v>24670053</v>
      </c>
      <c r="L126" s="350"/>
      <c r="M126" s="350"/>
      <c r="N126" s="350"/>
      <c r="O126" s="351">
        <f>K126</f>
        <v>24670053</v>
      </c>
      <c r="P126" s="393">
        <f t="shared" ref="P126" si="130">E126+J126</f>
        <v>24670053</v>
      </c>
      <c r="Q126" s="36"/>
      <c r="R126" s="39"/>
    </row>
    <row r="127" spans="1:18" s="33" customFormat="1" ht="48" hidden="1" thickTop="1" thickBot="1" x14ac:dyDescent="0.25">
      <c r="A127" s="160" t="s">
        <v>1073</v>
      </c>
      <c r="B127" s="160" t="s">
        <v>1071</v>
      </c>
      <c r="C127" s="160"/>
      <c r="D127" s="160" t="s">
        <v>1070</v>
      </c>
      <c r="E127" s="161">
        <f>E128</f>
        <v>0</v>
      </c>
      <c r="F127" s="161">
        <f t="shared" ref="F127:P127" si="131">F128</f>
        <v>0</v>
      </c>
      <c r="G127" s="161">
        <f t="shared" si="131"/>
        <v>0</v>
      </c>
      <c r="H127" s="161">
        <f t="shared" si="131"/>
        <v>0</v>
      </c>
      <c r="I127" s="161">
        <f t="shared" si="131"/>
        <v>0</v>
      </c>
      <c r="J127" s="161">
        <f t="shared" si="131"/>
        <v>0</v>
      </c>
      <c r="K127" s="161">
        <f t="shared" si="131"/>
        <v>0</v>
      </c>
      <c r="L127" s="161">
        <f t="shared" si="131"/>
        <v>0</v>
      </c>
      <c r="M127" s="161">
        <f t="shared" si="131"/>
        <v>0</v>
      </c>
      <c r="N127" s="161">
        <f t="shared" si="131"/>
        <v>0</v>
      </c>
      <c r="O127" s="161">
        <f t="shared" si="131"/>
        <v>0</v>
      </c>
      <c r="P127" s="161">
        <f t="shared" si="131"/>
        <v>0</v>
      </c>
      <c r="Q127" s="36"/>
      <c r="R127" s="39"/>
    </row>
    <row r="128" spans="1:18" s="33" customFormat="1" ht="93" hidden="1" thickTop="1" thickBot="1" x14ac:dyDescent="0.25">
      <c r="A128" s="41" t="s">
        <v>1074</v>
      </c>
      <c r="B128" s="41" t="s">
        <v>1075</v>
      </c>
      <c r="C128" s="41" t="s">
        <v>170</v>
      </c>
      <c r="D128" s="41" t="s">
        <v>1076</v>
      </c>
      <c r="E128" s="42">
        <f t="shared" si="115"/>
        <v>0</v>
      </c>
      <c r="F128" s="43"/>
      <c r="G128" s="43"/>
      <c r="H128" s="43"/>
      <c r="I128" s="43"/>
      <c r="J128" s="42">
        <f t="shared" si="112"/>
        <v>0</v>
      </c>
      <c r="K128" s="43"/>
      <c r="L128" s="43"/>
      <c r="M128" s="43"/>
      <c r="N128" s="43"/>
      <c r="O128" s="44">
        <f>K128</f>
        <v>0</v>
      </c>
      <c r="P128" s="42">
        <f t="shared" si="113"/>
        <v>0</v>
      </c>
      <c r="Q128" s="36"/>
      <c r="R128" s="26"/>
    </row>
    <row r="129" spans="1:20" s="28" customFormat="1" ht="47.25" thickTop="1" thickBot="1" x14ac:dyDescent="0.25">
      <c r="A129" s="348" t="s">
        <v>732</v>
      </c>
      <c r="B129" s="348" t="s">
        <v>697</v>
      </c>
      <c r="C129" s="348"/>
      <c r="D129" s="348" t="s">
        <v>695</v>
      </c>
      <c r="E129" s="352">
        <f>E130</f>
        <v>0</v>
      </c>
      <c r="F129" s="352">
        <f t="shared" ref="F129:P129" si="132">F130</f>
        <v>0</v>
      </c>
      <c r="G129" s="352">
        <f t="shared" si="132"/>
        <v>0</v>
      </c>
      <c r="H129" s="352">
        <f t="shared" si="132"/>
        <v>0</v>
      </c>
      <c r="I129" s="352">
        <f t="shared" si="132"/>
        <v>0</v>
      </c>
      <c r="J129" s="352">
        <f t="shared" si="132"/>
        <v>24401108.239999998</v>
      </c>
      <c r="K129" s="352">
        <f t="shared" si="132"/>
        <v>24401108.239999998</v>
      </c>
      <c r="L129" s="352">
        <f t="shared" si="132"/>
        <v>0</v>
      </c>
      <c r="M129" s="352">
        <f t="shared" si="132"/>
        <v>0</v>
      </c>
      <c r="N129" s="352">
        <f t="shared" si="132"/>
        <v>0</v>
      </c>
      <c r="O129" s="352">
        <f t="shared" si="132"/>
        <v>24401108.239999998</v>
      </c>
      <c r="P129" s="352">
        <f t="shared" si="132"/>
        <v>24401108.239999998</v>
      </c>
      <c r="Q129" s="165"/>
      <c r="R129" s="40"/>
    </row>
    <row r="130" spans="1:20" s="28" customFormat="1" ht="48" thickTop="1" thickBot="1" x14ac:dyDescent="0.25">
      <c r="A130" s="119" t="s">
        <v>1303</v>
      </c>
      <c r="B130" s="119" t="s">
        <v>216</v>
      </c>
      <c r="C130" s="119" t="s">
        <v>217</v>
      </c>
      <c r="D130" s="119" t="s">
        <v>41</v>
      </c>
      <c r="E130" s="393">
        <f t="shared" si="115"/>
        <v>0</v>
      </c>
      <c r="F130" s="350"/>
      <c r="G130" s="350"/>
      <c r="H130" s="350"/>
      <c r="I130" s="350"/>
      <c r="J130" s="393">
        <f t="shared" ref="J130" si="133">L130+O130</f>
        <v>24401108.239999998</v>
      </c>
      <c r="K130" s="350">
        <f>((8590009+2371500-60000)+907081+9009016+2252258)+1331244.24</f>
        <v>24401108.239999998</v>
      </c>
      <c r="L130" s="350"/>
      <c r="M130" s="350"/>
      <c r="N130" s="350"/>
      <c r="O130" s="351">
        <f t="shared" ref="O130" si="134">K130</f>
        <v>24401108.239999998</v>
      </c>
      <c r="P130" s="393">
        <f t="shared" si="113"/>
        <v>24401108.239999998</v>
      </c>
      <c r="Q130" s="165"/>
      <c r="R130" s="40"/>
    </row>
    <row r="131" spans="1:20" s="33" customFormat="1" ht="48" hidden="1" thickTop="1" thickBot="1" x14ac:dyDescent="0.25">
      <c r="A131" s="41" t="s">
        <v>439</v>
      </c>
      <c r="B131" s="41" t="s">
        <v>201</v>
      </c>
      <c r="C131" s="41" t="s">
        <v>170</v>
      </c>
      <c r="D131" s="41" t="s">
        <v>34</v>
      </c>
      <c r="E131" s="42">
        <f t="shared" si="115"/>
        <v>0</v>
      </c>
      <c r="F131" s="43"/>
      <c r="G131" s="43"/>
      <c r="H131" s="43"/>
      <c r="I131" s="43"/>
      <c r="J131" s="42">
        <f t="shared" si="112"/>
        <v>0</v>
      </c>
      <c r="K131" s="43"/>
      <c r="L131" s="43"/>
      <c r="M131" s="43"/>
      <c r="N131" s="43"/>
      <c r="O131" s="44">
        <f t="shared" si="117"/>
        <v>0</v>
      </c>
      <c r="P131" s="42">
        <f t="shared" si="113"/>
        <v>0</v>
      </c>
      <c r="Q131" s="36"/>
      <c r="R131" s="26"/>
    </row>
    <row r="132" spans="1:20" s="33" customFormat="1" ht="48" hidden="1" thickTop="1" thickBot="1" x14ac:dyDescent="0.25">
      <c r="A132" s="41" t="s">
        <v>513</v>
      </c>
      <c r="B132" s="41" t="s">
        <v>367</v>
      </c>
      <c r="C132" s="41" t="s">
        <v>43</v>
      </c>
      <c r="D132" s="41" t="s">
        <v>368</v>
      </c>
      <c r="E132" s="42">
        <f t="shared" si="115"/>
        <v>0</v>
      </c>
      <c r="F132" s="43"/>
      <c r="G132" s="43"/>
      <c r="H132" s="43"/>
      <c r="I132" s="43"/>
      <c r="J132" s="42">
        <f t="shared" si="112"/>
        <v>0</v>
      </c>
      <c r="K132" s="43"/>
      <c r="L132" s="43"/>
      <c r="M132" s="43"/>
      <c r="N132" s="43"/>
      <c r="O132" s="44">
        <f t="shared" si="117"/>
        <v>0</v>
      </c>
      <c r="P132" s="42">
        <f t="shared" si="113"/>
        <v>0</v>
      </c>
      <c r="Q132" s="36"/>
      <c r="R132" s="30"/>
    </row>
    <row r="133" spans="1:20" ht="91.5" thickTop="1" thickBot="1" x14ac:dyDescent="0.25">
      <c r="A133" s="403" t="s">
        <v>156</v>
      </c>
      <c r="B133" s="403"/>
      <c r="C133" s="403"/>
      <c r="D133" s="404" t="s">
        <v>37</v>
      </c>
      <c r="E133" s="406">
        <f>E134</f>
        <v>283943468.87</v>
      </c>
      <c r="F133" s="405">
        <f t="shared" ref="F133:G133" si="135">F134</f>
        <v>283943468.87</v>
      </c>
      <c r="G133" s="405">
        <f t="shared" si="135"/>
        <v>85662885</v>
      </c>
      <c r="H133" s="405">
        <f>H134</f>
        <v>5445500.8700000001</v>
      </c>
      <c r="I133" s="405">
        <f t="shared" ref="I133" si="136">I134</f>
        <v>0</v>
      </c>
      <c r="J133" s="406">
        <f>J134</f>
        <v>226287834.14000005</v>
      </c>
      <c r="K133" s="405">
        <f>K134</f>
        <v>217996305.14000005</v>
      </c>
      <c r="L133" s="405">
        <f>L134</f>
        <v>8126529</v>
      </c>
      <c r="M133" s="405">
        <f t="shared" ref="M133" si="137">M134</f>
        <v>2772020</v>
      </c>
      <c r="N133" s="405">
        <f>N134</f>
        <v>778110</v>
      </c>
      <c r="O133" s="406">
        <f>O134</f>
        <v>218161305.14000005</v>
      </c>
      <c r="P133" s="405">
        <f>P134</f>
        <v>510231303.01000005</v>
      </c>
      <c r="Q133" s="20"/>
    </row>
    <row r="134" spans="1:20" ht="91.5" thickTop="1" thickBot="1" x14ac:dyDescent="0.25">
      <c r="A134" s="407" t="s">
        <v>157</v>
      </c>
      <c r="B134" s="407"/>
      <c r="C134" s="407"/>
      <c r="D134" s="408" t="s">
        <v>38</v>
      </c>
      <c r="E134" s="409">
        <f>E135+E139+E180+E184</f>
        <v>283943468.87</v>
      </c>
      <c r="F134" s="409">
        <f>F135+F139+F180+F184</f>
        <v>283943468.87</v>
      </c>
      <c r="G134" s="409">
        <f>G135+G139+G180+G184</f>
        <v>85662885</v>
      </c>
      <c r="H134" s="409">
        <f>H135+H139+H180+H184</f>
        <v>5445500.8700000001</v>
      </c>
      <c r="I134" s="409">
        <f>I135+I139+I180+I184</f>
        <v>0</v>
      </c>
      <c r="J134" s="409">
        <f t="shared" ref="J134:J160" si="138">L134+O134</f>
        <v>226287834.14000005</v>
      </c>
      <c r="K134" s="409">
        <f>K135+K139+K180+K184</f>
        <v>217996305.14000005</v>
      </c>
      <c r="L134" s="409">
        <f>L135+L139+L180+L184</f>
        <v>8126529</v>
      </c>
      <c r="M134" s="409">
        <f>M135+M139+M180+M184</f>
        <v>2772020</v>
      </c>
      <c r="N134" s="409">
        <f>N135+N139+N180+N184</f>
        <v>778110</v>
      </c>
      <c r="O134" s="409">
        <f>O135+O139+O180+O184</f>
        <v>218161305.14000005</v>
      </c>
      <c r="P134" s="409">
        <f>E134+J134</f>
        <v>510231303.01000005</v>
      </c>
      <c r="Q134" s="353" t="b">
        <f>P134=P136+P137+P138+P141+P142+P143+P144+P145+P147+P150+P151+P153+P154+P157+P159+P176+P178+P179+P182+P160+P146+P148+P156+P189+P162+P166+P170+P187</f>
        <v>1</v>
      </c>
      <c r="R134" s="46"/>
      <c r="S134" s="46"/>
      <c r="T134" s="45"/>
    </row>
    <row r="135" spans="1:20" ht="47.25" thickTop="1" thickBot="1" x14ac:dyDescent="0.25">
      <c r="A135" s="346" t="s">
        <v>733</v>
      </c>
      <c r="B135" s="346" t="s">
        <v>690</v>
      </c>
      <c r="C135" s="346"/>
      <c r="D135" s="346" t="s">
        <v>691</v>
      </c>
      <c r="E135" s="393">
        <f t="shared" ref="E135:P135" si="139">SUM(E136:E138)</f>
        <v>56079585</v>
      </c>
      <c r="F135" s="393">
        <f t="shared" si="139"/>
        <v>56079585</v>
      </c>
      <c r="G135" s="393">
        <f t="shared" si="139"/>
        <v>40735000</v>
      </c>
      <c r="H135" s="393">
        <f t="shared" si="139"/>
        <v>2160585</v>
      </c>
      <c r="I135" s="393">
        <f t="shared" si="139"/>
        <v>0</v>
      </c>
      <c r="J135" s="393">
        <f t="shared" si="139"/>
        <v>1319000</v>
      </c>
      <c r="K135" s="393">
        <f t="shared" si="139"/>
        <v>1319000</v>
      </c>
      <c r="L135" s="393">
        <f t="shared" si="139"/>
        <v>0</v>
      </c>
      <c r="M135" s="393">
        <f t="shared" si="139"/>
        <v>0</v>
      </c>
      <c r="N135" s="393">
        <f t="shared" si="139"/>
        <v>0</v>
      </c>
      <c r="O135" s="393">
        <f t="shared" si="139"/>
        <v>1319000</v>
      </c>
      <c r="P135" s="393">
        <f t="shared" si="139"/>
        <v>57398585</v>
      </c>
      <c r="Q135" s="47"/>
      <c r="R135" s="46"/>
      <c r="T135" s="45"/>
    </row>
    <row r="136" spans="1:20" ht="93" thickTop="1" thickBot="1" x14ac:dyDescent="0.25">
      <c r="A136" s="119" t="s">
        <v>419</v>
      </c>
      <c r="B136" s="119" t="s">
        <v>240</v>
      </c>
      <c r="C136" s="119" t="s">
        <v>238</v>
      </c>
      <c r="D136" s="119" t="s">
        <v>239</v>
      </c>
      <c r="E136" s="393">
        <f t="shared" ref="E136" si="140">F136</f>
        <v>55992585</v>
      </c>
      <c r="F136" s="350">
        <f>((52715585)+298000+444000)+2535000</f>
        <v>55992585</v>
      </c>
      <c r="G136" s="350">
        <f>(38000000)+2735000</f>
        <v>40735000</v>
      </c>
      <c r="H136" s="350">
        <f>1250000+59135+812450+39000</f>
        <v>2160585</v>
      </c>
      <c r="I136" s="350"/>
      <c r="J136" s="393">
        <f t="shared" si="138"/>
        <v>1319000</v>
      </c>
      <c r="K136" s="350">
        <f>(300000)+1019000</f>
        <v>1319000</v>
      </c>
      <c r="L136" s="350"/>
      <c r="M136" s="350"/>
      <c r="N136" s="350"/>
      <c r="O136" s="351">
        <f>K136</f>
        <v>1319000</v>
      </c>
      <c r="P136" s="393">
        <f t="shared" ref="P136:P151" si="141">E136+J136</f>
        <v>57311585</v>
      </c>
      <c r="Q136" s="47"/>
      <c r="R136" s="46"/>
      <c r="T136" s="45"/>
    </row>
    <row r="137" spans="1:20" ht="93" thickTop="1" thickBot="1" x14ac:dyDescent="0.25">
      <c r="A137" s="119" t="s">
        <v>634</v>
      </c>
      <c r="B137" s="119" t="s">
        <v>366</v>
      </c>
      <c r="C137" s="119" t="s">
        <v>631</v>
      </c>
      <c r="D137" s="119" t="s">
        <v>632</v>
      </c>
      <c r="E137" s="393">
        <f t="shared" ref="E137:E138" si="142">F137</f>
        <v>57000</v>
      </c>
      <c r="F137" s="350">
        <v>57000</v>
      </c>
      <c r="G137" s="350"/>
      <c r="H137" s="350"/>
      <c r="I137" s="350"/>
      <c r="J137" s="393">
        <f t="shared" ref="J137:J138" si="143">L137+O137</f>
        <v>0</v>
      </c>
      <c r="K137" s="350"/>
      <c r="L137" s="350"/>
      <c r="M137" s="350"/>
      <c r="N137" s="350"/>
      <c r="O137" s="351">
        <f>K137</f>
        <v>0</v>
      </c>
      <c r="P137" s="393">
        <f t="shared" ref="P137:P138" si="144">E137+J137</f>
        <v>57000</v>
      </c>
      <c r="Q137" s="47"/>
      <c r="R137" s="46"/>
      <c r="T137" s="45"/>
    </row>
    <row r="138" spans="1:20" ht="48" thickTop="1" thickBot="1" x14ac:dyDescent="0.25">
      <c r="A138" s="119" t="s">
        <v>928</v>
      </c>
      <c r="B138" s="119" t="s">
        <v>43</v>
      </c>
      <c r="C138" s="119" t="s">
        <v>42</v>
      </c>
      <c r="D138" s="119" t="s">
        <v>252</v>
      </c>
      <c r="E138" s="393">
        <f t="shared" si="142"/>
        <v>30000</v>
      </c>
      <c r="F138" s="350">
        <v>30000</v>
      </c>
      <c r="G138" s="350"/>
      <c r="H138" s="350"/>
      <c r="I138" s="350"/>
      <c r="J138" s="393">
        <f t="shared" si="143"/>
        <v>0</v>
      </c>
      <c r="K138" s="350"/>
      <c r="L138" s="350"/>
      <c r="M138" s="350"/>
      <c r="N138" s="350"/>
      <c r="O138" s="351"/>
      <c r="P138" s="393">
        <f t="shared" si="144"/>
        <v>30000</v>
      </c>
      <c r="Q138" s="47"/>
      <c r="R138" s="46"/>
      <c r="T138" s="45"/>
    </row>
    <row r="139" spans="1:20" ht="47.25" thickTop="1" thickBot="1" x14ac:dyDescent="0.25">
      <c r="A139" s="346" t="s">
        <v>734</v>
      </c>
      <c r="B139" s="346" t="s">
        <v>717</v>
      </c>
      <c r="C139" s="346"/>
      <c r="D139" s="346" t="s">
        <v>718</v>
      </c>
      <c r="E139" s="393">
        <f t="shared" ref="E139:P139" si="145">SUM(E140:E179)-E140-E149-E158-E161-E177-E155-E152</f>
        <v>227843883.86999997</v>
      </c>
      <c r="F139" s="393">
        <f t="shared" si="145"/>
        <v>227843883.86999997</v>
      </c>
      <c r="G139" s="393">
        <f t="shared" si="145"/>
        <v>44927885</v>
      </c>
      <c r="H139" s="393">
        <f t="shared" si="145"/>
        <v>3284915.87</v>
      </c>
      <c r="I139" s="393">
        <f t="shared" si="145"/>
        <v>0</v>
      </c>
      <c r="J139" s="393">
        <f t="shared" si="145"/>
        <v>206139834.14000005</v>
      </c>
      <c r="K139" s="393">
        <f t="shared" si="145"/>
        <v>197848305.14000005</v>
      </c>
      <c r="L139" s="393">
        <f t="shared" si="145"/>
        <v>8126529</v>
      </c>
      <c r="M139" s="393">
        <f t="shared" si="145"/>
        <v>2772020</v>
      </c>
      <c r="N139" s="393">
        <f t="shared" si="145"/>
        <v>778110</v>
      </c>
      <c r="O139" s="393">
        <f t="shared" si="145"/>
        <v>198013305.14000005</v>
      </c>
      <c r="P139" s="393">
        <f t="shared" si="145"/>
        <v>433983718.00999993</v>
      </c>
      <c r="Q139" s="47"/>
      <c r="R139" s="46"/>
      <c r="T139" s="45"/>
    </row>
    <row r="140" spans="1:20" ht="138.75" thickTop="1" thickBot="1" x14ac:dyDescent="0.25">
      <c r="A140" s="399" t="s">
        <v>735</v>
      </c>
      <c r="B140" s="399" t="s">
        <v>736</v>
      </c>
      <c r="C140" s="399"/>
      <c r="D140" s="399" t="s">
        <v>737</v>
      </c>
      <c r="E140" s="388">
        <f>SUM(E141:E145)</f>
        <v>66355000</v>
      </c>
      <c r="F140" s="388">
        <f t="shared" ref="F140:P140" si="146">SUM(F141:F145)</f>
        <v>66355000</v>
      </c>
      <c r="G140" s="388">
        <f t="shared" si="146"/>
        <v>0</v>
      </c>
      <c r="H140" s="388">
        <f t="shared" si="146"/>
        <v>0</v>
      </c>
      <c r="I140" s="388">
        <f t="shared" si="146"/>
        <v>0</v>
      </c>
      <c r="J140" s="388">
        <f t="shared" si="146"/>
        <v>150000</v>
      </c>
      <c r="K140" s="388">
        <f t="shared" si="146"/>
        <v>150000</v>
      </c>
      <c r="L140" s="388">
        <f t="shared" si="146"/>
        <v>0</v>
      </c>
      <c r="M140" s="388">
        <f t="shared" si="146"/>
        <v>0</v>
      </c>
      <c r="N140" s="388">
        <f t="shared" si="146"/>
        <v>0</v>
      </c>
      <c r="O140" s="388">
        <f t="shared" si="146"/>
        <v>150000</v>
      </c>
      <c r="P140" s="388">
        <f t="shared" si="146"/>
        <v>66505000</v>
      </c>
      <c r="Q140" s="166"/>
      <c r="R140" s="48"/>
      <c r="T140" s="49"/>
    </row>
    <row r="141" spans="1:20" s="33" customFormat="1" ht="93" thickTop="1" thickBot="1" x14ac:dyDescent="0.25">
      <c r="A141" s="119" t="s">
        <v>273</v>
      </c>
      <c r="B141" s="119" t="s">
        <v>274</v>
      </c>
      <c r="C141" s="119" t="s">
        <v>209</v>
      </c>
      <c r="D141" s="401" t="s">
        <v>275</v>
      </c>
      <c r="E141" s="393">
        <f>F141</f>
        <v>755000</v>
      </c>
      <c r="F141" s="350">
        <f>(360000)+395000</f>
        <v>755000</v>
      </c>
      <c r="G141" s="350"/>
      <c r="H141" s="350"/>
      <c r="I141" s="350"/>
      <c r="J141" s="393">
        <f t="shared" si="138"/>
        <v>150000</v>
      </c>
      <c r="K141" s="350">
        <v>150000</v>
      </c>
      <c r="L141" s="350"/>
      <c r="M141" s="350"/>
      <c r="N141" s="350"/>
      <c r="O141" s="351">
        <f t="shared" ref="O141:O160" si="147">K141</f>
        <v>150000</v>
      </c>
      <c r="P141" s="393">
        <f t="shared" si="141"/>
        <v>905000</v>
      </c>
      <c r="Q141" s="36"/>
      <c r="R141" s="46"/>
    </row>
    <row r="142" spans="1:20" s="33" customFormat="1" ht="48" thickTop="1" thickBot="1" x14ac:dyDescent="0.25">
      <c r="A142" s="119" t="s">
        <v>276</v>
      </c>
      <c r="B142" s="119" t="s">
        <v>277</v>
      </c>
      <c r="C142" s="119" t="s">
        <v>210</v>
      </c>
      <c r="D142" s="119" t="s">
        <v>6</v>
      </c>
      <c r="E142" s="393">
        <f t="shared" ref="E142:E191" si="148">F142</f>
        <v>700000</v>
      </c>
      <c r="F142" s="350">
        <v>700000</v>
      </c>
      <c r="G142" s="350"/>
      <c r="H142" s="350"/>
      <c r="I142" s="350"/>
      <c r="J142" s="393">
        <f t="shared" si="138"/>
        <v>0</v>
      </c>
      <c r="K142" s="350"/>
      <c r="L142" s="350"/>
      <c r="M142" s="350"/>
      <c r="N142" s="350"/>
      <c r="O142" s="351">
        <f t="shared" si="147"/>
        <v>0</v>
      </c>
      <c r="P142" s="393">
        <f t="shared" si="141"/>
        <v>700000</v>
      </c>
      <c r="Q142" s="36"/>
      <c r="R142" s="50"/>
    </row>
    <row r="143" spans="1:20" s="33" customFormat="1" ht="93" thickTop="1" thickBot="1" x14ac:dyDescent="0.25">
      <c r="A143" s="119" t="s">
        <v>279</v>
      </c>
      <c r="B143" s="119" t="s">
        <v>280</v>
      </c>
      <c r="C143" s="119" t="s">
        <v>210</v>
      </c>
      <c r="D143" s="119" t="s">
        <v>7</v>
      </c>
      <c r="E143" s="393">
        <f t="shared" si="148"/>
        <v>19200000</v>
      </c>
      <c r="F143" s="350">
        <v>19200000</v>
      </c>
      <c r="G143" s="350"/>
      <c r="H143" s="350"/>
      <c r="I143" s="350"/>
      <c r="J143" s="393">
        <f t="shared" si="138"/>
        <v>0</v>
      </c>
      <c r="K143" s="350"/>
      <c r="L143" s="350"/>
      <c r="M143" s="350"/>
      <c r="N143" s="350"/>
      <c r="O143" s="351">
        <f t="shared" si="147"/>
        <v>0</v>
      </c>
      <c r="P143" s="393">
        <f t="shared" si="141"/>
        <v>19200000</v>
      </c>
      <c r="Q143" s="36"/>
      <c r="R143" s="50"/>
    </row>
    <row r="144" spans="1:20" s="33" customFormat="1" ht="93" thickTop="1" thickBot="1" x14ac:dyDescent="0.25">
      <c r="A144" s="119" t="s">
        <v>281</v>
      </c>
      <c r="B144" s="119" t="s">
        <v>278</v>
      </c>
      <c r="C144" s="119" t="s">
        <v>210</v>
      </c>
      <c r="D144" s="119" t="s">
        <v>8</v>
      </c>
      <c r="E144" s="393">
        <f t="shared" si="148"/>
        <v>700000</v>
      </c>
      <c r="F144" s="350">
        <v>700000</v>
      </c>
      <c r="G144" s="350"/>
      <c r="H144" s="350"/>
      <c r="I144" s="350"/>
      <c r="J144" s="393">
        <f t="shared" si="138"/>
        <v>0</v>
      </c>
      <c r="K144" s="350"/>
      <c r="L144" s="350"/>
      <c r="M144" s="350"/>
      <c r="N144" s="350"/>
      <c r="O144" s="351">
        <f t="shared" si="147"/>
        <v>0</v>
      </c>
      <c r="P144" s="393">
        <f t="shared" si="141"/>
        <v>700000</v>
      </c>
      <c r="Q144" s="36"/>
      <c r="R144" s="50"/>
    </row>
    <row r="145" spans="1:18" s="33" customFormat="1" ht="93" thickTop="1" thickBot="1" x14ac:dyDescent="0.25">
      <c r="A145" s="119" t="s">
        <v>282</v>
      </c>
      <c r="B145" s="119" t="s">
        <v>283</v>
      </c>
      <c r="C145" s="119" t="s">
        <v>210</v>
      </c>
      <c r="D145" s="119" t="s">
        <v>9</v>
      </c>
      <c r="E145" s="393">
        <f t="shared" si="148"/>
        <v>45000000</v>
      </c>
      <c r="F145" s="350">
        <v>45000000</v>
      </c>
      <c r="G145" s="350"/>
      <c r="H145" s="350"/>
      <c r="I145" s="350"/>
      <c r="J145" s="393">
        <f t="shared" si="138"/>
        <v>0</v>
      </c>
      <c r="K145" s="350"/>
      <c r="L145" s="350"/>
      <c r="M145" s="350"/>
      <c r="N145" s="350"/>
      <c r="O145" s="351">
        <f t="shared" si="147"/>
        <v>0</v>
      </c>
      <c r="P145" s="393">
        <f t="shared" si="141"/>
        <v>45000000</v>
      </c>
      <c r="Q145" s="36"/>
      <c r="R145" s="50"/>
    </row>
    <row r="146" spans="1:18" s="33" customFormat="1" ht="93" thickTop="1" thickBot="1" x14ac:dyDescent="0.25">
      <c r="A146" s="119" t="s">
        <v>482</v>
      </c>
      <c r="B146" s="119" t="s">
        <v>483</v>
      </c>
      <c r="C146" s="119" t="s">
        <v>210</v>
      </c>
      <c r="D146" s="119" t="s">
        <v>484</v>
      </c>
      <c r="E146" s="393">
        <f t="shared" si="148"/>
        <v>272462</v>
      </c>
      <c r="F146" s="350">
        <v>272462</v>
      </c>
      <c r="G146" s="350"/>
      <c r="H146" s="350"/>
      <c r="I146" s="350"/>
      <c r="J146" s="393">
        <f t="shared" si="138"/>
        <v>0</v>
      </c>
      <c r="K146" s="350"/>
      <c r="L146" s="350"/>
      <c r="M146" s="350"/>
      <c r="N146" s="350"/>
      <c r="O146" s="351">
        <f t="shared" si="147"/>
        <v>0</v>
      </c>
      <c r="P146" s="393">
        <f t="shared" si="141"/>
        <v>272462</v>
      </c>
      <c r="Q146" s="36"/>
      <c r="R146" s="50"/>
    </row>
    <row r="147" spans="1:18" s="33" customFormat="1" ht="93" thickTop="1" thickBot="1" x14ac:dyDescent="0.25">
      <c r="A147" s="119" t="s">
        <v>929</v>
      </c>
      <c r="B147" s="119" t="s">
        <v>930</v>
      </c>
      <c r="C147" s="119" t="s">
        <v>210</v>
      </c>
      <c r="D147" s="119" t="s">
        <v>931</v>
      </c>
      <c r="E147" s="393">
        <f t="shared" ref="E147" si="149">F147</f>
        <v>2213890</v>
      </c>
      <c r="F147" s="350">
        <f>((180000)+2133890)-100000</f>
        <v>2213890</v>
      </c>
      <c r="G147" s="350"/>
      <c r="H147" s="350"/>
      <c r="I147" s="350"/>
      <c r="J147" s="393">
        <f t="shared" ref="J147" si="150">L147+O147</f>
        <v>0</v>
      </c>
      <c r="K147" s="350"/>
      <c r="L147" s="350"/>
      <c r="M147" s="350"/>
      <c r="N147" s="350"/>
      <c r="O147" s="351">
        <f t="shared" ref="O147" si="151">K147</f>
        <v>0</v>
      </c>
      <c r="P147" s="393">
        <f t="shared" ref="P147" si="152">E147+J147</f>
        <v>2213890</v>
      </c>
      <c r="Q147" s="36"/>
      <c r="R147" s="50"/>
    </row>
    <row r="148" spans="1:18" ht="93" thickTop="1" thickBot="1" x14ac:dyDescent="0.25">
      <c r="A148" s="119" t="s">
        <v>485</v>
      </c>
      <c r="B148" s="119" t="s">
        <v>486</v>
      </c>
      <c r="C148" s="119" t="s">
        <v>209</v>
      </c>
      <c r="D148" s="119" t="s">
        <v>487</v>
      </c>
      <c r="E148" s="393">
        <f t="shared" si="148"/>
        <v>546559</v>
      </c>
      <c r="F148" s="350">
        <v>546559</v>
      </c>
      <c r="G148" s="350"/>
      <c r="H148" s="350"/>
      <c r="I148" s="350"/>
      <c r="J148" s="393">
        <f t="shared" si="138"/>
        <v>0</v>
      </c>
      <c r="K148" s="350"/>
      <c r="L148" s="350"/>
      <c r="M148" s="350"/>
      <c r="N148" s="350"/>
      <c r="O148" s="351">
        <f>K148</f>
        <v>0</v>
      </c>
      <c r="P148" s="393">
        <f t="shared" si="141"/>
        <v>546559</v>
      </c>
      <c r="Q148" s="20"/>
      <c r="R148" s="50"/>
    </row>
    <row r="149" spans="1:18" s="33" customFormat="1" ht="138.75" thickTop="1" thickBot="1" x14ac:dyDescent="0.25">
      <c r="A149" s="399" t="s">
        <v>738</v>
      </c>
      <c r="B149" s="399" t="s">
        <v>739</v>
      </c>
      <c r="C149" s="399"/>
      <c r="D149" s="399" t="s">
        <v>740</v>
      </c>
      <c r="E149" s="388">
        <f>SUM(E150:E151)</f>
        <v>59360874.700000003</v>
      </c>
      <c r="F149" s="388">
        <f t="shared" ref="F149:P149" si="153">SUM(F150:F151)</f>
        <v>59360874.700000003</v>
      </c>
      <c r="G149" s="388">
        <f t="shared" si="153"/>
        <v>29582030</v>
      </c>
      <c r="H149" s="388">
        <f t="shared" si="153"/>
        <v>1145862.7</v>
      </c>
      <c r="I149" s="388">
        <f t="shared" si="153"/>
        <v>0</v>
      </c>
      <c r="J149" s="388">
        <f t="shared" si="153"/>
        <v>1398799</v>
      </c>
      <c r="K149" s="388">
        <f t="shared" si="153"/>
        <v>668799</v>
      </c>
      <c r="L149" s="388">
        <f t="shared" si="153"/>
        <v>640000</v>
      </c>
      <c r="M149" s="388">
        <f t="shared" si="153"/>
        <v>361000</v>
      </c>
      <c r="N149" s="388">
        <f t="shared" si="153"/>
        <v>55000</v>
      </c>
      <c r="O149" s="388">
        <f t="shared" si="153"/>
        <v>758799</v>
      </c>
      <c r="P149" s="388">
        <f t="shared" si="153"/>
        <v>60759673.700000003</v>
      </c>
      <c r="Q149" s="36"/>
      <c r="R149" s="51"/>
    </row>
    <row r="150" spans="1:18" ht="138.75" thickTop="1" thickBot="1" x14ac:dyDescent="0.25">
      <c r="A150" s="119" t="s">
        <v>271</v>
      </c>
      <c r="B150" s="119" t="s">
        <v>269</v>
      </c>
      <c r="C150" s="119" t="s">
        <v>204</v>
      </c>
      <c r="D150" s="119" t="s">
        <v>17</v>
      </c>
      <c r="E150" s="393">
        <f t="shared" si="148"/>
        <v>49732482.700000003</v>
      </c>
      <c r="F150" s="350">
        <f>(((((42897540)+2880256.09)+4208.61)+3361703+1009845)+50000)-471070</f>
        <v>49732482.700000003</v>
      </c>
      <c r="G150" s="350">
        <f>(23147377)+324930</f>
        <v>23472307</v>
      </c>
      <c r="H150" s="350">
        <f>(((460000+20896+240000+9600)+13680.09)+4208.61)-96000-100000</f>
        <v>552384.69999999995</v>
      </c>
      <c r="I150" s="350"/>
      <c r="J150" s="393">
        <f t="shared" si="138"/>
        <v>874200</v>
      </c>
      <c r="K150" s="350">
        <f>(144200)+764000-764000</f>
        <v>144200</v>
      </c>
      <c r="L150" s="350">
        <v>640000</v>
      </c>
      <c r="M150" s="350">
        <v>361000</v>
      </c>
      <c r="N150" s="350">
        <v>55000</v>
      </c>
      <c r="O150" s="351">
        <f>K150+90000</f>
        <v>234200</v>
      </c>
      <c r="P150" s="393">
        <f t="shared" si="141"/>
        <v>50606682.700000003</v>
      </c>
      <c r="Q150" s="20"/>
      <c r="R150" s="46"/>
    </row>
    <row r="151" spans="1:18" ht="93" thickTop="1" thickBot="1" x14ac:dyDescent="0.25">
      <c r="A151" s="119" t="s">
        <v>272</v>
      </c>
      <c r="B151" s="119" t="s">
        <v>270</v>
      </c>
      <c r="C151" s="119" t="s">
        <v>203</v>
      </c>
      <c r="D151" s="119" t="s">
        <v>459</v>
      </c>
      <c r="E151" s="393">
        <f t="shared" si="148"/>
        <v>9628392</v>
      </c>
      <c r="F151" s="350">
        <f>(((((9450798)+330342)+62546)+12400+63526+199000))-490220</f>
        <v>9628392</v>
      </c>
      <c r="G151" s="350">
        <f>(3615752+2834191)-340220</f>
        <v>6109723</v>
      </c>
      <c r="H151" s="350">
        <v>593478</v>
      </c>
      <c r="I151" s="350"/>
      <c r="J151" s="393">
        <f t="shared" si="138"/>
        <v>524599</v>
      </c>
      <c r="K151" s="350">
        <f>((406000)+95000)+23599</f>
        <v>524599</v>
      </c>
      <c r="L151" s="350"/>
      <c r="M151" s="350"/>
      <c r="N151" s="350"/>
      <c r="O151" s="351">
        <f t="shared" si="147"/>
        <v>524599</v>
      </c>
      <c r="P151" s="393">
        <f t="shared" si="141"/>
        <v>10152991</v>
      </c>
      <c r="Q151" s="20"/>
      <c r="R151" s="46"/>
    </row>
    <row r="152" spans="1:18" ht="48" thickTop="1" thickBot="1" x14ac:dyDescent="0.25">
      <c r="A152" s="399" t="s">
        <v>1035</v>
      </c>
      <c r="B152" s="399" t="s">
        <v>771</v>
      </c>
      <c r="C152" s="399"/>
      <c r="D152" s="399" t="s">
        <v>772</v>
      </c>
      <c r="E152" s="388">
        <f>E153</f>
        <v>9350424.1699999999</v>
      </c>
      <c r="F152" s="388">
        <f t="shared" ref="F152:P152" si="154">F153</f>
        <v>9350424.1699999999</v>
      </c>
      <c r="G152" s="388">
        <f t="shared" si="154"/>
        <v>6547086</v>
      </c>
      <c r="H152" s="388">
        <f t="shared" si="154"/>
        <v>434076.17</v>
      </c>
      <c r="I152" s="388">
        <f t="shared" si="154"/>
        <v>0</v>
      </c>
      <c r="J152" s="388">
        <f t="shared" si="154"/>
        <v>64800</v>
      </c>
      <c r="K152" s="388">
        <f t="shared" si="154"/>
        <v>64800</v>
      </c>
      <c r="L152" s="388">
        <f t="shared" si="154"/>
        <v>0</v>
      </c>
      <c r="M152" s="388">
        <f t="shared" si="154"/>
        <v>0</v>
      </c>
      <c r="N152" s="388">
        <f t="shared" si="154"/>
        <v>0</v>
      </c>
      <c r="O152" s="388">
        <f t="shared" si="154"/>
        <v>64800</v>
      </c>
      <c r="P152" s="388">
        <f t="shared" si="154"/>
        <v>9415224.1699999999</v>
      </c>
      <c r="Q152" s="20"/>
      <c r="R152" s="46"/>
    </row>
    <row r="153" spans="1:18" ht="48" thickTop="1" thickBot="1" x14ac:dyDescent="0.25">
      <c r="A153" s="119" t="s">
        <v>1240</v>
      </c>
      <c r="B153" s="119" t="s">
        <v>188</v>
      </c>
      <c r="C153" s="119" t="s">
        <v>189</v>
      </c>
      <c r="D153" s="119" t="s">
        <v>644</v>
      </c>
      <c r="E153" s="347">
        <f t="shared" ref="E153" si="155">F153</f>
        <v>9350424.1699999999</v>
      </c>
      <c r="F153" s="389">
        <f>(((((((8857655)+115170)+22314.17)+16700)+12480)+33557)+160958)+131590</f>
        <v>9350424.1699999999</v>
      </c>
      <c r="G153" s="389">
        <f>(6439226)+107860</f>
        <v>6547086</v>
      </c>
      <c r="H153" s="389">
        <f>((132665+22900+161200+61440)+22314.17)+33557</f>
        <v>434076.17</v>
      </c>
      <c r="I153" s="389"/>
      <c r="J153" s="393">
        <f t="shared" ref="J153" si="156">L153+O153</f>
        <v>64800</v>
      </c>
      <c r="K153" s="389">
        <f>(25000)+39800</f>
        <v>64800</v>
      </c>
      <c r="L153" s="390"/>
      <c r="M153" s="390"/>
      <c r="N153" s="390"/>
      <c r="O153" s="351">
        <f t="shared" ref="O153" si="157">K153</f>
        <v>64800</v>
      </c>
      <c r="P153" s="393">
        <f>+J153+E153</f>
        <v>9415224.1699999999</v>
      </c>
      <c r="Q153" s="20"/>
      <c r="R153" s="46"/>
    </row>
    <row r="154" spans="1:18" ht="184.5" thickTop="1" thickBot="1" x14ac:dyDescent="0.25">
      <c r="A154" s="119" t="s">
        <v>267</v>
      </c>
      <c r="B154" s="119" t="s">
        <v>268</v>
      </c>
      <c r="C154" s="119" t="s">
        <v>203</v>
      </c>
      <c r="D154" s="119" t="s">
        <v>457</v>
      </c>
      <c r="E154" s="393">
        <f t="shared" si="148"/>
        <v>4173200</v>
      </c>
      <c r="F154" s="350">
        <f>((4673200)-500000)-300000+300000</f>
        <v>4173200</v>
      </c>
      <c r="G154" s="350"/>
      <c r="H154" s="350"/>
      <c r="I154" s="350"/>
      <c r="J154" s="393">
        <f t="shared" si="138"/>
        <v>0</v>
      </c>
      <c r="K154" s="393"/>
      <c r="L154" s="350"/>
      <c r="M154" s="350"/>
      <c r="N154" s="350"/>
      <c r="O154" s="351">
        <f t="shared" si="147"/>
        <v>0</v>
      </c>
      <c r="P154" s="393">
        <f>+J154+E154</f>
        <v>4173200</v>
      </c>
      <c r="Q154" s="20"/>
      <c r="R154" s="50"/>
    </row>
    <row r="155" spans="1:18" ht="48" thickTop="1" thickBot="1" x14ac:dyDescent="0.25">
      <c r="A155" s="399" t="s">
        <v>889</v>
      </c>
      <c r="B155" s="399" t="s">
        <v>890</v>
      </c>
      <c r="C155" s="399"/>
      <c r="D155" s="399" t="s">
        <v>891</v>
      </c>
      <c r="E155" s="388">
        <f t="shared" si="148"/>
        <v>142618</v>
      </c>
      <c r="F155" s="388">
        <f>F156</f>
        <v>142618</v>
      </c>
      <c r="G155" s="388">
        <f t="shared" ref="G155:I155" si="158">G156</f>
        <v>0</v>
      </c>
      <c r="H155" s="388">
        <f t="shared" si="158"/>
        <v>0</v>
      </c>
      <c r="I155" s="388">
        <f t="shared" si="158"/>
        <v>0</v>
      </c>
      <c r="J155" s="388">
        <f t="shared" si="138"/>
        <v>0</v>
      </c>
      <c r="K155" s="388">
        <f t="shared" ref="K155:N155" si="159">K156</f>
        <v>0</v>
      </c>
      <c r="L155" s="388">
        <f t="shared" si="159"/>
        <v>0</v>
      </c>
      <c r="M155" s="388">
        <f t="shared" si="159"/>
        <v>0</v>
      </c>
      <c r="N155" s="388">
        <f t="shared" si="159"/>
        <v>0</v>
      </c>
      <c r="O155" s="388">
        <f t="shared" si="147"/>
        <v>0</v>
      </c>
      <c r="P155" s="388">
        <f>+J155+E155</f>
        <v>142618</v>
      </c>
      <c r="Q155" s="20"/>
      <c r="R155" s="50"/>
    </row>
    <row r="156" spans="1:18" ht="93" thickTop="1" thickBot="1" x14ac:dyDescent="0.25">
      <c r="A156" s="119" t="s">
        <v>488</v>
      </c>
      <c r="B156" s="119" t="s">
        <v>489</v>
      </c>
      <c r="C156" s="119" t="s">
        <v>203</v>
      </c>
      <c r="D156" s="119" t="s">
        <v>490</v>
      </c>
      <c r="E156" s="393">
        <f t="shared" si="148"/>
        <v>142618</v>
      </c>
      <c r="F156" s="350">
        <v>142618</v>
      </c>
      <c r="G156" s="350"/>
      <c r="H156" s="350"/>
      <c r="I156" s="350"/>
      <c r="J156" s="393">
        <f t="shared" si="138"/>
        <v>0</v>
      </c>
      <c r="K156" s="393"/>
      <c r="L156" s="350"/>
      <c r="M156" s="350"/>
      <c r="N156" s="350"/>
      <c r="O156" s="351">
        <f t="shared" si="147"/>
        <v>0</v>
      </c>
      <c r="P156" s="393">
        <f>+J156+E156</f>
        <v>142618</v>
      </c>
      <c r="Q156" s="20"/>
      <c r="R156" s="50"/>
    </row>
    <row r="157" spans="1:18" ht="138.75" thickTop="1" thickBot="1" x14ac:dyDescent="0.25">
      <c r="A157" s="119" t="s">
        <v>352</v>
      </c>
      <c r="B157" s="119" t="s">
        <v>351</v>
      </c>
      <c r="C157" s="119" t="s">
        <v>50</v>
      </c>
      <c r="D157" s="119" t="s">
        <v>458</v>
      </c>
      <c r="E157" s="393">
        <f t="shared" si="148"/>
        <v>2722500</v>
      </c>
      <c r="F157" s="350">
        <f>((3222500)-500000)-300000+300000</f>
        <v>2722500</v>
      </c>
      <c r="G157" s="350"/>
      <c r="H157" s="350"/>
      <c r="I157" s="350"/>
      <c r="J157" s="393">
        <f t="shared" si="138"/>
        <v>0</v>
      </c>
      <c r="K157" s="393"/>
      <c r="L157" s="350"/>
      <c r="M157" s="350"/>
      <c r="N157" s="350"/>
      <c r="O157" s="351">
        <f t="shared" si="147"/>
        <v>0</v>
      </c>
      <c r="P157" s="393">
        <f>E157+J157</f>
        <v>2722500</v>
      </c>
      <c r="Q157" s="20"/>
      <c r="R157" s="50"/>
    </row>
    <row r="158" spans="1:18" s="33" customFormat="1" ht="48" thickTop="1" thickBot="1" x14ac:dyDescent="0.25">
      <c r="A158" s="399" t="s">
        <v>741</v>
      </c>
      <c r="B158" s="399" t="s">
        <v>742</v>
      </c>
      <c r="C158" s="399"/>
      <c r="D158" s="399" t="s">
        <v>743</v>
      </c>
      <c r="E158" s="388">
        <f>E159</f>
        <v>1110000</v>
      </c>
      <c r="F158" s="388">
        <f t="shared" ref="F158:P158" si="160">F159</f>
        <v>1110000</v>
      </c>
      <c r="G158" s="388">
        <f t="shared" si="160"/>
        <v>0</v>
      </c>
      <c r="H158" s="388">
        <f t="shared" si="160"/>
        <v>0</v>
      </c>
      <c r="I158" s="388">
        <f t="shared" si="160"/>
        <v>0</v>
      </c>
      <c r="J158" s="388">
        <f t="shared" si="160"/>
        <v>0</v>
      </c>
      <c r="K158" s="388">
        <f t="shared" si="160"/>
        <v>0</v>
      </c>
      <c r="L158" s="388">
        <f t="shared" si="160"/>
        <v>0</v>
      </c>
      <c r="M158" s="388">
        <f t="shared" si="160"/>
        <v>0</v>
      </c>
      <c r="N158" s="388">
        <f t="shared" si="160"/>
        <v>0</v>
      </c>
      <c r="O158" s="388">
        <f t="shared" si="160"/>
        <v>0</v>
      </c>
      <c r="P158" s="388">
        <f t="shared" si="160"/>
        <v>1110000</v>
      </c>
      <c r="Q158" s="36"/>
      <c r="R158" s="51"/>
    </row>
    <row r="159" spans="1:18" ht="93" thickTop="1" thickBot="1" x14ac:dyDescent="0.25">
      <c r="A159" s="119" t="s">
        <v>329</v>
      </c>
      <c r="B159" s="119" t="s">
        <v>330</v>
      </c>
      <c r="C159" s="119" t="s">
        <v>209</v>
      </c>
      <c r="D159" s="119" t="s">
        <v>641</v>
      </c>
      <c r="E159" s="393">
        <f t="shared" si="148"/>
        <v>1110000</v>
      </c>
      <c r="F159" s="350">
        <f>(600000+110000)+400000</f>
        <v>1110000</v>
      </c>
      <c r="G159" s="350"/>
      <c r="H159" s="350"/>
      <c r="I159" s="350"/>
      <c r="J159" s="393">
        <f t="shared" si="138"/>
        <v>0</v>
      </c>
      <c r="K159" s="350"/>
      <c r="L159" s="350"/>
      <c r="M159" s="350"/>
      <c r="N159" s="350"/>
      <c r="O159" s="351">
        <f t="shared" si="147"/>
        <v>0</v>
      </c>
      <c r="P159" s="393">
        <f>E159+J159</f>
        <v>1110000</v>
      </c>
      <c r="Q159" s="20"/>
      <c r="R159" s="50"/>
    </row>
    <row r="160" spans="1:18" ht="48" thickTop="1" thickBot="1" x14ac:dyDescent="0.25">
      <c r="A160" s="119" t="s">
        <v>432</v>
      </c>
      <c r="B160" s="119" t="s">
        <v>376</v>
      </c>
      <c r="C160" s="119" t="s">
        <v>377</v>
      </c>
      <c r="D160" s="119" t="s">
        <v>375</v>
      </c>
      <c r="E160" s="586">
        <f t="shared" si="148"/>
        <v>117000</v>
      </c>
      <c r="F160" s="350">
        <v>117000</v>
      </c>
      <c r="G160" s="350">
        <f>(90000)+400</f>
        <v>90400</v>
      </c>
      <c r="H160" s="350"/>
      <c r="I160" s="350"/>
      <c r="J160" s="393">
        <f t="shared" si="138"/>
        <v>0</v>
      </c>
      <c r="K160" s="350"/>
      <c r="L160" s="350"/>
      <c r="M160" s="350"/>
      <c r="N160" s="350"/>
      <c r="O160" s="351">
        <f t="shared" si="147"/>
        <v>0</v>
      </c>
      <c r="P160" s="393">
        <f>E160+J160</f>
        <v>117000</v>
      </c>
      <c r="Q160" s="20"/>
      <c r="R160" s="50"/>
    </row>
    <row r="161" spans="1:18" ht="93" thickTop="1" thickBot="1" x14ac:dyDescent="0.25">
      <c r="A161" s="399" t="s">
        <v>1078</v>
      </c>
      <c r="B161" s="399" t="s">
        <v>1079</v>
      </c>
      <c r="C161" s="399"/>
      <c r="D161" s="399" t="s">
        <v>1077</v>
      </c>
      <c r="E161" s="388">
        <f>E162+E166+E170+E173</f>
        <v>0</v>
      </c>
      <c r="F161" s="388">
        <f t="shared" ref="F161:P161" si="161">F162+F166+F170+F173</f>
        <v>0</v>
      </c>
      <c r="G161" s="388">
        <f t="shared" si="161"/>
        <v>0</v>
      </c>
      <c r="H161" s="388">
        <f t="shared" si="161"/>
        <v>0</v>
      </c>
      <c r="I161" s="388">
        <f t="shared" si="161"/>
        <v>0</v>
      </c>
      <c r="J161" s="388">
        <f t="shared" si="161"/>
        <v>112845054.14</v>
      </c>
      <c r="K161" s="388">
        <f t="shared" si="161"/>
        <v>112845054.14</v>
      </c>
      <c r="L161" s="388">
        <f t="shared" si="161"/>
        <v>0</v>
      </c>
      <c r="M161" s="388">
        <f t="shared" si="161"/>
        <v>0</v>
      </c>
      <c r="N161" s="388">
        <f t="shared" si="161"/>
        <v>0</v>
      </c>
      <c r="O161" s="388">
        <f t="shared" si="161"/>
        <v>112845054.14</v>
      </c>
      <c r="P161" s="388">
        <f t="shared" si="161"/>
        <v>112845054.14</v>
      </c>
      <c r="Q161" s="20"/>
      <c r="R161" s="50"/>
    </row>
    <row r="162" spans="1:18" ht="256.5" customHeight="1" thickTop="1" x14ac:dyDescent="0.65">
      <c r="A162" s="694" t="s">
        <v>1080</v>
      </c>
      <c r="B162" s="694" t="s">
        <v>1081</v>
      </c>
      <c r="C162" s="694" t="s">
        <v>50</v>
      </c>
      <c r="D162" s="631" t="s">
        <v>1533</v>
      </c>
      <c r="E162" s="682">
        <f t="shared" ref="E162:E166" si="162">F162</f>
        <v>0</v>
      </c>
      <c r="F162" s="682"/>
      <c r="G162" s="682"/>
      <c r="H162" s="682"/>
      <c r="I162" s="682"/>
      <c r="J162" s="682">
        <f t="shared" ref="J162:J166" si="163">L162+O162</f>
        <v>60048682.840000004</v>
      </c>
      <c r="K162" s="695">
        <v>60048682.840000004</v>
      </c>
      <c r="L162" s="682"/>
      <c r="M162" s="682"/>
      <c r="N162" s="682"/>
      <c r="O162" s="695">
        <f t="shared" ref="O162:O166" si="164">K162</f>
        <v>60048682.840000004</v>
      </c>
      <c r="P162" s="682">
        <f t="shared" ref="P162:P166" si="165">E162+J162</f>
        <v>60048682.840000004</v>
      </c>
      <c r="Q162" s="697"/>
      <c r="R162" s="679"/>
    </row>
    <row r="163" spans="1:18" ht="238.5" customHeight="1" x14ac:dyDescent="0.2">
      <c r="A163" s="683"/>
      <c r="B163" s="683"/>
      <c r="C163" s="683"/>
      <c r="D163" s="632" t="s">
        <v>1534</v>
      </c>
      <c r="E163" s="683"/>
      <c r="F163" s="683"/>
      <c r="G163" s="683"/>
      <c r="H163" s="683"/>
      <c r="I163" s="683"/>
      <c r="J163" s="683"/>
      <c r="K163" s="683"/>
      <c r="L163" s="683"/>
      <c r="M163" s="683"/>
      <c r="N163" s="683"/>
      <c r="O163" s="683"/>
      <c r="P163" s="683"/>
      <c r="Q163" s="697"/>
      <c r="R163" s="680"/>
    </row>
    <row r="164" spans="1:18" ht="220.5" customHeight="1" x14ac:dyDescent="0.2">
      <c r="A164" s="683"/>
      <c r="B164" s="683"/>
      <c r="C164" s="683"/>
      <c r="D164" s="632" t="s">
        <v>1535</v>
      </c>
      <c r="E164" s="683"/>
      <c r="F164" s="683"/>
      <c r="G164" s="683"/>
      <c r="H164" s="683"/>
      <c r="I164" s="683"/>
      <c r="J164" s="683"/>
      <c r="K164" s="683"/>
      <c r="L164" s="683"/>
      <c r="M164" s="683"/>
      <c r="N164" s="683"/>
      <c r="O164" s="683"/>
      <c r="P164" s="683"/>
      <c r="Q164" s="697"/>
      <c r="R164" s="680"/>
    </row>
    <row r="165" spans="1:18" ht="166.5" customHeight="1" thickBot="1" x14ac:dyDescent="0.25">
      <c r="A165" s="684"/>
      <c r="B165" s="684"/>
      <c r="C165" s="684"/>
      <c r="D165" s="633" t="s">
        <v>1536</v>
      </c>
      <c r="E165" s="684"/>
      <c r="F165" s="684"/>
      <c r="G165" s="684"/>
      <c r="H165" s="684"/>
      <c r="I165" s="684"/>
      <c r="J165" s="684"/>
      <c r="K165" s="684"/>
      <c r="L165" s="684"/>
      <c r="M165" s="684"/>
      <c r="N165" s="684"/>
      <c r="O165" s="684"/>
      <c r="P165" s="684"/>
      <c r="Q165" s="697"/>
      <c r="R165" s="680"/>
    </row>
    <row r="166" spans="1:18" ht="277.5" customHeight="1" thickTop="1" x14ac:dyDescent="0.65">
      <c r="A166" s="694" t="s">
        <v>1083</v>
      </c>
      <c r="B166" s="694" t="s">
        <v>1084</v>
      </c>
      <c r="C166" s="694" t="s">
        <v>50</v>
      </c>
      <c r="D166" s="631" t="s">
        <v>1082</v>
      </c>
      <c r="E166" s="682">
        <f t="shared" si="162"/>
        <v>0</v>
      </c>
      <c r="F166" s="682"/>
      <c r="G166" s="682"/>
      <c r="H166" s="682"/>
      <c r="I166" s="682"/>
      <c r="J166" s="682">
        <f t="shared" si="163"/>
        <v>34451671.970000006</v>
      </c>
      <c r="K166" s="695">
        <f>((25469713.26)+9382915)-400956.29</f>
        <v>34451671.970000006</v>
      </c>
      <c r="L166" s="682"/>
      <c r="M166" s="682"/>
      <c r="N166" s="682"/>
      <c r="O166" s="682">
        <f t="shared" si="164"/>
        <v>34451671.970000006</v>
      </c>
      <c r="P166" s="682">
        <f t="shared" si="165"/>
        <v>34451671.970000006</v>
      </c>
      <c r="Q166" s="20"/>
      <c r="R166" s="679"/>
    </row>
    <row r="167" spans="1:18" ht="298.5" customHeight="1" x14ac:dyDescent="0.2">
      <c r="A167" s="683"/>
      <c r="B167" s="683"/>
      <c r="C167" s="683"/>
      <c r="D167" s="632" t="s">
        <v>1537</v>
      </c>
      <c r="E167" s="683"/>
      <c r="F167" s="683"/>
      <c r="G167" s="683"/>
      <c r="H167" s="683"/>
      <c r="I167" s="683"/>
      <c r="J167" s="683"/>
      <c r="K167" s="683"/>
      <c r="L167" s="683"/>
      <c r="M167" s="683"/>
      <c r="N167" s="683"/>
      <c r="O167" s="683"/>
      <c r="P167" s="683"/>
      <c r="Q167" s="20"/>
      <c r="R167" s="696"/>
    </row>
    <row r="168" spans="1:18" ht="283.5" customHeight="1" x14ac:dyDescent="0.2">
      <c r="A168" s="683"/>
      <c r="B168" s="683"/>
      <c r="C168" s="683"/>
      <c r="D168" s="632" t="s">
        <v>1538</v>
      </c>
      <c r="E168" s="683"/>
      <c r="F168" s="683"/>
      <c r="G168" s="683"/>
      <c r="H168" s="683"/>
      <c r="I168" s="683"/>
      <c r="J168" s="683"/>
      <c r="K168" s="683"/>
      <c r="L168" s="683"/>
      <c r="M168" s="683"/>
      <c r="N168" s="683"/>
      <c r="O168" s="683"/>
      <c r="P168" s="683"/>
      <c r="Q168" s="20"/>
      <c r="R168" s="696"/>
    </row>
    <row r="169" spans="1:18" ht="92.25" thickBot="1" x14ac:dyDescent="0.25">
      <c r="A169" s="684"/>
      <c r="B169" s="684"/>
      <c r="C169" s="684"/>
      <c r="D169" s="633" t="s">
        <v>1539</v>
      </c>
      <c r="E169" s="684"/>
      <c r="F169" s="684"/>
      <c r="G169" s="684"/>
      <c r="H169" s="684"/>
      <c r="I169" s="684"/>
      <c r="J169" s="684"/>
      <c r="K169" s="684"/>
      <c r="L169" s="684"/>
      <c r="M169" s="684"/>
      <c r="N169" s="684"/>
      <c r="O169" s="684"/>
      <c r="P169" s="684"/>
      <c r="Q169" s="20"/>
      <c r="R169" s="696"/>
    </row>
    <row r="170" spans="1:18" ht="310.5" customHeight="1" thickTop="1" x14ac:dyDescent="0.65">
      <c r="A170" s="694" t="s">
        <v>1085</v>
      </c>
      <c r="B170" s="694" t="s">
        <v>1086</v>
      </c>
      <c r="C170" s="694" t="s">
        <v>50</v>
      </c>
      <c r="D170" s="631" t="s">
        <v>1540</v>
      </c>
      <c r="E170" s="682">
        <f t="shared" ref="E170" si="166">F170</f>
        <v>0</v>
      </c>
      <c r="F170" s="682"/>
      <c r="G170" s="682"/>
      <c r="H170" s="682"/>
      <c r="I170" s="682"/>
      <c r="J170" s="682">
        <f t="shared" ref="J170" si="167">L170+O170</f>
        <v>18344699.329999998</v>
      </c>
      <c r="K170" s="695">
        <f>(16166689.19)+2178010.14</f>
        <v>18344699.329999998</v>
      </c>
      <c r="L170" s="682"/>
      <c r="M170" s="682"/>
      <c r="N170" s="682"/>
      <c r="O170" s="695">
        <f t="shared" ref="O170" si="168">K170</f>
        <v>18344699.329999998</v>
      </c>
      <c r="P170" s="682">
        <f t="shared" ref="P170" si="169">E170+J170</f>
        <v>18344699.329999998</v>
      </c>
      <c r="Q170" s="20"/>
      <c r="R170" s="679"/>
    </row>
    <row r="171" spans="1:18" ht="268.5" customHeight="1" x14ac:dyDescent="0.2">
      <c r="A171" s="683"/>
      <c r="B171" s="683"/>
      <c r="C171" s="683"/>
      <c r="D171" s="632" t="s">
        <v>1541</v>
      </c>
      <c r="E171" s="683"/>
      <c r="F171" s="683"/>
      <c r="G171" s="683"/>
      <c r="H171" s="683"/>
      <c r="I171" s="683"/>
      <c r="J171" s="683"/>
      <c r="K171" s="683"/>
      <c r="L171" s="683"/>
      <c r="M171" s="683"/>
      <c r="N171" s="683"/>
      <c r="O171" s="683"/>
      <c r="P171" s="683"/>
      <c r="Q171" s="20"/>
      <c r="R171" s="680"/>
    </row>
    <row r="172" spans="1:18" ht="92.25" thickBot="1" x14ac:dyDescent="0.25">
      <c r="A172" s="684"/>
      <c r="B172" s="684"/>
      <c r="C172" s="684"/>
      <c r="D172" s="633" t="s">
        <v>1087</v>
      </c>
      <c r="E172" s="684"/>
      <c r="F172" s="684"/>
      <c r="G172" s="684"/>
      <c r="H172" s="684"/>
      <c r="I172" s="684"/>
      <c r="J172" s="684"/>
      <c r="K172" s="684"/>
      <c r="L172" s="684"/>
      <c r="M172" s="684"/>
      <c r="N172" s="684"/>
      <c r="O172" s="684"/>
      <c r="P172" s="684"/>
      <c r="Q172" s="20"/>
      <c r="R172" s="680"/>
    </row>
    <row r="173" spans="1:18" ht="183.75" hidden="1" thickTop="1" x14ac:dyDescent="0.65">
      <c r="A173" s="681" t="s">
        <v>1091</v>
      </c>
      <c r="B173" s="681" t="s">
        <v>1092</v>
      </c>
      <c r="C173" s="681" t="s">
        <v>50</v>
      </c>
      <c r="D173" s="484" t="s">
        <v>1088</v>
      </c>
      <c r="E173" s="682">
        <f t="shared" ref="E173" si="170">F173</f>
        <v>0</v>
      </c>
      <c r="F173" s="682"/>
      <c r="G173" s="682"/>
      <c r="H173" s="682"/>
      <c r="I173" s="682"/>
      <c r="J173" s="682">
        <f t="shared" ref="J173" si="171">L173+O173</f>
        <v>0</v>
      </c>
      <c r="K173" s="678">
        <v>0</v>
      </c>
      <c r="L173" s="675"/>
      <c r="M173" s="675"/>
      <c r="N173" s="675"/>
      <c r="O173" s="678">
        <f t="shared" ref="O173" si="172">K173</f>
        <v>0</v>
      </c>
      <c r="P173" s="675">
        <f t="shared" ref="P173" si="173">E173+J173</f>
        <v>0</v>
      </c>
      <c r="Q173" s="20"/>
      <c r="R173" s="679"/>
    </row>
    <row r="174" spans="1:18" ht="183" hidden="1" x14ac:dyDescent="0.2">
      <c r="A174" s="676"/>
      <c r="B174" s="676"/>
      <c r="C174" s="676"/>
      <c r="D174" s="485" t="s">
        <v>1089</v>
      </c>
      <c r="E174" s="683"/>
      <c r="F174" s="683"/>
      <c r="G174" s="683"/>
      <c r="H174" s="683"/>
      <c r="I174" s="683"/>
      <c r="J174" s="683"/>
      <c r="K174" s="676"/>
      <c r="L174" s="676"/>
      <c r="M174" s="676"/>
      <c r="N174" s="676"/>
      <c r="O174" s="676"/>
      <c r="P174" s="676"/>
      <c r="Q174" s="20"/>
      <c r="R174" s="680"/>
    </row>
    <row r="175" spans="1:18" ht="46.5" hidden="1" thickBot="1" x14ac:dyDescent="0.25">
      <c r="A175" s="677"/>
      <c r="B175" s="677"/>
      <c r="C175" s="677"/>
      <c r="D175" s="486" t="s">
        <v>1090</v>
      </c>
      <c r="E175" s="684"/>
      <c r="F175" s="684"/>
      <c r="G175" s="684"/>
      <c r="H175" s="684"/>
      <c r="I175" s="684"/>
      <c r="J175" s="684"/>
      <c r="K175" s="677"/>
      <c r="L175" s="677"/>
      <c r="M175" s="677"/>
      <c r="N175" s="677"/>
      <c r="O175" s="677"/>
      <c r="P175" s="677"/>
      <c r="Q175" s="20"/>
      <c r="R175" s="680"/>
    </row>
    <row r="176" spans="1:18" ht="93" thickTop="1" thickBot="1" x14ac:dyDescent="0.25">
      <c r="A176" s="119" t="s">
        <v>1228</v>
      </c>
      <c r="B176" s="119" t="s">
        <v>1225</v>
      </c>
      <c r="C176" s="119" t="s">
        <v>210</v>
      </c>
      <c r="D176" s="413" t="s">
        <v>1226</v>
      </c>
      <c r="E176" s="586">
        <f t="shared" ref="E176" si="174">F176</f>
        <v>9322150</v>
      </c>
      <c r="F176" s="350">
        <f>((5000000)+107700+50000+199000+1089450+400000+1310000-525000)+1901000-400000+190000</f>
        <v>9322150</v>
      </c>
      <c r="G176" s="350"/>
      <c r="H176" s="350"/>
      <c r="I176" s="350"/>
      <c r="J176" s="393">
        <f t="shared" ref="J176" si="175">L176+O176</f>
        <v>63587442</v>
      </c>
      <c r="K176" s="350">
        <f>((((5000000)+(40318548-107700-400000+9300000)+1000000+350000+98000+1450000)+599937+490238+10000000+5000000+1490000)-850000+3242889)-13394470</f>
        <v>63587442</v>
      </c>
      <c r="L176" s="350"/>
      <c r="M176" s="350"/>
      <c r="N176" s="350"/>
      <c r="O176" s="351">
        <f t="shared" ref="O176" si="176">K176</f>
        <v>63587442</v>
      </c>
      <c r="P176" s="393">
        <f>E176+J176</f>
        <v>72909592</v>
      </c>
      <c r="Q176" s="20"/>
      <c r="R176" s="21"/>
    </row>
    <row r="177" spans="1:18" s="33" customFormat="1" ht="48" thickTop="1" thickBot="1" x14ac:dyDescent="0.25">
      <c r="A177" s="399" t="s">
        <v>744</v>
      </c>
      <c r="B177" s="399" t="s">
        <v>745</v>
      </c>
      <c r="C177" s="399"/>
      <c r="D177" s="399" t="s">
        <v>746</v>
      </c>
      <c r="E177" s="388">
        <f>SUM(E178:E179)</f>
        <v>72157206</v>
      </c>
      <c r="F177" s="388">
        <f t="shared" ref="F177:P177" si="177">SUM(F178:F179)</f>
        <v>72157206</v>
      </c>
      <c r="G177" s="388">
        <f t="shared" si="177"/>
        <v>8708369</v>
      </c>
      <c r="H177" s="388">
        <f t="shared" si="177"/>
        <v>1704977</v>
      </c>
      <c r="I177" s="388">
        <f t="shared" si="177"/>
        <v>0</v>
      </c>
      <c r="J177" s="388">
        <f t="shared" si="177"/>
        <v>28093739</v>
      </c>
      <c r="K177" s="388">
        <f t="shared" si="177"/>
        <v>20532210</v>
      </c>
      <c r="L177" s="388">
        <f t="shared" si="177"/>
        <v>7486529</v>
      </c>
      <c r="M177" s="388">
        <f t="shared" si="177"/>
        <v>2411020</v>
      </c>
      <c r="N177" s="388">
        <f t="shared" si="177"/>
        <v>723110</v>
      </c>
      <c r="O177" s="388">
        <f t="shared" si="177"/>
        <v>20607210</v>
      </c>
      <c r="P177" s="388">
        <f t="shared" si="177"/>
        <v>100250945</v>
      </c>
      <c r="Q177" s="36"/>
      <c r="R177" s="51"/>
    </row>
    <row r="178" spans="1:18" ht="93" thickTop="1" thickBot="1" x14ac:dyDescent="0.25">
      <c r="A178" s="119" t="s">
        <v>331</v>
      </c>
      <c r="B178" s="119" t="s">
        <v>333</v>
      </c>
      <c r="C178" s="119" t="s">
        <v>195</v>
      </c>
      <c r="D178" s="413" t="s">
        <v>335</v>
      </c>
      <c r="E178" s="393">
        <f t="shared" si="148"/>
        <v>24895477</v>
      </c>
      <c r="F178" s="350">
        <f>((((((14017567)+840600+184900+2193237+128340+53992+40000+248684+133000+37300)+46670)+137100+200000+428800+95066+20000+720474+158504+40000+85962+12000+40340+15000+11000+19000+300600+49534+35000+1000000+43030-222575-49000+437622+1200000+573287+20000+11000+33000+75581+131577+150000+199000)+60000+10000+36000+12000+5300+11547)+46226+320212)+499000</f>
        <v>24895477</v>
      </c>
      <c r="G178" s="389">
        <f>(((2640302+2693831+1937331)+840600)+720474-222575)+98406</f>
        <v>8708369</v>
      </c>
      <c r="H178" s="389">
        <f>((31650+235100+40550+93360+440000+207240+260480+25227)+128340)+200000+43030</f>
        <v>1704977</v>
      </c>
      <c r="I178" s="350"/>
      <c r="J178" s="393">
        <f t="shared" ref="J178:J191" si="178">L178+O178</f>
        <v>12535739</v>
      </c>
      <c r="K178" s="350">
        <f>((((496940)+451590)+595000+46400+25000+332000+410000+610000+250000+401150+63000+149500+198000+94000+570000+20000+25000+137000+55930)+198000)-154300</f>
        <v>4974210</v>
      </c>
      <c r="L178" s="350">
        <f>(1000000+211210)+1468040+322969+220000+57650+3663660+190000+350000+3000</f>
        <v>7486529</v>
      </c>
      <c r="M178" s="350">
        <f>((350000+5000)+1468040)+587980</f>
        <v>2411020</v>
      </c>
      <c r="N178" s="350">
        <f>((158000+195110)+350000)+20000</f>
        <v>723110</v>
      </c>
      <c r="O178" s="351">
        <f>(K178)+75000</f>
        <v>5049210</v>
      </c>
      <c r="P178" s="393">
        <f t="shared" ref="P178:P191" si="179">E178+J178</f>
        <v>37431216</v>
      </c>
      <c r="Q178" s="20"/>
      <c r="R178" s="46"/>
    </row>
    <row r="179" spans="1:18" ht="48" thickTop="1" thickBot="1" x14ac:dyDescent="0.25">
      <c r="A179" s="119" t="s">
        <v>332</v>
      </c>
      <c r="B179" s="119" t="s">
        <v>334</v>
      </c>
      <c r="C179" s="119" t="s">
        <v>195</v>
      </c>
      <c r="D179" s="413" t="s">
        <v>336</v>
      </c>
      <c r="E179" s="393">
        <f t="shared" si="148"/>
        <v>47261729</v>
      </c>
      <c r="F179" s="350">
        <f>((((((27546299)-1800000+5000000+14400+50400+500000+598500+250000+11500)+6000000)+5132995)+132000+22500+50000)-3500000+4500000+803135)+1000000+500000+450000</f>
        <v>47261729</v>
      </c>
      <c r="G179" s="350"/>
      <c r="H179" s="350"/>
      <c r="I179" s="350"/>
      <c r="J179" s="393">
        <f t="shared" si="178"/>
        <v>15558000</v>
      </c>
      <c r="K179" s="350">
        <f>(((18038400)+415600)+200000)-3096000</f>
        <v>15558000</v>
      </c>
      <c r="L179" s="350"/>
      <c r="M179" s="350"/>
      <c r="N179" s="350"/>
      <c r="O179" s="351">
        <f t="shared" ref="O179:O191" si="180">K179</f>
        <v>15558000</v>
      </c>
      <c r="P179" s="393">
        <f t="shared" si="179"/>
        <v>62819729</v>
      </c>
      <c r="Q179" s="20"/>
      <c r="R179" s="46"/>
    </row>
    <row r="180" spans="1:18" ht="47.25" thickTop="1" thickBot="1" x14ac:dyDescent="0.25">
      <c r="A180" s="346" t="s">
        <v>747</v>
      </c>
      <c r="B180" s="346" t="s">
        <v>748</v>
      </c>
      <c r="C180" s="346"/>
      <c r="D180" s="476" t="s">
        <v>749</v>
      </c>
      <c r="E180" s="393">
        <f>SUM(E181)</f>
        <v>0</v>
      </c>
      <c r="F180" s="393">
        <f t="shared" ref="F180:P180" si="181">SUM(F181)</f>
        <v>0</v>
      </c>
      <c r="G180" s="393">
        <f t="shared" si="181"/>
        <v>0</v>
      </c>
      <c r="H180" s="393">
        <f t="shared" si="181"/>
        <v>0</v>
      </c>
      <c r="I180" s="393">
        <f t="shared" si="181"/>
        <v>0</v>
      </c>
      <c r="J180" s="393">
        <f>SUM(J181)</f>
        <v>10000000</v>
      </c>
      <c r="K180" s="393">
        <f t="shared" si="181"/>
        <v>10000000</v>
      </c>
      <c r="L180" s="393">
        <f t="shared" si="181"/>
        <v>0</v>
      </c>
      <c r="M180" s="393">
        <f t="shared" si="181"/>
        <v>0</v>
      </c>
      <c r="N180" s="393">
        <f t="shared" si="181"/>
        <v>0</v>
      </c>
      <c r="O180" s="393">
        <f t="shared" si="181"/>
        <v>10000000</v>
      </c>
      <c r="P180" s="393">
        <f t="shared" si="181"/>
        <v>10000000</v>
      </c>
      <c r="Q180" s="20"/>
      <c r="R180" s="46"/>
    </row>
    <row r="181" spans="1:18" s="33" customFormat="1" ht="48" thickTop="1" thickBot="1" x14ac:dyDescent="0.25">
      <c r="A181" s="399" t="s">
        <v>750</v>
      </c>
      <c r="B181" s="399" t="s">
        <v>751</v>
      </c>
      <c r="C181" s="399"/>
      <c r="D181" s="487" t="s">
        <v>752</v>
      </c>
      <c r="E181" s="388">
        <f>SUM(E182:E183)</f>
        <v>0</v>
      </c>
      <c r="F181" s="388">
        <f>SUM(F182:F183)</f>
        <v>0</v>
      </c>
      <c r="G181" s="388">
        <f>SUM(G182:G183)</f>
        <v>0</v>
      </c>
      <c r="H181" s="388">
        <f>SUM(H182:H183)</f>
        <v>0</v>
      </c>
      <c r="I181" s="388">
        <f>SUM(I182:I183)</f>
        <v>0</v>
      </c>
      <c r="J181" s="388">
        <f t="shared" ref="J181:O181" si="182">SUM(J182:J183)</f>
        <v>10000000</v>
      </c>
      <c r="K181" s="388">
        <f t="shared" si="182"/>
        <v>10000000</v>
      </c>
      <c r="L181" s="388">
        <f t="shared" si="182"/>
        <v>0</v>
      </c>
      <c r="M181" s="388">
        <f t="shared" si="182"/>
        <v>0</v>
      </c>
      <c r="N181" s="388">
        <f t="shared" si="182"/>
        <v>0</v>
      </c>
      <c r="O181" s="388">
        <f t="shared" si="182"/>
        <v>10000000</v>
      </c>
      <c r="P181" s="388">
        <f>SUM(P182:P183)</f>
        <v>10000000</v>
      </c>
      <c r="Q181" s="36"/>
      <c r="R181" s="52"/>
    </row>
    <row r="182" spans="1:18" ht="93" thickTop="1" thickBot="1" x14ac:dyDescent="0.25">
      <c r="A182" s="119" t="s">
        <v>371</v>
      </c>
      <c r="B182" s="119" t="s">
        <v>369</v>
      </c>
      <c r="C182" s="119" t="s">
        <v>344</v>
      </c>
      <c r="D182" s="413" t="s">
        <v>370</v>
      </c>
      <c r="E182" s="393">
        <f t="shared" si="148"/>
        <v>0</v>
      </c>
      <c r="F182" s="350"/>
      <c r="G182" s="350"/>
      <c r="H182" s="350"/>
      <c r="I182" s="350"/>
      <c r="J182" s="393">
        <f t="shared" si="178"/>
        <v>10000000</v>
      </c>
      <c r="K182" s="350">
        <v>10000000</v>
      </c>
      <c r="L182" s="350"/>
      <c r="M182" s="350"/>
      <c r="N182" s="350"/>
      <c r="O182" s="351">
        <f t="shared" si="180"/>
        <v>10000000</v>
      </c>
      <c r="P182" s="393">
        <f t="shared" si="179"/>
        <v>10000000</v>
      </c>
      <c r="Q182" s="20"/>
      <c r="R182" s="46"/>
    </row>
    <row r="183" spans="1:18" ht="184.5" hidden="1" thickTop="1" thickBot="1" x14ac:dyDescent="0.25">
      <c r="A183" s="41" t="s">
        <v>1093</v>
      </c>
      <c r="B183" s="41" t="s">
        <v>1094</v>
      </c>
      <c r="C183" s="41" t="s">
        <v>344</v>
      </c>
      <c r="D183" s="170" t="s">
        <v>1095</v>
      </c>
      <c r="E183" s="42">
        <f t="shared" si="148"/>
        <v>0</v>
      </c>
      <c r="F183" s="43"/>
      <c r="G183" s="43"/>
      <c r="H183" s="43"/>
      <c r="I183" s="43"/>
      <c r="J183" s="42">
        <f t="shared" si="178"/>
        <v>0</v>
      </c>
      <c r="K183" s="43">
        <v>0</v>
      </c>
      <c r="L183" s="43"/>
      <c r="M183" s="43"/>
      <c r="N183" s="43"/>
      <c r="O183" s="44">
        <f t="shared" si="180"/>
        <v>0</v>
      </c>
      <c r="P183" s="42">
        <f t="shared" si="179"/>
        <v>0</v>
      </c>
      <c r="Q183" s="20"/>
      <c r="R183" s="46"/>
    </row>
    <row r="184" spans="1:18" ht="47.25" thickTop="1" thickBot="1" x14ac:dyDescent="0.25">
      <c r="A184" s="346" t="s">
        <v>757</v>
      </c>
      <c r="B184" s="346" t="s">
        <v>754</v>
      </c>
      <c r="C184" s="346"/>
      <c r="D184" s="346" t="s">
        <v>755</v>
      </c>
      <c r="E184" s="393">
        <f>E188+E185</f>
        <v>20000</v>
      </c>
      <c r="F184" s="393">
        <f t="shared" ref="F184:P184" si="183">F188+F185</f>
        <v>20000</v>
      </c>
      <c r="G184" s="393">
        <f t="shared" si="183"/>
        <v>0</v>
      </c>
      <c r="H184" s="393">
        <f t="shared" si="183"/>
        <v>0</v>
      </c>
      <c r="I184" s="393">
        <f t="shared" si="183"/>
        <v>0</v>
      </c>
      <c r="J184" s="393">
        <f t="shared" si="183"/>
        <v>8829000</v>
      </c>
      <c r="K184" s="393">
        <f t="shared" si="183"/>
        <v>8829000</v>
      </c>
      <c r="L184" s="393">
        <f t="shared" si="183"/>
        <v>0</v>
      </c>
      <c r="M184" s="393">
        <f t="shared" si="183"/>
        <v>0</v>
      </c>
      <c r="N184" s="393">
        <f t="shared" si="183"/>
        <v>0</v>
      </c>
      <c r="O184" s="393">
        <f t="shared" si="183"/>
        <v>8829000</v>
      </c>
      <c r="P184" s="393">
        <f t="shared" si="183"/>
        <v>8849000</v>
      </c>
      <c r="Q184" s="20"/>
      <c r="R184" s="46"/>
    </row>
    <row r="185" spans="1:18" ht="47.25" thickTop="1" thickBot="1" x14ac:dyDescent="0.25">
      <c r="A185" s="348" t="s">
        <v>935</v>
      </c>
      <c r="B185" s="348" t="s">
        <v>810</v>
      </c>
      <c r="C185" s="348"/>
      <c r="D185" s="348" t="s">
        <v>811</v>
      </c>
      <c r="E185" s="352">
        <f>E186</f>
        <v>0</v>
      </c>
      <c r="F185" s="352">
        <f t="shared" ref="F185:P190" si="184">F186</f>
        <v>0</v>
      </c>
      <c r="G185" s="352">
        <f t="shared" si="184"/>
        <v>0</v>
      </c>
      <c r="H185" s="352">
        <f t="shared" si="184"/>
        <v>0</v>
      </c>
      <c r="I185" s="352">
        <f t="shared" si="184"/>
        <v>0</v>
      </c>
      <c r="J185" s="352">
        <f t="shared" si="184"/>
        <v>29000</v>
      </c>
      <c r="K185" s="352">
        <f t="shared" si="184"/>
        <v>29000</v>
      </c>
      <c r="L185" s="352">
        <f t="shared" si="184"/>
        <v>0</v>
      </c>
      <c r="M185" s="352">
        <f t="shared" si="184"/>
        <v>0</v>
      </c>
      <c r="N185" s="352">
        <f t="shared" si="184"/>
        <v>0</v>
      </c>
      <c r="O185" s="352">
        <f t="shared" si="184"/>
        <v>29000</v>
      </c>
      <c r="P185" s="352">
        <f t="shared" si="184"/>
        <v>29000</v>
      </c>
      <c r="Q185" s="20"/>
      <c r="R185" s="46"/>
    </row>
    <row r="186" spans="1:18" ht="54.75" thickTop="1" thickBot="1" x14ac:dyDescent="0.25">
      <c r="A186" s="399" t="s">
        <v>932</v>
      </c>
      <c r="B186" s="399" t="s">
        <v>828</v>
      </c>
      <c r="C186" s="399"/>
      <c r="D186" s="399" t="s">
        <v>1308</v>
      </c>
      <c r="E186" s="388">
        <f>E187</f>
        <v>0</v>
      </c>
      <c r="F186" s="388">
        <f t="shared" si="184"/>
        <v>0</v>
      </c>
      <c r="G186" s="388">
        <f t="shared" si="184"/>
        <v>0</v>
      </c>
      <c r="H186" s="388">
        <f t="shared" si="184"/>
        <v>0</v>
      </c>
      <c r="I186" s="388">
        <f t="shared" si="184"/>
        <v>0</v>
      </c>
      <c r="J186" s="388">
        <f t="shared" si="184"/>
        <v>29000</v>
      </c>
      <c r="K186" s="388">
        <f t="shared" si="184"/>
        <v>29000</v>
      </c>
      <c r="L186" s="388">
        <f t="shared" si="184"/>
        <v>0</v>
      </c>
      <c r="M186" s="388">
        <f t="shared" si="184"/>
        <v>0</v>
      </c>
      <c r="N186" s="388">
        <f t="shared" si="184"/>
        <v>0</v>
      </c>
      <c r="O186" s="388">
        <f t="shared" si="184"/>
        <v>29000</v>
      </c>
      <c r="P186" s="388">
        <f t="shared" si="184"/>
        <v>29000</v>
      </c>
      <c r="Q186" s="20"/>
      <c r="R186" s="46"/>
    </row>
    <row r="187" spans="1:18" ht="54" thickTop="1" thickBot="1" x14ac:dyDescent="0.25">
      <c r="A187" s="119" t="s">
        <v>933</v>
      </c>
      <c r="B187" s="119" t="s">
        <v>934</v>
      </c>
      <c r="C187" s="119" t="s">
        <v>308</v>
      </c>
      <c r="D187" s="119" t="s">
        <v>1561</v>
      </c>
      <c r="E187" s="393"/>
      <c r="F187" s="350"/>
      <c r="G187" s="350"/>
      <c r="H187" s="350"/>
      <c r="I187" s="350"/>
      <c r="J187" s="393">
        <f>L187+O187</f>
        <v>29000</v>
      </c>
      <c r="K187" s="350">
        <f>29000</f>
        <v>29000</v>
      </c>
      <c r="L187" s="350"/>
      <c r="M187" s="350"/>
      <c r="N187" s="350"/>
      <c r="O187" s="351">
        <f>K187</f>
        <v>29000</v>
      </c>
      <c r="P187" s="393">
        <f>E187+J187</f>
        <v>29000</v>
      </c>
      <c r="Q187" s="20"/>
      <c r="R187" s="46"/>
    </row>
    <row r="188" spans="1:18" ht="47.25" thickTop="1" thickBot="1" x14ac:dyDescent="0.25">
      <c r="A188" s="348" t="s">
        <v>759</v>
      </c>
      <c r="B188" s="348" t="s">
        <v>697</v>
      </c>
      <c r="C188" s="348"/>
      <c r="D188" s="348" t="s">
        <v>695</v>
      </c>
      <c r="E188" s="352">
        <f>E190+E189</f>
        <v>20000</v>
      </c>
      <c r="F188" s="352">
        <f t="shared" ref="F188:I188" si="185">F190+F189</f>
        <v>20000</v>
      </c>
      <c r="G188" s="352">
        <f t="shared" si="185"/>
        <v>0</v>
      </c>
      <c r="H188" s="352">
        <f t="shared" si="185"/>
        <v>0</v>
      </c>
      <c r="I188" s="352">
        <f t="shared" si="185"/>
        <v>0</v>
      </c>
      <c r="J188" s="352">
        <f>J190+J189</f>
        <v>8800000</v>
      </c>
      <c r="K188" s="352">
        <f t="shared" ref="K188" si="186">K190+K189</f>
        <v>8800000</v>
      </c>
      <c r="L188" s="352">
        <f t="shared" ref="L188" si="187">L190+L189</f>
        <v>0</v>
      </c>
      <c r="M188" s="352">
        <f t="shared" ref="M188" si="188">M190+M189</f>
        <v>0</v>
      </c>
      <c r="N188" s="352">
        <f t="shared" ref="N188" si="189">N190+N189</f>
        <v>0</v>
      </c>
      <c r="O188" s="352">
        <f t="shared" ref="O188" si="190">O190+O189</f>
        <v>8800000</v>
      </c>
      <c r="P188" s="352">
        <f>P190+P189</f>
        <v>8820000</v>
      </c>
      <c r="Q188" s="20"/>
      <c r="R188" s="46"/>
    </row>
    <row r="189" spans="1:18" ht="48" thickTop="1" thickBot="1" x14ac:dyDescent="0.25">
      <c r="A189" s="119" t="s">
        <v>1386</v>
      </c>
      <c r="B189" s="119" t="s">
        <v>216</v>
      </c>
      <c r="C189" s="119" t="s">
        <v>217</v>
      </c>
      <c r="D189" s="119" t="s">
        <v>41</v>
      </c>
      <c r="E189" s="393">
        <f t="shared" ref="E189" si="191">F189</f>
        <v>20000</v>
      </c>
      <c r="F189" s="350">
        <v>20000</v>
      </c>
      <c r="G189" s="350"/>
      <c r="H189" s="350"/>
      <c r="I189" s="350"/>
      <c r="J189" s="393">
        <f t="shared" ref="J189" si="192">L189+O189</f>
        <v>8800000</v>
      </c>
      <c r="K189" s="350">
        <f>((300000+700000)+6800000)+1000000</f>
        <v>8800000</v>
      </c>
      <c r="L189" s="350"/>
      <c r="M189" s="350"/>
      <c r="N189" s="350"/>
      <c r="O189" s="351">
        <f t="shared" ref="O189" si="193">K189</f>
        <v>8800000</v>
      </c>
      <c r="P189" s="393">
        <f t="shared" ref="P189" si="194">E189+J189</f>
        <v>8820000</v>
      </c>
      <c r="Q189" s="20"/>
      <c r="R189" s="46"/>
    </row>
    <row r="190" spans="1:18" ht="48" hidden="1" thickTop="1" thickBot="1" x14ac:dyDescent="0.25">
      <c r="A190" s="156" t="s">
        <v>758</v>
      </c>
      <c r="B190" s="156" t="s">
        <v>700</v>
      </c>
      <c r="C190" s="156"/>
      <c r="D190" s="169" t="s">
        <v>698</v>
      </c>
      <c r="E190" s="157">
        <f>E191</f>
        <v>0</v>
      </c>
      <c r="F190" s="157">
        <f t="shared" si="184"/>
        <v>0</v>
      </c>
      <c r="G190" s="157">
        <f t="shared" si="184"/>
        <v>0</v>
      </c>
      <c r="H190" s="157">
        <f t="shared" si="184"/>
        <v>0</v>
      </c>
      <c r="I190" s="157">
        <f t="shared" si="184"/>
        <v>0</v>
      </c>
      <c r="J190" s="157">
        <f t="shared" si="184"/>
        <v>0</v>
      </c>
      <c r="K190" s="157">
        <f t="shared" si="184"/>
        <v>0</v>
      </c>
      <c r="L190" s="157">
        <f t="shared" si="184"/>
        <v>0</v>
      </c>
      <c r="M190" s="157">
        <f t="shared" si="184"/>
        <v>0</v>
      </c>
      <c r="N190" s="157">
        <f t="shared" si="184"/>
        <v>0</v>
      </c>
      <c r="O190" s="157">
        <f t="shared" si="184"/>
        <v>0</v>
      </c>
      <c r="P190" s="157">
        <f t="shared" si="184"/>
        <v>0</v>
      </c>
      <c r="Q190" s="20"/>
      <c r="R190" s="46"/>
    </row>
    <row r="191" spans="1:18" ht="184.5" hidden="1" thickTop="1" thickBot="1" x14ac:dyDescent="0.7">
      <c r="A191" s="713" t="s">
        <v>427</v>
      </c>
      <c r="B191" s="713" t="s">
        <v>342</v>
      </c>
      <c r="C191" s="713" t="s">
        <v>170</v>
      </c>
      <c r="D191" s="171" t="s">
        <v>444</v>
      </c>
      <c r="E191" s="712">
        <f t="shared" si="148"/>
        <v>0</v>
      </c>
      <c r="F191" s="687"/>
      <c r="G191" s="687"/>
      <c r="H191" s="687"/>
      <c r="I191" s="687"/>
      <c r="J191" s="712">
        <f t="shared" si="178"/>
        <v>0</v>
      </c>
      <c r="K191" s="687"/>
      <c r="L191" s="687"/>
      <c r="M191" s="687"/>
      <c r="N191" s="687"/>
      <c r="O191" s="690">
        <f t="shared" si="180"/>
        <v>0</v>
      </c>
      <c r="P191" s="692">
        <f t="shared" si="179"/>
        <v>0</v>
      </c>
      <c r="Q191" s="20"/>
      <c r="R191" s="50"/>
    </row>
    <row r="192" spans="1:18" ht="93" hidden="1" thickTop="1" thickBot="1" x14ac:dyDescent="0.25">
      <c r="A192" s="688"/>
      <c r="B192" s="714"/>
      <c r="C192" s="688"/>
      <c r="D192" s="172" t="s">
        <v>445</v>
      </c>
      <c r="E192" s="688"/>
      <c r="F192" s="689"/>
      <c r="G192" s="689"/>
      <c r="H192" s="689"/>
      <c r="I192" s="689"/>
      <c r="J192" s="688"/>
      <c r="K192" s="688"/>
      <c r="L192" s="689"/>
      <c r="M192" s="689"/>
      <c r="N192" s="689"/>
      <c r="O192" s="691"/>
      <c r="P192" s="693"/>
      <c r="Q192" s="20"/>
      <c r="R192" s="50"/>
    </row>
    <row r="193" spans="1:18" ht="91.5" thickTop="1" thickBot="1" x14ac:dyDescent="0.25">
      <c r="A193" s="403">
        <v>1000000</v>
      </c>
      <c r="B193" s="403"/>
      <c r="C193" s="403"/>
      <c r="D193" s="404" t="s">
        <v>24</v>
      </c>
      <c r="E193" s="406">
        <f>E194</f>
        <v>157013279</v>
      </c>
      <c r="F193" s="405">
        <f t="shared" ref="F193:G193" si="195">F194</f>
        <v>157013279</v>
      </c>
      <c r="G193" s="405">
        <f t="shared" si="195"/>
        <v>109906660</v>
      </c>
      <c r="H193" s="405">
        <f>H194</f>
        <v>8134910</v>
      </c>
      <c r="I193" s="405">
        <f>I194</f>
        <v>0</v>
      </c>
      <c r="J193" s="406">
        <f>J194</f>
        <v>16723422</v>
      </c>
      <c r="K193" s="405">
        <f>K194</f>
        <v>7411967</v>
      </c>
      <c r="L193" s="405">
        <f>L194</f>
        <v>9125775</v>
      </c>
      <c r="M193" s="405">
        <f t="shared" ref="M193" si="196">M194</f>
        <v>6635445</v>
      </c>
      <c r="N193" s="405">
        <f>N194</f>
        <v>290560</v>
      </c>
      <c r="O193" s="406">
        <f>O194</f>
        <v>7597647</v>
      </c>
      <c r="P193" s="405">
        <f t="shared" ref="P193" si="197">P194</f>
        <v>173736701</v>
      </c>
      <c r="Q193" s="20"/>
    </row>
    <row r="194" spans="1:18" ht="91.5" thickTop="1" thickBot="1" x14ac:dyDescent="0.25">
      <c r="A194" s="407">
        <v>1010000</v>
      </c>
      <c r="B194" s="407"/>
      <c r="C194" s="407"/>
      <c r="D194" s="408" t="s">
        <v>39</v>
      </c>
      <c r="E194" s="409">
        <f>E195+E197+E212+E206</f>
        <v>157013279</v>
      </c>
      <c r="F194" s="409">
        <f>F195+F197+F212+F206</f>
        <v>157013279</v>
      </c>
      <c r="G194" s="409">
        <f>G195+G197+G212+G206</f>
        <v>109906660</v>
      </c>
      <c r="H194" s="409">
        <f>H195+H197+H212+H206</f>
        <v>8134910</v>
      </c>
      <c r="I194" s="409">
        <f>I195+I197+I212+I206</f>
        <v>0</v>
      </c>
      <c r="J194" s="409">
        <f t="shared" ref="J194:J205" si="198">L194+O194</f>
        <v>16723422</v>
      </c>
      <c r="K194" s="409">
        <f>K195+K197+K212+K206</f>
        <v>7411967</v>
      </c>
      <c r="L194" s="409">
        <f>L195+L197+L212+L206</f>
        <v>9125775</v>
      </c>
      <c r="M194" s="409">
        <f>M195+M197+M212+M206</f>
        <v>6635445</v>
      </c>
      <c r="N194" s="409">
        <f>N195+N197+N212+N206</f>
        <v>290560</v>
      </c>
      <c r="O194" s="409">
        <f>O195+O197+O212+O206</f>
        <v>7597647</v>
      </c>
      <c r="P194" s="409">
        <f t="shared" ref="P194:P205" si="199">E194+J194</f>
        <v>173736701</v>
      </c>
      <c r="Q194" s="353" t="b">
        <f>P194=P196+P198+P199+P200+P201+P204+P205+P209+P210+P202+P211</f>
        <v>1</v>
      </c>
      <c r="R194" s="46"/>
    </row>
    <row r="195" spans="1:18" ht="47.25" thickTop="1" thickBot="1" x14ac:dyDescent="0.25">
      <c r="A195" s="346" t="s">
        <v>760</v>
      </c>
      <c r="B195" s="346" t="s">
        <v>714</v>
      </c>
      <c r="C195" s="346"/>
      <c r="D195" s="346" t="s">
        <v>715</v>
      </c>
      <c r="E195" s="393">
        <f>E196</f>
        <v>84640160</v>
      </c>
      <c r="F195" s="393">
        <f t="shared" ref="F195:P195" si="200">F196</f>
        <v>84640160</v>
      </c>
      <c r="G195" s="393">
        <f t="shared" si="200"/>
        <v>64285530</v>
      </c>
      <c r="H195" s="393">
        <f t="shared" si="200"/>
        <v>4457890</v>
      </c>
      <c r="I195" s="393">
        <f t="shared" si="200"/>
        <v>0</v>
      </c>
      <c r="J195" s="393">
        <f t="shared" si="200"/>
        <v>10197617</v>
      </c>
      <c r="K195" s="393">
        <f t="shared" si="200"/>
        <v>1816762</v>
      </c>
      <c r="L195" s="393">
        <f t="shared" si="200"/>
        <v>8300355</v>
      </c>
      <c r="M195" s="393">
        <f t="shared" si="200"/>
        <v>6236945</v>
      </c>
      <c r="N195" s="393">
        <f t="shared" si="200"/>
        <v>219760</v>
      </c>
      <c r="O195" s="393">
        <f t="shared" si="200"/>
        <v>1897262</v>
      </c>
      <c r="P195" s="393">
        <f t="shared" si="200"/>
        <v>94837777</v>
      </c>
      <c r="Q195" s="47"/>
      <c r="R195" s="46"/>
    </row>
    <row r="196" spans="1:18" ht="48" thickTop="1" thickBot="1" x14ac:dyDescent="0.25">
      <c r="A196" s="119" t="s">
        <v>642</v>
      </c>
      <c r="B196" s="119" t="s">
        <v>643</v>
      </c>
      <c r="C196" s="119" t="s">
        <v>185</v>
      </c>
      <c r="D196" s="119" t="s">
        <v>1140</v>
      </c>
      <c r="E196" s="393">
        <f>F196</f>
        <v>84640160</v>
      </c>
      <c r="F196" s="350">
        <f>(((((84107362)+75000+70050+117335+30000+84500+24640+18420+26600+18490)+12927)+199758+19010+5140+31368+61900)+20560+20000)-302900</f>
        <v>84640160</v>
      </c>
      <c r="G196" s="350">
        <v>64285530</v>
      </c>
      <c r="H196" s="350">
        <f>(3908750+56010+676580+140800+35750)-360000</f>
        <v>4457890</v>
      </c>
      <c r="I196" s="350"/>
      <c r="J196" s="393">
        <f t="shared" si="198"/>
        <v>10197617</v>
      </c>
      <c r="K196" s="350">
        <f>(((108181+51007+290368)+127161+533145)+823525+269000+1007235+139560-269000-1007235-139560)-823525+550000+78000+78900</f>
        <v>1816762</v>
      </c>
      <c r="L196" s="350">
        <v>8300355</v>
      </c>
      <c r="M196" s="350">
        <v>6236945</v>
      </c>
      <c r="N196" s="350">
        <v>219760</v>
      </c>
      <c r="O196" s="351">
        <f>(K196+80500)</f>
        <v>1897262</v>
      </c>
      <c r="P196" s="393">
        <f t="shared" si="199"/>
        <v>94837777</v>
      </c>
      <c r="Q196" s="20"/>
      <c r="R196" s="46"/>
    </row>
    <row r="197" spans="1:18" s="24" customFormat="1" ht="47.25" thickTop="1" thickBot="1" x14ac:dyDescent="0.25">
      <c r="A197" s="346" t="s">
        <v>761</v>
      </c>
      <c r="B197" s="346" t="s">
        <v>762</v>
      </c>
      <c r="C197" s="346"/>
      <c r="D197" s="346" t="s">
        <v>763</v>
      </c>
      <c r="E197" s="393">
        <f>SUM(E198:E205)-E203</f>
        <v>71310494</v>
      </c>
      <c r="F197" s="393">
        <f t="shared" ref="F197:P197" si="201">SUM(F198:F205)-F203</f>
        <v>71310494</v>
      </c>
      <c r="G197" s="393">
        <f t="shared" si="201"/>
        <v>45621130</v>
      </c>
      <c r="H197" s="393">
        <f t="shared" si="201"/>
        <v>3677020</v>
      </c>
      <c r="I197" s="393">
        <f t="shared" si="201"/>
        <v>0</v>
      </c>
      <c r="J197" s="393">
        <f t="shared" si="201"/>
        <v>3641270</v>
      </c>
      <c r="K197" s="393">
        <f t="shared" si="201"/>
        <v>2710670</v>
      </c>
      <c r="L197" s="393">
        <f t="shared" si="201"/>
        <v>825420</v>
      </c>
      <c r="M197" s="393">
        <f t="shared" si="201"/>
        <v>398500</v>
      </c>
      <c r="N197" s="393">
        <f t="shared" si="201"/>
        <v>70800</v>
      </c>
      <c r="O197" s="393">
        <f t="shared" si="201"/>
        <v>2815850</v>
      </c>
      <c r="P197" s="393">
        <f t="shared" si="201"/>
        <v>74951764</v>
      </c>
      <c r="Q197" s="25"/>
      <c r="R197" s="50"/>
    </row>
    <row r="198" spans="1:18" ht="48" thickTop="1" thickBot="1" x14ac:dyDescent="0.25">
      <c r="A198" s="119" t="s">
        <v>171</v>
      </c>
      <c r="B198" s="119" t="s">
        <v>172</v>
      </c>
      <c r="C198" s="119" t="s">
        <v>174</v>
      </c>
      <c r="D198" s="119" t="s">
        <v>175</v>
      </c>
      <c r="E198" s="393">
        <f t="shared" ref="E198:E201" si="202">F198</f>
        <v>522229.91000000003</v>
      </c>
      <c r="F198" s="350">
        <f>(1156300)-634070.09</f>
        <v>522229.91000000003</v>
      </c>
      <c r="G198" s="350"/>
      <c r="H198" s="350"/>
      <c r="I198" s="350"/>
      <c r="J198" s="393">
        <f t="shared" si="198"/>
        <v>0</v>
      </c>
      <c r="K198" s="350"/>
      <c r="L198" s="350"/>
      <c r="M198" s="350"/>
      <c r="N198" s="350"/>
      <c r="O198" s="351">
        <f t="shared" ref="O198:O205" si="203">K198</f>
        <v>0</v>
      </c>
      <c r="P198" s="393">
        <f t="shared" si="199"/>
        <v>522229.91000000003</v>
      </c>
      <c r="Q198" s="20"/>
      <c r="R198" s="50"/>
    </row>
    <row r="199" spans="1:18" ht="48" thickTop="1" thickBot="1" x14ac:dyDescent="0.25">
      <c r="A199" s="119" t="s">
        <v>176</v>
      </c>
      <c r="B199" s="119" t="s">
        <v>177</v>
      </c>
      <c r="C199" s="119" t="s">
        <v>178</v>
      </c>
      <c r="D199" s="119" t="s">
        <v>179</v>
      </c>
      <c r="E199" s="393">
        <f t="shared" si="202"/>
        <v>16592119</v>
      </c>
      <c r="F199" s="350">
        <f>(((16118413)+250574+47500)+115750+8740+42520)+8622</f>
        <v>16592119</v>
      </c>
      <c r="G199" s="350">
        <v>11788315</v>
      </c>
      <c r="H199" s="350">
        <f>893700+15910+218600+34700+26500</f>
        <v>1189410</v>
      </c>
      <c r="I199" s="350"/>
      <c r="J199" s="393">
        <f t="shared" si="198"/>
        <v>569753</v>
      </c>
      <c r="K199" s="350">
        <f>(0+99000+99000+83500)+45000+35828+73425</f>
        <v>435753</v>
      </c>
      <c r="L199" s="350">
        <v>134000</v>
      </c>
      <c r="M199" s="350">
        <v>20500</v>
      </c>
      <c r="N199" s="350">
        <v>21000</v>
      </c>
      <c r="O199" s="351">
        <f t="shared" si="203"/>
        <v>435753</v>
      </c>
      <c r="P199" s="393">
        <f t="shared" si="199"/>
        <v>17161872</v>
      </c>
      <c r="Q199" s="20"/>
      <c r="R199" s="46"/>
    </row>
    <row r="200" spans="1:18" ht="48" thickTop="1" thickBot="1" x14ac:dyDescent="0.25">
      <c r="A200" s="119" t="s">
        <v>180</v>
      </c>
      <c r="B200" s="119" t="s">
        <v>181</v>
      </c>
      <c r="C200" s="119" t="s">
        <v>178</v>
      </c>
      <c r="D200" s="119" t="s">
        <v>467</v>
      </c>
      <c r="E200" s="393">
        <f t="shared" si="202"/>
        <v>2531546</v>
      </c>
      <c r="F200" s="350">
        <f>((2464930)+50420)+7448+8748</f>
        <v>2531546</v>
      </c>
      <c r="G200" s="350">
        <f>1555565</f>
        <v>1555565</v>
      </c>
      <c r="H200" s="350">
        <f>335800+7790+159800+4800</f>
        <v>508190</v>
      </c>
      <c r="I200" s="350"/>
      <c r="J200" s="393">
        <f t="shared" si="198"/>
        <v>222012</v>
      </c>
      <c r="K200" s="350">
        <f>(99580)+20832</f>
        <v>120412</v>
      </c>
      <c r="L200" s="350">
        <v>101600</v>
      </c>
      <c r="M200" s="350">
        <v>14100</v>
      </c>
      <c r="N200" s="350">
        <v>5700</v>
      </c>
      <c r="O200" s="351">
        <f t="shared" si="203"/>
        <v>120412</v>
      </c>
      <c r="P200" s="393">
        <f t="shared" si="199"/>
        <v>2753558</v>
      </c>
      <c r="Q200" s="20"/>
      <c r="R200" s="46"/>
    </row>
    <row r="201" spans="1:18" ht="93" thickTop="1" thickBot="1" x14ac:dyDescent="0.25">
      <c r="A201" s="119" t="s">
        <v>182</v>
      </c>
      <c r="B201" s="119" t="s">
        <v>173</v>
      </c>
      <c r="C201" s="119" t="s">
        <v>183</v>
      </c>
      <c r="D201" s="119" t="s">
        <v>184</v>
      </c>
      <c r="E201" s="393">
        <f t="shared" si="202"/>
        <v>20553932.09</v>
      </c>
      <c r="F201" s="350">
        <f>(((((18010605)+14500+7000+271173+567382+380+104000+35690+20000)+87500+20000-567382+145835+8572+7359+2750+173061+8691+28250+4197+31470+180395+178628+8000+55215+175864)+54300+1199+69500+2150+11468+104976+76134)+634070.09)+21000</f>
        <v>20553932.09</v>
      </c>
      <c r="G201" s="350">
        <f>(12568760)+270000</f>
        <v>12838760</v>
      </c>
      <c r="H201" s="350">
        <f>946300+17820+790800+99600+41200</f>
        <v>1895720</v>
      </c>
      <c r="I201" s="350"/>
      <c r="J201" s="393">
        <f t="shared" si="198"/>
        <v>2661005</v>
      </c>
      <c r="K201" s="350">
        <f>((72000+50000+50000+251400)+1524643+40900-40900-15931)+8499+18999+15706+8160+8800+16900+86999+10830+6000</f>
        <v>2113005</v>
      </c>
      <c r="L201" s="350">
        <v>511620</v>
      </c>
      <c r="M201" s="350">
        <v>353500</v>
      </c>
      <c r="N201" s="350">
        <v>44100</v>
      </c>
      <c r="O201" s="351">
        <f>(K201+36380)</f>
        <v>2149385</v>
      </c>
      <c r="P201" s="393">
        <f t="shared" si="199"/>
        <v>23214937.09</v>
      </c>
      <c r="Q201" s="20"/>
      <c r="R201" s="46"/>
    </row>
    <row r="202" spans="1:18" ht="48" thickTop="1" thickBot="1" x14ac:dyDescent="0.25">
      <c r="A202" s="119" t="s">
        <v>1219</v>
      </c>
      <c r="B202" s="119" t="s">
        <v>1220</v>
      </c>
      <c r="C202" s="119" t="s">
        <v>1222</v>
      </c>
      <c r="D202" s="119" t="s">
        <v>1221</v>
      </c>
      <c r="E202" s="393">
        <f t="shared" ref="E202" si="204">F202</f>
        <v>197759</v>
      </c>
      <c r="F202" s="350">
        <f>(45500)+152259</f>
        <v>197759</v>
      </c>
      <c r="G202" s="350"/>
      <c r="H202" s="350"/>
      <c r="I202" s="350"/>
      <c r="J202" s="393">
        <f t="shared" ref="J202" si="205">L202+O202</f>
        <v>0</v>
      </c>
      <c r="K202" s="350"/>
      <c r="L202" s="350"/>
      <c r="M202" s="350"/>
      <c r="N202" s="350"/>
      <c r="O202" s="351">
        <f>(K202)</f>
        <v>0</v>
      </c>
      <c r="P202" s="393">
        <f t="shared" ref="P202" si="206">E202+J202</f>
        <v>197759</v>
      </c>
      <c r="Q202" s="20"/>
      <c r="R202" s="46"/>
    </row>
    <row r="203" spans="1:18" ht="48" thickTop="1" thickBot="1" x14ac:dyDescent="0.25">
      <c r="A203" s="399" t="s">
        <v>764</v>
      </c>
      <c r="B203" s="399" t="s">
        <v>765</v>
      </c>
      <c r="C203" s="399"/>
      <c r="D203" s="399" t="s">
        <v>766</v>
      </c>
      <c r="E203" s="388">
        <f>SUM(E204:E205)</f>
        <v>30912908</v>
      </c>
      <c r="F203" s="388">
        <f t="shared" ref="F203:P203" si="207">SUM(F204:F205)</f>
        <v>30912908</v>
      </c>
      <c r="G203" s="388">
        <f t="shared" si="207"/>
        <v>19438490</v>
      </c>
      <c r="H203" s="388">
        <f t="shared" si="207"/>
        <v>83700</v>
      </c>
      <c r="I203" s="388">
        <f t="shared" si="207"/>
        <v>0</v>
      </c>
      <c r="J203" s="388">
        <f t="shared" si="207"/>
        <v>188500</v>
      </c>
      <c r="K203" s="388">
        <f t="shared" si="207"/>
        <v>41500</v>
      </c>
      <c r="L203" s="388">
        <f t="shared" si="207"/>
        <v>78200</v>
      </c>
      <c r="M203" s="388">
        <f t="shared" si="207"/>
        <v>10400</v>
      </c>
      <c r="N203" s="388">
        <f t="shared" si="207"/>
        <v>0</v>
      </c>
      <c r="O203" s="388">
        <f t="shared" si="207"/>
        <v>110300</v>
      </c>
      <c r="P203" s="388">
        <f t="shared" si="207"/>
        <v>31101408</v>
      </c>
      <c r="Q203" s="20"/>
      <c r="R203" s="46"/>
    </row>
    <row r="204" spans="1:18" ht="48" thickTop="1" thickBot="1" x14ac:dyDescent="0.25">
      <c r="A204" s="119" t="s">
        <v>337</v>
      </c>
      <c r="B204" s="119" t="s">
        <v>338</v>
      </c>
      <c r="C204" s="119" t="s">
        <v>186</v>
      </c>
      <c r="D204" s="119" t="s">
        <v>468</v>
      </c>
      <c r="E204" s="393">
        <f>F204</f>
        <v>25421387</v>
      </c>
      <c r="F204" s="350">
        <f>((24992887)+368500)+15000+20000+25000</f>
        <v>25421387</v>
      </c>
      <c r="G204" s="350">
        <v>19438490</v>
      </c>
      <c r="H204" s="350">
        <f>70300+13000+400</f>
        <v>83700</v>
      </c>
      <c r="I204" s="350"/>
      <c r="J204" s="393">
        <f t="shared" si="198"/>
        <v>188500</v>
      </c>
      <c r="K204" s="350">
        <f>7500+10000+24000</f>
        <v>41500</v>
      </c>
      <c r="L204" s="350">
        <v>78200</v>
      </c>
      <c r="M204" s="350">
        <v>10400</v>
      </c>
      <c r="N204" s="350"/>
      <c r="O204" s="351">
        <f>(K204)+68800</f>
        <v>110300</v>
      </c>
      <c r="P204" s="393">
        <f t="shared" si="199"/>
        <v>25609887</v>
      </c>
      <c r="Q204" s="20"/>
      <c r="R204" s="46"/>
    </row>
    <row r="205" spans="1:18" ht="48" thickTop="1" thickBot="1" x14ac:dyDescent="0.25">
      <c r="A205" s="119" t="s">
        <v>339</v>
      </c>
      <c r="B205" s="119" t="s">
        <v>340</v>
      </c>
      <c r="C205" s="119" t="s">
        <v>186</v>
      </c>
      <c r="D205" s="119" t="s">
        <v>469</v>
      </c>
      <c r="E205" s="393">
        <f>F205</f>
        <v>5491521</v>
      </c>
      <c r="F205" s="350">
        <f>((5345661)+268360)-122500</f>
        <v>5491521</v>
      </c>
      <c r="G205" s="350"/>
      <c r="H205" s="350"/>
      <c r="I205" s="350"/>
      <c r="J205" s="393">
        <f t="shared" si="198"/>
        <v>0</v>
      </c>
      <c r="K205" s="350"/>
      <c r="L205" s="350"/>
      <c r="M205" s="350"/>
      <c r="N205" s="350"/>
      <c r="O205" s="351">
        <f t="shared" si="203"/>
        <v>0</v>
      </c>
      <c r="P205" s="393">
        <f t="shared" si="199"/>
        <v>5491521</v>
      </c>
      <c r="Q205" s="20"/>
      <c r="R205" s="50"/>
    </row>
    <row r="206" spans="1:18" ht="47.25" thickTop="1" thickBot="1" x14ac:dyDescent="0.25">
      <c r="A206" s="346" t="s">
        <v>924</v>
      </c>
      <c r="B206" s="346" t="s">
        <v>754</v>
      </c>
      <c r="C206" s="346"/>
      <c r="D206" s="346" t="s">
        <v>755</v>
      </c>
      <c r="E206" s="393">
        <f>SUM(E207)</f>
        <v>1062625</v>
      </c>
      <c r="F206" s="393">
        <f t="shared" ref="F206:P206" si="208">SUM(F207)</f>
        <v>1062625</v>
      </c>
      <c r="G206" s="393">
        <f t="shared" si="208"/>
        <v>0</v>
      </c>
      <c r="H206" s="393">
        <f t="shared" si="208"/>
        <v>0</v>
      </c>
      <c r="I206" s="393">
        <f t="shared" si="208"/>
        <v>0</v>
      </c>
      <c r="J206" s="393">
        <f t="shared" si="208"/>
        <v>2884535</v>
      </c>
      <c r="K206" s="393">
        <f t="shared" si="208"/>
        <v>2884535</v>
      </c>
      <c r="L206" s="393">
        <f t="shared" si="208"/>
        <v>0</v>
      </c>
      <c r="M206" s="393">
        <f t="shared" si="208"/>
        <v>0</v>
      </c>
      <c r="N206" s="393">
        <f t="shared" si="208"/>
        <v>0</v>
      </c>
      <c r="O206" s="393">
        <f t="shared" si="208"/>
        <v>2884535</v>
      </c>
      <c r="P206" s="393">
        <f t="shared" si="208"/>
        <v>3947160</v>
      </c>
      <c r="Q206" s="20"/>
      <c r="R206" s="50"/>
    </row>
    <row r="207" spans="1:18" ht="47.25" thickTop="1" thickBot="1" x14ac:dyDescent="0.25">
      <c r="A207" s="348" t="s">
        <v>925</v>
      </c>
      <c r="B207" s="348" t="s">
        <v>697</v>
      </c>
      <c r="C207" s="348"/>
      <c r="D207" s="348" t="s">
        <v>695</v>
      </c>
      <c r="E207" s="352">
        <f>E208+E211+E210</f>
        <v>1062625</v>
      </c>
      <c r="F207" s="352">
        <f t="shared" ref="F207:P207" si="209">F208+F211+F210</f>
        <v>1062625</v>
      </c>
      <c r="G207" s="352">
        <f t="shared" si="209"/>
        <v>0</v>
      </c>
      <c r="H207" s="352">
        <f t="shared" si="209"/>
        <v>0</v>
      </c>
      <c r="I207" s="352">
        <f t="shared" si="209"/>
        <v>0</v>
      </c>
      <c r="J207" s="352">
        <f t="shared" si="209"/>
        <v>2884535</v>
      </c>
      <c r="K207" s="352">
        <f t="shared" si="209"/>
        <v>2884535</v>
      </c>
      <c r="L207" s="352">
        <f t="shared" si="209"/>
        <v>0</v>
      </c>
      <c r="M207" s="352">
        <f t="shared" si="209"/>
        <v>0</v>
      </c>
      <c r="N207" s="352">
        <f t="shared" si="209"/>
        <v>0</v>
      </c>
      <c r="O207" s="352">
        <f t="shared" si="209"/>
        <v>2884535</v>
      </c>
      <c r="P207" s="352">
        <f t="shared" si="209"/>
        <v>3947160</v>
      </c>
      <c r="Q207" s="20"/>
      <c r="R207" s="50"/>
    </row>
    <row r="208" spans="1:18" ht="48" thickTop="1" thickBot="1" x14ac:dyDescent="0.25">
      <c r="A208" s="399" t="s">
        <v>1048</v>
      </c>
      <c r="B208" s="399" t="s">
        <v>1049</v>
      </c>
      <c r="C208" s="399"/>
      <c r="D208" s="399" t="s">
        <v>1047</v>
      </c>
      <c r="E208" s="388">
        <f>E209</f>
        <v>1062625</v>
      </c>
      <c r="F208" s="388">
        <f t="shared" ref="F208:P208" si="210">F209</f>
        <v>1062625</v>
      </c>
      <c r="G208" s="388">
        <f t="shared" si="210"/>
        <v>0</v>
      </c>
      <c r="H208" s="388">
        <f t="shared" si="210"/>
        <v>0</v>
      </c>
      <c r="I208" s="388">
        <f t="shared" si="210"/>
        <v>0</v>
      </c>
      <c r="J208" s="388">
        <f t="shared" si="210"/>
        <v>0</v>
      </c>
      <c r="K208" s="388">
        <f t="shared" si="210"/>
        <v>0</v>
      </c>
      <c r="L208" s="388">
        <f t="shared" si="210"/>
        <v>0</v>
      </c>
      <c r="M208" s="388">
        <f t="shared" si="210"/>
        <v>0</v>
      </c>
      <c r="N208" s="388">
        <f t="shared" si="210"/>
        <v>0</v>
      </c>
      <c r="O208" s="388">
        <f t="shared" si="210"/>
        <v>0</v>
      </c>
      <c r="P208" s="388">
        <f t="shared" si="210"/>
        <v>1062625</v>
      </c>
      <c r="Q208" s="20"/>
      <c r="R208" s="50"/>
    </row>
    <row r="209" spans="1:18" ht="48" thickTop="1" thickBot="1" x14ac:dyDescent="0.25">
      <c r="A209" s="119" t="s">
        <v>1051</v>
      </c>
      <c r="B209" s="119" t="s">
        <v>1052</v>
      </c>
      <c r="C209" s="119" t="s">
        <v>217</v>
      </c>
      <c r="D209" s="119" t="s">
        <v>1050</v>
      </c>
      <c r="E209" s="393">
        <f>F209</f>
        <v>1062625</v>
      </c>
      <c r="F209" s="350">
        <v>1062625</v>
      </c>
      <c r="G209" s="350"/>
      <c r="H209" s="350"/>
      <c r="I209" s="350"/>
      <c r="J209" s="393">
        <f>L209+O209</f>
        <v>0</v>
      </c>
      <c r="K209" s="350"/>
      <c r="L209" s="350"/>
      <c r="M209" s="350"/>
      <c r="N209" s="350"/>
      <c r="O209" s="351">
        <f>K209</f>
        <v>0</v>
      </c>
      <c r="P209" s="393">
        <f>E209+J209</f>
        <v>1062625</v>
      </c>
      <c r="Q209" s="20"/>
      <c r="R209" s="50"/>
    </row>
    <row r="210" spans="1:18" ht="48" thickTop="1" thickBot="1" x14ac:dyDescent="0.25">
      <c r="A210" s="119" t="s">
        <v>1319</v>
      </c>
      <c r="B210" s="119" t="s">
        <v>216</v>
      </c>
      <c r="C210" s="119" t="s">
        <v>217</v>
      </c>
      <c r="D210" s="119" t="s">
        <v>41</v>
      </c>
      <c r="E210" s="393">
        <f t="shared" ref="E210" si="211">F210</f>
        <v>0</v>
      </c>
      <c r="F210" s="350"/>
      <c r="G210" s="350"/>
      <c r="H210" s="350"/>
      <c r="I210" s="350"/>
      <c r="J210" s="393">
        <f>L210+O210</f>
        <v>2884535</v>
      </c>
      <c r="K210" s="350">
        <f>((800000+1205017)+762218)+117300</f>
        <v>2884535</v>
      </c>
      <c r="L210" s="350"/>
      <c r="M210" s="350"/>
      <c r="N210" s="350"/>
      <c r="O210" s="351">
        <f>K210</f>
        <v>2884535</v>
      </c>
      <c r="P210" s="393">
        <f>E210+J210</f>
        <v>2884535</v>
      </c>
      <c r="Q210" s="20"/>
      <c r="R210" s="50"/>
    </row>
    <row r="211" spans="1:18" ht="48" hidden="1" thickTop="1" thickBot="1" x14ac:dyDescent="0.25">
      <c r="A211" s="119" t="s">
        <v>926</v>
      </c>
      <c r="B211" s="119" t="s">
        <v>201</v>
      </c>
      <c r="C211" s="119" t="s">
        <v>170</v>
      </c>
      <c r="D211" s="119" t="s">
        <v>34</v>
      </c>
      <c r="E211" s="393">
        <f t="shared" ref="E211" si="212">F211</f>
        <v>0</v>
      </c>
      <c r="F211" s="350"/>
      <c r="G211" s="350"/>
      <c r="H211" s="350"/>
      <c r="I211" s="350"/>
      <c r="J211" s="393">
        <f t="shared" ref="J211" si="213">L211+O211</f>
        <v>0</v>
      </c>
      <c r="K211" s="350">
        <f>940242-455475-484767</f>
        <v>0</v>
      </c>
      <c r="L211" s="350"/>
      <c r="M211" s="350"/>
      <c r="N211" s="350"/>
      <c r="O211" s="351">
        <f t="shared" ref="O211" si="214">K211</f>
        <v>0</v>
      </c>
      <c r="P211" s="393">
        <f t="shared" ref="P211" si="215">E211+J211</f>
        <v>0</v>
      </c>
      <c r="Q211" s="20"/>
      <c r="R211" s="46"/>
    </row>
    <row r="212" spans="1:18" ht="47.25" hidden="1" thickTop="1" thickBot="1" x14ac:dyDescent="0.25">
      <c r="A212" s="162" t="s">
        <v>767</v>
      </c>
      <c r="B212" s="162" t="s">
        <v>708</v>
      </c>
      <c r="C212" s="162"/>
      <c r="D212" s="162" t="s">
        <v>709</v>
      </c>
      <c r="E212" s="42">
        <f>E213</f>
        <v>0</v>
      </c>
      <c r="F212" s="42">
        <f t="shared" ref="F212:P213" si="216">F213</f>
        <v>0</v>
      </c>
      <c r="G212" s="42">
        <f t="shared" si="216"/>
        <v>0</v>
      </c>
      <c r="H212" s="42">
        <f t="shared" si="216"/>
        <v>0</v>
      </c>
      <c r="I212" s="42">
        <f t="shared" si="216"/>
        <v>0</v>
      </c>
      <c r="J212" s="42">
        <f t="shared" si="216"/>
        <v>0</v>
      </c>
      <c r="K212" s="42">
        <f t="shared" si="216"/>
        <v>0</v>
      </c>
      <c r="L212" s="42">
        <f t="shared" si="216"/>
        <v>0</v>
      </c>
      <c r="M212" s="42">
        <f t="shared" si="216"/>
        <v>0</v>
      </c>
      <c r="N212" s="42">
        <f t="shared" si="216"/>
        <v>0</v>
      </c>
      <c r="O212" s="42">
        <f t="shared" si="216"/>
        <v>0</v>
      </c>
      <c r="P212" s="42">
        <f t="shared" si="216"/>
        <v>0</v>
      </c>
      <c r="Q212" s="20"/>
      <c r="R212" s="50"/>
    </row>
    <row r="213" spans="1:18" ht="91.5" hidden="1" thickTop="1" thickBot="1" x14ac:dyDescent="0.25">
      <c r="A213" s="163" t="s">
        <v>768</v>
      </c>
      <c r="B213" s="163" t="s">
        <v>711</v>
      </c>
      <c r="C213" s="163"/>
      <c r="D213" s="163" t="s">
        <v>712</v>
      </c>
      <c r="E213" s="164">
        <f>E214</f>
        <v>0</v>
      </c>
      <c r="F213" s="164">
        <f t="shared" si="216"/>
        <v>0</v>
      </c>
      <c r="G213" s="164">
        <f t="shared" si="216"/>
        <v>0</v>
      </c>
      <c r="H213" s="164">
        <f t="shared" si="216"/>
        <v>0</v>
      </c>
      <c r="I213" s="164">
        <f t="shared" si="216"/>
        <v>0</v>
      </c>
      <c r="J213" s="164">
        <f t="shared" si="216"/>
        <v>0</v>
      </c>
      <c r="K213" s="164">
        <f t="shared" si="216"/>
        <v>0</v>
      </c>
      <c r="L213" s="164">
        <f t="shared" si="216"/>
        <v>0</v>
      </c>
      <c r="M213" s="164">
        <f t="shared" si="216"/>
        <v>0</v>
      </c>
      <c r="N213" s="164">
        <f t="shared" si="216"/>
        <v>0</v>
      </c>
      <c r="O213" s="164">
        <f t="shared" si="216"/>
        <v>0</v>
      </c>
      <c r="P213" s="164">
        <f t="shared" si="216"/>
        <v>0</v>
      </c>
      <c r="Q213" s="20"/>
      <c r="R213" s="50"/>
    </row>
    <row r="214" spans="1:18" ht="48" hidden="1" thickTop="1" thickBot="1" x14ac:dyDescent="0.25">
      <c r="A214" s="41" t="s">
        <v>591</v>
      </c>
      <c r="B214" s="41" t="s">
        <v>367</v>
      </c>
      <c r="C214" s="41" t="s">
        <v>43</v>
      </c>
      <c r="D214" s="41" t="s">
        <v>368</v>
      </c>
      <c r="E214" s="42">
        <f t="shared" ref="E214" si="217">F214</f>
        <v>0</v>
      </c>
      <c r="F214" s="43">
        <v>0</v>
      </c>
      <c r="G214" s="43"/>
      <c r="H214" s="43"/>
      <c r="I214" s="43"/>
      <c r="J214" s="42">
        <f>L214+O214</f>
        <v>0</v>
      </c>
      <c r="K214" s="43"/>
      <c r="L214" s="43"/>
      <c r="M214" s="43"/>
      <c r="N214" s="43"/>
      <c r="O214" s="44">
        <f>K214</f>
        <v>0</v>
      </c>
      <c r="P214" s="42">
        <f>E214+J214</f>
        <v>0</v>
      </c>
      <c r="Q214" s="20"/>
      <c r="R214" s="50"/>
    </row>
    <row r="215" spans="1:18" ht="91.5" thickTop="1" thickBot="1" x14ac:dyDescent="0.25">
      <c r="A215" s="403" t="s">
        <v>22</v>
      </c>
      <c r="B215" s="403"/>
      <c r="C215" s="403"/>
      <c r="D215" s="404" t="s">
        <v>23</v>
      </c>
      <c r="E215" s="406">
        <f>E216</f>
        <v>111387538</v>
      </c>
      <c r="F215" s="405">
        <f t="shared" ref="F215:G215" si="218">F216</f>
        <v>111387538</v>
      </c>
      <c r="G215" s="405">
        <f t="shared" si="218"/>
        <v>47686563.430000015</v>
      </c>
      <c r="H215" s="405">
        <f>H216</f>
        <v>4304083</v>
      </c>
      <c r="I215" s="405">
        <f t="shared" ref="I215" si="219">I216</f>
        <v>0</v>
      </c>
      <c r="J215" s="406">
        <f>J216</f>
        <v>31152425.479999997</v>
      </c>
      <c r="K215" s="405">
        <f>K216</f>
        <v>28911403.479999997</v>
      </c>
      <c r="L215" s="405">
        <f>L216</f>
        <v>2118642</v>
      </c>
      <c r="M215" s="405">
        <f t="shared" ref="M215" si="220">M216</f>
        <v>994780</v>
      </c>
      <c r="N215" s="405">
        <f>N216</f>
        <v>383875</v>
      </c>
      <c r="O215" s="406">
        <f>O216</f>
        <v>29033783.479999997</v>
      </c>
      <c r="P215" s="405">
        <f t="shared" ref="P215" si="221">P216</f>
        <v>142539963.47999999</v>
      </c>
      <c r="Q215" s="20"/>
    </row>
    <row r="216" spans="1:18" ht="178.5" customHeight="1" thickTop="1" thickBot="1" x14ac:dyDescent="0.25">
      <c r="A216" s="407" t="s">
        <v>21</v>
      </c>
      <c r="B216" s="407"/>
      <c r="C216" s="407"/>
      <c r="D216" s="408" t="s">
        <v>35</v>
      </c>
      <c r="E216" s="409">
        <f>E217+E223+E238+E241+E248</f>
        <v>111387538</v>
      </c>
      <c r="F216" s="409">
        <f t="shared" ref="F216:I216" si="222">F217+F223+F238+F241+F248</f>
        <v>111387538</v>
      </c>
      <c r="G216" s="409">
        <f t="shared" si="222"/>
        <v>47686563.430000015</v>
      </c>
      <c r="H216" s="409">
        <f t="shared" si="222"/>
        <v>4304083</v>
      </c>
      <c r="I216" s="409">
        <f t="shared" si="222"/>
        <v>0</v>
      </c>
      <c r="J216" s="409">
        <f>L216+O216</f>
        <v>31152425.479999997</v>
      </c>
      <c r="K216" s="409">
        <f t="shared" ref="K216" si="223">K217+K223+K238+K241+K248</f>
        <v>28911403.479999997</v>
      </c>
      <c r="L216" s="409">
        <f t="shared" ref="L216" si="224">L217+L223+L238+L241+L248</f>
        <v>2118642</v>
      </c>
      <c r="M216" s="409">
        <f t="shared" ref="M216" si="225">M217+M223+M238+M241+M248</f>
        <v>994780</v>
      </c>
      <c r="N216" s="409">
        <f t="shared" ref="N216" si="226">N217+N223+N238+N241+N248</f>
        <v>383875</v>
      </c>
      <c r="O216" s="409">
        <f t="shared" ref="O216" si="227">O217+O223+O238+O241+O248</f>
        <v>29033783.479999997</v>
      </c>
      <c r="P216" s="409">
        <f>E216+J216</f>
        <v>142539963.47999999</v>
      </c>
      <c r="Q216" s="353" t="b">
        <f>P216=P221+P222+P225+P226+P228+P230+P231+P235+P236+P237+P240+P244+P246+P233+P247</f>
        <v>1</v>
      </c>
      <c r="R216" s="46"/>
    </row>
    <row r="217" spans="1:18" ht="47.25" thickTop="1" thickBot="1" x14ac:dyDescent="0.25">
      <c r="A217" s="346" t="s">
        <v>769</v>
      </c>
      <c r="B217" s="346" t="s">
        <v>717</v>
      </c>
      <c r="C217" s="346"/>
      <c r="D217" s="346" t="s">
        <v>718</v>
      </c>
      <c r="E217" s="479">
        <f>SUM(E218:E222)-E218-E220</f>
        <v>12181522</v>
      </c>
      <c r="F217" s="479">
        <f t="shared" ref="F217:P217" si="228">SUM(F218:F222)-F218-F220</f>
        <v>12181522</v>
      </c>
      <c r="G217" s="479">
        <f t="shared" si="228"/>
        <v>4521610</v>
      </c>
      <c r="H217" s="479">
        <f t="shared" si="228"/>
        <v>1073346</v>
      </c>
      <c r="I217" s="479">
        <f t="shared" si="228"/>
        <v>0</v>
      </c>
      <c r="J217" s="479">
        <f t="shared" si="228"/>
        <v>2155872.4</v>
      </c>
      <c r="K217" s="479">
        <f t="shared" si="228"/>
        <v>1758472.4</v>
      </c>
      <c r="L217" s="479">
        <f t="shared" si="228"/>
        <v>397400</v>
      </c>
      <c r="M217" s="479">
        <f t="shared" si="228"/>
        <v>210000</v>
      </c>
      <c r="N217" s="479">
        <f t="shared" si="228"/>
        <v>102595</v>
      </c>
      <c r="O217" s="479">
        <f t="shared" si="228"/>
        <v>1758472.4</v>
      </c>
      <c r="P217" s="479">
        <f t="shared" si="228"/>
        <v>14337394.4</v>
      </c>
      <c r="Q217" s="47"/>
      <c r="R217" s="46"/>
    </row>
    <row r="218" spans="1:18" s="33" customFormat="1" ht="48" hidden="1" thickTop="1" thickBot="1" x14ac:dyDescent="0.25">
      <c r="A218" s="399" t="s">
        <v>770</v>
      </c>
      <c r="B218" s="399" t="s">
        <v>771</v>
      </c>
      <c r="C218" s="399"/>
      <c r="D218" s="399" t="s">
        <v>772</v>
      </c>
      <c r="E218" s="480">
        <f>E219</f>
        <v>0</v>
      </c>
      <c r="F218" s="480">
        <f t="shared" ref="F218:P218" si="229">F219</f>
        <v>0</v>
      </c>
      <c r="G218" s="480">
        <f t="shared" si="229"/>
        <v>0</v>
      </c>
      <c r="H218" s="480">
        <f t="shared" si="229"/>
        <v>0</v>
      </c>
      <c r="I218" s="480">
        <f t="shared" si="229"/>
        <v>0</v>
      </c>
      <c r="J218" s="480">
        <f t="shared" si="229"/>
        <v>0</v>
      </c>
      <c r="K218" s="480">
        <f t="shared" si="229"/>
        <v>0</v>
      </c>
      <c r="L218" s="480">
        <f t="shared" si="229"/>
        <v>0</v>
      </c>
      <c r="M218" s="480">
        <f t="shared" si="229"/>
        <v>0</v>
      </c>
      <c r="N218" s="480">
        <f t="shared" si="229"/>
        <v>0</v>
      </c>
      <c r="O218" s="480">
        <f t="shared" si="229"/>
        <v>0</v>
      </c>
      <c r="P218" s="480">
        <f t="shared" si="229"/>
        <v>0</v>
      </c>
      <c r="Q218" s="173"/>
      <c r="R218" s="52"/>
    </row>
    <row r="219" spans="1:18" ht="48" hidden="1" thickTop="1" thickBot="1" x14ac:dyDescent="0.25">
      <c r="A219" s="119" t="s">
        <v>187</v>
      </c>
      <c r="B219" s="119" t="s">
        <v>188</v>
      </c>
      <c r="C219" s="119" t="s">
        <v>189</v>
      </c>
      <c r="D219" s="119" t="s">
        <v>644</v>
      </c>
      <c r="E219" s="347">
        <f t="shared" ref="E219:E236" si="230">F219</f>
        <v>0</v>
      </c>
      <c r="F219" s="389">
        <f>(6040461)-6040461</f>
        <v>0</v>
      </c>
      <c r="G219" s="389">
        <f>(4559615)-4559615</f>
        <v>0</v>
      </c>
      <c r="H219" s="389">
        <f>(96665+5295+31600+3840)-137400</f>
        <v>0</v>
      </c>
      <c r="I219" s="389"/>
      <c r="J219" s="393">
        <f t="shared" ref="J219:J247" si="231">L219+O219</f>
        <v>0</v>
      </c>
      <c r="K219" s="389"/>
      <c r="L219" s="390"/>
      <c r="M219" s="390"/>
      <c r="N219" s="390"/>
      <c r="O219" s="351">
        <f t="shared" ref="O219:O247" si="232">K219</f>
        <v>0</v>
      </c>
      <c r="P219" s="393">
        <f>+J219+E219</f>
        <v>0</v>
      </c>
      <c r="Q219" s="50"/>
      <c r="R219" s="50"/>
    </row>
    <row r="220" spans="1:18" s="33" customFormat="1" ht="48" thickTop="1" thickBot="1" x14ac:dyDescent="0.25">
      <c r="A220" s="399" t="s">
        <v>773</v>
      </c>
      <c r="B220" s="399" t="s">
        <v>774</v>
      </c>
      <c r="C220" s="399"/>
      <c r="D220" s="399" t="s">
        <v>775</v>
      </c>
      <c r="E220" s="444">
        <f>SUM(E221:E222)</f>
        <v>12181522</v>
      </c>
      <c r="F220" s="444">
        <f t="shared" ref="F220:P220" si="233">SUM(F221:F222)</f>
        <v>12181522</v>
      </c>
      <c r="G220" s="444">
        <f t="shared" si="233"/>
        <v>4521610</v>
      </c>
      <c r="H220" s="444">
        <f t="shared" si="233"/>
        <v>1073346</v>
      </c>
      <c r="I220" s="444">
        <f t="shared" si="233"/>
        <v>0</v>
      </c>
      <c r="J220" s="444">
        <f t="shared" si="233"/>
        <v>2155872.4</v>
      </c>
      <c r="K220" s="444">
        <f t="shared" si="233"/>
        <v>1758472.4</v>
      </c>
      <c r="L220" s="444">
        <f t="shared" si="233"/>
        <v>397400</v>
      </c>
      <c r="M220" s="444">
        <f t="shared" si="233"/>
        <v>210000</v>
      </c>
      <c r="N220" s="444">
        <f t="shared" si="233"/>
        <v>102595</v>
      </c>
      <c r="O220" s="444">
        <f t="shared" si="233"/>
        <v>1758472.4</v>
      </c>
      <c r="P220" s="444">
        <f t="shared" si="233"/>
        <v>14337394.4</v>
      </c>
      <c r="Q220" s="51"/>
      <c r="R220" s="51"/>
    </row>
    <row r="221" spans="1:18" ht="48" thickTop="1" thickBot="1" x14ac:dyDescent="0.25">
      <c r="A221" s="119" t="s">
        <v>193</v>
      </c>
      <c r="B221" s="119" t="s">
        <v>194</v>
      </c>
      <c r="C221" s="119" t="s">
        <v>189</v>
      </c>
      <c r="D221" s="119" t="s">
        <v>10</v>
      </c>
      <c r="E221" s="347">
        <f t="shared" si="230"/>
        <v>5527168</v>
      </c>
      <c r="F221" s="389">
        <f>(((5368723)+1300)+75845)+81300</f>
        <v>5527168</v>
      </c>
      <c r="G221" s="389">
        <f>(3105542)+47200</f>
        <v>3152742</v>
      </c>
      <c r="H221" s="389">
        <f>628430+7726+230000+3090</f>
        <v>869246</v>
      </c>
      <c r="I221" s="389"/>
      <c r="J221" s="393">
        <f t="shared" si="231"/>
        <v>2100246.4</v>
      </c>
      <c r="K221" s="389">
        <f>((((21340)+24993.4)+74000)+388092+1445613)-388092+136900</f>
        <v>1702846.4</v>
      </c>
      <c r="L221" s="390">
        <v>397400</v>
      </c>
      <c r="M221" s="390">
        <v>210000</v>
      </c>
      <c r="N221" s="390">
        <v>102595</v>
      </c>
      <c r="O221" s="351">
        <f>K221</f>
        <v>1702846.4</v>
      </c>
      <c r="P221" s="393">
        <f t="shared" ref="P221:P247" si="234">E221+J221</f>
        <v>7627414.4000000004</v>
      </c>
      <c r="Q221" s="20"/>
      <c r="R221" s="46"/>
    </row>
    <row r="222" spans="1:18" ht="48" thickTop="1" thickBot="1" x14ac:dyDescent="0.25">
      <c r="A222" s="119" t="s">
        <v>355</v>
      </c>
      <c r="B222" s="119" t="s">
        <v>356</v>
      </c>
      <c r="C222" s="119" t="s">
        <v>189</v>
      </c>
      <c r="D222" s="119" t="s">
        <v>357</v>
      </c>
      <c r="E222" s="347">
        <f t="shared" si="230"/>
        <v>6654354</v>
      </c>
      <c r="F222" s="389">
        <f>(((7675433)+78921)-1000000)-100000</f>
        <v>6654354</v>
      </c>
      <c r="G222" s="389">
        <f>(1468868)-100000</f>
        <v>1368868</v>
      </c>
      <c r="H222" s="389">
        <f>99760+6560+95860+1920</f>
        <v>204100</v>
      </c>
      <c r="I222" s="389"/>
      <c r="J222" s="393">
        <f t="shared" si="231"/>
        <v>55626</v>
      </c>
      <c r="K222" s="389">
        <v>55626</v>
      </c>
      <c r="L222" s="390"/>
      <c r="M222" s="390"/>
      <c r="N222" s="390"/>
      <c r="O222" s="351">
        <f t="shared" si="232"/>
        <v>55626</v>
      </c>
      <c r="P222" s="393">
        <f t="shared" si="234"/>
        <v>6709980</v>
      </c>
      <c r="Q222" s="20"/>
      <c r="R222" s="46"/>
    </row>
    <row r="223" spans="1:18" ht="47.25" thickTop="1" thickBot="1" x14ac:dyDescent="0.25">
      <c r="A223" s="346" t="s">
        <v>776</v>
      </c>
      <c r="B223" s="346" t="s">
        <v>777</v>
      </c>
      <c r="C223" s="119"/>
      <c r="D223" s="346" t="s">
        <v>778</v>
      </c>
      <c r="E223" s="347">
        <f t="shared" ref="E223:P223" si="235">SUM(E224:E237)-E224-E227-E229-E234-E232</f>
        <v>99143016</v>
      </c>
      <c r="F223" s="347">
        <f t="shared" si="235"/>
        <v>99143016</v>
      </c>
      <c r="G223" s="347">
        <f t="shared" si="235"/>
        <v>43164953.430000015</v>
      </c>
      <c r="H223" s="347">
        <f t="shared" si="235"/>
        <v>3230737</v>
      </c>
      <c r="I223" s="347">
        <f t="shared" si="235"/>
        <v>0</v>
      </c>
      <c r="J223" s="347">
        <f t="shared" si="235"/>
        <v>28188592.079999998</v>
      </c>
      <c r="K223" s="347">
        <f t="shared" si="235"/>
        <v>26344970.079999998</v>
      </c>
      <c r="L223" s="347">
        <f t="shared" si="235"/>
        <v>1721242</v>
      </c>
      <c r="M223" s="347">
        <f t="shared" si="235"/>
        <v>784780</v>
      </c>
      <c r="N223" s="347">
        <f t="shared" si="235"/>
        <v>281280</v>
      </c>
      <c r="O223" s="347">
        <f t="shared" si="235"/>
        <v>26467350.079999998</v>
      </c>
      <c r="P223" s="347">
        <f t="shared" si="235"/>
        <v>127331608.07999997</v>
      </c>
      <c r="Q223" s="20"/>
      <c r="R223" s="46"/>
    </row>
    <row r="224" spans="1:18" s="33" customFormat="1" ht="48" thickTop="1" thickBot="1" x14ac:dyDescent="0.25">
      <c r="A224" s="399" t="s">
        <v>779</v>
      </c>
      <c r="B224" s="399" t="s">
        <v>780</v>
      </c>
      <c r="C224" s="399"/>
      <c r="D224" s="399" t="s">
        <v>781</v>
      </c>
      <c r="E224" s="444">
        <f>SUM(E225:E226)</f>
        <v>24633742</v>
      </c>
      <c r="F224" s="444">
        <f t="shared" ref="F224:P224" si="236">SUM(F225:F226)</f>
        <v>24633742</v>
      </c>
      <c r="G224" s="444">
        <f t="shared" si="236"/>
        <v>0</v>
      </c>
      <c r="H224" s="444">
        <f t="shared" si="236"/>
        <v>0</v>
      </c>
      <c r="I224" s="444">
        <f t="shared" si="236"/>
        <v>0</v>
      </c>
      <c r="J224" s="444">
        <f t="shared" si="236"/>
        <v>0</v>
      </c>
      <c r="K224" s="444">
        <f t="shared" si="236"/>
        <v>0</v>
      </c>
      <c r="L224" s="444">
        <f t="shared" si="236"/>
        <v>0</v>
      </c>
      <c r="M224" s="444">
        <f t="shared" si="236"/>
        <v>0</v>
      </c>
      <c r="N224" s="444">
        <f t="shared" si="236"/>
        <v>0</v>
      </c>
      <c r="O224" s="444">
        <f t="shared" si="236"/>
        <v>0</v>
      </c>
      <c r="P224" s="444">
        <f t="shared" si="236"/>
        <v>24633742</v>
      </c>
      <c r="Q224" s="36"/>
      <c r="R224" s="52"/>
    </row>
    <row r="225" spans="1:18" ht="93" thickTop="1" thickBot="1" x14ac:dyDescent="0.25">
      <c r="A225" s="119" t="s">
        <v>44</v>
      </c>
      <c r="B225" s="119" t="s">
        <v>190</v>
      </c>
      <c r="C225" s="119" t="s">
        <v>199</v>
      </c>
      <c r="D225" s="119" t="s">
        <v>45</v>
      </c>
      <c r="E225" s="347">
        <f t="shared" si="230"/>
        <v>21532670</v>
      </c>
      <c r="F225" s="389">
        <f>(((23981670)+1000+1150000)-4000000)+400000</f>
        <v>21532670</v>
      </c>
      <c r="G225" s="350"/>
      <c r="H225" s="350"/>
      <c r="I225" s="350"/>
      <c r="J225" s="393">
        <f t="shared" si="231"/>
        <v>0</v>
      </c>
      <c r="K225" s="350"/>
      <c r="L225" s="350"/>
      <c r="M225" s="350"/>
      <c r="N225" s="350"/>
      <c r="O225" s="351">
        <f t="shared" si="232"/>
        <v>0</v>
      </c>
      <c r="P225" s="393">
        <f t="shared" si="234"/>
        <v>21532670</v>
      </c>
      <c r="Q225" s="20"/>
      <c r="R225" s="46"/>
    </row>
    <row r="226" spans="1:18" ht="93" thickTop="1" thickBot="1" x14ac:dyDescent="0.25">
      <c r="A226" s="119" t="s">
        <v>46</v>
      </c>
      <c r="B226" s="119" t="s">
        <v>191</v>
      </c>
      <c r="C226" s="119" t="s">
        <v>199</v>
      </c>
      <c r="D226" s="119" t="s">
        <v>4</v>
      </c>
      <c r="E226" s="347">
        <f t="shared" si="230"/>
        <v>3101072</v>
      </c>
      <c r="F226" s="389">
        <f>((3798092)+2980+300000)-1000000</f>
        <v>3101072</v>
      </c>
      <c r="G226" s="350"/>
      <c r="H226" s="350"/>
      <c r="I226" s="350"/>
      <c r="J226" s="393">
        <f t="shared" si="231"/>
        <v>0</v>
      </c>
      <c r="K226" s="350"/>
      <c r="L226" s="350"/>
      <c r="M226" s="350"/>
      <c r="N226" s="350"/>
      <c r="O226" s="351">
        <f t="shared" si="232"/>
        <v>0</v>
      </c>
      <c r="P226" s="393">
        <f t="shared" si="234"/>
        <v>3101072</v>
      </c>
      <c r="Q226" s="20"/>
      <c r="R226" s="46"/>
    </row>
    <row r="227" spans="1:18" s="33" customFormat="1" ht="93" thickTop="1" thickBot="1" x14ac:dyDescent="0.25">
      <c r="A227" s="399" t="s">
        <v>782</v>
      </c>
      <c r="B227" s="399" t="s">
        <v>783</v>
      </c>
      <c r="C227" s="399"/>
      <c r="D227" s="399" t="s">
        <v>784</v>
      </c>
      <c r="E227" s="444">
        <f>E228</f>
        <v>53300</v>
      </c>
      <c r="F227" s="444">
        <f t="shared" ref="F227:P227" si="237">F228</f>
        <v>53300</v>
      </c>
      <c r="G227" s="444">
        <f t="shared" si="237"/>
        <v>0</v>
      </c>
      <c r="H227" s="444">
        <f t="shared" si="237"/>
        <v>0</v>
      </c>
      <c r="I227" s="444">
        <f t="shared" si="237"/>
        <v>0</v>
      </c>
      <c r="J227" s="444">
        <f t="shared" si="237"/>
        <v>0</v>
      </c>
      <c r="K227" s="444">
        <f t="shared" si="237"/>
        <v>0</v>
      </c>
      <c r="L227" s="444">
        <f t="shared" si="237"/>
        <v>0</v>
      </c>
      <c r="M227" s="444">
        <f t="shared" si="237"/>
        <v>0</v>
      </c>
      <c r="N227" s="444">
        <f t="shared" si="237"/>
        <v>0</v>
      </c>
      <c r="O227" s="444">
        <f t="shared" si="237"/>
        <v>0</v>
      </c>
      <c r="P227" s="444">
        <f t="shared" si="237"/>
        <v>53300</v>
      </c>
      <c r="Q227" s="36"/>
      <c r="R227" s="53"/>
    </row>
    <row r="228" spans="1:18" ht="93" thickTop="1" thickBot="1" x14ac:dyDescent="0.25">
      <c r="A228" s="119" t="s">
        <v>47</v>
      </c>
      <c r="B228" s="119" t="s">
        <v>192</v>
      </c>
      <c r="C228" s="119" t="s">
        <v>199</v>
      </c>
      <c r="D228" s="119" t="s">
        <v>353</v>
      </c>
      <c r="E228" s="347">
        <f>F228</f>
        <v>53300</v>
      </c>
      <c r="F228" s="389">
        <v>53300</v>
      </c>
      <c r="G228" s="389"/>
      <c r="H228" s="389"/>
      <c r="I228" s="350"/>
      <c r="J228" s="393">
        <f t="shared" si="231"/>
        <v>0</v>
      </c>
      <c r="K228" s="350"/>
      <c r="L228" s="389"/>
      <c r="M228" s="389"/>
      <c r="N228" s="389"/>
      <c r="O228" s="351">
        <f t="shared" si="232"/>
        <v>0</v>
      </c>
      <c r="P228" s="393">
        <f t="shared" si="234"/>
        <v>53300</v>
      </c>
      <c r="Q228" s="20"/>
      <c r="R228" s="46"/>
    </row>
    <row r="229" spans="1:18" ht="48" thickTop="1" thickBot="1" x14ac:dyDescent="0.25">
      <c r="A229" s="399" t="s">
        <v>785</v>
      </c>
      <c r="B229" s="399" t="s">
        <v>786</v>
      </c>
      <c r="C229" s="399"/>
      <c r="D229" s="399" t="s">
        <v>787</v>
      </c>
      <c r="E229" s="444">
        <f>SUM(E230:E231)</f>
        <v>67941944</v>
      </c>
      <c r="F229" s="444">
        <f t="shared" ref="F229:P229" si="238">SUM(F230:F231)</f>
        <v>67941944</v>
      </c>
      <c r="G229" s="444">
        <f t="shared" si="238"/>
        <v>41680951</v>
      </c>
      <c r="H229" s="444">
        <f t="shared" si="238"/>
        <v>3230737</v>
      </c>
      <c r="I229" s="444">
        <f t="shared" si="238"/>
        <v>0</v>
      </c>
      <c r="J229" s="444">
        <f t="shared" si="238"/>
        <v>28115914.079999998</v>
      </c>
      <c r="K229" s="444">
        <f t="shared" si="238"/>
        <v>26322292.079999998</v>
      </c>
      <c r="L229" s="444">
        <f t="shared" si="238"/>
        <v>1671242</v>
      </c>
      <c r="M229" s="444">
        <f t="shared" si="238"/>
        <v>784780</v>
      </c>
      <c r="N229" s="444">
        <f t="shared" si="238"/>
        <v>281280</v>
      </c>
      <c r="O229" s="444">
        <f t="shared" si="238"/>
        <v>26444672.079999998</v>
      </c>
      <c r="P229" s="444">
        <f t="shared" si="238"/>
        <v>96057858.079999998</v>
      </c>
      <c r="Q229" s="20"/>
      <c r="R229" s="46"/>
    </row>
    <row r="230" spans="1:18" ht="93" thickTop="1" thickBot="1" x14ac:dyDescent="0.25">
      <c r="A230" s="119" t="s">
        <v>28</v>
      </c>
      <c r="B230" s="119" t="s">
        <v>196</v>
      </c>
      <c r="C230" s="119" t="s">
        <v>199</v>
      </c>
      <c r="D230" s="119" t="s">
        <v>48</v>
      </c>
      <c r="E230" s="347">
        <f t="shared" si="230"/>
        <v>61686605</v>
      </c>
      <c r="F230" s="389">
        <f>(((((59889005)+202668+42714+402374+130485+41184+2300+422)+75600+314625+384310+146800+52989)+171255+160700+104000+29036+11235+11627+20090)-58000)-448814</f>
        <v>61686605</v>
      </c>
      <c r="G230" s="389">
        <f>(13877510+12442050+10977685+4484520)-100814</f>
        <v>41680951</v>
      </c>
      <c r="H230" s="389">
        <f>(3630737)-400000</f>
        <v>3230737</v>
      </c>
      <c r="I230" s="389"/>
      <c r="J230" s="393">
        <f t="shared" si="231"/>
        <v>28115914.079999998</v>
      </c>
      <c r="K230" s="389">
        <f>((((947868)+99900+53954+29525+19619+129500+99900+10427935.08)+30143+10979381+2072733+240000+90190+300000+35600+3000000-2072733-240000)-1114000+340000+24500)+770277+58000</f>
        <v>26322292.079999998</v>
      </c>
      <c r="L230" s="389">
        <v>1671242</v>
      </c>
      <c r="M230" s="389">
        <f>(862780)-78000</f>
        <v>784780</v>
      </c>
      <c r="N230" s="389">
        <v>281280</v>
      </c>
      <c r="O230" s="351">
        <f>(K230+122380)</f>
        <v>26444672.079999998</v>
      </c>
      <c r="P230" s="393">
        <f t="shared" si="234"/>
        <v>89802519.079999998</v>
      </c>
      <c r="Q230" s="20"/>
      <c r="R230" s="46"/>
    </row>
    <row r="231" spans="1:18" ht="93" thickTop="1" thickBot="1" x14ac:dyDescent="0.25">
      <c r="A231" s="119" t="s">
        <v>29</v>
      </c>
      <c r="B231" s="119" t="s">
        <v>197</v>
      </c>
      <c r="C231" s="119" t="s">
        <v>199</v>
      </c>
      <c r="D231" s="119" t="s">
        <v>49</v>
      </c>
      <c r="E231" s="347">
        <f t="shared" si="230"/>
        <v>6255339</v>
      </c>
      <c r="F231" s="389">
        <f>(6424339)-153000-16000</f>
        <v>6255339</v>
      </c>
      <c r="G231" s="389"/>
      <c r="H231" s="389"/>
      <c r="I231" s="389"/>
      <c r="J231" s="393">
        <f t="shared" si="231"/>
        <v>0</v>
      </c>
      <c r="K231" s="389">
        <v>0</v>
      </c>
      <c r="L231" s="389"/>
      <c r="M231" s="389"/>
      <c r="N231" s="389"/>
      <c r="O231" s="351">
        <f t="shared" si="232"/>
        <v>0</v>
      </c>
      <c r="P231" s="393">
        <f t="shared" si="234"/>
        <v>6255339</v>
      </c>
      <c r="Q231" s="20"/>
      <c r="R231" s="46"/>
    </row>
    <row r="232" spans="1:18" ht="48" thickTop="1" thickBot="1" x14ac:dyDescent="0.25">
      <c r="A232" s="477" t="s">
        <v>1469</v>
      </c>
      <c r="B232" s="399" t="s">
        <v>823</v>
      </c>
      <c r="C232" s="399"/>
      <c r="D232" s="399" t="s">
        <v>824</v>
      </c>
      <c r="E232" s="444">
        <f>E233</f>
        <v>147135</v>
      </c>
      <c r="F232" s="444">
        <f t="shared" ref="F232:P232" si="239">F233</f>
        <v>147135</v>
      </c>
      <c r="G232" s="444">
        <f t="shared" si="239"/>
        <v>120602.43</v>
      </c>
      <c r="H232" s="444">
        <f t="shared" si="239"/>
        <v>0</v>
      </c>
      <c r="I232" s="444">
        <f t="shared" si="239"/>
        <v>0</v>
      </c>
      <c r="J232" s="444">
        <f t="shared" si="239"/>
        <v>0</v>
      </c>
      <c r="K232" s="444">
        <f t="shared" si="239"/>
        <v>0</v>
      </c>
      <c r="L232" s="444">
        <f t="shared" si="239"/>
        <v>0</v>
      </c>
      <c r="M232" s="444">
        <f t="shared" si="239"/>
        <v>0</v>
      </c>
      <c r="N232" s="444">
        <f t="shared" si="239"/>
        <v>0</v>
      </c>
      <c r="O232" s="444">
        <f t="shared" si="239"/>
        <v>0</v>
      </c>
      <c r="P232" s="444">
        <f t="shared" si="239"/>
        <v>147135</v>
      </c>
      <c r="Q232" s="20"/>
      <c r="R232" s="46"/>
    </row>
    <row r="233" spans="1:18" ht="93" thickTop="1" thickBot="1" x14ac:dyDescent="0.25">
      <c r="A233" s="119" t="s">
        <v>1470</v>
      </c>
      <c r="B233" s="119" t="s">
        <v>1471</v>
      </c>
      <c r="C233" s="119" t="s">
        <v>199</v>
      </c>
      <c r="D233" s="119" t="s">
        <v>1472</v>
      </c>
      <c r="E233" s="347">
        <f t="shared" ref="E233" si="240">F233</f>
        <v>147135</v>
      </c>
      <c r="F233" s="389">
        <f>(88281)+58854</f>
        <v>147135</v>
      </c>
      <c r="G233" s="389">
        <f>(72361.47)+48240.96</f>
        <v>120602.43</v>
      </c>
      <c r="H233" s="389"/>
      <c r="I233" s="389"/>
      <c r="J233" s="393">
        <f t="shared" ref="J233" si="241">L233+O233</f>
        <v>0</v>
      </c>
      <c r="K233" s="389">
        <v>0</v>
      </c>
      <c r="L233" s="389"/>
      <c r="M233" s="389"/>
      <c r="N233" s="389"/>
      <c r="O233" s="351">
        <f t="shared" ref="O233" si="242">K233</f>
        <v>0</v>
      </c>
      <c r="P233" s="393">
        <f t="shared" ref="P233" si="243">E233+J233</f>
        <v>147135</v>
      </c>
      <c r="Q233" s="20"/>
      <c r="R233" s="46"/>
    </row>
    <row r="234" spans="1:18" ht="48" thickTop="1" thickBot="1" x14ac:dyDescent="0.25">
      <c r="A234" s="477" t="s">
        <v>788</v>
      </c>
      <c r="B234" s="399" t="s">
        <v>789</v>
      </c>
      <c r="C234" s="399"/>
      <c r="D234" s="399" t="s">
        <v>790</v>
      </c>
      <c r="E234" s="444">
        <f>SUM(E235:E237)</f>
        <v>6366895</v>
      </c>
      <c r="F234" s="444">
        <f t="shared" ref="F234:P234" si="244">SUM(F235:F237)</f>
        <v>6366895</v>
      </c>
      <c r="G234" s="444">
        <f t="shared" si="244"/>
        <v>1363400</v>
      </c>
      <c r="H234" s="444">
        <f t="shared" si="244"/>
        <v>0</v>
      </c>
      <c r="I234" s="444">
        <f t="shared" si="244"/>
        <v>0</v>
      </c>
      <c r="J234" s="444">
        <f t="shared" si="244"/>
        <v>72678</v>
      </c>
      <c r="K234" s="444">
        <f t="shared" si="244"/>
        <v>22678</v>
      </c>
      <c r="L234" s="444">
        <f t="shared" si="244"/>
        <v>50000</v>
      </c>
      <c r="M234" s="444">
        <f t="shared" si="244"/>
        <v>0</v>
      </c>
      <c r="N234" s="444">
        <f t="shared" si="244"/>
        <v>0</v>
      </c>
      <c r="O234" s="444">
        <f t="shared" si="244"/>
        <v>22678</v>
      </c>
      <c r="P234" s="444">
        <f t="shared" si="244"/>
        <v>6439573</v>
      </c>
      <c r="Q234" s="20"/>
      <c r="R234" s="46"/>
    </row>
    <row r="235" spans="1:18" ht="138.75" thickTop="1" thickBot="1" x14ac:dyDescent="0.25">
      <c r="A235" s="445" t="s">
        <v>30</v>
      </c>
      <c r="B235" s="445" t="s">
        <v>198</v>
      </c>
      <c r="C235" s="445" t="s">
        <v>199</v>
      </c>
      <c r="D235" s="119" t="s">
        <v>31</v>
      </c>
      <c r="E235" s="347">
        <f t="shared" si="230"/>
        <v>570057</v>
      </c>
      <c r="F235" s="389">
        <f>(((1028095)+40000)-198038)-300000</f>
        <v>570057</v>
      </c>
      <c r="G235" s="350"/>
      <c r="H235" s="350"/>
      <c r="I235" s="350"/>
      <c r="J235" s="393">
        <f t="shared" si="231"/>
        <v>0</v>
      </c>
      <c r="K235" s="350"/>
      <c r="L235" s="350"/>
      <c r="M235" s="350"/>
      <c r="N235" s="350"/>
      <c r="O235" s="351">
        <f t="shared" si="232"/>
        <v>0</v>
      </c>
      <c r="P235" s="393">
        <f t="shared" si="234"/>
        <v>570057</v>
      </c>
      <c r="Q235" s="20"/>
      <c r="R235" s="46"/>
    </row>
    <row r="236" spans="1:18" ht="93" thickTop="1" thickBot="1" x14ac:dyDescent="0.25">
      <c r="A236" s="445" t="s">
        <v>516</v>
      </c>
      <c r="B236" s="445" t="s">
        <v>514</v>
      </c>
      <c r="C236" s="445" t="s">
        <v>199</v>
      </c>
      <c r="D236" s="119" t="s">
        <v>515</v>
      </c>
      <c r="E236" s="347">
        <f t="shared" si="230"/>
        <v>3791300</v>
      </c>
      <c r="F236" s="389">
        <f>(3710900)+80400</f>
        <v>3791300</v>
      </c>
      <c r="G236" s="350"/>
      <c r="H236" s="350"/>
      <c r="I236" s="350"/>
      <c r="J236" s="393">
        <f t="shared" si="231"/>
        <v>0</v>
      </c>
      <c r="K236" s="350"/>
      <c r="L236" s="350"/>
      <c r="M236" s="350"/>
      <c r="N236" s="350"/>
      <c r="O236" s="351">
        <f t="shared" si="232"/>
        <v>0</v>
      </c>
      <c r="P236" s="393">
        <f t="shared" si="234"/>
        <v>3791300</v>
      </c>
      <c r="Q236" s="20"/>
      <c r="R236" s="46"/>
    </row>
    <row r="237" spans="1:18" ht="48" thickTop="1" thickBot="1" x14ac:dyDescent="0.25">
      <c r="A237" s="445" t="s">
        <v>32</v>
      </c>
      <c r="B237" s="445" t="s">
        <v>200</v>
      </c>
      <c r="C237" s="445" t="s">
        <v>199</v>
      </c>
      <c r="D237" s="119" t="s">
        <v>33</v>
      </c>
      <c r="E237" s="347">
        <f>F237</f>
        <v>2005538</v>
      </c>
      <c r="F237" s="389">
        <f>((1873774)+64250)+67514</f>
        <v>2005538</v>
      </c>
      <c r="G237" s="350">
        <f>(1310386)+53014</f>
        <v>1363400</v>
      </c>
      <c r="H237" s="350"/>
      <c r="I237" s="350"/>
      <c r="J237" s="393">
        <f t="shared" si="231"/>
        <v>72678</v>
      </c>
      <c r="K237" s="350">
        <v>22678</v>
      </c>
      <c r="L237" s="350">
        <v>50000</v>
      </c>
      <c r="M237" s="350"/>
      <c r="N237" s="350"/>
      <c r="O237" s="351">
        <f t="shared" si="232"/>
        <v>22678</v>
      </c>
      <c r="P237" s="393">
        <f t="shared" si="234"/>
        <v>2078216</v>
      </c>
      <c r="Q237" s="20"/>
      <c r="R237" s="46"/>
    </row>
    <row r="238" spans="1:18" ht="47.25" thickTop="1" thickBot="1" x14ac:dyDescent="0.25">
      <c r="A238" s="346" t="s">
        <v>791</v>
      </c>
      <c r="B238" s="346" t="s">
        <v>748</v>
      </c>
      <c r="C238" s="346"/>
      <c r="D238" s="476" t="s">
        <v>749</v>
      </c>
      <c r="E238" s="347">
        <f>E239</f>
        <v>63000</v>
      </c>
      <c r="F238" s="347">
        <f t="shared" ref="F238:P239" si="245">F239</f>
        <v>63000</v>
      </c>
      <c r="G238" s="347">
        <f t="shared" si="245"/>
        <v>0</v>
      </c>
      <c r="H238" s="347">
        <f t="shared" si="245"/>
        <v>0</v>
      </c>
      <c r="I238" s="347">
        <f t="shared" si="245"/>
        <v>0</v>
      </c>
      <c r="J238" s="347">
        <f t="shared" si="245"/>
        <v>0</v>
      </c>
      <c r="K238" s="347">
        <f t="shared" si="245"/>
        <v>0</v>
      </c>
      <c r="L238" s="347">
        <f t="shared" si="245"/>
        <v>0</v>
      </c>
      <c r="M238" s="347">
        <f t="shared" si="245"/>
        <v>0</v>
      </c>
      <c r="N238" s="347">
        <f t="shared" si="245"/>
        <v>0</v>
      </c>
      <c r="O238" s="347">
        <f t="shared" si="245"/>
        <v>0</v>
      </c>
      <c r="P238" s="347">
        <f t="shared" si="245"/>
        <v>63000</v>
      </c>
      <c r="Q238" s="20"/>
      <c r="R238" s="46"/>
    </row>
    <row r="239" spans="1:18" ht="48" thickTop="1" thickBot="1" x14ac:dyDescent="0.25">
      <c r="A239" s="477" t="s">
        <v>792</v>
      </c>
      <c r="B239" s="477" t="s">
        <v>751</v>
      </c>
      <c r="C239" s="477"/>
      <c r="D239" s="399" t="s">
        <v>752</v>
      </c>
      <c r="E239" s="444">
        <f>E240</f>
        <v>63000</v>
      </c>
      <c r="F239" s="444">
        <f t="shared" si="245"/>
        <v>63000</v>
      </c>
      <c r="G239" s="444">
        <f t="shared" si="245"/>
        <v>0</v>
      </c>
      <c r="H239" s="444">
        <f t="shared" si="245"/>
        <v>0</v>
      </c>
      <c r="I239" s="444">
        <f t="shared" si="245"/>
        <v>0</v>
      </c>
      <c r="J239" s="444">
        <f t="shared" si="245"/>
        <v>0</v>
      </c>
      <c r="K239" s="444">
        <f t="shared" si="245"/>
        <v>0</v>
      </c>
      <c r="L239" s="444">
        <f t="shared" si="245"/>
        <v>0</v>
      </c>
      <c r="M239" s="444">
        <f t="shared" si="245"/>
        <v>0</v>
      </c>
      <c r="N239" s="444">
        <f t="shared" si="245"/>
        <v>0</v>
      </c>
      <c r="O239" s="444">
        <f t="shared" si="245"/>
        <v>0</v>
      </c>
      <c r="P239" s="444">
        <f t="shared" si="245"/>
        <v>63000</v>
      </c>
      <c r="Q239" s="20"/>
      <c r="R239" s="46"/>
    </row>
    <row r="240" spans="1:18" ht="138.75" thickTop="1" thickBot="1" x14ac:dyDescent="0.25">
      <c r="A240" s="445" t="s">
        <v>346</v>
      </c>
      <c r="B240" s="445" t="s">
        <v>345</v>
      </c>
      <c r="C240" s="445" t="s">
        <v>344</v>
      </c>
      <c r="D240" s="119" t="s">
        <v>645</v>
      </c>
      <c r="E240" s="347">
        <f>F240</f>
        <v>63000</v>
      </c>
      <c r="F240" s="389">
        <f>(39000)+24000</f>
        <v>63000</v>
      </c>
      <c r="G240" s="350"/>
      <c r="H240" s="350"/>
      <c r="I240" s="350"/>
      <c r="J240" s="393">
        <f t="shared" si="231"/>
        <v>0</v>
      </c>
      <c r="K240" s="350"/>
      <c r="L240" s="350"/>
      <c r="M240" s="350"/>
      <c r="N240" s="350"/>
      <c r="O240" s="351">
        <f t="shared" si="232"/>
        <v>0</v>
      </c>
      <c r="P240" s="393">
        <f t="shared" si="234"/>
        <v>63000</v>
      </c>
      <c r="Q240" s="20"/>
      <c r="R240" s="50"/>
    </row>
    <row r="241" spans="1:18" ht="47.25" thickTop="1" thickBot="1" x14ac:dyDescent="0.25">
      <c r="A241" s="346" t="s">
        <v>793</v>
      </c>
      <c r="B241" s="346" t="s">
        <v>754</v>
      </c>
      <c r="C241" s="346"/>
      <c r="D241" s="346" t="s">
        <v>755</v>
      </c>
      <c r="E241" s="347">
        <f>E245+E242</f>
        <v>0</v>
      </c>
      <c r="F241" s="347">
        <f t="shared" ref="F241:P241" si="246">F245+F242</f>
        <v>0</v>
      </c>
      <c r="G241" s="347">
        <f t="shared" si="246"/>
        <v>0</v>
      </c>
      <c r="H241" s="347">
        <f t="shared" si="246"/>
        <v>0</v>
      </c>
      <c r="I241" s="347">
        <f t="shared" si="246"/>
        <v>0</v>
      </c>
      <c r="J241" s="347">
        <f t="shared" si="246"/>
        <v>807961</v>
      </c>
      <c r="K241" s="347">
        <f t="shared" si="246"/>
        <v>807961</v>
      </c>
      <c r="L241" s="347">
        <f t="shared" si="246"/>
        <v>0</v>
      </c>
      <c r="M241" s="347">
        <f t="shared" si="246"/>
        <v>0</v>
      </c>
      <c r="N241" s="347">
        <f t="shared" si="246"/>
        <v>0</v>
      </c>
      <c r="O241" s="347">
        <f t="shared" si="246"/>
        <v>807961</v>
      </c>
      <c r="P241" s="347">
        <f t="shared" si="246"/>
        <v>807961</v>
      </c>
      <c r="Q241" s="20"/>
      <c r="R241" s="50"/>
    </row>
    <row r="242" spans="1:18" ht="47.25" hidden="1" thickTop="1" thickBot="1" x14ac:dyDescent="0.25">
      <c r="A242" s="348" t="s">
        <v>1118</v>
      </c>
      <c r="B242" s="348" t="s">
        <v>810</v>
      </c>
      <c r="C242" s="348"/>
      <c r="D242" s="348" t="s">
        <v>811</v>
      </c>
      <c r="E242" s="352">
        <f>E243</f>
        <v>0</v>
      </c>
      <c r="F242" s="352">
        <f t="shared" ref="F242:P243" si="247">F243</f>
        <v>0</v>
      </c>
      <c r="G242" s="352">
        <f t="shared" si="247"/>
        <v>0</v>
      </c>
      <c r="H242" s="352">
        <f t="shared" si="247"/>
        <v>0</v>
      </c>
      <c r="I242" s="352">
        <f t="shared" si="247"/>
        <v>0</v>
      </c>
      <c r="J242" s="352">
        <f t="shared" si="247"/>
        <v>0</v>
      </c>
      <c r="K242" s="352">
        <f t="shared" si="247"/>
        <v>0</v>
      </c>
      <c r="L242" s="352">
        <f t="shared" si="247"/>
        <v>0</v>
      </c>
      <c r="M242" s="352">
        <f t="shared" si="247"/>
        <v>0</v>
      </c>
      <c r="N242" s="352">
        <f t="shared" si="247"/>
        <v>0</v>
      </c>
      <c r="O242" s="352">
        <f t="shared" si="247"/>
        <v>0</v>
      </c>
      <c r="P242" s="352">
        <f t="shared" si="247"/>
        <v>0</v>
      </c>
      <c r="Q242" s="20"/>
      <c r="R242" s="50"/>
    </row>
    <row r="243" spans="1:18" ht="54" hidden="1" thickTop="1" thickBot="1" x14ac:dyDescent="0.25">
      <c r="A243" s="399" t="s">
        <v>1119</v>
      </c>
      <c r="B243" s="399" t="s">
        <v>828</v>
      </c>
      <c r="C243" s="399"/>
      <c r="D243" s="399" t="s">
        <v>1292</v>
      </c>
      <c r="E243" s="388">
        <f>E244</f>
        <v>0</v>
      </c>
      <c r="F243" s="388">
        <f t="shared" si="247"/>
        <v>0</v>
      </c>
      <c r="G243" s="388">
        <f t="shared" si="247"/>
        <v>0</v>
      </c>
      <c r="H243" s="388">
        <f t="shared" si="247"/>
        <v>0</v>
      </c>
      <c r="I243" s="388">
        <f t="shared" si="247"/>
        <v>0</v>
      </c>
      <c r="J243" s="388">
        <f t="shared" si="247"/>
        <v>0</v>
      </c>
      <c r="K243" s="388">
        <f t="shared" si="247"/>
        <v>0</v>
      </c>
      <c r="L243" s="388">
        <f t="shared" si="247"/>
        <v>0</v>
      </c>
      <c r="M243" s="388">
        <f t="shared" si="247"/>
        <v>0</v>
      </c>
      <c r="N243" s="388">
        <f t="shared" si="247"/>
        <v>0</v>
      </c>
      <c r="O243" s="388">
        <f t="shared" si="247"/>
        <v>0</v>
      </c>
      <c r="P243" s="388">
        <f t="shared" si="247"/>
        <v>0</v>
      </c>
      <c r="Q243" s="20"/>
      <c r="R243" s="50"/>
    </row>
    <row r="244" spans="1:18" ht="54" hidden="1" thickTop="1" thickBot="1" x14ac:dyDescent="0.25">
      <c r="A244" s="119" t="s">
        <v>1120</v>
      </c>
      <c r="B244" s="119" t="s">
        <v>317</v>
      </c>
      <c r="C244" s="119" t="s">
        <v>308</v>
      </c>
      <c r="D244" s="119" t="s">
        <v>1300</v>
      </c>
      <c r="E244" s="393">
        <f t="shared" ref="E244" si="248">F244</f>
        <v>0</v>
      </c>
      <c r="F244" s="350"/>
      <c r="G244" s="350"/>
      <c r="H244" s="350"/>
      <c r="I244" s="350"/>
      <c r="J244" s="393">
        <f t="shared" ref="J244" si="249">L244+O244</f>
        <v>0</v>
      </c>
      <c r="K244" s="350">
        <f>49500-49500</f>
        <v>0</v>
      </c>
      <c r="L244" s="350"/>
      <c r="M244" s="350"/>
      <c r="N244" s="350"/>
      <c r="O244" s="351">
        <f t="shared" ref="O244" si="250">K244</f>
        <v>0</v>
      </c>
      <c r="P244" s="393">
        <f>E244+J244</f>
        <v>0</v>
      </c>
      <c r="Q244" s="20"/>
      <c r="R244" s="50"/>
    </row>
    <row r="245" spans="1:18" ht="47.25" thickTop="1" thickBot="1" x14ac:dyDescent="0.25">
      <c r="A245" s="348" t="s">
        <v>794</v>
      </c>
      <c r="B245" s="348" t="s">
        <v>697</v>
      </c>
      <c r="C245" s="348"/>
      <c r="D245" s="348" t="s">
        <v>695</v>
      </c>
      <c r="E245" s="349">
        <f>E247+E246</f>
        <v>0</v>
      </c>
      <c r="F245" s="349">
        <f t="shared" ref="F245:H245" si="251">F247+F246</f>
        <v>0</v>
      </c>
      <c r="G245" s="349">
        <f t="shared" si="251"/>
        <v>0</v>
      </c>
      <c r="H245" s="349">
        <f t="shared" si="251"/>
        <v>0</v>
      </c>
      <c r="I245" s="349">
        <f>I247+I246</f>
        <v>0</v>
      </c>
      <c r="J245" s="349">
        <f>J247+J246</f>
        <v>807961</v>
      </c>
      <c r="K245" s="349">
        <f>K247+K246</f>
        <v>807961</v>
      </c>
      <c r="L245" s="349">
        <f t="shared" ref="L245:O245" si="252">L247+L246</f>
        <v>0</v>
      </c>
      <c r="M245" s="349">
        <f t="shared" si="252"/>
        <v>0</v>
      </c>
      <c r="N245" s="349">
        <f t="shared" si="252"/>
        <v>0</v>
      </c>
      <c r="O245" s="349">
        <f t="shared" si="252"/>
        <v>807961</v>
      </c>
      <c r="P245" s="349">
        <f>P247+P246</f>
        <v>807961</v>
      </c>
      <c r="Q245" s="20"/>
      <c r="R245" s="50"/>
    </row>
    <row r="246" spans="1:18" ht="48" thickTop="1" thickBot="1" x14ac:dyDescent="0.25">
      <c r="A246" s="445" t="s">
        <v>1425</v>
      </c>
      <c r="B246" s="445" t="s">
        <v>216</v>
      </c>
      <c r="C246" s="445"/>
      <c r="D246" s="119" t="s">
        <v>41</v>
      </c>
      <c r="E246" s="347">
        <f>F246</f>
        <v>0</v>
      </c>
      <c r="F246" s="389"/>
      <c r="G246" s="350"/>
      <c r="H246" s="350"/>
      <c r="I246" s="350"/>
      <c r="J246" s="393">
        <f t="shared" ref="J246" si="253">L246+O246</f>
        <v>200870</v>
      </c>
      <c r="K246" s="350">
        <f>((4229000)+900000-900000)-4028130</f>
        <v>200870</v>
      </c>
      <c r="L246" s="350"/>
      <c r="M246" s="350"/>
      <c r="N246" s="350"/>
      <c r="O246" s="351">
        <f t="shared" ref="O246" si="254">K246</f>
        <v>200870</v>
      </c>
      <c r="P246" s="393">
        <f t="shared" ref="P246" si="255">E246+J246</f>
        <v>200870</v>
      </c>
      <c r="Q246" s="20"/>
      <c r="R246" s="50"/>
    </row>
    <row r="247" spans="1:18" ht="48" thickTop="1" thickBot="1" x14ac:dyDescent="0.25">
      <c r="A247" s="119" t="s">
        <v>613</v>
      </c>
      <c r="B247" s="119" t="s">
        <v>201</v>
      </c>
      <c r="C247" s="119" t="s">
        <v>170</v>
      </c>
      <c r="D247" s="119" t="s">
        <v>34</v>
      </c>
      <c r="E247" s="393">
        <f t="shared" ref="E247" si="256">F247</f>
        <v>0</v>
      </c>
      <c r="F247" s="350"/>
      <c r="G247" s="350"/>
      <c r="H247" s="350"/>
      <c r="I247" s="350"/>
      <c r="J247" s="393">
        <f t="shared" si="231"/>
        <v>607091</v>
      </c>
      <c r="K247" s="350">
        <f>(207091)+400000</f>
        <v>607091</v>
      </c>
      <c r="L247" s="350"/>
      <c r="M247" s="350"/>
      <c r="N247" s="350"/>
      <c r="O247" s="351">
        <f t="shared" si="232"/>
        <v>607091</v>
      </c>
      <c r="P247" s="393">
        <f t="shared" si="234"/>
        <v>607091</v>
      </c>
      <c r="Q247" s="20"/>
      <c r="R247" s="46"/>
    </row>
    <row r="248" spans="1:18" ht="47.25" hidden="1" thickTop="1" thickBot="1" x14ac:dyDescent="0.25">
      <c r="A248" s="162" t="s">
        <v>1127</v>
      </c>
      <c r="B248" s="162" t="s">
        <v>708</v>
      </c>
      <c r="C248" s="162"/>
      <c r="D248" s="162" t="s">
        <v>709</v>
      </c>
      <c r="E248" s="42">
        <f>E249</f>
        <v>0</v>
      </c>
      <c r="F248" s="42">
        <f t="shared" ref="F248:P249" si="257">F249</f>
        <v>0</v>
      </c>
      <c r="G248" s="42">
        <f t="shared" si="257"/>
        <v>0</v>
      </c>
      <c r="H248" s="42">
        <f t="shared" si="257"/>
        <v>0</v>
      </c>
      <c r="I248" s="42">
        <f t="shared" si="257"/>
        <v>0</v>
      </c>
      <c r="J248" s="42">
        <f t="shared" si="257"/>
        <v>0</v>
      </c>
      <c r="K248" s="42">
        <f t="shared" si="257"/>
        <v>0</v>
      </c>
      <c r="L248" s="42">
        <f t="shared" si="257"/>
        <v>0</v>
      </c>
      <c r="M248" s="42">
        <f t="shared" si="257"/>
        <v>0</v>
      </c>
      <c r="N248" s="42">
        <f t="shared" si="257"/>
        <v>0</v>
      </c>
      <c r="O248" s="42">
        <f t="shared" si="257"/>
        <v>0</v>
      </c>
      <c r="P248" s="42">
        <f t="shared" si="257"/>
        <v>0</v>
      </c>
      <c r="Q248" s="20"/>
      <c r="R248" s="46"/>
    </row>
    <row r="249" spans="1:18" ht="91.5" hidden="1" thickTop="1" thickBot="1" x14ac:dyDescent="0.25">
      <c r="A249" s="163" t="s">
        <v>1128</v>
      </c>
      <c r="B249" s="163" t="s">
        <v>711</v>
      </c>
      <c r="C249" s="163"/>
      <c r="D249" s="163" t="s">
        <v>712</v>
      </c>
      <c r="E249" s="164">
        <f>E250</f>
        <v>0</v>
      </c>
      <c r="F249" s="164">
        <f t="shared" si="257"/>
        <v>0</v>
      </c>
      <c r="G249" s="164">
        <f t="shared" si="257"/>
        <v>0</v>
      </c>
      <c r="H249" s="164">
        <f t="shared" si="257"/>
        <v>0</v>
      </c>
      <c r="I249" s="164">
        <f t="shared" si="257"/>
        <v>0</v>
      </c>
      <c r="J249" s="164">
        <f t="shared" si="257"/>
        <v>0</v>
      </c>
      <c r="K249" s="164">
        <f t="shared" si="257"/>
        <v>0</v>
      </c>
      <c r="L249" s="164">
        <f t="shared" si="257"/>
        <v>0</v>
      </c>
      <c r="M249" s="164">
        <f t="shared" si="257"/>
        <v>0</v>
      </c>
      <c r="N249" s="164">
        <f t="shared" si="257"/>
        <v>0</v>
      </c>
      <c r="O249" s="164">
        <f t="shared" si="257"/>
        <v>0</v>
      </c>
      <c r="P249" s="164">
        <f t="shared" si="257"/>
        <v>0</v>
      </c>
      <c r="Q249" s="20"/>
      <c r="R249" s="46"/>
    </row>
    <row r="250" spans="1:18" ht="48" hidden="1" thickTop="1" thickBot="1" x14ac:dyDescent="0.25">
      <c r="A250" s="41" t="s">
        <v>1129</v>
      </c>
      <c r="B250" s="41" t="s">
        <v>367</v>
      </c>
      <c r="C250" s="41" t="s">
        <v>43</v>
      </c>
      <c r="D250" s="41" t="s">
        <v>368</v>
      </c>
      <c r="E250" s="42">
        <f t="shared" ref="E250" si="258">F250</f>
        <v>0</v>
      </c>
      <c r="F250" s="43">
        <v>0</v>
      </c>
      <c r="G250" s="43"/>
      <c r="H250" s="43"/>
      <c r="I250" s="43"/>
      <c r="J250" s="42">
        <f>L250+O250</f>
        <v>0</v>
      </c>
      <c r="K250" s="43">
        <v>0</v>
      </c>
      <c r="L250" s="43"/>
      <c r="M250" s="43"/>
      <c r="N250" s="43"/>
      <c r="O250" s="44">
        <f>K250</f>
        <v>0</v>
      </c>
      <c r="P250" s="42">
        <f>E250+J250</f>
        <v>0</v>
      </c>
      <c r="Q250" s="20"/>
      <c r="R250" s="46"/>
    </row>
    <row r="251" spans="1:18" ht="91.5" thickTop="1" thickBot="1" x14ac:dyDescent="0.25">
      <c r="A251" s="403" t="s">
        <v>158</v>
      </c>
      <c r="B251" s="403"/>
      <c r="C251" s="403"/>
      <c r="D251" s="404" t="s">
        <v>566</v>
      </c>
      <c r="E251" s="406">
        <f>E252</f>
        <v>49426230</v>
      </c>
      <c r="F251" s="405">
        <f t="shared" ref="F251:G251" si="259">F252</f>
        <v>49426230</v>
      </c>
      <c r="G251" s="405">
        <f t="shared" si="259"/>
        <v>6530800</v>
      </c>
      <c r="H251" s="405">
        <f>H252</f>
        <v>495475</v>
      </c>
      <c r="I251" s="405">
        <f t="shared" ref="I251" si="260">I252</f>
        <v>0</v>
      </c>
      <c r="J251" s="406">
        <f>J252</f>
        <v>35130098.869999997</v>
      </c>
      <c r="K251" s="405">
        <f>K252</f>
        <v>34650373</v>
      </c>
      <c r="L251" s="405">
        <f>L252</f>
        <v>479725.87</v>
      </c>
      <c r="M251" s="405">
        <f t="shared" ref="M251" si="261">M252</f>
        <v>0</v>
      </c>
      <c r="N251" s="405">
        <f>N252</f>
        <v>0</v>
      </c>
      <c r="O251" s="406">
        <f>O252</f>
        <v>34650373</v>
      </c>
      <c r="P251" s="405">
        <f>P252</f>
        <v>84556328.870000005</v>
      </c>
      <c r="Q251" s="20"/>
      <c r="R251" s="50"/>
    </row>
    <row r="252" spans="1:18" ht="91.5" thickTop="1" thickBot="1" x14ac:dyDescent="0.25">
      <c r="A252" s="407" t="s">
        <v>159</v>
      </c>
      <c r="B252" s="407"/>
      <c r="C252" s="407"/>
      <c r="D252" s="408" t="s">
        <v>567</v>
      </c>
      <c r="E252" s="409">
        <f>E253+E257+E265+E274</f>
        <v>49426230</v>
      </c>
      <c r="F252" s="409">
        <f>F253+F257+F265+F274</f>
        <v>49426230</v>
      </c>
      <c r="G252" s="409">
        <f>G253+G257+G265+G274</f>
        <v>6530800</v>
      </c>
      <c r="H252" s="409">
        <f>H253+H257+H265+H274</f>
        <v>495475</v>
      </c>
      <c r="I252" s="409">
        <f>I253+I257+I265+I274</f>
        <v>0</v>
      </c>
      <c r="J252" s="409">
        <f t="shared" ref="J252:J272" si="262">L252+O252</f>
        <v>35130098.869999997</v>
      </c>
      <c r="K252" s="409">
        <f>K253+K257+K265+K274</f>
        <v>34650373</v>
      </c>
      <c r="L252" s="409">
        <f>L253+L257+L265+L274</f>
        <v>479725.87</v>
      </c>
      <c r="M252" s="409">
        <f>M253+M257+M265+M274</f>
        <v>0</v>
      </c>
      <c r="N252" s="409">
        <f>N253+N257+N265+N274</f>
        <v>0</v>
      </c>
      <c r="O252" s="409">
        <f>O253+O257+O265+O274</f>
        <v>34650373</v>
      </c>
      <c r="P252" s="409">
        <f>E252+J252</f>
        <v>84556328.870000005</v>
      </c>
      <c r="Q252" s="353" t="b">
        <f>P252=P254+P255+P259+P260+P264+P270+P269+P272+P262+P267+P263+P261+P256</f>
        <v>1</v>
      </c>
      <c r="R252" s="54"/>
    </row>
    <row r="253" spans="1:18" ht="47.25" thickTop="1" thickBot="1" x14ac:dyDescent="0.25">
      <c r="A253" s="346" t="s">
        <v>795</v>
      </c>
      <c r="B253" s="346" t="s">
        <v>690</v>
      </c>
      <c r="C253" s="346"/>
      <c r="D253" s="346" t="s">
        <v>691</v>
      </c>
      <c r="E253" s="393">
        <f>SUM(E254:E256)</f>
        <v>9258160</v>
      </c>
      <c r="F253" s="393">
        <f t="shared" ref="F253:N253" si="263">SUM(F254:F256)</f>
        <v>9258160</v>
      </c>
      <c r="G253" s="393">
        <f t="shared" si="263"/>
        <v>6530800</v>
      </c>
      <c r="H253" s="393">
        <f t="shared" si="263"/>
        <v>495475</v>
      </c>
      <c r="I253" s="393">
        <f t="shared" si="263"/>
        <v>0</v>
      </c>
      <c r="J253" s="393">
        <f t="shared" si="263"/>
        <v>25000</v>
      </c>
      <c r="K253" s="393">
        <f t="shared" si="263"/>
        <v>25000</v>
      </c>
      <c r="L253" s="393">
        <f t="shared" si="263"/>
        <v>0</v>
      </c>
      <c r="M253" s="393">
        <f t="shared" si="263"/>
        <v>0</v>
      </c>
      <c r="N253" s="393">
        <f t="shared" si="263"/>
        <v>0</v>
      </c>
      <c r="O253" s="393">
        <f>SUM(O254:O256)</f>
        <v>25000</v>
      </c>
      <c r="P253" s="393">
        <f>SUM(P254:P256)</f>
        <v>9283160</v>
      </c>
      <c r="Q253" s="47"/>
      <c r="R253" s="54"/>
    </row>
    <row r="254" spans="1:18" ht="93" thickTop="1" thickBot="1" x14ac:dyDescent="0.25">
      <c r="A254" s="119" t="s">
        <v>425</v>
      </c>
      <c r="B254" s="119" t="s">
        <v>240</v>
      </c>
      <c r="C254" s="119" t="s">
        <v>238</v>
      </c>
      <c r="D254" s="119" t="s">
        <v>239</v>
      </c>
      <c r="E254" s="347">
        <f>F254</f>
        <v>9246160</v>
      </c>
      <c r="F254" s="389">
        <f>((9296960)+43200+500000)-594000</f>
        <v>9246160</v>
      </c>
      <c r="G254" s="389">
        <v>6530800</v>
      </c>
      <c r="H254" s="389">
        <f>372455+5642+112884+4494</f>
        <v>495475</v>
      </c>
      <c r="I254" s="389"/>
      <c r="J254" s="393">
        <f t="shared" si="262"/>
        <v>25000</v>
      </c>
      <c r="K254" s="389">
        <f>0+25000</f>
        <v>25000</v>
      </c>
      <c r="L254" s="390"/>
      <c r="M254" s="390"/>
      <c r="N254" s="390"/>
      <c r="O254" s="351">
        <f t="shared" ref="O254:O269" si="264">K254</f>
        <v>25000</v>
      </c>
      <c r="P254" s="393">
        <f t="shared" ref="P254:P261" si="265">+J254+E254</f>
        <v>9271160</v>
      </c>
      <c r="Q254" s="20"/>
      <c r="R254" s="54"/>
    </row>
    <row r="255" spans="1:18" ht="93" thickTop="1" thickBot="1" x14ac:dyDescent="0.25">
      <c r="A255" s="119" t="s">
        <v>633</v>
      </c>
      <c r="B255" s="119" t="s">
        <v>366</v>
      </c>
      <c r="C255" s="119" t="s">
        <v>631</v>
      </c>
      <c r="D255" s="119" t="s">
        <v>632</v>
      </c>
      <c r="E255" s="393">
        <f t="shared" ref="E255:E256" si="266">F255</f>
        <v>12000</v>
      </c>
      <c r="F255" s="389">
        <v>12000</v>
      </c>
      <c r="G255" s="389"/>
      <c r="H255" s="389"/>
      <c r="I255" s="389"/>
      <c r="J255" s="393">
        <f t="shared" si="262"/>
        <v>0</v>
      </c>
      <c r="K255" s="389"/>
      <c r="L255" s="390"/>
      <c r="M255" s="395"/>
      <c r="N255" s="395"/>
      <c r="O255" s="351">
        <f t="shared" si="264"/>
        <v>0</v>
      </c>
      <c r="P255" s="393">
        <f>+J255+E255</f>
        <v>12000</v>
      </c>
      <c r="Q255" s="20"/>
      <c r="R255" s="54"/>
    </row>
    <row r="256" spans="1:18" ht="48" hidden="1" thickTop="1" thickBot="1" x14ac:dyDescent="0.25">
      <c r="A256" s="119" t="s">
        <v>1164</v>
      </c>
      <c r="B256" s="119" t="s">
        <v>43</v>
      </c>
      <c r="C256" s="119" t="s">
        <v>42</v>
      </c>
      <c r="D256" s="119" t="s">
        <v>252</v>
      </c>
      <c r="E256" s="393">
        <f t="shared" si="266"/>
        <v>0</v>
      </c>
      <c r="F256" s="389"/>
      <c r="G256" s="389"/>
      <c r="H256" s="389"/>
      <c r="I256" s="389"/>
      <c r="J256" s="393">
        <f t="shared" si="262"/>
        <v>0</v>
      </c>
      <c r="K256" s="389"/>
      <c r="L256" s="390"/>
      <c r="M256" s="395"/>
      <c r="N256" s="395"/>
      <c r="O256" s="351"/>
      <c r="P256" s="393">
        <f>+J256+E256</f>
        <v>0</v>
      </c>
      <c r="Q256" s="20"/>
      <c r="R256" s="54"/>
    </row>
    <row r="257" spans="1:18" ht="47.25" thickTop="1" thickBot="1" x14ac:dyDescent="0.25">
      <c r="A257" s="346" t="s">
        <v>796</v>
      </c>
      <c r="B257" s="346" t="s">
        <v>748</v>
      </c>
      <c r="C257" s="346"/>
      <c r="D257" s="476" t="s">
        <v>749</v>
      </c>
      <c r="E257" s="393">
        <f>SUM(E258:E264)-E258</f>
        <v>26716700</v>
      </c>
      <c r="F257" s="393">
        <f t="shared" ref="F257:P257" si="267">SUM(F258:F264)-F258</f>
        <v>26716700</v>
      </c>
      <c r="G257" s="393">
        <f t="shared" si="267"/>
        <v>0</v>
      </c>
      <c r="H257" s="393">
        <f t="shared" si="267"/>
        <v>0</v>
      </c>
      <c r="I257" s="393">
        <f t="shared" si="267"/>
        <v>0</v>
      </c>
      <c r="J257" s="393">
        <f>SUM(J258:J264)-J258</f>
        <v>22077811</v>
      </c>
      <c r="K257" s="393">
        <f t="shared" si="267"/>
        <v>22077811</v>
      </c>
      <c r="L257" s="393">
        <f t="shared" si="267"/>
        <v>0</v>
      </c>
      <c r="M257" s="393">
        <f t="shared" si="267"/>
        <v>0</v>
      </c>
      <c r="N257" s="393">
        <f t="shared" si="267"/>
        <v>0</v>
      </c>
      <c r="O257" s="393">
        <f t="shared" si="267"/>
        <v>22077811</v>
      </c>
      <c r="P257" s="393">
        <f t="shared" si="267"/>
        <v>48794511</v>
      </c>
      <c r="Q257" s="20"/>
      <c r="R257" s="54"/>
    </row>
    <row r="258" spans="1:18" s="33" customFormat="1" ht="93" thickTop="1" thickBot="1" x14ac:dyDescent="0.25">
      <c r="A258" s="399" t="s">
        <v>797</v>
      </c>
      <c r="B258" s="399" t="s">
        <v>798</v>
      </c>
      <c r="C258" s="399"/>
      <c r="D258" s="399" t="s">
        <v>799</v>
      </c>
      <c r="E258" s="388">
        <f>SUM(E259:E261)</f>
        <v>8938600</v>
      </c>
      <c r="F258" s="388">
        <f t="shared" ref="F258:P258" si="268">SUM(F259:F261)</f>
        <v>8938600</v>
      </c>
      <c r="G258" s="388">
        <f t="shared" si="268"/>
        <v>0</v>
      </c>
      <c r="H258" s="388">
        <f t="shared" si="268"/>
        <v>0</v>
      </c>
      <c r="I258" s="388">
        <f t="shared" si="268"/>
        <v>0</v>
      </c>
      <c r="J258" s="388">
        <f t="shared" si="268"/>
        <v>17772673</v>
      </c>
      <c r="K258" s="388">
        <f t="shared" si="268"/>
        <v>17772673</v>
      </c>
      <c r="L258" s="388">
        <f t="shared" si="268"/>
        <v>0</v>
      </c>
      <c r="M258" s="388">
        <f t="shared" si="268"/>
        <v>0</v>
      </c>
      <c r="N258" s="388">
        <f t="shared" si="268"/>
        <v>0</v>
      </c>
      <c r="O258" s="388">
        <f t="shared" si="268"/>
        <v>17772673</v>
      </c>
      <c r="P258" s="388">
        <f t="shared" si="268"/>
        <v>26711273</v>
      </c>
      <c r="Q258" s="36"/>
      <c r="R258" s="54"/>
    </row>
    <row r="259" spans="1:18" ht="48" thickTop="1" thickBot="1" x14ac:dyDescent="0.25">
      <c r="A259" s="119" t="s">
        <v>284</v>
      </c>
      <c r="B259" s="119" t="s">
        <v>285</v>
      </c>
      <c r="C259" s="119" t="s">
        <v>344</v>
      </c>
      <c r="D259" s="119" t="s">
        <v>286</v>
      </c>
      <c r="E259" s="347">
        <f>F259</f>
        <v>8938600</v>
      </c>
      <c r="F259" s="389">
        <f>((((1833100)+150000)+2000000)+3455500)+1500000</f>
        <v>8938600</v>
      </c>
      <c r="G259" s="389"/>
      <c r="H259" s="389"/>
      <c r="I259" s="389"/>
      <c r="J259" s="393">
        <f t="shared" si="262"/>
        <v>6156681</v>
      </c>
      <c r="K259" s="389">
        <f>((((745000)+3224055)+2529226)+627900)-969500</f>
        <v>6156681</v>
      </c>
      <c r="L259" s="390"/>
      <c r="M259" s="390"/>
      <c r="N259" s="390"/>
      <c r="O259" s="351">
        <f t="shared" si="264"/>
        <v>6156681</v>
      </c>
      <c r="P259" s="393">
        <f t="shared" si="265"/>
        <v>15095281</v>
      </c>
      <c r="Q259" s="20"/>
      <c r="R259" s="54"/>
    </row>
    <row r="260" spans="1:18" ht="48" thickTop="1" thickBot="1" x14ac:dyDescent="0.25">
      <c r="A260" s="119" t="s">
        <v>305</v>
      </c>
      <c r="B260" s="119" t="s">
        <v>306</v>
      </c>
      <c r="C260" s="119" t="s">
        <v>287</v>
      </c>
      <c r="D260" s="119" t="s">
        <v>307</v>
      </c>
      <c r="E260" s="347">
        <f t="shared" ref="E260:E272" si="269">F260</f>
        <v>0</v>
      </c>
      <c r="F260" s="389"/>
      <c r="G260" s="389"/>
      <c r="H260" s="389"/>
      <c r="I260" s="389"/>
      <c r="J260" s="393">
        <f t="shared" si="262"/>
        <v>11237500</v>
      </c>
      <c r="K260" s="389">
        <f>((5237500)+5000000)+1000000</f>
        <v>11237500</v>
      </c>
      <c r="L260" s="390"/>
      <c r="M260" s="390"/>
      <c r="N260" s="390"/>
      <c r="O260" s="351">
        <f t="shared" si="264"/>
        <v>11237500</v>
      </c>
      <c r="P260" s="393">
        <f t="shared" si="265"/>
        <v>11237500</v>
      </c>
      <c r="Q260" s="20"/>
      <c r="R260" s="54"/>
    </row>
    <row r="261" spans="1:18" ht="93" thickTop="1" thickBot="1" x14ac:dyDescent="0.25">
      <c r="A261" s="119" t="s">
        <v>288</v>
      </c>
      <c r="B261" s="119" t="s">
        <v>289</v>
      </c>
      <c r="C261" s="119" t="s">
        <v>287</v>
      </c>
      <c r="D261" s="119" t="s">
        <v>470</v>
      </c>
      <c r="E261" s="347">
        <f t="shared" si="269"/>
        <v>0</v>
      </c>
      <c r="F261" s="389">
        <f>(((16700000-15000000)-1000000)-700000)+2500000-2500000</f>
        <v>0</v>
      </c>
      <c r="G261" s="389"/>
      <c r="H261" s="389"/>
      <c r="I261" s="389"/>
      <c r="J261" s="393">
        <f t="shared" si="262"/>
        <v>378492</v>
      </c>
      <c r="K261" s="389">
        <f>(378492)+2800000-2800000</f>
        <v>378492</v>
      </c>
      <c r="L261" s="390"/>
      <c r="M261" s="390"/>
      <c r="N261" s="390"/>
      <c r="O261" s="351">
        <f t="shared" si="264"/>
        <v>378492</v>
      </c>
      <c r="P261" s="393">
        <f t="shared" si="265"/>
        <v>378492</v>
      </c>
      <c r="Q261" s="20"/>
      <c r="R261" s="54"/>
    </row>
    <row r="262" spans="1:18" ht="93" thickTop="1" thickBot="1" x14ac:dyDescent="0.25">
      <c r="A262" s="119" t="s">
        <v>938</v>
      </c>
      <c r="B262" s="119" t="s">
        <v>301</v>
      </c>
      <c r="C262" s="119" t="s">
        <v>287</v>
      </c>
      <c r="D262" s="119" t="s">
        <v>302</v>
      </c>
      <c r="E262" s="347">
        <f t="shared" ref="E262" si="270">F262</f>
        <v>6178100</v>
      </c>
      <c r="F262" s="389">
        <f>((600000)+5008100)+570000</f>
        <v>6178100</v>
      </c>
      <c r="G262" s="389"/>
      <c r="H262" s="389"/>
      <c r="I262" s="389"/>
      <c r="J262" s="393">
        <f t="shared" ref="J262" si="271">L262+O262</f>
        <v>0</v>
      </c>
      <c r="K262" s="389"/>
      <c r="L262" s="390"/>
      <c r="M262" s="390"/>
      <c r="N262" s="390"/>
      <c r="O262" s="351">
        <f t="shared" ref="O262" si="272">K262</f>
        <v>0</v>
      </c>
      <c r="P262" s="393">
        <f t="shared" ref="P262" si="273">+J262+E262</f>
        <v>6178100</v>
      </c>
      <c r="Q262" s="20"/>
      <c r="R262" s="54"/>
    </row>
    <row r="263" spans="1:18" ht="48" thickTop="1" thickBot="1" x14ac:dyDescent="0.25">
      <c r="A263" s="119" t="s">
        <v>292</v>
      </c>
      <c r="B263" s="119" t="s">
        <v>293</v>
      </c>
      <c r="C263" s="119" t="s">
        <v>287</v>
      </c>
      <c r="D263" s="119" t="s">
        <v>294</v>
      </c>
      <c r="E263" s="347">
        <f t="shared" si="269"/>
        <v>8500000</v>
      </c>
      <c r="F263" s="389">
        <f>(((((0)+15000000)-10000000)-5000000)+20000000-10000000)-1500000</f>
        <v>8500000</v>
      </c>
      <c r="G263" s="389"/>
      <c r="H263" s="389"/>
      <c r="I263" s="389"/>
      <c r="J263" s="393">
        <f t="shared" si="262"/>
        <v>4305138</v>
      </c>
      <c r="K263" s="350">
        <f>(((3074000)+11186038-8750000)-627900)-577000</f>
        <v>4305138</v>
      </c>
      <c r="L263" s="389"/>
      <c r="M263" s="389"/>
      <c r="N263" s="389"/>
      <c r="O263" s="351">
        <f t="shared" si="264"/>
        <v>4305138</v>
      </c>
      <c r="P263" s="393">
        <f t="shared" ref="P263" si="274">E263+J263</f>
        <v>12805138</v>
      </c>
      <c r="Q263" s="20"/>
      <c r="R263" s="50"/>
    </row>
    <row r="264" spans="1:18" ht="48" thickTop="1" thickBot="1" x14ac:dyDescent="0.25">
      <c r="A264" s="119" t="s">
        <v>1313</v>
      </c>
      <c r="B264" s="119" t="s">
        <v>1170</v>
      </c>
      <c r="C264" s="119" t="s">
        <v>1171</v>
      </c>
      <c r="D264" s="119" t="s">
        <v>1168</v>
      </c>
      <c r="E264" s="347">
        <f t="shared" ref="E264" si="275">F264</f>
        <v>3100000</v>
      </c>
      <c r="F264" s="389">
        <f>((2000000)+3000000)-1900000</f>
        <v>3100000</v>
      </c>
      <c r="G264" s="389"/>
      <c r="H264" s="389"/>
      <c r="I264" s="389"/>
      <c r="J264" s="393">
        <f t="shared" ref="J264" si="276">L264+O264</f>
        <v>0</v>
      </c>
      <c r="K264" s="350"/>
      <c r="L264" s="389"/>
      <c r="M264" s="389"/>
      <c r="N264" s="389"/>
      <c r="O264" s="351">
        <f t="shared" ref="O264" si="277">K264</f>
        <v>0</v>
      </c>
      <c r="P264" s="393">
        <f t="shared" ref="P264" si="278">E264+J264</f>
        <v>3100000</v>
      </c>
      <c r="Q264" s="20"/>
      <c r="R264" s="50"/>
    </row>
    <row r="265" spans="1:18" ht="47.25" thickTop="1" thickBot="1" x14ac:dyDescent="0.25">
      <c r="A265" s="346" t="s">
        <v>800</v>
      </c>
      <c r="B265" s="346" t="s">
        <v>754</v>
      </c>
      <c r="C265" s="346"/>
      <c r="D265" s="346" t="s">
        <v>801</v>
      </c>
      <c r="E265" s="347">
        <f>E268+E266</f>
        <v>13451370</v>
      </c>
      <c r="F265" s="347">
        <f t="shared" ref="F265:P265" si="279">F268+F266</f>
        <v>13451370</v>
      </c>
      <c r="G265" s="347">
        <f t="shared" si="279"/>
        <v>0</v>
      </c>
      <c r="H265" s="347">
        <f t="shared" si="279"/>
        <v>0</v>
      </c>
      <c r="I265" s="347">
        <f t="shared" si="279"/>
        <v>0</v>
      </c>
      <c r="J265" s="347">
        <f t="shared" si="279"/>
        <v>13027287.869999999</v>
      </c>
      <c r="K265" s="347">
        <f t="shared" si="279"/>
        <v>12547562</v>
      </c>
      <c r="L265" s="347">
        <f t="shared" si="279"/>
        <v>479725.87</v>
      </c>
      <c r="M265" s="347">
        <f t="shared" si="279"/>
        <v>0</v>
      </c>
      <c r="N265" s="347">
        <f t="shared" si="279"/>
        <v>0</v>
      </c>
      <c r="O265" s="347">
        <f t="shared" si="279"/>
        <v>12547562</v>
      </c>
      <c r="P265" s="347">
        <f t="shared" si="279"/>
        <v>26478657.869999997</v>
      </c>
      <c r="Q265" s="20"/>
      <c r="R265" s="50"/>
    </row>
    <row r="266" spans="1:18" ht="47.25" thickTop="1" thickBot="1" x14ac:dyDescent="0.25">
      <c r="A266" s="348" t="s">
        <v>1166</v>
      </c>
      <c r="B266" s="348" t="s">
        <v>810</v>
      </c>
      <c r="C266" s="348"/>
      <c r="D266" s="348" t="s">
        <v>811</v>
      </c>
      <c r="E266" s="349">
        <f>E267</f>
        <v>0</v>
      </c>
      <c r="F266" s="349">
        <f t="shared" ref="F266:P266" si="280">F267</f>
        <v>0</v>
      </c>
      <c r="G266" s="349">
        <f t="shared" si="280"/>
        <v>0</v>
      </c>
      <c r="H266" s="349">
        <f t="shared" si="280"/>
        <v>0</v>
      </c>
      <c r="I266" s="349">
        <f t="shared" si="280"/>
        <v>0</v>
      </c>
      <c r="J266" s="349">
        <f t="shared" si="280"/>
        <v>4056835</v>
      </c>
      <c r="K266" s="349">
        <f t="shared" si="280"/>
        <v>4056835</v>
      </c>
      <c r="L266" s="349">
        <f t="shared" si="280"/>
        <v>0</v>
      </c>
      <c r="M266" s="349">
        <f t="shared" si="280"/>
        <v>0</v>
      </c>
      <c r="N266" s="349">
        <f t="shared" si="280"/>
        <v>0</v>
      </c>
      <c r="O266" s="349">
        <f t="shared" si="280"/>
        <v>4056835</v>
      </c>
      <c r="P266" s="349">
        <f t="shared" si="280"/>
        <v>4056835</v>
      </c>
      <c r="Q266" s="20"/>
      <c r="R266" s="50"/>
    </row>
    <row r="267" spans="1:18" ht="54" thickTop="1" thickBot="1" x14ac:dyDescent="0.25">
      <c r="A267" s="119" t="s">
        <v>1167</v>
      </c>
      <c r="B267" s="119" t="s">
        <v>309</v>
      </c>
      <c r="C267" s="119" t="s">
        <v>308</v>
      </c>
      <c r="D267" s="119" t="s">
        <v>1315</v>
      </c>
      <c r="E267" s="347">
        <f t="shared" ref="E267" si="281">F267</f>
        <v>0</v>
      </c>
      <c r="F267" s="389"/>
      <c r="G267" s="389"/>
      <c r="H267" s="389"/>
      <c r="I267" s="389"/>
      <c r="J267" s="393">
        <f>L267+O267</f>
        <v>4056835</v>
      </c>
      <c r="K267" s="350">
        <f>((4700000)+100000)-743165</f>
        <v>4056835</v>
      </c>
      <c r="L267" s="389"/>
      <c r="M267" s="389"/>
      <c r="N267" s="389"/>
      <c r="O267" s="351">
        <f>K267</f>
        <v>4056835</v>
      </c>
      <c r="P267" s="393">
        <f t="shared" ref="P267" si="282">E267+J267</f>
        <v>4056835</v>
      </c>
      <c r="Q267" s="20"/>
      <c r="R267" s="50"/>
    </row>
    <row r="268" spans="1:18" ht="47.25" thickTop="1" thickBot="1" x14ac:dyDescent="0.25">
      <c r="A268" s="348" t="s">
        <v>802</v>
      </c>
      <c r="B268" s="348" t="s">
        <v>697</v>
      </c>
      <c r="C268" s="348"/>
      <c r="D268" s="348" t="s">
        <v>695</v>
      </c>
      <c r="E268" s="349">
        <f>E269+E271+E270</f>
        <v>13451370</v>
      </c>
      <c r="F268" s="349">
        <f t="shared" ref="F268:P268" si="283">F269+F271+F270</f>
        <v>13451370</v>
      </c>
      <c r="G268" s="349">
        <f t="shared" si="283"/>
        <v>0</v>
      </c>
      <c r="H268" s="349">
        <f t="shared" si="283"/>
        <v>0</v>
      </c>
      <c r="I268" s="349">
        <f t="shared" si="283"/>
        <v>0</v>
      </c>
      <c r="J268" s="349">
        <f>J269+J271+J270</f>
        <v>8970452.8699999992</v>
      </c>
      <c r="K268" s="349">
        <f t="shared" si="283"/>
        <v>8490727</v>
      </c>
      <c r="L268" s="349">
        <f t="shared" si="283"/>
        <v>479725.87</v>
      </c>
      <c r="M268" s="349">
        <f t="shared" si="283"/>
        <v>0</v>
      </c>
      <c r="N268" s="349">
        <f t="shared" si="283"/>
        <v>0</v>
      </c>
      <c r="O268" s="349">
        <f t="shared" si="283"/>
        <v>8490727</v>
      </c>
      <c r="P268" s="349">
        <f t="shared" si="283"/>
        <v>22421822.869999997</v>
      </c>
      <c r="Q268" s="20"/>
      <c r="R268" s="50"/>
    </row>
    <row r="269" spans="1:18" ht="48" thickTop="1" thickBot="1" x14ac:dyDescent="0.25">
      <c r="A269" s="119" t="s">
        <v>300</v>
      </c>
      <c r="B269" s="119" t="s">
        <v>216</v>
      </c>
      <c r="C269" s="119" t="s">
        <v>217</v>
      </c>
      <c r="D269" s="119" t="s">
        <v>41</v>
      </c>
      <c r="E269" s="347">
        <f t="shared" si="269"/>
        <v>13451370</v>
      </c>
      <c r="F269" s="389">
        <f>((5844220)+2707150)+4900000</f>
        <v>13451370</v>
      </c>
      <c r="G269" s="389"/>
      <c r="H269" s="389"/>
      <c r="I269" s="389"/>
      <c r="J269" s="393">
        <f t="shared" si="262"/>
        <v>0</v>
      </c>
      <c r="K269" s="350"/>
      <c r="L269" s="389"/>
      <c r="M269" s="389"/>
      <c r="N269" s="389"/>
      <c r="O269" s="351">
        <f t="shared" si="264"/>
        <v>0</v>
      </c>
      <c r="P269" s="393">
        <f>E269+J269</f>
        <v>13451370</v>
      </c>
      <c r="Q269" s="20"/>
      <c r="R269" s="54"/>
    </row>
    <row r="270" spans="1:18" ht="48" thickTop="1" thickBot="1" x14ac:dyDescent="0.25">
      <c r="A270" s="119" t="s">
        <v>927</v>
      </c>
      <c r="B270" s="119" t="s">
        <v>201</v>
      </c>
      <c r="C270" s="119" t="s">
        <v>170</v>
      </c>
      <c r="D270" s="119" t="s">
        <v>34</v>
      </c>
      <c r="E270" s="347">
        <f t="shared" ref="E270" si="284">F270</f>
        <v>0</v>
      </c>
      <c r="F270" s="389"/>
      <c r="G270" s="389"/>
      <c r="H270" s="389"/>
      <c r="I270" s="389"/>
      <c r="J270" s="393">
        <f t="shared" ref="J270" si="285">L270+O270</f>
        <v>8490727</v>
      </c>
      <c r="K270" s="350">
        <f>((171034)+15682892-964949)-6398250</f>
        <v>8490727</v>
      </c>
      <c r="L270" s="389"/>
      <c r="M270" s="389"/>
      <c r="N270" s="389"/>
      <c r="O270" s="351">
        <f t="shared" ref="O270" si="286">K270</f>
        <v>8490727</v>
      </c>
      <c r="P270" s="393">
        <f>E270+J270</f>
        <v>8490727</v>
      </c>
      <c r="Q270" s="20"/>
      <c r="R270" s="54"/>
    </row>
    <row r="271" spans="1:18" ht="48" thickTop="1" thickBot="1" x14ac:dyDescent="0.25">
      <c r="A271" s="399" t="s">
        <v>803</v>
      </c>
      <c r="B271" s="399" t="s">
        <v>700</v>
      </c>
      <c r="C271" s="399"/>
      <c r="D271" s="399" t="s">
        <v>804</v>
      </c>
      <c r="E271" s="444">
        <f>E272</f>
        <v>0</v>
      </c>
      <c r="F271" s="444">
        <f t="shared" ref="F271:P271" si="287">F272</f>
        <v>0</v>
      </c>
      <c r="G271" s="444">
        <f t="shared" si="287"/>
        <v>0</v>
      </c>
      <c r="H271" s="444">
        <f t="shared" si="287"/>
        <v>0</v>
      </c>
      <c r="I271" s="444">
        <f t="shared" si="287"/>
        <v>0</v>
      </c>
      <c r="J271" s="444">
        <f t="shared" si="287"/>
        <v>479725.87</v>
      </c>
      <c r="K271" s="444">
        <f t="shared" si="287"/>
        <v>0</v>
      </c>
      <c r="L271" s="444">
        <f t="shared" si="287"/>
        <v>479725.87</v>
      </c>
      <c r="M271" s="444">
        <f t="shared" si="287"/>
        <v>0</v>
      </c>
      <c r="N271" s="444">
        <f t="shared" si="287"/>
        <v>0</v>
      </c>
      <c r="O271" s="444">
        <f t="shared" si="287"/>
        <v>0</v>
      </c>
      <c r="P271" s="444">
        <f t="shared" si="287"/>
        <v>479725.87</v>
      </c>
      <c r="Q271" s="20"/>
      <c r="R271" s="50"/>
    </row>
    <row r="272" spans="1:18" ht="214.5" customHeight="1" thickTop="1" thickBot="1" x14ac:dyDescent="0.7">
      <c r="A272" s="702" t="s">
        <v>428</v>
      </c>
      <c r="B272" s="702" t="s">
        <v>342</v>
      </c>
      <c r="C272" s="702" t="s">
        <v>170</v>
      </c>
      <c r="D272" s="606" t="s">
        <v>444</v>
      </c>
      <c r="E272" s="707">
        <f t="shared" si="269"/>
        <v>0</v>
      </c>
      <c r="F272" s="685"/>
      <c r="G272" s="685"/>
      <c r="H272" s="685"/>
      <c r="I272" s="685"/>
      <c r="J272" s="707">
        <f t="shared" si="262"/>
        <v>479725.87</v>
      </c>
      <c r="K272" s="685"/>
      <c r="L272" s="685">
        <v>479725.87</v>
      </c>
      <c r="M272" s="685"/>
      <c r="N272" s="685"/>
      <c r="O272" s="705">
        <f>((K272+884000)-450000)-434000</f>
        <v>0</v>
      </c>
      <c r="P272" s="686">
        <f>E272+J272</f>
        <v>479725.87</v>
      </c>
      <c r="Q272" s="20"/>
      <c r="R272" s="50"/>
    </row>
    <row r="273" spans="1:18" ht="109.5" customHeight="1" thickTop="1" thickBot="1" x14ac:dyDescent="0.25">
      <c r="A273" s="702"/>
      <c r="B273" s="702"/>
      <c r="C273" s="702"/>
      <c r="D273" s="607" t="s">
        <v>445</v>
      </c>
      <c r="E273" s="707"/>
      <c r="F273" s="685"/>
      <c r="G273" s="685"/>
      <c r="H273" s="685"/>
      <c r="I273" s="685"/>
      <c r="J273" s="707"/>
      <c r="K273" s="685"/>
      <c r="L273" s="685"/>
      <c r="M273" s="685"/>
      <c r="N273" s="685"/>
      <c r="O273" s="705"/>
      <c r="P273" s="686"/>
      <c r="Q273" s="20"/>
      <c r="R273" s="50"/>
    </row>
    <row r="274" spans="1:18" ht="47.25" hidden="1" thickTop="1" thickBot="1" x14ac:dyDescent="0.25">
      <c r="A274" s="141" t="s">
        <v>1256</v>
      </c>
      <c r="B274" s="141" t="s">
        <v>702</v>
      </c>
      <c r="C274" s="141"/>
      <c r="D274" s="141" t="s">
        <v>703</v>
      </c>
      <c r="E274" s="143">
        <f t="shared" ref="E274:P274" si="288">E275</f>
        <v>0</v>
      </c>
      <c r="F274" s="143">
        <f t="shared" si="288"/>
        <v>0</v>
      </c>
      <c r="G274" s="143">
        <f t="shared" si="288"/>
        <v>0</v>
      </c>
      <c r="H274" s="143">
        <f t="shared" si="288"/>
        <v>0</v>
      </c>
      <c r="I274" s="143">
        <f t="shared" si="288"/>
        <v>0</v>
      </c>
      <c r="J274" s="143">
        <f t="shared" si="288"/>
        <v>0</v>
      </c>
      <c r="K274" s="143">
        <f t="shared" si="288"/>
        <v>0</v>
      </c>
      <c r="L274" s="143">
        <f t="shared" si="288"/>
        <v>0</v>
      </c>
      <c r="M274" s="143">
        <f t="shared" si="288"/>
        <v>0</v>
      </c>
      <c r="N274" s="143">
        <f t="shared" si="288"/>
        <v>0</v>
      </c>
      <c r="O274" s="143">
        <f t="shared" si="288"/>
        <v>0</v>
      </c>
      <c r="P274" s="143">
        <f t="shared" si="288"/>
        <v>0</v>
      </c>
      <c r="Q274" s="20"/>
      <c r="R274" s="50"/>
    </row>
    <row r="275" spans="1:18" ht="47.25" hidden="1" thickTop="1" thickBot="1" x14ac:dyDescent="0.25">
      <c r="A275" s="152" t="s">
        <v>1257</v>
      </c>
      <c r="B275" s="152" t="s">
        <v>1210</v>
      </c>
      <c r="C275" s="152"/>
      <c r="D275" s="152" t="s">
        <v>1208</v>
      </c>
      <c r="E275" s="153">
        <f t="shared" ref="E275:P275" si="289">SUM(E276:E276)</f>
        <v>0</v>
      </c>
      <c r="F275" s="153">
        <f t="shared" si="289"/>
        <v>0</v>
      </c>
      <c r="G275" s="153">
        <f t="shared" si="289"/>
        <v>0</v>
      </c>
      <c r="H275" s="153">
        <f t="shared" si="289"/>
        <v>0</v>
      </c>
      <c r="I275" s="153">
        <f t="shared" si="289"/>
        <v>0</v>
      </c>
      <c r="J275" s="153">
        <f t="shared" si="289"/>
        <v>0</v>
      </c>
      <c r="K275" s="153">
        <f t="shared" si="289"/>
        <v>0</v>
      </c>
      <c r="L275" s="153">
        <f t="shared" si="289"/>
        <v>0</v>
      </c>
      <c r="M275" s="153">
        <f t="shared" si="289"/>
        <v>0</v>
      </c>
      <c r="N275" s="153">
        <f t="shared" si="289"/>
        <v>0</v>
      </c>
      <c r="O275" s="153">
        <f t="shared" si="289"/>
        <v>0</v>
      </c>
      <c r="P275" s="153">
        <f t="shared" si="289"/>
        <v>0</v>
      </c>
      <c r="Q275" s="20"/>
      <c r="R275" s="50"/>
    </row>
    <row r="276" spans="1:18" ht="48" hidden="1" thickTop="1" thickBot="1" x14ac:dyDescent="0.25">
      <c r="A276" s="144" t="s">
        <v>1258</v>
      </c>
      <c r="B276" s="144" t="s">
        <v>1238</v>
      </c>
      <c r="C276" s="144" t="s">
        <v>1212</v>
      </c>
      <c r="D276" s="144" t="s">
        <v>1239</v>
      </c>
      <c r="E276" s="143">
        <f>F276</f>
        <v>0</v>
      </c>
      <c r="F276" s="150"/>
      <c r="G276" s="150"/>
      <c r="H276" s="150"/>
      <c r="I276" s="150"/>
      <c r="J276" s="143">
        <f>L276+O276</f>
        <v>0</v>
      </c>
      <c r="K276" s="150"/>
      <c r="L276" s="150"/>
      <c r="M276" s="150"/>
      <c r="N276" s="150"/>
      <c r="O276" s="148">
        <f>K276</f>
        <v>0</v>
      </c>
      <c r="P276" s="143">
        <f>E276+J276</f>
        <v>0</v>
      </c>
      <c r="Q276" s="20"/>
      <c r="R276" s="50"/>
    </row>
    <row r="277" spans="1:18" ht="91.5" thickTop="1" thickBot="1" x14ac:dyDescent="0.25">
      <c r="A277" s="403" t="s">
        <v>545</v>
      </c>
      <c r="B277" s="403"/>
      <c r="C277" s="403"/>
      <c r="D277" s="404" t="s">
        <v>564</v>
      </c>
      <c r="E277" s="406">
        <f>E278</f>
        <v>559431034</v>
      </c>
      <c r="F277" s="405">
        <f t="shared" ref="F277:G277" si="290">F278</f>
        <v>559431034</v>
      </c>
      <c r="G277" s="405">
        <f t="shared" si="290"/>
        <v>8450112</v>
      </c>
      <c r="H277" s="405">
        <f>H278</f>
        <v>338942</v>
      </c>
      <c r="I277" s="405">
        <f t="shared" ref="I277" si="291">I278</f>
        <v>0</v>
      </c>
      <c r="J277" s="406">
        <f>J278</f>
        <v>417589308.60000002</v>
      </c>
      <c r="K277" s="405">
        <f>K278</f>
        <v>416736366.60000002</v>
      </c>
      <c r="L277" s="405">
        <f>L278</f>
        <v>852942</v>
      </c>
      <c r="M277" s="405">
        <f t="shared" ref="M277" si="292">M278</f>
        <v>0</v>
      </c>
      <c r="N277" s="405">
        <f>N278</f>
        <v>0</v>
      </c>
      <c r="O277" s="406">
        <f>O278</f>
        <v>416736366.60000002</v>
      </c>
      <c r="P277" s="405">
        <f>P278</f>
        <v>977020342.60000002</v>
      </c>
      <c r="Q277" s="20"/>
      <c r="R277" s="50"/>
    </row>
    <row r="278" spans="1:18" ht="91.5" thickTop="1" thickBot="1" x14ac:dyDescent="0.25">
      <c r="A278" s="407" t="s">
        <v>546</v>
      </c>
      <c r="B278" s="407"/>
      <c r="C278" s="407"/>
      <c r="D278" s="408" t="s">
        <v>565</v>
      </c>
      <c r="E278" s="409">
        <f>E279+E283+E291+E304+E309</f>
        <v>559431034</v>
      </c>
      <c r="F278" s="409">
        <f>F279+F283+F291+F304+F309</f>
        <v>559431034</v>
      </c>
      <c r="G278" s="409">
        <f>G279+G283+G291+G304+G309</f>
        <v>8450112</v>
      </c>
      <c r="H278" s="409">
        <f>H279+H283+H291+H304+H309</f>
        <v>338942</v>
      </c>
      <c r="I278" s="409">
        <f>I279+I283+I291+I304+I309</f>
        <v>0</v>
      </c>
      <c r="J278" s="409">
        <f t="shared" ref="J278:J301" si="293">L278+O278</f>
        <v>417589308.60000002</v>
      </c>
      <c r="K278" s="409">
        <f>K279+K283+K291+K304+K309</f>
        <v>416736366.60000002</v>
      </c>
      <c r="L278" s="409">
        <f>L279+L283+L291+L304+L309</f>
        <v>852942</v>
      </c>
      <c r="M278" s="409">
        <f>M279+M283+M291+M304+M309</f>
        <v>0</v>
      </c>
      <c r="N278" s="409">
        <f>N279+N283+N291+N304+N309</f>
        <v>0</v>
      </c>
      <c r="O278" s="409">
        <f>O279+O283+O291+O304+O309</f>
        <v>416736366.60000002</v>
      </c>
      <c r="P278" s="409">
        <f>E278+J278</f>
        <v>977020342.60000002</v>
      </c>
      <c r="Q278" s="353" t="b">
        <f>P278=P280+P282+P285+P286+P288+P289+P296+P298+P299+P306+P307+P293+P290+P287+P301+P311</f>
        <v>1</v>
      </c>
      <c r="R278" s="45"/>
    </row>
    <row r="279" spans="1:18" ht="47.25" thickTop="1" thickBot="1" x14ac:dyDescent="0.25">
      <c r="A279" s="346" t="s">
        <v>805</v>
      </c>
      <c r="B279" s="346" t="s">
        <v>690</v>
      </c>
      <c r="C279" s="346"/>
      <c r="D279" s="346" t="s">
        <v>691</v>
      </c>
      <c r="E279" s="393">
        <f>SUM(E280:E282)</f>
        <v>9028158</v>
      </c>
      <c r="F279" s="393">
        <f t="shared" ref="F279:P279" si="294">SUM(F280:F282)</f>
        <v>9028158</v>
      </c>
      <c r="G279" s="393">
        <f t="shared" si="294"/>
        <v>6736115</v>
      </c>
      <c r="H279" s="393">
        <f t="shared" si="294"/>
        <v>264613</v>
      </c>
      <c r="I279" s="393">
        <f t="shared" si="294"/>
        <v>0</v>
      </c>
      <c r="J279" s="393">
        <f t="shared" si="294"/>
        <v>36120</v>
      </c>
      <c r="K279" s="393">
        <f t="shared" si="294"/>
        <v>36120</v>
      </c>
      <c r="L279" s="393">
        <f t="shared" si="294"/>
        <v>0</v>
      </c>
      <c r="M279" s="393">
        <f t="shared" si="294"/>
        <v>0</v>
      </c>
      <c r="N279" s="393">
        <f t="shared" si="294"/>
        <v>0</v>
      </c>
      <c r="O279" s="393">
        <f t="shared" si="294"/>
        <v>36120</v>
      </c>
      <c r="P279" s="393">
        <f t="shared" si="294"/>
        <v>9064278</v>
      </c>
      <c r="Q279" s="47"/>
      <c r="R279" s="45"/>
    </row>
    <row r="280" spans="1:18" ht="93" thickTop="1" thickBot="1" x14ac:dyDescent="0.25">
      <c r="A280" s="119" t="s">
        <v>547</v>
      </c>
      <c r="B280" s="119" t="s">
        <v>240</v>
      </c>
      <c r="C280" s="119" t="s">
        <v>238</v>
      </c>
      <c r="D280" s="119" t="s">
        <v>239</v>
      </c>
      <c r="E280" s="347">
        <f>F280</f>
        <v>8991093</v>
      </c>
      <c r="F280" s="389">
        <f>(8955093)+36000</f>
        <v>8991093</v>
      </c>
      <c r="G280" s="389">
        <v>6736115</v>
      </c>
      <c r="H280" s="389">
        <f>168300+6553+84000+5760</f>
        <v>264613</v>
      </c>
      <c r="I280" s="389"/>
      <c r="J280" s="393">
        <f t="shared" si="293"/>
        <v>36120</v>
      </c>
      <c r="K280" s="389">
        <v>36120</v>
      </c>
      <c r="L280" s="390"/>
      <c r="M280" s="390"/>
      <c r="N280" s="390"/>
      <c r="O280" s="351">
        <f t="shared" ref="O280:O299" si="295">K280</f>
        <v>36120</v>
      </c>
      <c r="P280" s="393">
        <f t="shared" ref="P280:P286" si="296">+J280+E280</f>
        <v>9027213</v>
      </c>
      <c r="Q280" s="20"/>
      <c r="R280" s="45"/>
    </row>
    <row r="281" spans="1:18" ht="93" hidden="1" thickTop="1" thickBot="1" x14ac:dyDescent="0.25">
      <c r="A281" s="144" t="s">
        <v>635</v>
      </c>
      <c r="B281" s="144" t="s">
        <v>366</v>
      </c>
      <c r="C281" s="144" t="s">
        <v>631</v>
      </c>
      <c r="D281" s="144" t="s">
        <v>632</v>
      </c>
      <c r="E281" s="168">
        <f>F281</f>
        <v>0</v>
      </c>
      <c r="F281" s="145"/>
      <c r="G281" s="145"/>
      <c r="H281" s="145"/>
      <c r="I281" s="145"/>
      <c r="J281" s="143">
        <f t="shared" ref="J281" si="297">L281+O281</f>
        <v>0</v>
      </c>
      <c r="K281" s="145"/>
      <c r="L281" s="146"/>
      <c r="M281" s="146"/>
      <c r="N281" s="146"/>
      <c r="O281" s="148">
        <f t="shared" ref="O281" si="298">K281</f>
        <v>0</v>
      </c>
      <c r="P281" s="143">
        <f t="shared" ref="P281" si="299">+J281+E281</f>
        <v>0</v>
      </c>
      <c r="Q281" s="20"/>
      <c r="R281" s="45"/>
    </row>
    <row r="282" spans="1:18" ht="48" thickTop="1" thickBot="1" x14ac:dyDescent="0.25">
      <c r="A282" s="119" t="s">
        <v>548</v>
      </c>
      <c r="B282" s="119" t="s">
        <v>43</v>
      </c>
      <c r="C282" s="119" t="s">
        <v>42</v>
      </c>
      <c r="D282" s="119" t="s">
        <v>252</v>
      </c>
      <c r="E282" s="347">
        <f>F282</f>
        <v>37065</v>
      </c>
      <c r="F282" s="389">
        <f>(24700)+12365</f>
        <v>37065</v>
      </c>
      <c r="G282" s="145"/>
      <c r="H282" s="145"/>
      <c r="I282" s="145"/>
      <c r="J282" s="393">
        <f t="shared" si="293"/>
        <v>0</v>
      </c>
      <c r="K282" s="389"/>
      <c r="L282" s="390"/>
      <c r="M282" s="390"/>
      <c r="N282" s="390"/>
      <c r="O282" s="351">
        <f t="shared" si="295"/>
        <v>0</v>
      </c>
      <c r="P282" s="393">
        <f t="shared" si="296"/>
        <v>37065</v>
      </c>
      <c r="Q282" s="20"/>
      <c r="R282" s="50"/>
    </row>
    <row r="283" spans="1:18" ht="47.25" thickTop="1" thickBot="1" x14ac:dyDescent="0.25">
      <c r="A283" s="346" t="s">
        <v>806</v>
      </c>
      <c r="B283" s="346" t="s">
        <v>748</v>
      </c>
      <c r="C283" s="346"/>
      <c r="D283" s="476" t="s">
        <v>749</v>
      </c>
      <c r="E283" s="347">
        <f>SUM(E284:E290)-E284</f>
        <v>506275810</v>
      </c>
      <c r="F283" s="347">
        <f t="shared" ref="F283:P283" si="300">SUM(F284:F290)-F284</f>
        <v>506275810</v>
      </c>
      <c r="G283" s="347">
        <f t="shared" si="300"/>
        <v>0</v>
      </c>
      <c r="H283" s="347">
        <f t="shared" si="300"/>
        <v>5000</v>
      </c>
      <c r="I283" s="347">
        <f t="shared" si="300"/>
        <v>0</v>
      </c>
      <c r="J283" s="347">
        <f t="shared" si="300"/>
        <v>5787728</v>
      </c>
      <c r="K283" s="347">
        <f t="shared" si="300"/>
        <v>5787728</v>
      </c>
      <c r="L283" s="347">
        <f t="shared" si="300"/>
        <v>0</v>
      </c>
      <c r="M283" s="347">
        <f t="shared" si="300"/>
        <v>0</v>
      </c>
      <c r="N283" s="347">
        <f t="shared" si="300"/>
        <v>0</v>
      </c>
      <c r="O283" s="347">
        <f t="shared" si="300"/>
        <v>5787728</v>
      </c>
      <c r="P283" s="347">
        <f t="shared" si="300"/>
        <v>512063538</v>
      </c>
      <c r="Q283" s="20"/>
      <c r="R283" s="50"/>
    </row>
    <row r="284" spans="1:18" ht="93" thickTop="1" thickBot="1" x14ac:dyDescent="0.25">
      <c r="A284" s="399" t="s">
        <v>807</v>
      </c>
      <c r="B284" s="399" t="s">
        <v>798</v>
      </c>
      <c r="C284" s="399"/>
      <c r="D284" s="399" t="s">
        <v>799</v>
      </c>
      <c r="E284" s="444">
        <f>SUM(E285:E287)</f>
        <v>169281408</v>
      </c>
      <c r="F284" s="444">
        <f t="shared" ref="F284:P284" si="301">SUM(F285:F287)</f>
        <v>169281408</v>
      </c>
      <c r="G284" s="444">
        <f t="shared" si="301"/>
        <v>0</v>
      </c>
      <c r="H284" s="444">
        <f t="shared" si="301"/>
        <v>0</v>
      </c>
      <c r="I284" s="444">
        <f t="shared" si="301"/>
        <v>0</v>
      </c>
      <c r="J284" s="444">
        <f t="shared" si="301"/>
        <v>2322604</v>
      </c>
      <c r="K284" s="444">
        <f t="shared" si="301"/>
        <v>2322604</v>
      </c>
      <c r="L284" s="444">
        <f t="shared" si="301"/>
        <v>0</v>
      </c>
      <c r="M284" s="444">
        <f t="shared" si="301"/>
        <v>0</v>
      </c>
      <c r="N284" s="444">
        <f t="shared" si="301"/>
        <v>0</v>
      </c>
      <c r="O284" s="444">
        <f t="shared" si="301"/>
        <v>2322604</v>
      </c>
      <c r="P284" s="444">
        <f t="shared" si="301"/>
        <v>171604012</v>
      </c>
      <c r="Q284" s="20"/>
      <c r="R284" s="50"/>
    </row>
    <row r="285" spans="1:18" ht="93" thickTop="1" thickBot="1" x14ac:dyDescent="0.25">
      <c r="A285" s="119" t="s">
        <v>549</v>
      </c>
      <c r="B285" s="119" t="s">
        <v>380</v>
      </c>
      <c r="C285" s="119" t="s">
        <v>287</v>
      </c>
      <c r="D285" s="119" t="s">
        <v>381</v>
      </c>
      <c r="E285" s="347">
        <f t="shared" ref="E285:E299" si="302">F285</f>
        <v>134000000</v>
      </c>
      <c r="F285" s="389">
        <f>(((20000000)+80000000)+23000000)+11000000</f>
        <v>134000000</v>
      </c>
      <c r="G285" s="389"/>
      <c r="H285" s="389"/>
      <c r="I285" s="389"/>
      <c r="J285" s="393">
        <f t="shared" si="293"/>
        <v>0</v>
      </c>
      <c r="K285" s="389"/>
      <c r="L285" s="390"/>
      <c r="M285" s="390"/>
      <c r="N285" s="390"/>
      <c r="O285" s="351">
        <f t="shared" si="295"/>
        <v>0</v>
      </c>
      <c r="P285" s="393">
        <f t="shared" si="296"/>
        <v>134000000</v>
      </c>
      <c r="Q285" s="20"/>
      <c r="R285" s="50"/>
    </row>
    <row r="286" spans="1:18" ht="48" thickTop="1" thickBot="1" x14ac:dyDescent="0.25">
      <c r="A286" s="119" t="s">
        <v>550</v>
      </c>
      <c r="B286" s="119" t="s">
        <v>290</v>
      </c>
      <c r="C286" s="119" t="s">
        <v>287</v>
      </c>
      <c r="D286" s="119" t="s">
        <v>291</v>
      </c>
      <c r="E286" s="347">
        <f t="shared" si="302"/>
        <v>31630000</v>
      </c>
      <c r="F286" s="389">
        <f>(((650000)+24400000)+7209100)-629100</f>
        <v>31630000</v>
      </c>
      <c r="G286" s="389"/>
      <c r="H286" s="389"/>
      <c r="I286" s="389"/>
      <c r="J286" s="393">
        <f t="shared" si="293"/>
        <v>2322604</v>
      </c>
      <c r="K286" s="389">
        <f>((2000000)+100000)+222604</f>
        <v>2322604</v>
      </c>
      <c r="L286" s="390"/>
      <c r="M286" s="390"/>
      <c r="N286" s="390"/>
      <c r="O286" s="351">
        <f t="shared" si="295"/>
        <v>2322604</v>
      </c>
      <c r="P286" s="393">
        <f t="shared" si="296"/>
        <v>33952604</v>
      </c>
      <c r="Q286" s="20"/>
      <c r="R286" s="50"/>
    </row>
    <row r="287" spans="1:18" ht="93" thickTop="1" thickBot="1" x14ac:dyDescent="0.25">
      <c r="A287" s="119" t="s">
        <v>1507</v>
      </c>
      <c r="B287" s="119" t="s">
        <v>1508</v>
      </c>
      <c r="C287" s="119" t="s">
        <v>287</v>
      </c>
      <c r="D287" s="119" t="s">
        <v>1509</v>
      </c>
      <c r="E287" s="347">
        <f t="shared" ref="E287" si="303">F287</f>
        <v>3651408</v>
      </c>
      <c r="F287" s="389">
        <f>(3727208)-75800</f>
        <v>3651408</v>
      </c>
      <c r="G287" s="389"/>
      <c r="H287" s="389"/>
      <c r="I287" s="389"/>
      <c r="J287" s="393">
        <f t="shared" ref="J287" si="304">L287+O287</f>
        <v>0</v>
      </c>
      <c r="K287" s="389"/>
      <c r="L287" s="390"/>
      <c r="M287" s="390"/>
      <c r="N287" s="390"/>
      <c r="O287" s="351">
        <f t="shared" ref="O287" si="305">K287</f>
        <v>0</v>
      </c>
      <c r="P287" s="393">
        <f t="shared" ref="P287" si="306">+J287+E287</f>
        <v>3651408</v>
      </c>
      <c r="Q287" s="20"/>
      <c r="R287" s="50"/>
    </row>
    <row r="288" spans="1:18" ht="93" thickTop="1" thickBot="1" x14ac:dyDescent="0.25">
      <c r="A288" s="119" t="s">
        <v>551</v>
      </c>
      <c r="B288" s="119" t="s">
        <v>301</v>
      </c>
      <c r="C288" s="119" t="s">
        <v>287</v>
      </c>
      <c r="D288" s="119" t="s">
        <v>302</v>
      </c>
      <c r="E288" s="347">
        <f t="shared" si="302"/>
        <v>5883600</v>
      </c>
      <c r="F288" s="389">
        <f>(((1300000)+2299000)+484600)+1800000</f>
        <v>5883600</v>
      </c>
      <c r="G288" s="389"/>
      <c r="H288" s="389"/>
      <c r="I288" s="389"/>
      <c r="J288" s="393">
        <f t="shared" si="293"/>
        <v>0</v>
      </c>
      <c r="K288" s="350"/>
      <c r="L288" s="389"/>
      <c r="M288" s="389"/>
      <c r="N288" s="389"/>
      <c r="O288" s="351">
        <f t="shared" si="295"/>
        <v>0</v>
      </c>
      <c r="P288" s="393">
        <f t="shared" ref="P288:P293" si="307">E288+J288</f>
        <v>5883600</v>
      </c>
      <c r="Q288" s="20"/>
      <c r="R288" s="50"/>
    </row>
    <row r="289" spans="1:18" ht="48" thickTop="1" thickBot="1" x14ac:dyDescent="0.25">
      <c r="A289" s="119" t="s">
        <v>552</v>
      </c>
      <c r="B289" s="119" t="s">
        <v>293</v>
      </c>
      <c r="C289" s="119" t="s">
        <v>287</v>
      </c>
      <c r="D289" s="119" t="s">
        <v>294</v>
      </c>
      <c r="E289" s="347">
        <f t="shared" si="302"/>
        <v>327061217</v>
      </c>
      <c r="F289" s="389">
        <f>((((324847930)-23469000-1000000+15000000)+7802425+20355700)-4775838)-11700000</f>
        <v>327061217</v>
      </c>
      <c r="G289" s="389"/>
      <c r="H289" s="389">
        <v>5000</v>
      </c>
      <c r="I289" s="389"/>
      <c r="J289" s="393">
        <f t="shared" si="293"/>
        <v>3465124</v>
      </c>
      <c r="K289" s="350">
        <f>(((250000)+1000000+1000000+1343000)+1890000-890000)-1127876</f>
        <v>3465124</v>
      </c>
      <c r="L289" s="389"/>
      <c r="M289" s="389"/>
      <c r="N289" s="389"/>
      <c r="O289" s="351">
        <f t="shared" si="295"/>
        <v>3465124</v>
      </c>
      <c r="P289" s="393">
        <f t="shared" si="307"/>
        <v>330526341</v>
      </c>
      <c r="Q289" s="20"/>
      <c r="R289" s="45"/>
    </row>
    <row r="290" spans="1:18" ht="48" thickTop="1" thickBot="1" x14ac:dyDescent="0.25">
      <c r="A290" s="119" t="s">
        <v>1169</v>
      </c>
      <c r="B290" s="119" t="s">
        <v>1170</v>
      </c>
      <c r="C290" s="119" t="s">
        <v>1171</v>
      </c>
      <c r="D290" s="119" t="s">
        <v>1168</v>
      </c>
      <c r="E290" s="347">
        <f t="shared" si="302"/>
        <v>4049585</v>
      </c>
      <c r="F290" s="389">
        <v>4049585</v>
      </c>
      <c r="G290" s="389"/>
      <c r="H290" s="389"/>
      <c r="I290" s="389"/>
      <c r="J290" s="393">
        <f t="shared" si="293"/>
        <v>0</v>
      </c>
      <c r="K290" s="350"/>
      <c r="L290" s="389"/>
      <c r="M290" s="389"/>
      <c r="N290" s="389"/>
      <c r="O290" s="351">
        <f t="shared" si="295"/>
        <v>0</v>
      </c>
      <c r="P290" s="393">
        <f t="shared" si="307"/>
        <v>4049585</v>
      </c>
      <c r="Q290" s="20"/>
      <c r="R290" s="45"/>
    </row>
    <row r="291" spans="1:18" ht="47.25" thickTop="1" thickBot="1" x14ac:dyDescent="0.25">
      <c r="A291" s="346" t="s">
        <v>808</v>
      </c>
      <c r="B291" s="346" t="s">
        <v>754</v>
      </c>
      <c r="C291" s="346"/>
      <c r="D291" s="346" t="s">
        <v>755</v>
      </c>
      <c r="E291" s="347">
        <f>E292+E294+E297</f>
        <v>37535382</v>
      </c>
      <c r="F291" s="347">
        <f t="shared" ref="F291:P291" si="308">F292+F294+F297</f>
        <v>37535382</v>
      </c>
      <c r="G291" s="347">
        <f t="shared" si="308"/>
        <v>0</v>
      </c>
      <c r="H291" s="347">
        <f t="shared" si="308"/>
        <v>0</v>
      </c>
      <c r="I291" s="347">
        <f t="shared" si="308"/>
        <v>0</v>
      </c>
      <c r="J291" s="347">
        <f>J292+J294+J297</f>
        <v>400165960.60000002</v>
      </c>
      <c r="K291" s="347">
        <f t="shared" si="308"/>
        <v>399313018.60000002</v>
      </c>
      <c r="L291" s="347">
        <f t="shared" si="308"/>
        <v>852942</v>
      </c>
      <c r="M291" s="347">
        <f t="shared" si="308"/>
        <v>0</v>
      </c>
      <c r="N291" s="347">
        <f t="shared" si="308"/>
        <v>0</v>
      </c>
      <c r="O291" s="347">
        <f t="shared" si="308"/>
        <v>399313018.60000002</v>
      </c>
      <c r="P291" s="347">
        <f t="shared" si="308"/>
        <v>437701342.60000002</v>
      </c>
      <c r="Q291" s="20"/>
      <c r="R291" s="50"/>
    </row>
    <row r="292" spans="1:18" ht="47.25" thickTop="1" thickBot="1" x14ac:dyDescent="0.25">
      <c r="A292" s="348" t="s">
        <v>809</v>
      </c>
      <c r="B292" s="348" t="s">
        <v>810</v>
      </c>
      <c r="C292" s="348"/>
      <c r="D292" s="348" t="s">
        <v>811</v>
      </c>
      <c r="E292" s="349">
        <f>E293</f>
        <v>0</v>
      </c>
      <c r="F292" s="349">
        <f t="shared" ref="F292:P292" si="309">F293</f>
        <v>0</v>
      </c>
      <c r="G292" s="349">
        <f t="shared" si="309"/>
        <v>0</v>
      </c>
      <c r="H292" s="349">
        <f t="shared" si="309"/>
        <v>0</v>
      </c>
      <c r="I292" s="349">
        <f t="shared" si="309"/>
        <v>0</v>
      </c>
      <c r="J292" s="349">
        <f t="shared" si="309"/>
        <v>2130164</v>
      </c>
      <c r="K292" s="349">
        <f t="shared" si="309"/>
        <v>2130164</v>
      </c>
      <c r="L292" s="349">
        <f t="shared" si="309"/>
        <v>0</v>
      </c>
      <c r="M292" s="349">
        <f t="shared" si="309"/>
        <v>0</v>
      </c>
      <c r="N292" s="349">
        <f t="shared" si="309"/>
        <v>0</v>
      </c>
      <c r="O292" s="349">
        <f t="shared" si="309"/>
        <v>2130164</v>
      </c>
      <c r="P292" s="349">
        <f t="shared" si="309"/>
        <v>2130164</v>
      </c>
      <c r="Q292" s="20"/>
      <c r="R292" s="50"/>
    </row>
    <row r="293" spans="1:18" ht="54" thickTop="1" thickBot="1" x14ac:dyDescent="0.25">
      <c r="A293" s="119" t="s">
        <v>553</v>
      </c>
      <c r="B293" s="119" t="s">
        <v>309</v>
      </c>
      <c r="C293" s="119" t="s">
        <v>308</v>
      </c>
      <c r="D293" s="119" t="s">
        <v>1315</v>
      </c>
      <c r="E293" s="347">
        <f t="shared" si="302"/>
        <v>0</v>
      </c>
      <c r="F293" s="389"/>
      <c r="G293" s="389"/>
      <c r="H293" s="389"/>
      <c r="I293" s="389"/>
      <c r="J293" s="393">
        <f>L293+O293</f>
        <v>2130164</v>
      </c>
      <c r="K293" s="350">
        <f>((226400)+6645664-2000000-300000)-2441900</f>
        <v>2130164</v>
      </c>
      <c r="L293" s="389"/>
      <c r="M293" s="389"/>
      <c r="N293" s="389"/>
      <c r="O293" s="351">
        <f>K293</f>
        <v>2130164</v>
      </c>
      <c r="P293" s="393">
        <f t="shared" si="307"/>
        <v>2130164</v>
      </c>
      <c r="Q293" s="20"/>
      <c r="R293" s="45"/>
    </row>
    <row r="294" spans="1:18" ht="47.25" thickTop="1" thickBot="1" x14ac:dyDescent="0.25">
      <c r="A294" s="348" t="s">
        <v>812</v>
      </c>
      <c r="B294" s="348" t="s">
        <v>813</v>
      </c>
      <c r="C294" s="348"/>
      <c r="D294" s="348" t="s">
        <v>814</v>
      </c>
      <c r="E294" s="349">
        <f t="shared" ref="E294:P295" si="310">E295</f>
        <v>37535382</v>
      </c>
      <c r="F294" s="349">
        <f t="shared" si="310"/>
        <v>37535382</v>
      </c>
      <c r="G294" s="349">
        <f t="shared" si="310"/>
        <v>0</v>
      </c>
      <c r="H294" s="349">
        <f t="shared" si="310"/>
        <v>0</v>
      </c>
      <c r="I294" s="349">
        <f t="shared" si="310"/>
        <v>0</v>
      </c>
      <c r="J294" s="349">
        <f t="shared" si="310"/>
        <v>59174880</v>
      </c>
      <c r="K294" s="349">
        <f t="shared" si="310"/>
        <v>59174880</v>
      </c>
      <c r="L294" s="349">
        <f t="shared" si="310"/>
        <v>0</v>
      </c>
      <c r="M294" s="349">
        <f t="shared" si="310"/>
        <v>0</v>
      </c>
      <c r="N294" s="349">
        <f t="shared" si="310"/>
        <v>0</v>
      </c>
      <c r="O294" s="349">
        <f t="shared" si="310"/>
        <v>59174880</v>
      </c>
      <c r="P294" s="349">
        <f t="shared" si="310"/>
        <v>96710262</v>
      </c>
      <c r="Q294" s="20"/>
      <c r="R294" s="50"/>
    </row>
    <row r="295" spans="1:18" ht="93" thickTop="1" thickBot="1" x14ac:dyDescent="0.25">
      <c r="A295" s="119" t="s">
        <v>970</v>
      </c>
      <c r="B295" s="399" t="s">
        <v>971</v>
      </c>
      <c r="C295" s="348"/>
      <c r="D295" s="399" t="s">
        <v>972</v>
      </c>
      <c r="E295" s="444">
        <f t="shared" si="310"/>
        <v>37535382</v>
      </c>
      <c r="F295" s="444">
        <f t="shared" si="310"/>
        <v>37535382</v>
      </c>
      <c r="G295" s="444">
        <f t="shared" si="310"/>
        <v>0</v>
      </c>
      <c r="H295" s="444">
        <f t="shared" si="310"/>
        <v>0</v>
      </c>
      <c r="I295" s="444">
        <f t="shared" si="310"/>
        <v>0</v>
      </c>
      <c r="J295" s="444">
        <f t="shared" si="310"/>
        <v>59174880</v>
      </c>
      <c r="K295" s="444">
        <f t="shared" si="310"/>
        <v>59174880</v>
      </c>
      <c r="L295" s="444">
        <f t="shared" si="310"/>
        <v>0</v>
      </c>
      <c r="M295" s="444">
        <f t="shared" si="310"/>
        <v>0</v>
      </c>
      <c r="N295" s="444">
        <f t="shared" si="310"/>
        <v>0</v>
      </c>
      <c r="O295" s="444">
        <f t="shared" si="310"/>
        <v>59174880</v>
      </c>
      <c r="P295" s="444">
        <f t="shared" si="310"/>
        <v>96710262</v>
      </c>
      <c r="Q295" s="20"/>
      <c r="R295" s="50"/>
    </row>
    <row r="296" spans="1:18" ht="93" thickTop="1" thickBot="1" x14ac:dyDescent="0.25">
      <c r="A296" s="119" t="s">
        <v>554</v>
      </c>
      <c r="B296" s="119" t="s">
        <v>297</v>
      </c>
      <c r="C296" s="119" t="s">
        <v>299</v>
      </c>
      <c r="D296" s="119" t="s">
        <v>298</v>
      </c>
      <c r="E296" s="347">
        <f t="shared" si="302"/>
        <v>37535382</v>
      </c>
      <c r="F296" s="389">
        <f>(((30300000)+24000000+24250400)-4642988-11607412)-24764618</f>
        <v>37535382</v>
      </c>
      <c r="G296" s="389"/>
      <c r="H296" s="389"/>
      <c r="I296" s="389"/>
      <c r="J296" s="393">
        <f t="shared" si="293"/>
        <v>59174880</v>
      </c>
      <c r="K296" s="389">
        <f>(((((38500000)-1000000)+38192622+277268)+18091131)-28886141)-9000000+3000000</f>
        <v>59174880</v>
      </c>
      <c r="L296" s="390"/>
      <c r="M296" s="390"/>
      <c r="N296" s="390"/>
      <c r="O296" s="351">
        <f>K296</f>
        <v>59174880</v>
      </c>
      <c r="P296" s="393">
        <f>+J296+E296</f>
        <v>96710262</v>
      </c>
      <c r="Q296" s="20"/>
      <c r="R296" s="45"/>
    </row>
    <row r="297" spans="1:18" ht="47.25" thickTop="1" thickBot="1" x14ac:dyDescent="0.25">
      <c r="A297" s="348" t="s">
        <v>815</v>
      </c>
      <c r="B297" s="348" t="s">
        <v>697</v>
      </c>
      <c r="C297" s="348"/>
      <c r="D297" s="348" t="s">
        <v>695</v>
      </c>
      <c r="E297" s="349">
        <f>SUM(E298:E303)-E300</f>
        <v>0</v>
      </c>
      <c r="F297" s="349">
        <f t="shared" ref="F297:P297" si="311">SUM(F298:F303)-F300</f>
        <v>0</v>
      </c>
      <c r="G297" s="349">
        <f t="shared" si="311"/>
        <v>0</v>
      </c>
      <c r="H297" s="349">
        <f t="shared" si="311"/>
        <v>0</v>
      </c>
      <c r="I297" s="349">
        <f t="shared" si="311"/>
        <v>0</v>
      </c>
      <c r="J297" s="349">
        <f t="shared" si="311"/>
        <v>338860916.60000002</v>
      </c>
      <c r="K297" s="349">
        <f t="shared" si="311"/>
        <v>338007974.60000002</v>
      </c>
      <c r="L297" s="349">
        <f t="shared" si="311"/>
        <v>852942</v>
      </c>
      <c r="M297" s="349">
        <f t="shared" si="311"/>
        <v>0</v>
      </c>
      <c r="N297" s="349">
        <f t="shared" si="311"/>
        <v>0</v>
      </c>
      <c r="O297" s="349">
        <f t="shared" si="311"/>
        <v>338007974.60000002</v>
      </c>
      <c r="P297" s="349">
        <f t="shared" si="311"/>
        <v>338860916.60000002</v>
      </c>
      <c r="Q297" s="20"/>
      <c r="R297" s="45"/>
    </row>
    <row r="298" spans="1:18" ht="48" thickTop="1" thickBot="1" x14ac:dyDescent="0.25">
      <c r="A298" s="119" t="s">
        <v>555</v>
      </c>
      <c r="B298" s="119" t="s">
        <v>216</v>
      </c>
      <c r="C298" s="119" t="s">
        <v>217</v>
      </c>
      <c r="D298" s="119" t="s">
        <v>41</v>
      </c>
      <c r="E298" s="347">
        <f t="shared" si="302"/>
        <v>0</v>
      </c>
      <c r="F298" s="389"/>
      <c r="G298" s="389"/>
      <c r="H298" s="389"/>
      <c r="I298" s="389"/>
      <c r="J298" s="393">
        <f t="shared" si="293"/>
        <v>16434368</v>
      </c>
      <c r="K298" s="350">
        <v>16434368</v>
      </c>
      <c r="L298" s="389"/>
      <c r="M298" s="389"/>
      <c r="N298" s="389"/>
      <c r="O298" s="351">
        <f t="shared" si="295"/>
        <v>16434368</v>
      </c>
      <c r="P298" s="393">
        <f>E298+J298</f>
        <v>16434368</v>
      </c>
      <c r="Q298" s="20"/>
      <c r="R298" s="45"/>
    </row>
    <row r="299" spans="1:18" ht="48" thickTop="1" thickBot="1" x14ac:dyDescent="0.25">
      <c r="A299" s="119" t="s">
        <v>556</v>
      </c>
      <c r="B299" s="119" t="s">
        <v>201</v>
      </c>
      <c r="C299" s="119" t="s">
        <v>170</v>
      </c>
      <c r="D299" s="119" t="s">
        <v>34</v>
      </c>
      <c r="E299" s="347">
        <f t="shared" si="302"/>
        <v>0</v>
      </c>
      <c r="F299" s="389"/>
      <c r="G299" s="145"/>
      <c r="H299" s="145"/>
      <c r="I299" s="145"/>
      <c r="J299" s="393">
        <f t="shared" si="293"/>
        <v>321573606.60000002</v>
      </c>
      <c r="K299" s="350">
        <f>((((51987000-18000000)+239528622.6+5891152+630000-3198000+2092500+108523)+93883928-20355700-7961000)-463375)-22780044+210000</f>
        <v>321573606.60000002</v>
      </c>
      <c r="L299" s="389"/>
      <c r="M299" s="389"/>
      <c r="N299" s="389"/>
      <c r="O299" s="351">
        <f t="shared" si="295"/>
        <v>321573606.60000002</v>
      </c>
      <c r="P299" s="393">
        <f>E299+J299</f>
        <v>321573606.60000002</v>
      </c>
      <c r="Q299" s="20"/>
      <c r="R299" s="45"/>
    </row>
    <row r="300" spans="1:18" ht="48" thickTop="1" thickBot="1" x14ac:dyDescent="0.25">
      <c r="A300" s="399" t="s">
        <v>816</v>
      </c>
      <c r="B300" s="399" t="s">
        <v>700</v>
      </c>
      <c r="C300" s="399"/>
      <c r="D300" s="399" t="s">
        <v>804</v>
      </c>
      <c r="E300" s="444">
        <f t="shared" ref="E300:P300" si="312">E301+E303</f>
        <v>0</v>
      </c>
      <c r="F300" s="444">
        <f t="shared" si="312"/>
        <v>0</v>
      </c>
      <c r="G300" s="444">
        <f t="shared" si="312"/>
        <v>0</v>
      </c>
      <c r="H300" s="444">
        <f t="shared" si="312"/>
        <v>0</v>
      </c>
      <c r="I300" s="444">
        <f t="shared" si="312"/>
        <v>0</v>
      </c>
      <c r="J300" s="444">
        <f t="shared" si="312"/>
        <v>852942</v>
      </c>
      <c r="K300" s="444">
        <f t="shared" si="312"/>
        <v>0</v>
      </c>
      <c r="L300" s="444">
        <f t="shared" si="312"/>
        <v>852942</v>
      </c>
      <c r="M300" s="444">
        <f t="shared" si="312"/>
        <v>0</v>
      </c>
      <c r="N300" s="444">
        <f t="shared" si="312"/>
        <v>0</v>
      </c>
      <c r="O300" s="444">
        <f t="shared" si="312"/>
        <v>0</v>
      </c>
      <c r="P300" s="444">
        <f t="shared" si="312"/>
        <v>852942</v>
      </c>
      <c r="Q300" s="20"/>
      <c r="R300" s="50"/>
    </row>
    <row r="301" spans="1:18" ht="211.5" customHeight="1" thickTop="1" thickBot="1" x14ac:dyDescent="0.7">
      <c r="A301" s="702" t="s">
        <v>557</v>
      </c>
      <c r="B301" s="702" t="s">
        <v>342</v>
      </c>
      <c r="C301" s="702" t="s">
        <v>170</v>
      </c>
      <c r="D301" s="606" t="s">
        <v>444</v>
      </c>
      <c r="E301" s="707"/>
      <c r="F301" s="685"/>
      <c r="G301" s="685"/>
      <c r="H301" s="685"/>
      <c r="I301" s="685"/>
      <c r="J301" s="707">
        <f t="shared" si="293"/>
        <v>852942</v>
      </c>
      <c r="K301" s="685"/>
      <c r="L301" s="685">
        <f>0+852942</f>
        <v>852942</v>
      </c>
      <c r="M301" s="685"/>
      <c r="N301" s="685"/>
      <c r="O301" s="705"/>
      <c r="P301" s="686">
        <f>E301+J301</f>
        <v>852942</v>
      </c>
      <c r="Q301" s="20"/>
      <c r="R301" s="50"/>
    </row>
    <row r="302" spans="1:18" ht="130.5" customHeight="1" thickTop="1" thickBot="1" x14ac:dyDescent="0.25">
      <c r="A302" s="702"/>
      <c r="B302" s="702"/>
      <c r="C302" s="702"/>
      <c r="D302" s="607" t="s">
        <v>445</v>
      </c>
      <c r="E302" s="707"/>
      <c r="F302" s="685"/>
      <c r="G302" s="685"/>
      <c r="H302" s="685"/>
      <c r="I302" s="685"/>
      <c r="J302" s="707"/>
      <c r="K302" s="685"/>
      <c r="L302" s="685"/>
      <c r="M302" s="685"/>
      <c r="N302" s="685"/>
      <c r="O302" s="705"/>
      <c r="P302" s="686"/>
      <c r="Q302" s="20"/>
      <c r="R302" s="50"/>
    </row>
    <row r="303" spans="1:18" ht="39" hidden="1" customHeight="1" thickTop="1" thickBot="1" x14ac:dyDescent="0.25">
      <c r="A303" s="144" t="s">
        <v>1207</v>
      </c>
      <c r="B303" s="144" t="s">
        <v>261</v>
      </c>
      <c r="C303" s="144" t="s">
        <v>170</v>
      </c>
      <c r="D303" s="172" t="s">
        <v>259</v>
      </c>
      <c r="E303" s="168">
        <f t="shared" ref="E303" si="313">F303</f>
        <v>0</v>
      </c>
      <c r="F303" s="145"/>
      <c r="G303" s="145"/>
      <c r="H303" s="145"/>
      <c r="I303" s="145"/>
      <c r="J303" s="143">
        <f t="shared" ref="J303" si="314">L303+O303</f>
        <v>0</v>
      </c>
      <c r="K303" s="150"/>
      <c r="L303" s="145"/>
      <c r="M303" s="145"/>
      <c r="N303" s="145"/>
      <c r="O303" s="148">
        <f t="shared" ref="O303" si="315">K303</f>
        <v>0</v>
      </c>
      <c r="P303" s="143">
        <f>E303+J303</f>
        <v>0</v>
      </c>
      <c r="Q303" s="20"/>
      <c r="R303" s="50"/>
    </row>
    <row r="304" spans="1:18" ht="47.25" thickTop="1" thickBot="1" x14ac:dyDescent="0.25">
      <c r="A304" s="346" t="s">
        <v>817</v>
      </c>
      <c r="B304" s="346" t="s">
        <v>702</v>
      </c>
      <c r="C304" s="346"/>
      <c r="D304" s="490" t="s">
        <v>703</v>
      </c>
      <c r="E304" s="393">
        <f>E305</f>
        <v>6591684</v>
      </c>
      <c r="F304" s="393">
        <f t="shared" ref="F304:P304" si="316">F305</f>
        <v>6591684</v>
      </c>
      <c r="G304" s="393">
        <f t="shared" si="316"/>
        <v>1713997</v>
      </c>
      <c r="H304" s="393">
        <f t="shared" si="316"/>
        <v>69329</v>
      </c>
      <c r="I304" s="393">
        <f t="shared" si="316"/>
        <v>0</v>
      </c>
      <c r="J304" s="393">
        <f t="shared" si="316"/>
        <v>1599500</v>
      </c>
      <c r="K304" s="393">
        <f t="shared" si="316"/>
        <v>1599500</v>
      </c>
      <c r="L304" s="393">
        <f t="shared" si="316"/>
        <v>0</v>
      </c>
      <c r="M304" s="393">
        <f t="shared" si="316"/>
        <v>0</v>
      </c>
      <c r="N304" s="393">
        <f t="shared" si="316"/>
        <v>0</v>
      </c>
      <c r="O304" s="393">
        <f t="shared" si="316"/>
        <v>1599500</v>
      </c>
      <c r="P304" s="393">
        <f t="shared" si="316"/>
        <v>8191184</v>
      </c>
      <c r="Q304" s="20"/>
      <c r="R304" s="50"/>
    </row>
    <row r="305" spans="1:18" ht="47.25" thickTop="1" thickBot="1" x14ac:dyDescent="0.25">
      <c r="A305" s="348" t="s">
        <v>818</v>
      </c>
      <c r="B305" s="348" t="s">
        <v>819</v>
      </c>
      <c r="C305" s="348"/>
      <c r="D305" s="599" t="s">
        <v>1341</v>
      </c>
      <c r="E305" s="352">
        <f>SUM(E306:E308)</f>
        <v>6591684</v>
      </c>
      <c r="F305" s="352">
        <f t="shared" ref="F305:P305" si="317">SUM(F306:F308)</f>
        <v>6591684</v>
      </c>
      <c r="G305" s="352">
        <f t="shared" si="317"/>
        <v>1713997</v>
      </c>
      <c r="H305" s="352">
        <f t="shared" si="317"/>
        <v>69329</v>
      </c>
      <c r="I305" s="352">
        <f t="shared" si="317"/>
        <v>0</v>
      </c>
      <c r="J305" s="352">
        <f t="shared" si="317"/>
        <v>1599500</v>
      </c>
      <c r="K305" s="352">
        <f t="shared" si="317"/>
        <v>1599500</v>
      </c>
      <c r="L305" s="352">
        <f t="shared" si="317"/>
        <v>0</v>
      </c>
      <c r="M305" s="352">
        <f t="shared" si="317"/>
        <v>0</v>
      </c>
      <c r="N305" s="352">
        <f t="shared" si="317"/>
        <v>0</v>
      </c>
      <c r="O305" s="352">
        <f t="shared" si="317"/>
        <v>1599500</v>
      </c>
      <c r="P305" s="352">
        <f t="shared" si="317"/>
        <v>8191184</v>
      </c>
      <c r="Q305" s="20"/>
      <c r="R305" s="50"/>
    </row>
    <row r="306" spans="1:18" ht="93" thickTop="1" thickBot="1" x14ac:dyDescent="0.25">
      <c r="A306" s="119" t="s">
        <v>558</v>
      </c>
      <c r="B306" s="119" t="s">
        <v>522</v>
      </c>
      <c r="C306" s="119" t="s">
        <v>255</v>
      </c>
      <c r="D306" s="119" t="s">
        <v>523</v>
      </c>
      <c r="E306" s="347">
        <f>F306</f>
        <v>4361250</v>
      </c>
      <c r="F306" s="389">
        <f>((1000000)+500000)+2861250</f>
        <v>4361250</v>
      </c>
      <c r="G306" s="389"/>
      <c r="H306" s="389"/>
      <c r="I306" s="389"/>
      <c r="J306" s="393">
        <f>L306+O306</f>
        <v>1550000</v>
      </c>
      <c r="K306" s="350">
        <f>(((8100000)-8100000)+1000000)+550000</f>
        <v>1550000</v>
      </c>
      <c r="L306" s="389"/>
      <c r="M306" s="389"/>
      <c r="N306" s="389"/>
      <c r="O306" s="351">
        <f>K306</f>
        <v>1550000</v>
      </c>
      <c r="P306" s="393">
        <f>E306+J306</f>
        <v>5911250</v>
      </c>
      <c r="Q306" s="20"/>
      <c r="R306" s="50"/>
    </row>
    <row r="307" spans="1:18" ht="48" thickTop="1" thickBot="1" x14ac:dyDescent="0.25">
      <c r="A307" s="119" t="s">
        <v>559</v>
      </c>
      <c r="B307" s="119" t="s">
        <v>254</v>
      </c>
      <c r="C307" s="119" t="s">
        <v>255</v>
      </c>
      <c r="D307" s="119" t="s">
        <v>253</v>
      </c>
      <c r="E307" s="347">
        <f t="shared" ref="E307:E308" si="318">F307</f>
        <v>2230434</v>
      </c>
      <c r="F307" s="389">
        <v>2230434</v>
      </c>
      <c r="G307" s="389">
        <f>(1669391)+44606</f>
        <v>1713997</v>
      </c>
      <c r="H307" s="389">
        <f>2825+50400+16104</f>
        <v>69329</v>
      </c>
      <c r="I307" s="389"/>
      <c r="J307" s="393">
        <f>L307+O307</f>
        <v>49500</v>
      </c>
      <c r="K307" s="350">
        <v>49500</v>
      </c>
      <c r="L307" s="389"/>
      <c r="M307" s="389"/>
      <c r="N307" s="389"/>
      <c r="O307" s="351">
        <f>K307</f>
        <v>49500</v>
      </c>
      <c r="P307" s="393">
        <f>E307+J307</f>
        <v>2279934</v>
      </c>
      <c r="Q307" s="20"/>
      <c r="R307" s="46"/>
    </row>
    <row r="308" spans="1:18" ht="48" hidden="1" thickTop="1" thickBot="1" x14ac:dyDescent="0.25">
      <c r="A308" s="41" t="s">
        <v>560</v>
      </c>
      <c r="B308" s="41" t="s">
        <v>561</v>
      </c>
      <c r="C308" s="41" t="s">
        <v>255</v>
      </c>
      <c r="D308" s="41" t="s">
        <v>562</v>
      </c>
      <c r="E308" s="176">
        <f t="shared" si="318"/>
        <v>0</v>
      </c>
      <c r="F308" s="177">
        <f>(1219000)-1219000</f>
        <v>0</v>
      </c>
      <c r="G308" s="177">
        <f>(354000+540000)-894000</f>
        <v>0</v>
      </c>
      <c r="H308" s="177">
        <f>(6000+3000)-9000</f>
        <v>0</v>
      </c>
      <c r="I308" s="177"/>
      <c r="J308" s="42">
        <f>L308+O308</f>
        <v>0</v>
      </c>
      <c r="K308" s="43"/>
      <c r="L308" s="177"/>
      <c r="M308" s="177"/>
      <c r="N308" s="177"/>
      <c r="O308" s="44">
        <f>K308</f>
        <v>0</v>
      </c>
      <c r="P308" s="42">
        <f>E308+J308</f>
        <v>0</v>
      </c>
      <c r="Q308" s="20"/>
      <c r="R308" s="50"/>
    </row>
    <row r="309" spans="1:18" ht="47.25" thickTop="1" thickBot="1" x14ac:dyDescent="0.25">
      <c r="A309" s="346" t="s">
        <v>1589</v>
      </c>
      <c r="B309" s="346" t="s">
        <v>708</v>
      </c>
      <c r="C309" s="346"/>
      <c r="D309" s="346" t="s">
        <v>709</v>
      </c>
      <c r="E309" s="393">
        <f>E310</f>
        <v>0</v>
      </c>
      <c r="F309" s="393">
        <f t="shared" ref="F309:P310" si="319">F310</f>
        <v>0</v>
      </c>
      <c r="G309" s="393">
        <f t="shared" si="319"/>
        <v>0</v>
      </c>
      <c r="H309" s="393">
        <f t="shared" si="319"/>
        <v>0</v>
      </c>
      <c r="I309" s="393">
        <f t="shared" si="319"/>
        <v>0</v>
      </c>
      <c r="J309" s="393">
        <f t="shared" si="319"/>
        <v>10000000</v>
      </c>
      <c r="K309" s="393">
        <f t="shared" si="319"/>
        <v>10000000</v>
      </c>
      <c r="L309" s="393">
        <f t="shared" si="319"/>
        <v>0</v>
      </c>
      <c r="M309" s="393">
        <f t="shared" si="319"/>
        <v>0</v>
      </c>
      <c r="N309" s="393">
        <f t="shared" si="319"/>
        <v>0</v>
      </c>
      <c r="O309" s="393">
        <f t="shared" si="319"/>
        <v>10000000</v>
      </c>
      <c r="P309" s="393">
        <f t="shared" si="319"/>
        <v>10000000</v>
      </c>
      <c r="Q309" s="20"/>
      <c r="R309" s="50"/>
    </row>
    <row r="310" spans="1:18" ht="91.5" thickTop="1" thickBot="1" x14ac:dyDescent="0.25">
      <c r="A310" s="348" t="s">
        <v>1590</v>
      </c>
      <c r="B310" s="348" t="s">
        <v>711</v>
      </c>
      <c r="C310" s="348"/>
      <c r="D310" s="348" t="s">
        <v>712</v>
      </c>
      <c r="E310" s="352">
        <f>E311</f>
        <v>0</v>
      </c>
      <c r="F310" s="352">
        <f t="shared" si="319"/>
        <v>0</v>
      </c>
      <c r="G310" s="352">
        <f t="shared" si="319"/>
        <v>0</v>
      </c>
      <c r="H310" s="352">
        <f t="shared" si="319"/>
        <v>0</v>
      </c>
      <c r="I310" s="352">
        <f t="shared" si="319"/>
        <v>0</v>
      </c>
      <c r="J310" s="352">
        <f t="shared" si="319"/>
        <v>10000000</v>
      </c>
      <c r="K310" s="352">
        <f t="shared" si="319"/>
        <v>10000000</v>
      </c>
      <c r="L310" s="352">
        <f t="shared" si="319"/>
        <v>0</v>
      </c>
      <c r="M310" s="352">
        <f t="shared" si="319"/>
        <v>0</v>
      </c>
      <c r="N310" s="352">
        <f t="shared" si="319"/>
        <v>0</v>
      </c>
      <c r="O310" s="352">
        <f t="shared" si="319"/>
        <v>10000000</v>
      </c>
      <c r="P310" s="352">
        <f t="shared" si="319"/>
        <v>10000000</v>
      </c>
      <c r="Q310" s="20"/>
      <c r="R310" s="50"/>
    </row>
    <row r="311" spans="1:18" ht="48" thickTop="1" thickBot="1" x14ac:dyDescent="0.25">
      <c r="A311" s="119" t="s">
        <v>1591</v>
      </c>
      <c r="B311" s="119" t="s">
        <v>367</v>
      </c>
      <c r="C311" s="119" t="s">
        <v>43</v>
      </c>
      <c r="D311" s="119" t="s">
        <v>368</v>
      </c>
      <c r="E311" s="393">
        <f t="shared" ref="E311" si="320">F311</f>
        <v>0</v>
      </c>
      <c r="F311" s="350"/>
      <c r="G311" s="350"/>
      <c r="H311" s="350"/>
      <c r="I311" s="350"/>
      <c r="J311" s="393">
        <f>L311+O311</f>
        <v>10000000</v>
      </c>
      <c r="K311" s="350">
        <v>10000000</v>
      </c>
      <c r="L311" s="350"/>
      <c r="M311" s="350"/>
      <c r="N311" s="350"/>
      <c r="O311" s="351">
        <f>K311</f>
        <v>10000000</v>
      </c>
      <c r="P311" s="393">
        <f>E311+J311</f>
        <v>10000000</v>
      </c>
      <c r="Q311" s="20"/>
      <c r="R311" s="50"/>
    </row>
    <row r="312" spans="1:18" ht="91.5" thickTop="1" thickBot="1" x14ac:dyDescent="0.25">
      <c r="A312" s="403" t="s">
        <v>25</v>
      </c>
      <c r="B312" s="403"/>
      <c r="C312" s="403"/>
      <c r="D312" s="404" t="s">
        <v>1436</v>
      </c>
      <c r="E312" s="406">
        <f>E313</f>
        <v>3862358</v>
      </c>
      <c r="F312" s="405">
        <f t="shared" ref="F312:G312" si="321">F313</f>
        <v>3862358</v>
      </c>
      <c r="G312" s="405">
        <f t="shared" si="321"/>
        <v>2744545</v>
      </c>
      <c r="H312" s="405">
        <f>H313</f>
        <v>147298</v>
      </c>
      <c r="I312" s="405">
        <f t="shared" ref="I312" si="322">I313</f>
        <v>0</v>
      </c>
      <c r="J312" s="406">
        <f>J313</f>
        <v>102127335</v>
      </c>
      <c r="K312" s="405">
        <f>K313</f>
        <v>102127335</v>
      </c>
      <c r="L312" s="405">
        <f>L313</f>
        <v>0</v>
      </c>
      <c r="M312" s="405">
        <f t="shared" ref="M312" si="323">M313</f>
        <v>0</v>
      </c>
      <c r="N312" s="405">
        <f>N313</f>
        <v>0</v>
      </c>
      <c r="O312" s="406">
        <f>O313</f>
        <v>102127335</v>
      </c>
      <c r="P312" s="405">
        <f t="shared" ref="P312" si="324">P313</f>
        <v>105989693</v>
      </c>
      <c r="Q312" s="20"/>
    </row>
    <row r="313" spans="1:18" ht="91.5" thickTop="1" thickBot="1" x14ac:dyDescent="0.25">
      <c r="A313" s="407" t="s">
        <v>26</v>
      </c>
      <c r="B313" s="407"/>
      <c r="C313" s="407"/>
      <c r="D313" s="408" t="s">
        <v>901</v>
      </c>
      <c r="E313" s="409">
        <f>E314+E320+E323+E318</f>
        <v>3862358</v>
      </c>
      <c r="F313" s="409">
        <f>F314+F320+F323+F318</f>
        <v>3862358</v>
      </c>
      <c r="G313" s="409">
        <f>G314+G320+G323+G318</f>
        <v>2744545</v>
      </c>
      <c r="H313" s="409">
        <f>H314+H320+H323+H318</f>
        <v>147298</v>
      </c>
      <c r="I313" s="409">
        <f>I314+I320+I323+I318</f>
        <v>0</v>
      </c>
      <c r="J313" s="409">
        <f>L313+O313</f>
        <v>102127335</v>
      </c>
      <c r="K313" s="409">
        <f>K314+K320+K323+K318</f>
        <v>102127335</v>
      </c>
      <c r="L313" s="409">
        <f>L314+L320+L323+L318</f>
        <v>0</v>
      </c>
      <c r="M313" s="409">
        <f>M314+M320+M323+M318</f>
        <v>0</v>
      </c>
      <c r="N313" s="409">
        <f>N314+N320+N323+N318</f>
        <v>0</v>
      </c>
      <c r="O313" s="409">
        <f>O314+O320+O323+O318</f>
        <v>102127335</v>
      </c>
      <c r="P313" s="409">
        <f>E313+J313</f>
        <v>105989693</v>
      </c>
      <c r="Q313" s="353" t="b">
        <f>P313=P315+P316+P319+P322+P325+P327+P328+P330</f>
        <v>1</v>
      </c>
      <c r="R313" s="46"/>
    </row>
    <row r="314" spans="1:18" ht="47.25" thickTop="1" thickBot="1" x14ac:dyDescent="0.25">
      <c r="A314" s="346" t="s">
        <v>820</v>
      </c>
      <c r="B314" s="346" t="s">
        <v>690</v>
      </c>
      <c r="C314" s="346"/>
      <c r="D314" s="346" t="s">
        <v>691</v>
      </c>
      <c r="E314" s="393">
        <f t="shared" ref="E314:P314" si="325">SUM(E315:E317)</f>
        <v>3862358</v>
      </c>
      <c r="F314" s="393">
        <f t="shared" si="325"/>
        <v>3862358</v>
      </c>
      <c r="G314" s="393">
        <f t="shared" si="325"/>
        <v>2744545</v>
      </c>
      <c r="H314" s="393">
        <f t="shared" si="325"/>
        <v>147298</v>
      </c>
      <c r="I314" s="393">
        <f t="shared" si="325"/>
        <v>0</v>
      </c>
      <c r="J314" s="393">
        <f t="shared" si="325"/>
        <v>0</v>
      </c>
      <c r="K314" s="393">
        <f t="shared" si="325"/>
        <v>0</v>
      </c>
      <c r="L314" s="393">
        <f t="shared" si="325"/>
        <v>0</v>
      </c>
      <c r="M314" s="393">
        <f t="shared" si="325"/>
        <v>0</v>
      </c>
      <c r="N314" s="393">
        <f t="shared" si="325"/>
        <v>0</v>
      </c>
      <c r="O314" s="393">
        <f t="shared" si="325"/>
        <v>0</v>
      </c>
      <c r="P314" s="393">
        <f t="shared" si="325"/>
        <v>3862358</v>
      </c>
      <c r="Q314" s="47"/>
      <c r="R314" s="46"/>
    </row>
    <row r="315" spans="1:18" ht="93" thickTop="1" thickBot="1" x14ac:dyDescent="0.25">
      <c r="A315" s="119" t="s">
        <v>421</v>
      </c>
      <c r="B315" s="119" t="s">
        <v>240</v>
      </c>
      <c r="C315" s="119" t="s">
        <v>238</v>
      </c>
      <c r="D315" s="119" t="s">
        <v>239</v>
      </c>
      <c r="E315" s="393">
        <f>F315</f>
        <v>3852358</v>
      </c>
      <c r="F315" s="350">
        <v>3852358</v>
      </c>
      <c r="G315" s="350">
        <v>2744545</v>
      </c>
      <c r="H315" s="350">
        <f>3963+73000+70335</f>
        <v>147298</v>
      </c>
      <c r="I315" s="350"/>
      <c r="J315" s="393">
        <f t="shared" ref="J315:J331" si="326">L315+O315</f>
        <v>0</v>
      </c>
      <c r="K315" s="350"/>
      <c r="L315" s="350"/>
      <c r="M315" s="350"/>
      <c r="N315" s="350"/>
      <c r="O315" s="351">
        <f>K315</f>
        <v>0</v>
      </c>
      <c r="P315" s="393">
        <f t="shared" ref="P315:P331" si="327">E315+J315</f>
        <v>3852358</v>
      </c>
      <c r="Q315" s="47"/>
      <c r="R315" s="50"/>
    </row>
    <row r="316" spans="1:18" ht="93" thickTop="1" thickBot="1" x14ac:dyDescent="0.25">
      <c r="A316" s="119" t="s">
        <v>636</v>
      </c>
      <c r="B316" s="119" t="s">
        <v>366</v>
      </c>
      <c r="C316" s="119" t="s">
        <v>631</v>
      </c>
      <c r="D316" s="119" t="s">
        <v>632</v>
      </c>
      <c r="E316" s="347">
        <f>F316</f>
        <v>10000</v>
      </c>
      <c r="F316" s="389">
        <v>10000</v>
      </c>
      <c r="G316" s="389"/>
      <c r="H316" s="389"/>
      <c r="I316" s="389"/>
      <c r="J316" s="393">
        <f t="shared" si="326"/>
        <v>0</v>
      </c>
      <c r="K316" s="389"/>
      <c r="L316" s="390"/>
      <c r="M316" s="390"/>
      <c r="N316" s="390"/>
      <c r="O316" s="351">
        <f t="shared" ref="O316" si="328">K316</f>
        <v>0</v>
      </c>
      <c r="P316" s="393">
        <f t="shared" ref="P316" si="329">+J316+E316</f>
        <v>10000</v>
      </c>
      <c r="Q316" s="47"/>
      <c r="R316" s="50"/>
    </row>
    <row r="317" spans="1:18" ht="48" hidden="1" thickTop="1" thickBot="1" x14ac:dyDescent="0.25">
      <c r="A317" s="144" t="s">
        <v>937</v>
      </c>
      <c r="B317" s="144" t="s">
        <v>43</v>
      </c>
      <c r="C317" s="144" t="s">
        <v>42</v>
      </c>
      <c r="D317" s="144" t="s">
        <v>252</v>
      </c>
      <c r="E317" s="143">
        <f>F317</f>
        <v>0</v>
      </c>
      <c r="F317" s="150">
        <v>0</v>
      </c>
      <c r="G317" s="150"/>
      <c r="H317" s="150"/>
      <c r="I317" s="150"/>
      <c r="J317" s="143">
        <f t="shared" ref="J317" si="330">L317+O317</f>
        <v>0</v>
      </c>
      <c r="K317" s="145"/>
      <c r="L317" s="146"/>
      <c r="M317" s="146"/>
      <c r="N317" s="146"/>
      <c r="O317" s="148">
        <f t="shared" ref="O317" si="331">K317</f>
        <v>0</v>
      </c>
      <c r="P317" s="143">
        <f t="shared" ref="P317" si="332">+J317+E317</f>
        <v>0</v>
      </c>
      <c r="Q317" s="47"/>
      <c r="R317" s="50"/>
    </row>
    <row r="318" spans="1:18" ht="47.25" thickTop="1" thickBot="1" x14ac:dyDescent="0.25">
      <c r="A318" s="346" t="s">
        <v>1261</v>
      </c>
      <c r="B318" s="346" t="s">
        <v>717</v>
      </c>
      <c r="C318" s="346"/>
      <c r="D318" s="346" t="s">
        <v>718</v>
      </c>
      <c r="E318" s="393">
        <f t="shared" ref="E318:P318" si="333">SUM(E319:E319)</f>
        <v>0</v>
      </c>
      <c r="F318" s="393">
        <f t="shared" si="333"/>
        <v>0</v>
      </c>
      <c r="G318" s="393">
        <f t="shared" si="333"/>
        <v>0</v>
      </c>
      <c r="H318" s="393">
        <f t="shared" si="333"/>
        <v>0</v>
      </c>
      <c r="I318" s="393">
        <f t="shared" si="333"/>
        <v>0</v>
      </c>
      <c r="J318" s="393">
        <f t="shared" si="333"/>
        <v>3098000</v>
      </c>
      <c r="K318" s="393">
        <f t="shared" si="333"/>
        <v>3098000</v>
      </c>
      <c r="L318" s="393">
        <f t="shared" si="333"/>
        <v>0</v>
      </c>
      <c r="M318" s="393">
        <f t="shared" si="333"/>
        <v>0</v>
      </c>
      <c r="N318" s="393">
        <f t="shared" si="333"/>
        <v>0</v>
      </c>
      <c r="O318" s="393">
        <f t="shared" si="333"/>
        <v>3098000</v>
      </c>
      <c r="P318" s="393">
        <f t="shared" si="333"/>
        <v>3098000</v>
      </c>
      <c r="Q318" s="47"/>
      <c r="R318" s="50"/>
    </row>
    <row r="319" spans="1:18" ht="93" thickTop="1" thickBot="1" x14ac:dyDescent="0.25">
      <c r="A319" s="119" t="s">
        <v>1262</v>
      </c>
      <c r="B319" s="119" t="s">
        <v>1225</v>
      </c>
      <c r="C319" s="119" t="s">
        <v>210</v>
      </c>
      <c r="D319" s="413" t="s">
        <v>1226</v>
      </c>
      <c r="E319" s="393">
        <f t="shared" ref="E319" si="334">F319</f>
        <v>0</v>
      </c>
      <c r="F319" s="350">
        <v>0</v>
      </c>
      <c r="G319" s="350"/>
      <c r="H319" s="350"/>
      <c r="I319" s="350"/>
      <c r="J319" s="393">
        <f>L319+O319</f>
        <v>3098000</v>
      </c>
      <c r="K319" s="350">
        <f>(((1350000)+4700000)-952000)-2000000</f>
        <v>3098000</v>
      </c>
      <c r="L319" s="350"/>
      <c r="M319" s="350"/>
      <c r="N319" s="350"/>
      <c r="O319" s="351">
        <f>K319</f>
        <v>3098000</v>
      </c>
      <c r="P319" s="393">
        <f>E319+J319</f>
        <v>3098000</v>
      </c>
      <c r="Q319" s="47"/>
      <c r="R319" s="50"/>
    </row>
    <row r="320" spans="1:18" ht="47.25" thickTop="1" thickBot="1" x14ac:dyDescent="0.25">
      <c r="A320" s="346" t="s">
        <v>821</v>
      </c>
      <c r="B320" s="346" t="s">
        <v>777</v>
      </c>
      <c r="C320" s="119"/>
      <c r="D320" s="346" t="s">
        <v>778</v>
      </c>
      <c r="E320" s="347">
        <f>E321</f>
        <v>0</v>
      </c>
      <c r="F320" s="347">
        <f t="shared" ref="F320:P321" si="335">F321</f>
        <v>0</v>
      </c>
      <c r="G320" s="347">
        <f t="shared" si="335"/>
        <v>0</v>
      </c>
      <c r="H320" s="347">
        <f t="shared" si="335"/>
        <v>0</v>
      </c>
      <c r="I320" s="347">
        <f t="shared" si="335"/>
        <v>0</v>
      </c>
      <c r="J320" s="347">
        <f t="shared" si="335"/>
        <v>2200000</v>
      </c>
      <c r="K320" s="347">
        <f t="shared" si="335"/>
        <v>2200000</v>
      </c>
      <c r="L320" s="347">
        <f t="shared" si="335"/>
        <v>0</v>
      </c>
      <c r="M320" s="347">
        <f t="shared" si="335"/>
        <v>0</v>
      </c>
      <c r="N320" s="347">
        <f t="shared" si="335"/>
        <v>0</v>
      </c>
      <c r="O320" s="347">
        <f t="shared" si="335"/>
        <v>2200000</v>
      </c>
      <c r="P320" s="347">
        <f t="shared" si="335"/>
        <v>2200000</v>
      </c>
      <c r="Q320" s="47"/>
      <c r="R320" s="50"/>
    </row>
    <row r="321" spans="1:18" ht="48" thickTop="1" thickBot="1" x14ac:dyDescent="0.25">
      <c r="A321" s="399" t="s">
        <v>822</v>
      </c>
      <c r="B321" s="399" t="s">
        <v>823</v>
      </c>
      <c r="C321" s="399"/>
      <c r="D321" s="399" t="s">
        <v>824</v>
      </c>
      <c r="E321" s="444">
        <f>E322</f>
        <v>0</v>
      </c>
      <c r="F321" s="444">
        <f t="shared" si="335"/>
        <v>0</v>
      </c>
      <c r="G321" s="444">
        <f t="shared" si="335"/>
        <v>0</v>
      </c>
      <c r="H321" s="444">
        <f t="shared" si="335"/>
        <v>0</v>
      </c>
      <c r="I321" s="444">
        <f t="shared" si="335"/>
        <v>0</v>
      </c>
      <c r="J321" s="444">
        <f t="shared" si="335"/>
        <v>2200000</v>
      </c>
      <c r="K321" s="444">
        <f t="shared" si="335"/>
        <v>2200000</v>
      </c>
      <c r="L321" s="444">
        <f t="shared" si="335"/>
        <v>0</v>
      </c>
      <c r="M321" s="444">
        <f t="shared" si="335"/>
        <v>0</v>
      </c>
      <c r="N321" s="444">
        <f t="shared" si="335"/>
        <v>0</v>
      </c>
      <c r="O321" s="444">
        <f t="shared" si="335"/>
        <v>2200000</v>
      </c>
      <c r="P321" s="444">
        <f t="shared" si="335"/>
        <v>2200000</v>
      </c>
      <c r="Q321" s="47"/>
      <c r="R321" s="50"/>
    </row>
    <row r="322" spans="1:18" ht="283.5" customHeight="1" thickTop="1" thickBot="1" x14ac:dyDescent="0.25">
      <c r="A322" s="119" t="s">
        <v>437</v>
      </c>
      <c r="B322" s="119" t="s">
        <v>438</v>
      </c>
      <c r="C322" s="119" t="s">
        <v>199</v>
      </c>
      <c r="D322" s="119" t="s">
        <v>1202</v>
      </c>
      <c r="E322" s="393">
        <f t="shared" ref="E322:E329" si="336">F322</f>
        <v>0</v>
      </c>
      <c r="F322" s="350"/>
      <c r="G322" s="350"/>
      <c r="H322" s="350"/>
      <c r="I322" s="350"/>
      <c r="J322" s="393">
        <f t="shared" si="326"/>
        <v>2200000</v>
      </c>
      <c r="K322" s="350">
        <f>(3000000)-800000</f>
        <v>2200000</v>
      </c>
      <c r="L322" s="350"/>
      <c r="M322" s="350"/>
      <c r="N322" s="350"/>
      <c r="O322" s="351">
        <f t="shared" ref="O322" si="337">K322</f>
        <v>2200000</v>
      </c>
      <c r="P322" s="393">
        <f t="shared" si="327"/>
        <v>2200000</v>
      </c>
      <c r="Q322" s="47"/>
      <c r="R322" s="46"/>
    </row>
    <row r="323" spans="1:18" ht="47.25" thickTop="1" thickBot="1" x14ac:dyDescent="0.25">
      <c r="A323" s="346" t="s">
        <v>825</v>
      </c>
      <c r="B323" s="346" t="s">
        <v>754</v>
      </c>
      <c r="C323" s="119"/>
      <c r="D323" s="346" t="s">
        <v>801</v>
      </c>
      <c r="E323" s="393">
        <f>E324+E332</f>
        <v>0</v>
      </c>
      <c r="F323" s="393">
        <f t="shared" ref="F323:I323" si="338">F324+F332</f>
        <v>0</v>
      </c>
      <c r="G323" s="393">
        <f t="shared" si="338"/>
        <v>0</v>
      </c>
      <c r="H323" s="393">
        <f t="shared" si="338"/>
        <v>0</v>
      </c>
      <c r="I323" s="393">
        <f t="shared" si="338"/>
        <v>0</v>
      </c>
      <c r="J323" s="393">
        <f t="shared" ref="J323" si="339">J324+J332</f>
        <v>96829335</v>
      </c>
      <c r="K323" s="393">
        <f t="shared" ref="K323" si="340">K324+K332</f>
        <v>96829335</v>
      </c>
      <c r="L323" s="393">
        <f t="shared" ref="L323" si="341">L324+L332</f>
        <v>0</v>
      </c>
      <c r="M323" s="393">
        <f t="shared" ref="M323" si="342">M324+M332</f>
        <v>0</v>
      </c>
      <c r="N323" s="393">
        <f t="shared" ref="N323" si="343">N324+N332</f>
        <v>0</v>
      </c>
      <c r="O323" s="393">
        <f t="shared" ref="O323" si="344">O324+O332</f>
        <v>96829335</v>
      </c>
      <c r="P323" s="393">
        <f t="shared" ref="P323" si="345">P324+P332</f>
        <v>96829335</v>
      </c>
      <c r="Q323" s="47"/>
      <c r="R323" s="50"/>
    </row>
    <row r="324" spans="1:18" ht="47.25" thickTop="1" thickBot="1" x14ac:dyDescent="0.25">
      <c r="A324" s="348" t="s">
        <v>826</v>
      </c>
      <c r="B324" s="348" t="s">
        <v>810</v>
      </c>
      <c r="C324" s="348"/>
      <c r="D324" s="348" t="s">
        <v>811</v>
      </c>
      <c r="E324" s="352">
        <f t="shared" ref="E324:P324" si="346">SUM(E325:E331)-E326</f>
        <v>0</v>
      </c>
      <c r="F324" s="352">
        <f t="shared" si="346"/>
        <v>0</v>
      </c>
      <c r="G324" s="352">
        <f t="shared" si="346"/>
        <v>0</v>
      </c>
      <c r="H324" s="352">
        <f t="shared" si="346"/>
        <v>0</v>
      </c>
      <c r="I324" s="352">
        <f t="shared" si="346"/>
        <v>0</v>
      </c>
      <c r="J324" s="352">
        <f t="shared" si="346"/>
        <v>96829335</v>
      </c>
      <c r="K324" s="352">
        <f t="shared" si="346"/>
        <v>96829335</v>
      </c>
      <c r="L324" s="352">
        <f t="shared" si="346"/>
        <v>0</v>
      </c>
      <c r="M324" s="352">
        <f t="shared" si="346"/>
        <v>0</v>
      </c>
      <c r="N324" s="352">
        <f t="shared" si="346"/>
        <v>0</v>
      </c>
      <c r="O324" s="352">
        <f t="shared" si="346"/>
        <v>96829335</v>
      </c>
      <c r="P324" s="352">
        <f t="shared" si="346"/>
        <v>96829335</v>
      </c>
      <c r="Q324" s="47"/>
      <c r="R324" s="50"/>
    </row>
    <row r="325" spans="1:18" ht="54" thickTop="1" thickBot="1" x14ac:dyDescent="0.25">
      <c r="A325" s="119" t="s">
        <v>936</v>
      </c>
      <c r="B325" s="119" t="s">
        <v>309</v>
      </c>
      <c r="C325" s="119" t="s">
        <v>308</v>
      </c>
      <c r="D325" s="119" t="s">
        <v>1315</v>
      </c>
      <c r="E325" s="393">
        <f t="shared" ref="E325" si="347">F325</f>
        <v>0</v>
      </c>
      <c r="F325" s="350"/>
      <c r="G325" s="350"/>
      <c r="H325" s="350"/>
      <c r="I325" s="350"/>
      <c r="J325" s="393">
        <f t="shared" ref="J325" si="348">L325+O325</f>
        <v>4500000</v>
      </c>
      <c r="K325" s="350">
        <f>((100000)+1000000)+3400000</f>
        <v>4500000</v>
      </c>
      <c r="L325" s="350"/>
      <c r="M325" s="350"/>
      <c r="N325" s="350"/>
      <c r="O325" s="351">
        <f>K325</f>
        <v>4500000</v>
      </c>
      <c r="P325" s="393">
        <f t="shared" ref="P325" si="349">E325+J325</f>
        <v>4500000</v>
      </c>
      <c r="Q325" s="47"/>
      <c r="R325" s="46"/>
    </row>
    <row r="326" spans="1:18" ht="54.75" thickTop="1" thickBot="1" x14ac:dyDescent="0.25">
      <c r="A326" s="399" t="s">
        <v>827</v>
      </c>
      <c r="B326" s="399" t="s">
        <v>828</v>
      </c>
      <c r="C326" s="399"/>
      <c r="D326" s="399" t="s">
        <v>1308</v>
      </c>
      <c r="E326" s="388">
        <f>SUM(E327:E328)</f>
        <v>0</v>
      </c>
      <c r="F326" s="388">
        <f t="shared" ref="F326:P326" si="350">SUM(F327:F328)</f>
        <v>0</v>
      </c>
      <c r="G326" s="388">
        <f t="shared" si="350"/>
        <v>0</v>
      </c>
      <c r="H326" s="388">
        <f t="shared" si="350"/>
        <v>0</v>
      </c>
      <c r="I326" s="388">
        <f t="shared" si="350"/>
        <v>0</v>
      </c>
      <c r="J326" s="388">
        <f t="shared" si="350"/>
        <v>46983650</v>
      </c>
      <c r="K326" s="388">
        <f t="shared" si="350"/>
        <v>46983650</v>
      </c>
      <c r="L326" s="388">
        <f t="shared" si="350"/>
        <v>0</v>
      </c>
      <c r="M326" s="388">
        <f t="shared" si="350"/>
        <v>0</v>
      </c>
      <c r="N326" s="388">
        <f t="shared" si="350"/>
        <v>0</v>
      </c>
      <c r="O326" s="388">
        <f t="shared" si="350"/>
        <v>46983650</v>
      </c>
      <c r="P326" s="388">
        <f t="shared" si="350"/>
        <v>46983650</v>
      </c>
      <c r="Q326" s="47"/>
      <c r="R326" s="50"/>
    </row>
    <row r="327" spans="1:18" ht="54" thickTop="1" thickBot="1" x14ac:dyDescent="0.25">
      <c r="A327" s="119" t="s">
        <v>314</v>
      </c>
      <c r="B327" s="119" t="s">
        <v>315</v>
      </c>
      <c r="C327" s="119" t="s">
        <v>308</v>
      </c>
      <c r="D327" s="119" t="s">
        <v>1293</v>
      </c>
      <c r="E327" s="393">
        <f t="shared" si="336"/>
        <v>0</v>
      </c>
      <c r="F327" s="350"/>
      <c r="G327" s="350"/>
      <c r="H327" s="350"/>
      <c r="I327" s="350"/>
      <c r="J327" s="393">
        <f t="shared" si="326"/>
        <v>46733650</v>
      </c>
      <c r="K327" s="350">
        <f>(((700000)+50933650)+500000-3000000)-2400000</f>
        <v>46733650</v>
      </c>
      <c r="L327" s="350"/>
      <c r="M327" s="350"/>
      <c r="N327" s="350"/>
      <c r="O327" s="351">
        <f>K327</f>
        <v>46733650</v>
      </c>
      <c r="P327" s="393">
        <f t="shared" si="327"/>
        <v>46733650</v>
      </c>
      <c r="Q327" s="142"/>
      <c r="R327" s="46"/>
    </row>
    <row r="328" spans="1:18" ht="54" thickTop="1" thickBot="1" x14ac:dyDescent="0.25">
      <c r="A328" s="119" t="s">
        <v>520</v>
      </c>
      <c r="B328" s="119" t="s">
        <v>521</v>
      </c>
      <c r="C328" s="119" t="s">
        <v>308</v>
      </c>
      <c r="D328" s="119" t="s">
        <v>1321</v>
      </c>
      <c r="E328" s="393">
        <f t="shared" si="336"/>
        <v>0</v>
      </c>
      <c r="F328" s="350"/>
      <c r="G328" s="350"/>
      <c r="H328" s="350"/>
      <c r="I328" s="350"/>
      <c r="J328" s="393">
        <f t="shared" si="326"/>
        <v>250000</v>
      </c>
      <c r="K328" s="350">
        <f>((500000)+900000)-1150000</f>
        <v>250000</v>
      </c>
      <c r="L328" s="350"/>
      <c r="M328" s="350"/>
      <c r="N328" s="350"/>
      <c r="O328" s="351">
        <f>K328</f>
        <v>250000</v>
      </c>
      <c r="P328" s="393">
        <f t="shared" si="327"/>
        <v>250000</v>
      </c>
      <c r="Q328" s="142"/>
      <c r="R328" s="46"/>
    </row>
    <row r="329" spans="1:18" ht="54" hidden="1" thickTop="1" thickBot="1" x14ac:dyDescent="0.25">
      <c r="A329" s="144" t="s">
        <v>316</v>
      </c>
      <c r="B329" s="144" t="s">
        <v>317</v>
      </c>
      <c r="C329" s="144" t="s">
        <v>308</v>
      </c>
      <c r="D329" s="144" t="s">
        <v>1263</v>
      </c>
      <c r="E329" s="143">
        <f t="shared" si="336"/>
        <v>0</v>
      </c>
      <c r="F329" s="150"/>
      <c r="G329" s="150"/>
      <c r="H329" s="150"/>
      <c r="I329" s="150"/>
      <c r="J329" s="143">
        <f t="shared" si="326"/>
        <v>0</v>
      </c>
      <c r="K329" s="150"/>
      <c r="L329" s="150"/>
      <c r="M329" s="150"/>
      <c r="N329" s="150"/>
      <c r="O329" s="148">
        <f>K329</f>
        <v>0</v>
      </c>
      <c r="P329" s="143">
        <f t="shared" si="327"/>
        <v>0</v>
      </c>
      <c r="Q329" s="142"/>
    </row>
    <row r="330" spans="1:18" ht="54" thickTop="1" thickBot="1" x14ac:dyDescent="0.3">
      <c r="A330" s="119" t="s">
        <v>318</v>
      </c>
      <c r="B330" s="119" t="s">
        <v>319</v>
      </c>
      <c r="C330" s="119" t="s">
        <v>308</v>
      </c>
      <c r="D330" s="119" t="s">
        <v>1322</v>
      </c>
      <c r="E330" s="393">
        <f>F330</f>
        <v>0</v>
      </c>
      <c r="F330" s="350"/>
      <c r="G330" s="350"/>
      <c r="H330" s="350"/>
      <c r="I330" s="350"/>
      <c r="J330" s="393">
        <f t="shared" si="326"/>
        <v>45345685</v>
      </c>
      <c r="K330" s="350">
        <f>(((2050000)+8581051)+25104429-1553000+4362554+200000-200000)+6800651</f>
        <v>45345685</v>
      </c>
      <c r="L330" s="350"/>
      <c r="M330" s="350"/>
      <c r="N330" s="350"/>
      <c r="O330" s="351">
        <f>K330</f>
        <v>45345685</v>
      </c>
      <c r="P330" s="393">
        <f t="shared" si="327"/>
        <v>45345685</v>
      </c>
      <c r="Q330" s="178"/>
      <c r="R330" s="46"/>
    </row>
    <row r="331" spans="1:18" ht="48" hidden="1" thickTop="1" thickBot="1" x14ac:dyDescent="0.25">
      <c r="A331" s="41" t="s">
        <v>441</v>
      </c>
      <c r="B331" s="41" t="s">
        <v>354</v>
      </c>
      <c r="C331" s="41" t="s">
        <v>170</v>
      </c>
      <c r="D331" s="41" t="s">
        <v>266</v>
      </c>
      <c r="E331" s="42">
        <f>F331</f>
        <v>0</v>
      </c>
      <c r="F331" s="43"/>
      <c r="G331" s="43"/>
      <c r="H331" s="43"/>
      <c r="I331" s="43"/>
      <c r="J331" s="42">
        <f t="shared" si="326"/>
        <v>0</v>
      </c>
      <c r="K331" s="43">
        <v>0</v>
      </c>
      <c r="L331" s="43"/>
      <c r="M331" s="43"/>
      <c r="N331" s="43"/>
      <c r="O331" s="44">
        <f>K331</f>
        <v>0</v>
      </c>
      <c r="P331" s="42">
        <f t="shared" si="327"/>
        <v>0</v>
      </c>
      <c r="Q331" s="20"/>
      <c r="R331" s="46"/>
    </row>
    <row r="332" spans="1:18" ht="47.25" hidden="1" thickTop="1" thickBot="1" x14ac:dyDescent="0.25">
      <c r="A332" s="152" t="s">
        <v>1002</v>
      </c>
      <c r="B332" s="152" t="s">
        <v>697</v>
      </c>
      <c r="C332" s="152"/>
      <c r="D332" s="152" t="s">
        <v>695</v>
      </c>
      <c r="E332" s="175">
        <f>E333</f>
        <v>0</v>
      </c>
      <c r="F332" s="175">
        <f>F333</f>
        <v>0</v>
      </c>
      <c r="G332" s="175">
        <f>G333</f>
        <v>0</v>
      </c>
      <c r="H332" s="175">
        <f>H333</f>
        <v>0</v>
      </c>
      <c r="I332" s="175">
        <f>I333</f>
        <v>0</v>
      </c>
      <c r="J332" s="175">
        <f t="shared" ref="J332:O332" si="351">J333</f>
        <v>0</v>
      </c>
      <c r="K332" s="175">
        <f t="shared" si="351"/>
        <v>0</v>
      </c>
      <c r="L332" s="175">
        <f t="shared" si="351"/>
        <v>0</v>
      </c>
      <c r="M332" s="175">
        <f t="shared" si="351"/>
        <v>0</v>
      </c>
      <c r="N332" s="175">
        <f t="shared" si="351"/>
        <v>0</v>
      </c>
      <c r="O332" s="175">
        <f t="shared" si="351"/>
        <v>0</v>
      </c>
      <c r="P332" s="175">
        <f>P333</f>
        <v>0</v>
      </c>
      <c r="Q332" s="20"/>
      <c r="R332" s="46"/>
    </row>
    <row r="333" spans="1:18" ht="48" hidden="1" thickTop="1" thickBot="1" x14ac:dyDescent="0.25">
      <c r="A333" s="156" t="s">
        <v>1003</v>
      </c>
      <c r="B333" s="156" t="s">
        <v>700</v>
      </c>
      <c r="C333" s="156"/>
      <c r="D333" s="156" t="s">
        <v>804</v>
      </c>
      <c r="E333" s="174">
        <f>E334+E336</f>
        <v>0</v>
      </c>
      <c r="F333" s="174">
        <f t="shared" ref="F333:P333" si="352">F334+F336</f>
        <v>0</v>
      </c>
      <c r="G333" s="174">
        <f t="shared" si="352"/>
        <v>0</v>
      </c>
      <c r="H333" s="174">
        <f t="shared" si="352"/>
        <v>0</v>
      </c>
      <c r="I333" s="174">
        <f t="shared" si="352"/>
        <v>0</v>
      </c>
      <c r="J333" s="174">
        <f t="shared" si="352"/>
        <v>0</v>
      </c>
      <c r="K333" s="174">
        <f t="shared" si="352"/>
        <v>0</v>
      </c>
      <c r="L333" s="174">
        <f t="shared" si="352"/>
        <v>0</v>
      </c>
      <c r="M333" s="174">
        <f t="shared" si="352"/>
        <v>0</v>
      </c>
      <c r="N333" s="174">
        <f t="shared" si="352"/>
        <v>0</v>
      </c>
      <c r="O333" s="174">
        <f t="shared" si="352"/>
        <v>0</v>
      </c>
      <c r="P333" s="174">
        <f t="shared" si="352"/>
        <v>0</v>
      </c>
      <c r="Q333" s="20"/>
      <c r="R333" s="46"/>
    </row>
    <row r="334" spans="1:18" ht="184.5" hidden="1" thickTop="1" thickBot="1" x14ac:dyDescent="0.7">
      <c r="A334" s="699" t="s">
        <v>1004</v>
      </c>
      <c r="B334" s="699" t="s">
        <v>342</v>
      </c>
      <c r="C334" s="699" t="s">
        <v>170</v>
      </c>
      <c r="D334" s="179" t="s">
        <v>444</v>
      </c>
      <c r="E334" s="700">
        <f t="shared" ref="E334" si="353">F334</f>
        <v>0</v>
      </c>
      <c r="F334" s="701"/>
      <c r="G334" s="701"/>
      <c r="H334" s="701"/>
      <c r="I334" s="701"/>
      <c r="J334" s="700">
        <f t="shared" ref="J334" si="354">L334+O334</f>
        <v>0</v>
      </c>
      <c r="K334" s="701"/>
      <c r="L334" s="701"/>
      <c r="M334" s="701"/>
      <c r="N334" s="701"/>
      <c r="O334" s="706">
        <f>K334</f>
        <v>0</v>
      </c>
      <c r="P334" s="698">
        <f>E334+J334</f>
        <v>0</v>
      </c>
      <c r="Q334" s="20"/>
      <c r="R334" s="46"/>
    </row>
    <row r="335" spans="1:18" ht="93" hidden="1" thickTop="1" thickBot="1" x14ac:dyDescent="0.25">
      <c r="A335" s="699"/>
      <c r="B335" s="699"/>
      <c r="C335" s="699"/>
      <c r="D335" s="180" t="s">
        <v>445</v>
      </c>
      <c r="E335" s="700"/>
      <c r="F335" s="701"/>
      <c r="G335" s="701"/>
      <c r="H335" s="701"/>
      <c r="I335" s="701"/>
      <c r="J335" s="700"/>
      <c r="K335" s="701"/>
      <c r="L335" s="701"/>
      <c r="M335" s="701"/>
      <c r="N335" s="701"/>
      <c r="O335" s="706"/>
      <c r="P335" s="698"/>
      <c r="Q335" s="20"/>
      <c r="R335" s="46"/>
    </row>
    <row r="336" spans="1:18" ht="48" hidden="1" thickTop="1" thickBot="1" x14ac:dyDescent="0.25">
      <c r="A336" s="144" t="s">
        <v>1218</v>
      </c>
      <c r="B336" s="144" t="s">
        <v>261</v>
      </c>
      <c r="C336" s="144" t="s">
        <v>170</v>
      </c>
      <c r="D336" s="172" t="s">
        <v>259</v>
      </c>
      <c r="E336" s="143">
        <f>F336</f>
        <v>0</v>
      </c>
      <c r="F336" s="150"/>
      <c r="G336" s="150"/>
      <c r="H336" s="150"/>
      <c r="I336" s="150"/>
      <c r="J336" s="143">
        <f t="shared" ref="J336" si="355">L336+O336</f>
        <v>0</v>
      </c>
      <c r="K336" s="150"/>
      <c r="L336" s="150"/>
      <c r="M336" s="150"/>
      <c r="N336" s="150"/>
      <c r="O336" s="148">
        <f>K336</f>
        <v>0</v>
      </c>
      <c r="P336" s="143">
        <f t="shared" ref="P336" si="356">E336+J336</f>
        <v>0</v>
      </c>
      <c r="Q336" s="20"/>
      <c r="R336" s="46"/>
    </row>
    <row r="337" spans="1:18" ht="91.5" thickTop="1" thickBot="1" x14ac:dyDescent="0.25">
      <c r="A337" s="403" t="s">
        <v>160</v>
      </c>
      <c r="B337" s="403"/>
      <c r="C337" s="403"/>
      <c r="D337" s="404" t="s">
        <v>902</v>
      </c>
      <c r="E337" s="406">
        <f>E338</f>
        <v>9109796.8100000005</v>
      </c>
      <c r="F337" s="405">
        <f t="shared" ref="F337:G337" si="357">F338</f>
        <v>9109796.8100000005</v>
      </c>
      <c r="G337" s="405">
        <f t="shared" si="357"/>
        <v>6132550</v>
      </c>
      <c r="H337" s="405">
        <f>H338</f>
        <v>401600</v>
      </c>
      <c r="I337" s="405">
        <f t="shared" ref="I337" si="358">I338</f>
        <v>0</v>
      </c>
      <c r="J337" s="406">
        <f>J338</f>
        <v>1575000</v>
      </c>
      <c r="K337" s="405">
        <f>K338</f>
        <v>1575000</v>
      </c>
      <c r="L337" s="405">
        <f>L338</f>
        <v>0</v>
      </c>
      <c r="M337" s="405">
        <f t="shared" ref="M337" si="359">M338</f>
        <v>0</v>
      </c>
      <c r="N337" s="405">
        <f>N338</f>
        <v>0</v>
      </c>
      <c r="O337" s="406">
        <f>O338</f>
        <v>1575000</v>
      </c>
      <c r="P337" s="405">
        <f t="shared" ref="P337" si="360">P338</f>
        <v>10684796.810000001</v>
      </c>
      <c r="Q337" s="20"/>
    </row>
    <row r="338" spans="1:18" ht="91.5" thickTop="1" thickBot="1" x14ac:dyDescent="0.25">
      <c r="A338" s="407" t="s">
        <v>161</v>
      </c>
      <c r="B338" s="407"/>
      <c r="C338" s="407"/>
      <c r="D338" s="408" t="s">
        <v>903</v>
      </c>
      <c r="E338" s="409">
        <f>E339+E343</f>
        <v>9109796.8100000005</v>
      </c>
      <c r="F338" s="409">
        <f>F339+F343</f>
        <v>9109796.8100000005</v>
      </c>
      <c r="G338" s="409">
        <f>G339+G343</f>
        <v>6132550</v>
      </c>
      <c r="H338" s="409">
        <f>H339+H343</f>
        <v>401600</v>
      </c>
      <c r="I338" s="409">
        <f>I339+I343</f>
        <v>0</v>
      </c>
      <c r="J338" s="409">
        <f>L338+O338</f>
        <v>1575000</v>
      </c>
      <c r="K338" s="409">
        <f>K339+K343</f>
        <v>1575000</v>
      </c>
      <c r="L338" s="409">
        <f>L339+L343</f>
        <v>0</v>
      </c>
      <c r="M338" s="409">
        <f>M339+M343</f>
        <v>0</v>
      </c>
      <c r="N338" s="409">
        <f>N339+N343</f>
        <v>0</v>
      </c>
      <c r="O338" s="409">
        <f>O339+O343</f>
        <v>1575000</v>
      </c>
      <c r="P338" s="409">
        <f>E338+J338</f>
        <v>10684796.810000001</v>
      </c>
      <c r="Q338" s="353" t="b">
        <f>P338=P340+P341+P342+P345</f>
        <v>1</v>
      </c>
      <c r="R338" s="46"/>
    </row>
    <row r="339" spans="1:18" ht="47.25" thickTop="1" thickBot="1" x14ac:dyDescent="0.25">
      <c r="A339" s="346" t="s">
        <v>829</v>
      </c>
      <c r="B339" s="346" t="s">
        <v>690</v>
      </c>
      <c r="C339" s="346"/>
      <c r="D339" s="346" t="s">
        <v>691</v>
      </c>
      <c r="E339" s="393">
        <f>SUM(E340:E342)</f>
        <v>9109796.8100000005</v>
      </c>
      <c r="F339" s="393">
        <f t="shared" ref="F339:N339" si="361">SUM(F340:F342)</f>
        <v>9109796.8100000005</v>
      </c>
      <c r="G339" s="393">
        <f t="shared" si="361"/>
        <v>6132550</v>
      </c>
      <c r="H339" s="393">
        <f t="shared" si="361"/>
        <v>401600</v>
      </c>
      <c r="I339" s="393">
        <f t="shared" si="361"/>
        <v>0</v>
      </c>
      <c r="J339" s="393">
        <f t="shared" si="361"/>
        <v>125000</v>
      </c>
      <c r="K339" s="393">
        <f t="shared" si="361"/>
        <v>125000</v>
      </c>
      <c r="L339" s="393">
        <f t="shared" si="361"/>
        <v>0</v>
      </c>
      <c r="M339" s="393">
        <f t="shared" si="361"/>
        <v>0</v>
      </c>
      <c r="N339" s="393">
        <f t="shared" si="361"/>
        <v>0</v>
      </c>
      <c r="O339" s="393">
        <f>SUM(O340:O342)</f>
        <v>125000</v>
      </c>
      <c r="P339" s="393">
        <f>SUM(P340:P342)</f>
        <v>9234796.8100000005</v>
      </c>
      <c r="Q339" s="47"/>
      <c r="R339" s="46"/>
    </row>
    <row r="340" spans="1:18" ht="93" thickTop="1" thickBot="1" x14ac:dyDescent="0.25">
      <c r="A340" s="119" t="s">
        <v>423</v>
      </c>
      <c r="B340" s="119" t="s">
        <v>240</v>
      </c>
      <c r="C340" s="119" t="s">
        <v>238</v>
      </c>
      <c r="D340" s="119" t="s">
        <v>239</v>
      </c>
      <c r="E340" s="393">
        <f>F340</f>
        <v>8729800</v>
      </c>
      <c r="F340" s="350">
        <f>((8244900)+22000+55000+44000+4400+20000+144000)+5000+5000+27500+58000+100000</f>
        <v>8729800</v>
      </c>
      <c r="G340" s="350">
        <v>6132550</v>
      </c>
      <c r="H340" s="350">
        <f>(151000+4400+97800)+4400+144000</f>
        <v>401600</v>
      </c>
      <c r="I340" s="350"/>
      <c r="J340" s="393">
        <f>L340+O340</f>
        <v>125000</v>
      </c>
      <c r="K340" s="350">
        <f>(30000)+50000+45000</f>
        <v>125000</v>
      </c>
      <c r="L340" s="350"/>
      <c r="M340" s="350"/>
      <c r="N340" s="350"/>
      <c r="O340" s="351">
        <f>K340</f>
        <v>125000</v>
      </c>
      <c r="P340" s="393">
        <f>E340+J340</f>
        <v>8854800</v>
      </c>
      <c r="Q340" s="47"/>
      <c r="R340" s="46"/>
    </row>
    <row r="341" spans="1:18" ht="93" thickTop="1" thickBot="1" x14ac:dyDescent="0.25">
      <c r="A341" s="119" t="s">
        <v>637</v>
      </c>
      <c r="B341" s="119" t="s">
        <v>366</v>
      </c>
      <c r="C341" s="119" t="s">
        <v>631</v>
      </c>
      <c r="D341" s="119" t="s">
        <v>632</v>
      </c>
      <c r="E341" s="347">
        <f>F341</f>
        <v>10000</v>
      </c>
      <c r="F341" s="389">
        <v>10000</v>
      </c>
      <c r="G341" s="389"/>
      <c r="H341" s="389"/>
      <c r="I341" s="389"/>
      <c r="J341" s="393">
        <f t="shared" ref="J341:J342" si="362">L341+O341</f>
        <v>0</v>
      </c>
      <c r="K341" s="389"/>
      <c r="L341" s="390"/>
      <c r="M341" s="390"/>
      <c r="N341" s="390"/>
      <c r="O341" s="351">
        <f t="shared" ref="O341:O342" si="363">K341</f>
        <v>0</v>
      </c>
      <c r="P341" s="393">
        <f t="shared" ref="P341" si="364">+J341+E341</f>
        <v>10000</v>
      </c>
      <c r="Q341" s="47"/>
      <c r="R341" s="46"/>
    </row>
    <row r="342" spans="1:18" ht="48" thickTop="1" thickBot="1" x14ac:dyDescent="0.25">
      <c r="A342" s="119" t="s">
        <v>1312</v>
      </c>
      <c r="B342" s="119" t="s">
        <v>43</v>
      </c>
      <c r="C342" s="119" t="s">
        <v>42</v>
      </c>
      <c r="D342" s="119" t="s">
        <v>252</v>
      </c>
      <c r="E342" s="393">
        <f t="shared" ref="E342" si="365">F342</f>
        <v>369996.81000000006</v>
      </c>
      <c r="F342" s="350">
        <f>((1254100)+915896.81)-1800000</f>
        <v>369996.81000000006</v>
      </c>
      <c r="G342" s="350"/>
      <c r="H342" s="350"/>
      <c r="I342" s="350"/>
      <c r="J342" s="393">
        <f t="shared" si="362"/>
        <v>0</v>
      </c>
      <c r="K342" s="350"/>
      <c r="L342" s="350"/>
      <c r="M342" s="350"/>
      <c r="N342" s="350"/>
      <c r="O342" s="351">
        <f t="shared" si="363"/>
        <v>0</v>
      </c>
      <c r="P342" s="393">
        <f>E342+J342</f>
        <v>369996.81000000006</v>
      </c>
      <c r="Q342" s="47"/>
      <c r="R342" s="46"/>
    </row>
    <row r="343" spans="1:18" ht="47.25" thickTop="1" thickBot="1" x14ac:dyDescent="0.25">
      <c r="A343" s="346" t="s">
        <v>918</v>
      </c>
      <c r="B343" s="346" t="s">
        <v>754</v>
      </c>
      <c r="C343" s="119"/>
      <c r="D343" s="346" t="s">
        <v>801</v>
      </c>
      <c r="E343" s="393">
        <f>E344</f>
        <v>0</v>
      </c>
      <c r="F343" s="393">
        <f t="shared" ref="F343:P344" si="366">F344</f>
        <v>0</v>
      </c>
      <c r="G343" s="393">
        <f t="shared" si="366"/>
        <v>0</v>
      </c>
      <c r="H343" s="393">
        <f t="shared" si="366"/>
        <v>0</v>
      </c>
      <c r="I343" s="393">
        <f t="shared" si="366"/>
        <v>0</v>
      </c>
      <c r="J343" s="393">
        <f t="shared" si="366"/>
        <v>1450000</v>
      </c>
      <c r="K343" s="393">
        <f t="shared" si="366"/>
        <v>1450000</v>
      </c>
      <c r="L343" s="393">
        <f t="shared" si="366"/>
        <v>0</v>
      </c>
      <c r="M343" s="393">
        <f t="shared" si="366"/>
        <v>0</v>
      </c>
      <c r="N343" s="393">
        <f t="shared" si="366"/>
        <v>0</v>
      </c>
      <c r="O343" s="393">
        <f t="shared" si="366"/>
        <v>1450000</v>
      </c>
      <c r="P343" s="393">
        <f t="shared" si="366"/>
        <v>1450000</v>
      </c>
      <c r="Q343" s="47"/>
      <c r="R343" s="46"/>
    </row>
    <row r="344" spans="1:18" ht="47.25" thickTop="1" thickBot="1" x14ac:dyDescent="0.25">
      <c r="A344" s="348" t="s">
        <v>919</v>
      </c>
      <c r="B344" s="348" t="s">
        <v>810</v>
      </c>
      <c r="C344" s="348"/>
      <c r="D344" s="348" t="s">
        <v>811</v>
      </c>
      <c r="E344" s="352">
        <f>E345</f>
        <v>0</v>
      </c>
      <c r="F344" s="352">
        <f t="shared" si="366"/>
        <v>0</v>
      </c>
      <c r="G344" s="352">
        <f t="shared" si="366"/>
        <v>0</v>
      </c>
      <c r="H344" s="352">
        <f t="shared" si="366"/>
        <v>0</v>
      </c>
      <c r="I344" s="352">
        <f t="shared" si="366"/>
        <v>0</v>
      </c>
      <c r="J344" s="352">
        <f t="shared" si="366"/>
        <v>1450000</v>
      </c>
      <c r="K344" s="352">
        <f t="shared" si="366"/>
        <v>1450000</v>
      </c>
      <c r="L344" s="352">
        <f t="shared" si="366"/>
        <v>0</v>
      </c>
      <c r="M344" s="352">
        <f t="shared" si="366"/>
        <v>0</v>
      </c>
      <c r="N344" s="352">
        <f t="shared" si="366"/>
        <v>0</v>
      </c>
      <c r="O344" s="352">
        <f t="shared" si="366"/>
        <v>1450000</v>
      </c>
      <c r="P344" s="352">
        <f t="shared" si="366"/>
        <v>1450000</v>
      </c>
      <c r="Q344" s="47"/>
      <c r="R344" s="46"/>
    </row>
    <row r="345" spans="1:18" ht="93" thickTop="1" thickBot="1" x14ac:dyDescent="0.25">
      <c r="A345" s="119" t="s">
        <v>920</v>
      </c>
      <c r="B345" s="119" t="s">
        <v>921</v>
      </c>
      <c r="C345" s="119" t="s">
        <v>308</v>
      </c>
      <c r="D345" s="119" t="s">
        <v>922</v>
      </c>
      <c r="E345" s="347">
        <f>F345</f>
        <v>0</v>
      </c>
      <c r="F345" s="389"/>
      <c r="G345" s="389"/>
      <c r="H345" s="389"/>
      <c r="I345" s="389"/>
      <c r="J345" s="393">
        <f t="shared" ref="J345" si="367">L345+O345</f>
        <v>1450000</v>
      </c>
      <c r="K345" s="389">
        <f>(1000000)+450000</f>
        <v>1450000</v>
      </c>
      <c r="L345" s="390"/>
      <c r="M345" s="390"/>
      <c r="N345" s="390"/>
      <c r="O345" s="351">
        <f t="shared" ref="O345" si="368">K345</f>
        <v>1450000</v>
      </c>
      <c r="P345" s="393">
        <f t="shared" ref="P345" si="369">+J345+E345</f>
        <v>1450000</v>
      </c>
      <c r="Q345" s="47"/>
      <c r="R345" s="46"/>
    </row>
    <row r="346" spans="1:18" ht="91.5" thickTop="1" thickBot="1" x14ac:dyDescent="0.25">
      <c r="A346" s="403" t="s">
        <v>448</v>
      </c>
      <c r="B346" s="403"/>
      <c r="C346" s="403"/>
      <c r="D346" s="404" t="s">
        <v>450</v>
      </c>
      <c r="E346" s="406">
        <f>E347</f>
        <v>156654416.40000001</v>
      </c>
      <c r="F346" s="405">
        <f t="shared" ref="F346:G346" si="370">F347</f>
        <v>156654416.40000001</v>
      </c>
      <c r="G346" s="405">
        <f t="shared" si="370"/>
        <v>4332271</v>
      </c>
      <c r="H346" s="405">
        <f>H347</f>
        <v>173325</v>
      </c>
      <c r="I346" s="405">
        <f t="shared" ref="I346" si="371">I347</f>
        <v>0</v>
      </c>
      <c r="J346" s="406">
        <f>J347</f>
        <v>42529760</v>
      </c>
      <c r="K346" s="405">
        <f>K347</f>
        <v>42529760</v>
      </c>
      <c r="L346" s="405">
        <f>L347</f>
        <v>0</v>
      </c>
      <c r="M346" s="405">
        <f t="shared" ref="M346" si="372">M347</f>
        <v>0</v>
      </c>
      <c r="N346" s="405">
        <f>N347</f>
        <v>0</v>
      </c>
      <c r="O346" s="406">
        <f>O347</f>
        <v>42529760</v>
      </c>
      <c r="P346" s="405">
        <f t="shared" ref="P346" si="373">P347</f>
        <v>199184176.40000001</v>
      </c>
      <c r="Q346" s="20"/>
    </row>
    <row r="347" spans="1:18" ht="91.5" thickTop="1" thickBot="1" x14ac:dyDescent="0.25">
      <c r="A347" s="407" t="s">
        <v>449</v>
      </c>
      <c r="B347" s="407"/>
      <c r="C347" s="407"/>
      <c r="D347" s="408" t="s">
        <v>451</v>
      </c>
      <c r="E347" s="409">
        <f t="shared" ref="E347:O347" si="374">E348+E351+E360+E363</f>
        <v>156654416.40000001</v>
      </c>
      <c r="F347" s="409">
        <f t="shared" si="374"/>
        <v>156654416.40000001</v>
      </c>
      <c r="G347" s="409">
        <f t="shared" si="374"/>
        <v>4332271</v>
      </c>
      <c r="H347" s="409">
        <f t="shared" si="374"/>
        <v>173325</v>
      </c>
      <c r="I347" s="409">
        <f t="shared" si="374"/>
        <v>0</v>
      </c>
      <c r="J347" s="409">
        <f t="shared" si="374"/>
        <v>42529760</v>
      </c>
      <c r="K347" s="409">
        <f t="shared" si="374"/>
        <v>42529760</v>
      </c>
      <c r="L347" s="409">
        <f t="shared" si="374"/>
        <v>0</v>
      </c>
      <c r="M347" s="409">
        <f t="shared" si="374"/>
        <v>0</v>
      </c>
      <c r="N347" s="409">
        <f t="shared" si="374"/>
        <v>0</v>
      </c>
      <c r="O347" s="409">
        <f t="shared" si="374"/>
        <v>42529760</v>
      </c>
      <c r="P347" s="409">
        <f>E347+J347</f>
        <v>199184176.40000001</v>
      </c>
      <c r="Q347" s="353" t="b">
        <f>P347=P349+P356+P362+P359+P364+P354+P350</f>
        <v>1</v>
      </c>
      <c r="R347" s="46"/>
    </row>
    <row r="348" spans="1:18" ht="47.25" thickTop="1" thickBot="1" x14ac:dyDescent="0.25">
      <c r="A348" s="346" t="s">
        <v>830</v>
      </c>
      <c r="B348" s="346" t="s">
        <v>690</v>
      </c>
      <c r="C348" s="346"/>
      <c r="D348" s="346" t="s">
        <v>691</v>
      </c>
      <c r="E348" s="393">
        <f>SUM(E349:E350)</f>
        <v>9841456.4000000004</v>
      </c>
      <c r="F348" s="393">
        <f t="shared" ref="F348" si="375">SUM(F349:F350)</f>
        <v>9841456.4000000004</v>
      </c>
      <c r="G348" s="393">
        <f t="shared" ref="G348" si="376">SUM(G349:G350)</f>
        <v>4332271</v>
      </c>
      <c r="H348" s="393">
        <f t="shared" ref="H348" si="377">SUM(H349:H350)</f>
        <v>173325</v>
      </c>
      <c r="I348" s="393">
        <f t="shared" ref="I348" si="378">SUM(I349:I350)</f>
        <v>0</v>
      </c>
      <c r="J348" s="393">
        <f t="shared" ref="J348" si="379">SUM(J349:J350)</f>
        <v>208760</v>
      </c>
      <c r="K348" s="393">
        <f t="shared" ref="K348" si="380">SUM(K349:K350)</f>
        <v>208760</v>
      </c>
      <c r="L348" s="393">
        <f t="shared" ref="L348" si="381">SUM(L349:L350)</f>
        <v>0</v>
      </c>
      <c r="M348" s="393">
        <f t="shared" ref="M348" si="382">SUM(M349:M350)</f>
        <v>0</v>
      </c>
      <c r="N348" s="393">
        <f t="shared" ref="N348" si="383">SUM(N349:N350)</f>
        <v>0</v>
      </c>
      <c r="O348" s="393">
        <f t="shared" ref="O348" si="384">SUM(O349:O350)</f>
        <v>208760</v>
      </c>
      <c r="P348" s="393">
        <f t="shared" ref="P348" si="385">SUM(P349:P350)</f>
        <v>10050216.4</v>
      </c>
      <c r="Q348" s="47"/>
      <c r="R348" s="46"/>
    </row>
    <row r="349" spans="1:18" ht="93" thickTop="1" thickBot="1" x14ac:dyDescent="0.25">
      <c r="A349" s="119" t="s">
        <v>452</v>
      </c>
      <c r="B349" s="119" t="s">
        <v>240</v>
      </c>
      <c r="C349" s="119" t="s">
        <v>238</v>
      </c>
      <c r="D349" s="119" t="s">
        <v>239</v>
      </c>
      <c r="E349" s="393">
        <f>F349</f>
        <v>9836320.4000000004</v>
      </c>
      <c r="F349" s="350">
        <f>(((10496036)+420.4)-5136-55000)-600000</f>
        <v>9836320.4000000004</v>
      </c>
      <c r="G349" s="350">
        <v>4332271</v>
      </c>
      <c r="H349" s="350">
        <f>86000+5000+80000+2325</f>
        <v>173325</v>
      </c>
      <c r="I349" s="350"/>
      <c r="J349" s="393">
        <f>L349+O349</f>
        <v>208760</v>
      </c>
      <c r="K349" s="350">
        <f>(153760)+55000</f>
        <v>208760</v>
      </c>
      <c r="L349" s="350"/>
      <c r="M349" s="350"/>
      <c r="N349" s="350"/>
      <c r="O349" s="351">
        <f>K349</f>
        <v>208760</v>
      </c>
      <c r="P349" s="393">
        <f>E349+J349</f>
        <v>10045080.4</v>
      </c>
      <c r="Q349" s="47"/>
      <c r="R349" s="46"/>
    </row>
    <row r="350" spans="1:18" ht="93" thickTop="1" thickBot="1" x14ac:dyDescent="0.25">
      <c r="A350" s="119" t="s">
        <v>638</v>
      </c>
      <c r="B350" s="119" t="s">
        <v>366</v>
      </c>
      <c r="C350" s="119" t="s">
        <v>631</v>
      </c>
      <c r="D350" s="119" t="s">
        <v>632</v>
      </c>
      <c r="E350" s="393">
        <f>F350</f>
        <v>5136</v>
      </c>
      <c r="F350" s="350">
        <v>5136</v>
      </c>
      <c r="G350" s="350"/>
      <c r="H350" s="350"/>
      <c r="I350" s="350"/>
      <c r="J350" s="393">
        <f t="shared" ref="J350" si="386">L350+O350</f>
        <v>0</v>
      </c>
      <c r="K350" s="350"/>
      <c r="L350" s="350"/>
      <c r="M350" s="350"/>
      <c r="N350" s="350"/>
      <c r="O350" s="351">
        <f t="shared" ref="O350" si="387">K350</f>
        <v>0</v>
      </c>
      <c r="P350" s="393">
        <f t="shared" ref="P350" si="388">+J350+E350</f>
        <v>5136</v>
      </c>
      <c r="Q350" s="47"/>
      <c r="R350" s="46"/>
    </row>
    <row r="351" spans="1:18" ht="47.25" thickTop="1" thickBot="1" x14ac:dyDescent="0.25">
      <c r="A351" s="346" t="s">
        <v>831</v>
      </c>
      <c r="B351" s="346" t="s">
        <v>754</v>
      </c>
      <c r="C351" s="119"/>
      <c r="D351" s="346" t="s">
        <v>801</v>
      </c>
      <c r="E351" s="393">
        <f>E352+E358</f>
        <v>141942960</v>
      </c>
      <c r="F351" s="393">
        <f t="shared" ref="F351:P351" si="389">F352+F358</f>
        <v>141942960</v>
      </c>
      <c r="G351" s="393">
        <f t="shared" si="389"/>
        <v>0</v>
      </c>
      <c r="H351" s="393">
        <f t="shared" si="389"/>
        <v>0</v>
      </c>
      <c r="I351" s="393">
        <f t="shared" si="389"/>
        <v>0</v>
      </c>
      <c r="J351" s="393">
        <f t="shared" si="389"/>
        <v>42321000</v>
      </c>
      <c r="K351" s="393">
        <f t="shared" si="389"/>
        <v>42321000</v>
      </c>
      <c r="L351" s="393">
        <f t="shared" si="389"/>
        <v>0</v>
      </c>
      <c r="M351" s="393">
        <f t="shared" si="389"/>
        <v>0</v>
      </c>
      <c r="N351" s="393">
        <f t="shared" si="389"/>
        <v>0</v>
      </c>
      <c r="O351" s="393">
        <f t="shared" si="389"/>
        <v>42321000</v>
      </c>
      <c r="P351" s="393">
        <f t="shared" si="389"/>
        <v>184263960</v>
      </c>
      <c r="Q351" s="47"/>
      <c r="R351" s="50"/>
    </row>
    <row r="352" spans="1:18" ht="47.25" thickTop="1" thickBot="1" x14ac:dyDescent="0.25">
      <c r="A352" s="348" t="s">
        <v>832</v>
      </c>
      <c r="B352" s="348" t="s">
        <v>813</v>
      </c>
      <c r="C352" s="348"/>
      <c r="D352" s="348" t="s">
        <v>814</v>
      </c>
      <c r="E352" s="352">
        <f>E355+E357+E353</f>
        <v>141942960</v>
      </c>
      <c r="F352" s="352">
        <f t="shared" ref="F352:P352" si="390">F355+F357+F353</f>
        <v>141942960</v>
      </c>
      <c r="G352" s="352">
        <f t="shared" si="390"/>
        <v>0</v>
      </c>
      <c r="H352" s="352">
        <f t="shared" si="390"/>
        <v>0</v>
      </c>
      <c r="I352" s="352">
        <f t="shared" si="390"/>
        <v>0</v>
      </c>
      <c r="J352" s="352">
        <f t="shared" si="390"/>
        <v>0</v>
      </c>
      <c r="K352" s="352">
        <f t="shared" si="390"/>
        <v>0</v>
      </c>
      <c r="L352" s="352">
        <f t="shared" si="390"/>
        <v>0</v>
      </c>
      <c r="M352" s="352">
        <f t="shared" si="390"/>
        <v>0</v>
      </c>
      <c r="N352" s="352">
        <f t="shared" si="390"/>
        <v>0</v>
      </c>
      <c r="O352" s="352">
        <f t="shared" si="390"/>
        <v>0</v>
      </c>
      <c r="P352" s="352">
        <f t="shared" si="390"/>
        <v>141942960</v>
      </c>
      <c r="Q352" s="47"/>
      <c r="R352" s="50"/>
    </row>
    <row r="353" spans="1:18" ht="93" thickTop="1" thickBot="1" x14ac:dyDescent="0.25">
      <c r="A353" s="399" t="s">
        <v>1029</v>
      </c>
      <c r="B353" s="399" t="s">
        <v>1030</v>
      </c>
      <c r="C353" s="399"/>
      <c r="D353" s="399" t="s">
        <v>1028</v>
      </c>
      <c r="E353" s="388">
        <f>E354</f>
        <v>505540</v>
      </c>
      <c r="F353" s="388">
        <f t="shared" ref="F353:O353" si="391">F354</f>
        <v>505540</v>
      </c>
      <c r="G353" s="388">
        <f t="shared" si="391"/>
        <v>0</v>
      </c>
      <c r="H353" s="388">
        <f t="shared" si="391"/>
        <v>0</v>
      </c>
      <c r="I353" s="388">
        <f t="shared" si="391"/>
        <v>0</v>
      </c>
      <c r="J353" s="388">
        <f t="shared" si="391"/>
        <v>0</v>
      </c>
      <c r="K353" s="388">
        <f t="shared" si="391"/>
        <v>0</v>
      </c>
      <c r="L353" s="388">
        <f t="shared" si="391"/>
        <v>0</v>
      </c>
      <c r="M353" s="388">
        <f t="shared" si="391"/>
        <v>0</v>
      </c>
      <c r="N353" s="388">
        <f t="shared" si="391"/>
        <v>0</v>
      </c>
      <c r="O353" s="388">
        <f t="shared" si="391"/>
        <v>0</v>
      </c>
      <c r="P353" s="388">
        <f t="shared" ref="F353:P355" si="392">P354</f>
        <v>505540</v>
      </c>
      <c r="Q353" s="47"/>
      <c r="R353" s="50"/>
    </row>
    <row r="354" spans="1:18" ht="48" thickTop="1" thickBot="1" x14ac:dyDescent="0.25">
      <c r="A354" s="119" t="s">
        <v>471</v>
      </c>
      <c r="B354" s="119" t="s">
        <v>416</v>
      </c>
      <c r="C354" s="119" t="s">
        <v>417</v>
      </c>
      <c r="D354" s="119" t="s">
        <v>418</v>
      </c>
      <c r="E354" s="393">
        <f>F354</f>
        <v>505540</v>
      </c>
      <c r="F354" s="350">
        <v>505540</v>
      </c>
      <c r="G354" s="350"/>
      <c r="H354" s="350"/>
      <c r="I354" s="350"/>
      <c r="J354" s="393">
        <f>L354+O354</f>
        <v>0</v>
      </c>
      <c r="K354" s="350"/>
      <c r="L354" s="350"/>
      <c r="M354" s="350"/>
      <c r="N354" s="350"/>
      <c r="O354" s="351">
        <f>K354</f>
        <v>0</v>
      </c>
      <c r="P354" s="393">
        <f>E354+J354</f>
        <v>505540</v>
      </c>
      <c r="Q354" s="47"/>
      <c r="R354" s="50"/>
    </row>
    <row r="355" spans="1:18" ht="93" thickTop="1" thickBot="1" x14ac:dyDescent="0.25">
      <c r="A355" s="399" t="s">
        <v>833</v>
      </c>
      <c r="B355" s="399" t="s">
        <v>834</v>
      </c>
      <c r="C355" s="399"/>
      <c r="D355" s="399" t="s">
        <v>835</v>
      </c>
      <c r="E355" s="388">
        <f>E356</f>
        <v>141437420</v>
      </c>
      <c r="F355" s="388">
        <f t="shared" si="392"/>
        <v>141437420</v>
      </c>
      <c r="G355" s="388">
        <f t="shared" si="392"/>
        <v>0</v>
      </c>
      <c r="H355" s="388">
        <f t="shared" si="392"/>
        <v>0</v>
      </c>
      <c r="I355" s="388">
        <f t="shared" si="392"/>
        <v>0</v>
      </c>
      <c r="J355" s="388">
        <f t="shared" si="392"/>
        <v>0</v>
      </c>
      <c r="K355" s="388">
        <f t="shared" si="392"/>
        <v>0</v>
      </c>
      <c r="L355" s="388">
        <f t="shared" si="392"/>
        <v>0</v>
      </c>
      <c r="M355" s="388">
        <f t="shared" si="392"/>
        <v>0</v>
      </c>
      <c r="N355" s="388">
        <f t="shared" si="392"/>
        <v>0</v>
      </c>
      <c r="O355" s="388">
        <f t="shared" si="392"/>
        <v>0</v>
      </c>
      <c r="P355" s="388">
        <f t="shared" si="392"/>
        <v>141437420</v>
      </c>
      <c r="Q355" s="47"/>
      <c r="R355" s="50"/>
    </row>
    <row r="356" spans="1:18" ht="48" thickTop="1" thickBot="1" x14ac:dyDescent="0.25">
      <c r="A356" s="119" t="s">
        <v>472</v>
      </c>
      <c r="B356" s="119" t="s">
        <v>295</v>
      </c>
      <c r="C356" s="119" t="s">
        <v>1458</v>
      </c>
      <c r="D356" s="119" t="s">
        <v>296</v>
      </c>
      <c r="E356" s="393">
        <f>F356</f>
        <v>141437420</v>
      </c>
      <c r="F356" s="350">
        <f>(((((124730000)+6953221)+5000000)+100000)-424860)+5079059</f>
        <v>141437420</v>
      </c>
      <c r="G356" s="350"/>
      <c r="H356" s="350"/>
      <c r="I356" s="350"/>
      <c r="J356" s="393">
        <f>L356+O356</f>
        <v>0</v>
      </c>
      <c r="K356" s="350"/>
      <c r="L356" s="350"/>
      <c r="M356" s="350"/>
      <c r="N356" s="350"/>
      <c r="O356" s="351">
        <f>K356</f>
        <v>0</v>
      </c>
      <c r="P356" s="393">
        <f>E356+J356</f>
        <v>141437420</v>
      </c>
      <c r="Q356" s="47"/>
      <c r="R356" s="50"/>
    </row>
    <row r="357" spans="1:18" ht="48" hidden="1" thickTop="1" thickBot="1" x14ac:dyDescent="0.25">
      <c r="A357" s="144" t="s">
        <v>1116</v>
      </c>
      <c r="B357" s="144" t="s">
        <v>1117</v>
      </c>
      <c r="C357" s="144" t="s">
        <v>299</v>
      </c>
      <c r="D357" s="144" t="s">
        <v>1115</v>
      </c>
      <c r="E357" s="143">
        <f>F357</f>
        <v>0</v>
      </c>
      <c r="F357" s="150"/>
      <c r="G357" s="150"/>
      <c r="H357" s="150"/>
      <c r="I357" s="150"/>
      <c r="J357" s="143">
        <f>L357+O357</f>
        <v>0</v>
      </c>
      <c r="K357" s="150"/>
      <c r="L357" s="150"/>
      <c r="M357" s="150"/>
      <c r="N357" s="150"/>
      <c r="O357" s="148">
        <f>K357</f>
        <v>0</v>
      </c>
      <c r="P357" s="143">
        <f>E357+J357</f>
        <v>0</v>
      </c>
      <c r="Q357" s="47"/>
      <c r="R357" s="50"/>
    </row>
    <row r="358" spans="1:18" ht="47.25" thickTop="1" thickBot="1" x14ac:dyDescent="0.25">
      <c r="A358" s="348" t="s">
        <v>1197</v>
      </c>
      <c r="B358" s="348" t="s">
        <v>697</v>
      </c>
      <c r="C358" s="348"/>
      <c r="D358" s="348" t="s">
        <v>695</v>
      </c>
      <c r="E358" s="352">
        <f>E359</f>
        <v>0</v>
      </c>
      <c r="F358" s="352">
        <f t="shared" ref="F358:P358" si="393">F359</f>
        <v>0</v>
      </c>
      <c r="G358" s="352">
        <f t="shared" si="393"/>
        <v>0</v>
      </c>
      <c r="H358" s="352">
        <f t="shared" si="393"/>
        <v>0</v>
      </c>
      <c r="I358" s="352">
        <f t="shared" si="393"/>
        <v>0</v>
      </c>
      <c r="J358" s="352">
        <f t="shared" si="393"/>
        <v>42321000</v>
      </c>
      <c r="K358" s="352">
        <f t="shared" si="393"/>
        <v>42321000</v>
      </c>
      <c r="L358" s="352">
        <f t="shared" si="393"/>
        <v>0</v>
      </c>
      <c r="M358" s="352">
        <f t="shared" si="393"/>
        <v>0</v>
      </c>
      <c r="N358" s="352">
        <f t="shared" si="393"/>
        <v>0</v>
      </c>
      <c r="O358" s="352">
        <f t="shared" si="393"/>
        <v>42321000</v>
      </c>
      <c r="P358" s="352">
        <f t="shared" si="393"/>
        <v>42321000</v>
      </c>
      <c r="Q358" s="47"/>
      <c r="R358" s="50"/>
    </row>
    <row r="359" spans="1:18" ht="48" thickTop="1" thickBot="1" x14ac:dyDescent="0.25">
      <c r="A359" s="119" t="s">
        <v>1198</v>
      </c>
      <c r="B359" s="119" t="s">
        <v>201</v>
      </c>
      <c r="C359" s="119" t="s">
        <v>170</v>
      </c>
      <c r="D359" s="119" t="s">
        <v>1199</v>
      </c>
      <c r="E359" s="393">
        <f>F359</f>
        <v>0</v>
      </c>
      <c r="F359" s="350">
        <v>0</v>
      </c>
      <c r="G359" s="350"/>
      <c r="H359" s="350"/>
      <c r="I359" s="350"/>
      <c r="J359" s="393">
        <f>L359+O359</f>
        <v>42321000</v>
      </c>
      <c r="K359" s="350">
        <f>(39060000)+6964000-3703000</f>
        <v>42321000</v>
      </c>
      <c r="L359" s="350"/>
      <c r="M359" s="350"/>
      <c r="N359" s="350"/>
      <c r="O359" s="351">
        <f>K359</f>
        <v>42321000</v>
      </c>
      <c r="P359" s="393">
        <f>E359+J359</f>
        <v>42321000</v>
      </c>
      <c r="Q359" s="47"/>
      <c r="R359" s="50"/>
    </row>
    <row r="360" spans="1:18" ht="47.25" thickTop="1" thickBot="1" x14ac:dyDescent="0.25">
      <c r="A360" s="346" t="s">
        <v>1244</v>
      </c>
      <c r="B360" s="346" t="s">
        <v>702</v>
      </c>
      <c r="C360" s="346"/>
      <c r="D360" s="346" t="s">
        <v>703</v>
      </c>
      <c r="E360" s="393">
        <f>E361</f>
        <v>4750000</v>
      </c>
      <c r="F360" s="393">
        <f t="shared" ref="F360:P360" si="394">F361</f>
        <v>4750000</v>
      </c>
      <c r="G360" s="393">
        <f t="shared" si="394"/>
        <v>0</v>
      </c>
      <c r="H360" s="393">
        <f t="shared" si="394"/>
        <v>0</v>
      </c>
      <c r="I360" s="393">
        <f t="shared" si="394"/>
        <v>0</v>
      </c>
      <c r="J360" s="393">
        <f t="shared" si="394"/>
        <v>0</v>
      </c>
      <c r="K360" s="393">
        <f t="shared" si="394"/>
        <v>0</v>
      </c>
      <c r="L360" s="393">
        <f t="shared" si="394"/>
        <v>0</v>
      </c>
      <c r="M360" s="393">
        <f t="shared" si="394"/>
        <v>0</v>
      </c>
      <c r="N360" s="393">
        <f t="shared" si="394"/>
        <v>0</v>
      </c>
      <c r="O360" s="393">
        <f t="shared" si="394"/>
        <v>0</v>
      </c>
      <c r="P360" s="393">
        <f t="shared" si="394"/>
        <v>4750000</v>
      </c>
      <c r="Q360" s="47"/>
      <c r="R360" s="50"/>
    </row>
    <row r="361" spans="1:18" ht="47.25" thickTop="1" thickBot="1" x14ac:dyDescent="0.25">
      <c r="A361" s="348" t="s">
        <v>1245</v>
      </c>
      <c r="B361" s="348" t="s">
        <v>1210</v>
      </c>
      <c r="C361" s="348"/>
      <c r="D361" s="348" t="s">
        <v>1208</v>
      </c>
      <c r="E361" s="352">
        <f>E362</f>
        <v>4750000</v>
      </c>
      <c r="F361" s="352">
        <f>F362</f>
        <v>4750000</v>
      </c>
      <c r="G361" s="352">
        <f t="shared" ref="G361:O361" si="395">G362</f>
        <v>0</v>
      </c>
      <c r="H361" s="352">
        <f t="shared" si="395"/>
        <v>0</v>
      </c>
      <c r="I361" s="352">
        <f t="shared" si="395"/>
        <v>0</v>
      </c>
      <c r="J361" s="352">
        <f t="shared" si="395"/>
        <v>0</v>
      </c>
      <c r="K361" s="352">
        <f t="shared" si="395"/>
        <v>0</v>
      </c>
      <c r="L361" s="352">
        <f t="shared" si="395"/>
        <v>0</v>
      </c>
      <c r="M361" s="352">
        <f t="shared" si="395"/>
        <v>0</v>
      </c>
      <c r="N361" s="352">
        <f t="shared" si="395"/>
        <v>0</v>
      </c>
      <c r="O361" s="352">
        <f t="shared" si="395"/>
        <v>0</v>
      </c>
      <c r="P361" s="352">
        <f>P362</f>
        <v>4750000</v>
      </c>
      <c r="Q361" s="47"/>
      <c r="R361" s="50"/>
    </row>
    <row r="362" spans="1:18" ht="48" thickTop="1" thickBot="1" x14ac:dyDescent="0.25">
      <c r="A362" s="119" t="s">
        <v>1246</v>
      </c>
      <c r="B362" s="119" t="s">
        <v>1247</v>
      </c>
      <c r="C362" s="119" t="s">
        <v>1212</v>
      </c>
      <c r="D362" s="119" t="s">
        <v>1248</v>
      </c>
      <c r="E362" s="393">
        <f>F362</f>
        <v>4750000</v>
      </c>
      <c r="F362" s="350">
        <f>(1800000)+2950000</f>
        <v>4750000</v>
      </c>
      <c r="G362" s="350"/>
      <c r="H362" s="350"/>
      <c r="I362" s="350"/>
      <c r="J362" s="393">
        <f>L362+O362</f>
        <v>0</v>
      </c>
      <c r="K362" s="350"/>
      <c r="L362" s="350"/>
      <c r="M362" s="350"/>
      <c r="N362" s="350"/>
      <c r="O362" s="351">
        <f>K362</f>
        <v>0</v>
      </c>
      <c r="P362" s="393">
        <f>E362+J362</f>
        <v>4750000</v>
      </c>
      <c r="Q362" s="47"/>
      <c r="R362" s="50"/>
    </row>
    <row r="363" spans="1:18" ht="47.25" thickTop="1" thickBot="1" x14ac:dyDescent="0.25">
      <c r="A363" s="346" t="s">
        <v>1423</v>
      </c>
      <c r="B363" s="346" t="s">
        <v>708</v>
      </c>
      <c r="C363" s="346"/>
      <c r="D363" s="346" t="s">
        <v>709</v>
      </c>
      <c r="E363" s="393">
        <f t="shared" ref="E363:P363" si="396">E364</f>
        <v>120000</v>
      </c>
      <c r="F363" s="393">
        <f t="shared" si="396"/>
        <v>120000</v>
      </c>
      <c r="G363" s="393">
        <f t="shared" si="396"/>
        <v>0</v>
      </c>
      <c r="H363" s="393">
        <f t="shared" si="396"/>
        <v>0</v>
      </c>
      <c r="I363" s="393">
        <f t="shared" si="396"/>
        <v>0</v>
      </c>
      <c r="J363" s="393">
        <f t="shared" si="396"/>
        <v>0</v>
      </c>
      <c r="K363" s="393">
        <f t="shared" si="396"/>
        <v>0</v>
      </c>
      <c r="L363" s="393">
        <f t="shared" si="396"/>
        <v>0</v>
      </c>
      <c r="M363" s="393">
        <f t="shared" si="396"/>
        <v>0</v>
      </c>
      <c r="N363" s="393">
        <f t="shared" si="396"/>
        <v>0</v>
      </c>
      <c r="O363" s="393">
        <f t="shared" si="396"/>
        <v>0</v>
      </c>
      <c r="P363" s="393">
        <f t="shared" si="396"/>
        <v>120000</v>
      </c>
      <c r="Q363" s="47"/>
      <c r="R363" s="50"/>
    </row>
    <row r="364" spans="1:18" ht="91.5" thickTop="1" thickBot="1" x14ac:dyDescent="0.25">
      <c r="A364" s="348" t="s">
        <v>1424</v>
      </c>
      <c r="B364" s="348" t="s">
        <v>518</v>
      </c>
      <c r="C364" s="348" t="s">
        <v>43</v>
      </c>
      <c r="D364" s="348" t="s">
        <v>519</v>
      </c>
      <c r="E364" s="352">
        <f t="shared" ref="E364" si="397">F364</f>
        <v>120000</v>
      </c>
      <c r="F364" s="352">
        <v>120000</v>
      </c>
      <c r="G364" s="352"/>
      <c r="H364" s="352"/>
      <c r="I364" s="352"/>
      <c r="J364" s="352">
        <f>L364+O364</f>
        <v>0</v>
      </c>
      <c r="K364" s="350"/>
      <c r="L364" s="352"/>
      <c r="M364" s="352"/>
      <c r="N364" s="352"/>
      <c r="O364" s="352">
        <f>(K364+0)</f>
        <v>0</v>
      </c>
      <c r="P364" s="352">
        <f>E364+J364</f>
        <v>120000</v>
      </c>
      <c r="Q364" s="47"/>
      <c r="R364" s="50"/>
    </row>
    <row r="365" spans="1:18" ht="46.5" thickTop="1" thickBot="1" x14ac:dyDescent="0.25">
      <c r="A365" s="403" t="s">
        <v>166</v>
      </c>
      <c r="B365" s="403"/>
      <c r="C365" s="403"/>
      <c r="D365" s="404" t="s">
        <v>358</v>
      </c>
      <c r="E365" s="406">
        <f>E366</f>
        <v>7715238</v>
      </c>
      <c r="F365" s="405">
        <f t="shared" ref="F365:G365" si="398">F366</f>
        <v>7715238</v>
      </c>
      <c r="G365" s="405">
        <f t="shared" si="398"/>
        <v>0</v>
      </c>
      <c r="H365" s="405">
        <f>H366</f>
        <v>0</v>
      </c>
      <c r="I365" s="405">
        <f t="shared" ref="I365" si="399">I366</f>
        <v>0</v>
      </c>
      <c r="J365" s="406">
        <f>J366</f>
        <v>582732</v>
      </c>
      <c r="K365" s="405">
        <f>K366</f>
        <v>582732</v>
      </c>
      <c r="L365" s="405">
        <f>L366</f>
        <v>0</v>
      </c>
      <c r="M365" s="405">
        <f t="shared" ref="M365" si="400">M366</f>
        <v>0</v>
      </c>
      <c r="N365" s="405">
        <f>N366</f>
        <v>0</v>
      </c>
      <c r="O365" s="406">
        <f>O366</f>
        <v>582732</v>
      </c>
      <c r="P365" s="405">
        <f t="shared" ref="P365" si="401">P366</f>
        <v>8297970</v>
      </c>
      <c r="Q365" s="20"/>
    </row>
    <row r="366" spans="1:18" ht="91.5" thickTop="1" thickBot="1" x14ac:dyDescent="0.25">
      <c r="A366" s="407" t="s">
        <v>167</v>
      </c>
      <c r="B366" s="407"/>
      <c r="C366" s="407"/>
      <c r="D366" s="408" t="s">
        <v>359</v>
      </c>
      <c r="E366" s="409">
        <f>E369+E381+E378+E367</f>
        <v>7715238</v>
      </c>
      <c r="F366" s="409">
        <f>F369+F381+F378+F367</f>
        <v>7715238</v>
      </c>
      <c r="G366" s="409">
        <f>G369+G381+G378+G367</f>
        <v>0</v>
      </c>
      <c r="H366" s="409">
        <f>H369+H381+H378+H367</f>
        <v>0</v>
      </c>
      <c r="I366" s="409">
        <f>I369+I381+I378+I367</f>
        <v>0</v>
      </c>
      <c r="J366" s="409">
        <f>L366+O366</f>
        <v>582732</v>
      </c>
      <c r="K366" s="409">
        <f>K369+K381+K378+K367</f>
        <v>582732</v>
      </c>
      <c r="L366" s="409">
        <f>L369+L381+L378+L367</f>
        <v>0</v>
      </c>
      <c r="M366" s="409">
        <f>M369+M381+M378+M367</f>
        <v>0</v>
      </c>
      <c r="N366" s="409">
        <f>N369+N381+N378+N367</f>
        <v>0</v>
      </c>
      <c r="O366" s="409">
        <f>O369+O381+O378+O367</f>
        <v>582732</v>
      </c>
      <c r="P366" s="409">
        <f>E366+J366</f>
        <v>8297970</v>
      </c>
      <c r="Q366" s="353" t="b">
        <f>P366=P371+P373+P374+P375+P368+P377+P380+P383</f>
        <v>1</v>
      </c>
      <c r="R366" s="46"/>
    </row>
    <row r="367" spans="1:18" ht="47.25" thickTop="1" thickBot="1" x14ac:dyDescent="0.25">
      <c r="A367" s="346" t="s">
        <v>1380</v>
      </c>
      <c r="B367" s="346" t="s">
        <v>717</v>
      </c>
      <c r="C367" s="346"/>
      <c r="D367" s="346" t="s">
        <v>718</v>
      </c>
      <c r="E367" s="393">
        <f t="shared" ref="E367:P367" si="402">SUM(E368:E368)</f>
        <v>794919</v>
      </c>
      <c r="F367" s="393">
        <f t="shared" si="402"/>
        <v>794919</v>
      </c>
      <c r="G367" s="393">
        <f t="shared" si="402"/>
        <v>0</v>
      </c>
      <c r="H367" s="393">
        <f t="shared" si="402"/>
        <v>0</v>
      </c>
      <c r="I367" s="393">
        <f t="shared" si="402"/>
        <v>0</v>
      </c>
      <c r="J367" s="393">
        <f t="shared" si="402"/>
        <v>156881</v>
      </c>
      <c r="K367" s="393">
        <f t="shared" si="402"/>
        <v>156881</v>
      </c>
      <c r="L367" s="393">
        <f t="shared" si="402"/>
        <v>0</v>
      </c>
      <c r="M367" s="393">
        <f t="shared" si="402"/>
        <v>0</v>
      </c>
      <c r="N367" s="393">
        <f t="shared" si="402"/>
        <v>0</v>
      </c>
      <c r="O367" s="393">
        <f t="shared" si="402"/>
        <v>156881</v>
      </c>
      <c r="P367" s="393">
        <f t="shared" si="402"/>
        <v>951800</v>
      </c>
      <c r="Q367" s="353"/>
      <c r="R367" s="46"/>
    </row>
    <row r="368" spans="1:18" ht="93" thickTop="1" thickBot="1" x14ac:dyDescent="0.25">
      <c r="A368" s="119" t="s">
        <v>1381</v>
      </c>
      <c r="B368" s="119" t="s">
        <v>1225</v>
      </c>
      <c r="C368" s="119" t="s">
        <v>210</v>
      </c>
      <c r="D368" s="413" t="s">
        <v>1226</v>
      </c>
      <c r="E368" s="393">
        <f t="shared" ref="E368" si="403">F368</f>
        <v>794919</v>
      </c>
      <c r="F368" s="350">
        <f>563860+231059</f>
        <v>794919</v>
      </c>
      <c r="G368" s="350"/>
      <c r="H368" s="350"/>
      <c r="I368" s="350"/>
      <c r="J368" s="393">
        <f>L368+O368</f>
        <v>156881</v>
      </c>
      <c r="K368" s="350">
        <v>156881</v>
      </c>
      <c r="L368" s="350"/>
      <c r="M368" s="350"/>
      <c r="N368" s="350"/>
      <c r="O368" s="351">
        <f>K368</f>
        <v>156881</v>
      </c>
      <c r="P368" s="393">
        <f>E368+J368</f>
        <v>951800</v>
      </c>
      <c r="Q368" s="353"/>
      <c r="R368" s="46"/>
    </row>
    <row r="369" spans="1:18" ht="44.25" customHeight="1" thickTop="1" thickBot="1" x14ac:dyDescent="0.25">
      <c r="A369" s="346" t="s">
        <v>836</v>
      </c>
      <c r="B369" s="346" t="s">
        <v>754</v>
      </c>
      <c r="C369" s="119"/>
      <c r="D369" s="346" t="s">
        <v>801</v>
      </c>
      <c r="E369" s="479">
        <f t="shared" ref="E369:P369" si="404">E372+E370</f>
        <v>6582254</v>
      </c>
      <c r="F369" s="479">
        <f t="shared" si="404"/>
        <v>6582254</v>
      </c>
      <c r="G369" s="479">
        <f t="shared" si="404"/>
        <v>0</v>
      </c>
      <c r="H369" s="479">
        <f t="shared" si="404"/>
        <v>0</v>
      </c>
      <c r="I369" s="479">
        <f t="shared" si="404"/>
        <v>0</v>
      </c>
      <c r="J369" s="479">
        <f t="shared" si="404"/>
        <v>275396</v>
      </c>
      <c r="K369" s="479">
        <f t="shared" si="404"/>
        <v>275396</v>
      </c>
      <c r="L369" s="479">
        <f t="shared" si="404"/>
        <v>0</v>
      </c>
      <c r="M369" s="479">
        <f t="shared" si="404"/>
        <v>0</v>
      </c>
      <c r="N369" s="479">
        <f t="shared" si="404"/>
        <v>0</v>
      </c>
      <c r="O369" s="479">
        <f t="shared" si="404"/>
        <v>275396</v>
      </c>
      <c r="P369" s="479">
        <f t="shared" si="404"/>
        <v>6857650</v>
      </c>
      <c r="Q369" s="47"/>
      <c r="R369" s="46"/>
    </row>
    <row r="370" spans="1:18" ht="47.25" thickTop="1" thickBot="1" x14ac:dyDescent="0.25">
      <c r="A370" s="348" t="s">
        <v>1026</v>
      </c>
      <c r="B370" s="348" t="s">
        <v>810</v>
      </c>
      <c r="C370" s="348"/>
      <c r="D370" s="348" t="s">
        <v>811</v>
      </c>
      <c r="E370" s="522">
        <f>E371</f>
        <v>50000</v>
      </c>
      <c r="F370" s="522">
        <f>F371</f>
        <v>50000</v>
      </c>
      <c r="G370" s="522">
        <f t="shared" ref="G370:O370" si="405">G371</f>
        <v>0</v>
      </c>
      <c r="H370" s="522">
        <f t="shared" si="405"/>
        <v>0</v>
      </c>
      <c r="I370" s="522">
        <f t="shared" si="405"/>
        <v>0</v>
      </c>
      <c r="J370" s="522">
        <f t="shared" si="405"/>
        <v>0</v>
      </c>
      <c r="K370" s="522">
        <f t="shared" si="405"/>
        <v>0</v>
      </c>
      <c r="L370" s="522">
        <f t="shared" si="405"/>
        <v>0</v>
      </c>
      <c r="M370" s="522">
        <f t="shared" si="405"/>
        <v>0</v>
      </c>
      <c r="N370" s="522">
        <f t="shared" si="405"/>
        <v>0</v>
      </c>
      <c r="O370" s="522">
        <f t="shared" si="405"/>
        <v>0</v>
      </c>
      <c r="P370" s="522">
        <f>P371</f>
        <v>50000</v>
      </c>
      <c r="Q370" s="45"/>
      <c r="R370" s="46"/>
    </row>
    <row r="371" spans="1:18" ht="48" thickTop="1" thickBot="1" x14ac:dyDescent="0.25">
      <c r="A371" s="119" t="s">
        <v>1027</v>
      </c>
      <c r="B371" s="119" t="s">
        <v>354</v>
      </c>
      <c r="C371" s="119" t="s">
        <v>170</v>
      </c>
      <c r="D371" s="119" t="s">
        <v>266</v>
      </c>
      <c r="E371" s="393">
        <f t="shared" ref="E371" si="406">F371</f>
        <v>50000</v>
      </c>
      <c r="F371" s="350">
        <v>50000</v>
      </c>
      <c r="G371" s="350"/>
      <c r="H371" s="350"/>
      <c r="I371" s="350"/>
      <c r="J371" s="393">
        <f t="shared" ref="J371" si="407">L371+O371</f>
        <v>0</v>
      </c>
      <c r="K371" s="350"/>
      <c r="L371" s="350"/>
      <c r="M371" s="350"/>
      <c r="N371" s="350"/>
      <c r="O371" s="351">
        <f>K371</f>
        <v>0</v>
      </c>
      <c r="P371" s="393">
        <f t="shared" ref="P371" si="408">E371+J371</f>
        <v>50000</v>
      </c>
      <c r="Q371" s="45"/>
      <c r="R371" s="46"/>
    </row>
    <row r="372" spans="1:18" ht="47.25" thickTop="1" thickBot="1" x14ac:dyDescent="0.25">
      <c r="A372" s="348" t="s">
        <v>837</v>
      </c>
      <c r="B372" s="348" t="s">
        <v>697</v>
      </c>
      <c r="C372" s="348"/>
      <c r="D372" s="348" t="s">
        <v>695</v>
      </c>
      <c r="E372" s="522">
        <f>SUM(E373:E377)-E376</f>
        <v>6532254</v>
      </c>
      <c r="F372" s="522">
        <f t="shared" ref="F372:P372" si="409">SUM(F373:F377)-F376</f>
        <v>6532254</v>
      </c>
      <c r="G372" s="522">
        <f t="shared" si="409"/>
        <v>0</v>
      </c>
      <c r="H372" s="522">
        <f t="shared" si="409"/>
        <v>0</v>
      </c>
      <c r="I372" s="522">
        <f t="shared" si="409"/>
        <v>0</v>
      </c>
      <c r="J372" s="522">
        <f>SUM(J373:J377)-J376</f>
        <v>275396</v>
      </c>
      <c r="K372" s="522">
        <f t="shared" si="409"/>
        <v>275396</v>
      </c>
      <c r="L372" s="522">
        <f t="shared" si="409"/>
        <v>0</v>
      </c>
      <c r="M372" s="522">
        <f t="shared" si="409"/>
        <v>0</v>
      </c>
      <c r="N372" s="522">
        <f t="shared" si="409"/>
        <v>0</v>
      </c>
      <c r="O372" s="522">
        <f t="shared" si="409"/>
        <v>275396</v>
      </c>
      <c r="P372" s="522">
        <f t="shared" si="409"/>
        <v>6807650</v>
      </c>
      <c r="Q372" s="47"/>
      <c r="R372" s="46"/>
    </row>
    <row r="373" spans="1:18" ht="48" thickTop="1" thickBot="1" x14ac:dyDescent="0.25">
      <c r="A373" s="119" t="s">
        <v>264</v>
      </c>
      <c r="B373" s="119" t="s">
        <v>265</v>
      </c>
      <c r="C373" s="119" t="s">
        <v>263</v>
      </c>
      <c r="D373" s="119" t="s">
        <v>262</v>
      </c>
      <c r="E373" s="393">
        <f t="shared" ref="E373:E377" si="410">F373</f>
        <v>5515000</v>
      </c>
      <c r="F373" s="350">
        <f>((((2555000)+3000000)+650000)-340000+200000)-550000</f>
        <v>5515000</v>
      </c>
      <c r="G373" s="350"/>
      <c r="H373" s="350"/>
      <c r="I373" s="350"/>
      <c r="J373" s="393">
        <f t="shared" ref="J373:J377" si="411">L373+O373</f>
        <v>0</v>
      </c>
      <c r="K373" s="350"/>
      <c r="L373" s="350"/>
      <c r="M373" s="350"/>
      <c r="N373" s="350"/>
      <c r="O373" s="351">
        <f>K373</f>
        <v>0</v>
      </c>
      <c r="P373" s="393">
        <f t="shared" ref="P373:P377" si="412">E373+J373</f>
        <v>5515000</v>
      </c>
      <c r="Q373" s="20"/>
      <c r="R373" s="46"/>
    </row>
    <row r="374" spans="1:18" ht="48" thickTop="1" thickBot="1" x14ac:dyDescent="0.25">
      <c r="A374" s="119" t="s">
        <v>256</v>
      </c>
      <c r="B374" s="119" t="s">
        <v>258</v>
      </c>
      <c r="C374" s="119" t="s">
        <v>217</v>
      </c>
      <c r="D374" s="119" t="s">
        <v>257</v>
      </c>
      <c r="E374" s="393">
        <f t="shared" si="410"/>
        <v>755000</v>
      </c>
      <c r="F374" s="350">
        <f>(615000)+340000-200000</f>
        <v>755000</v>
      </c>
      <c r="G374" s="350"/>
      <c r="H374" s="350"/>
      <c r="I374" s="350"/>
      <c r="J374" s="393">
        <f t="shared" si="411"/>
        <v>0</v>
      </c>
      <c r="K374" s="350"/>
      <c r="L374" s="350"/>
      <c r="M374" s="350"/>
      <c r="N374" s="350"/>
      <c r="O374" s="351">
        <f>K374</f>
        <v>0</v>
      </c>
      <c r="P374" s="393">
        <f t="shared" si="412"/>
        <v>755000</v>
      </c>
      <c r="Q374" s="20"/>
      <c r="R374" s="46"/>
    </row>
    <row r="375" spans="1:18" ht="48" thickTop="1" thickBot="1" x14ac:dyDescent="0.25">
      <c r="A375" s="119" t="s">
        <v>1375</v>
      </c>
      <c r="B375" s="119" t="s">
        <v>216</v>
      </c>
      <c r="C375" s="119" t="s">
        <v>217</v>
      </c>
      <c r="D375" s="119" t="s">
        <v>41</v>
      </c>
      <c r="E375" s="393">
        <f t="shared" ref="E375" si="413">F375</f>
        <v>42254</v>
      </c>
      <c r="F375" s="350">
        <f>12504+29750</f>
        <v>42254</v>
      </c>
      <c r="G375" s="350"/>
      <c r="H375" s="350"/>
      <c r="I375" s="350"/>
      <c r="J375" s="393">
        <f t="shared" ref="J375" si="414">L375+O375</f>
        <v>195396</v>
      </c>
      <c r="K375" s="350">
        <v>195396</v>
      </c>
      <c r="L375" s="350"/>
      <c r="M375" s="350"/>
      <c r="N375" s="350"/>
      <c r="O375" s="351">
        <f>K375</f>
        <v>195396</v>
      </c>
      <c r="P375" s="393">
        <f t="shared" ref="P375" si="415">E375+J375</f>
        <v>237650</v>
      </c>
      <c r="Q375" s="20"/>
      <c r="R375" s="46"/>
    </row>
    <row r="376" spans="1:18" ht="48" thickTop="1" thickBot="1" x14ac:dyDescent="0.25">
      <c r="A376" s="399" t="s">
        <v>838</v>
      </c>
      <c r="B376" s="399" t="s">
        <v>700</v>
      </c>
      <c r="C376" s="399"/>
      <c r="D376" s="399" t="s">
        <v>698</v>
      </c>
      <c r="E376" s="388">
        <f>E377</f>
        <v>220000</v>
      </c>
      <c r="F376" s="388">
        <f t="shared" ref="F376:P376" si="416">F377</f>
        <v>220000</v>
      </c>
      <c r="G376" s="388">
        <f t="shared" si="416"/>
        <v>0</v>
      </c>
      <c r="H376" s="388">
        <f t="shared" si="416"/>
        <v>0</v>
      </c>
      <c r="I376" s="388">
        <f t="shared" si="416"/>
        <v>0</v>
      </c>
      <c r="J376" s="388">
        <f t="shared" si="416"/>
        <v>80000</v>
      </c>
      <c r="K376" s="388">
        <f t="shared" si="416"/>
        <v>80000</v>
      </c>
      <c r="L376" s="388">
        <f t="shared" si="416"/>
        <v>0</v>
      </c>
      <c r="M376" s="388">
        <f t="shared" si="416"/>
        <v>0</v>
      </c>
      <c r="N376" s="388">
        <f t="shared" si="416"/>
        <v>0</v>
      </c>
      <c r="O376" s="388">
        <f t="shared" si="416"/>
        <v>80000</v>
      </c>
      <c r="P376" s="388">
        <f t="shared" si="416"/>
        <v>300000</v>
      </c>
      <c r="Q376" s="20"/>
      <c r="R376" s="46"/>
    </row>
    <row r="377" spans="1:18" ht="48" thickTop="1" thickBot="1" x14ac:dyDescent="0.25">
      <c r="A377" s="119" t="s">
        <v>260</v>
      </c>
      <c r="B377" s="119" t="s">
        <v>261</v>
      </c>
      <c r="C377" s="119" t="s">
        <v>170</v>
      </c>
      <c r="D377" s="119" t="s">
        <v>259</v>
      </c>
      <c r="E377" s="393">
        <f t="shared" si="410"/>
        <v>220000</v>
      </c>
      <c r="F377" s="350">
        <f>(300000)-80000</f>
        <v>220000</v>
      </c>
      <c r="G377" s="350"/>
      <c r="H377" s="350"/>
      <c r="I377" s="350"/>
      <c r="J377" s="393">
        <f t="shared" si="411"/>
        <v>80000</v>
      </c>
      <c r="K377" s="350">
        <f>0+80000</f>
        <v>80000</v>
      </c>
      <c r="L377" s="350"/>
      <c r="M377" s="350"/>
      <c r="N377" s="350"/>
      <c r="O377" s="351">
        <f>K377</f>
        <v>80000</v>
      </c>
      <c r="P377" s="393">
        <f t="shared" si="412"/>
        <v>300000</v>
      </c>
      <c r="Q377" s="20"/>
      <c r="R377" s="46"/>
    </row>
    <row r="378" spans="1:18" ht="47.25" thickTop="1" thickBot="1" x14ac:dyDescent="0.25">
      <c r="A378" s="346" t="s">
        <v>1377</v>
      </c>
      <c r="B378" s="346" t="s">
        <v>702</v>
      </c>
      <c r="C378" s="346"/>
      <c r="D378" s="346" t="s">
        <v>703</v>
      </c>
      <c r="E378" s="393">
        <f t="shared" ref="E378:P379" si="417">E379</f>
        <v>186065</v>
      </c>
      <c r="F378" s="393">
        <f t="shared" si="417"/>
        <v>186065</v>
      </c>
      <c r="G378" s="393">
        <f t="shared" si="417"/>
        <v>0</v>
      </c>
      <c r="H378" s="393">
        <f t="shared" si="417"/>
        <v>0</v>
      </c>
      <c r="I378" s="393">
        <f t="shared" si="417"/>
        <v>0</v>
      </c>
      <c r="J378" s="393">
        <f t="shared" si="417"/>
        <v>150455</v>
      </c>
      <c r="K378" s="393">
        <f t="shared" si="417"/>
        <v>150455</v>
      </c>
      <c r="L378" s="393">
        <f t="shared" si="417"/>
        <v>0</v>
      </c>
      <c r="M378" s="393">
        <f t="shared" si="417"/>
        <v>0</v>
      </c>
      <c r="N378" s="393">
        <f t="shared" si="417"/>
        <v>0</v>
      </c>
      <c r="O378" s="393">
        <f t="shared" si="417"/>
        <v>150455</v>
      </c>
      <c r="P378" s="393">
        <f t="shared" si="417"/>
        <v>336520</v>
      </c>
      <c r="Q378" s="20"/>
      <c r="R378" s="46"/>
    </row>
    <row r="379" spans="1:18" ht="47.25" thickTop="1" thickBot="1" x14ac:dyDescent="0.25">
      <c r="A379" s="348" t="s">
        <v>1378</v>
      </c>
      <c r="B379" s="348" t="s">
        <v>1210</v>
      </c>
      <c r="C379" s="348"/>
      <c r="D379" s="348" t="s">
        <v>1208</v>
      </c>
      <c r="E379" s="352">
        <f t="shared" si="417"/>
        <v>186065</v>
      </c>
      <c r="F379" s="352">
        <f t="shared" si="417"/>
        <v>186065</v>
      </c>
      <c r="G379" s="352">
        <f t="shared" si="417"/>
        <v>0</v>
      </c>
      <c r="H379" s="352">
        <f t="shared" si="417"/>
        <v>0</v>
      </c>
      <c r="I379" s="352">
        <f t="shared" si="417"/>
        <v>0</v>
      </c>
      <c r="J379" s="352">
        <f t="shared" si="417"/>
        <v>150455</v>
      </c>
      <c r="K379" s="352">
        <f t="shared" si="417"/>
        <v>150455</v>
      </c>
      <c r="L379" s="352">
        <f t="shared" si="417"/>
        <v>0</v>
      </c>
      <c r="M379" s="352">
        <f t="shared" si="417"/>
        <v>0</v>
      </c>
      <c r="N379" s="352">
        <f t="shared" si="417"/>
        <v>0</v>
      </c>
      <c r="O379" s="352">
        <f t="shared" si="417"/>
        <v>150455</v>
      </c>
      <c r="P379" s="352">
        <f t="shared" si="417"/>
        <v>336520</v>
      </c>
      <c r="Q379" s="20"/>
      <c r="R379" s="46"/>
    </row>
    <row r="380" spans="1:18" ht="48" thickTop="1" thickBot="1" x14ac:dyDescent="0.25">
      <c r="A380" s="119" t="s">
        <v>1379</v>
      </c>
      <c r="B380" s="119" t="s">
        <v>1214</v>
      </c>
      <c r="C380" s="119" t="s">
        <v>1212</v>
      </c>
      <c r="D380" s="119" t="s">
        <v>1211</v>
      </c>
      <c r="E380" s="393">
        <f>F380</f>
        <v>186065</v>
      </c>
      <c r="F380" s="350">
        <f>166065+20000</f>
        <v>186065</v>
      </c>
      <c r="G380" s="350"/>
      <c r="H380" s="350"/>
      <c r="I380" s="350"/>
      <c r="J380" s="393">
        <f>L380+O380</f>
        <v>150455</v>
      </c>
      <c r="K380" s="350">
        <v>150455</v>
      </c>
      <c r="L380" s="350"/>
      <c r="M380" s="350"/>
      <c r="N380" s="350"/>
      <c r="O380" s="351">
        <f>K380</f>
        <v>150455</v>
      </c>
      <c r="P380" s="393">
        <f>E380+J380</f>
        <v>336520</v>
      </c>
      <c r="Q380" s="20"/>
      <c r="R380" s="46"/>
    </row>
    <row r="381" spans="1:18" ht="47.25" thickTop="1" thickBot="1" x14ac:dyDescent="0.25">
      <c r="A381" s="346" t="s">
        <v>915</v>
      </c>
      <c r="B381" s="346" t="s">
        <v>708</v>
      </c>
      <c r="C381" s="346"/>
      <c r="D381" s="346" t="s">
        <v>709</v>
      </c>
      <c r="E381" s="393">
        <f>E382</f>
        <v>152000</v>
      </c>
      <c r="F381" s="393">
        <f t="shared" ref="F381:P382" si="418">F382</f>
        <v>152000</v>
      </c>
      <c r="G381" s="393">
        <f t="shared" si="418"/>
        <v>0</v>
      </c>
      <c r="H381" s="393">
        <f t="shared" si="418"/>
        <v>0</v>
      </c>
      <c r="I381" s="393">
        <f t="shared" si="418"/>
        <v>0</v>
      </c>
      <c r="J381" s="393">
        <f t="shared" si="418"/>
        <v>0</v>
      </c>
      <c r="K381" s="393">
        <f t="shared" si="418"/>
        <v>0</v>
      </c>
      <c r="L381" s="393">
        <f t="shared" si="418"/>
        <v>0</v>
      </c>
      <c r="M381" s="393">
        <f t="shared" si="418"/>
        <v>0</v>
      </c>
      <c r="N381" s="393">
        <f t="shared" si="418"/>
        <v>0</v>
      </c>
      <c r="O381" s="393">
        <f t="shared" si="418"/>
        <v>0</v>
      </c>
      <c r="P381" s="393">
        <f t="shared" si="418"/>
        <v>152000</v>
      </c>
      <c r="Q381" s="20"/>
      <c r="R381" s="46"/>
    </row>
    <row r="382" spans="1:18" ht="91.5" thickTop="1" thickBot="1" x14ac:dyDescent="0.25">
      <c r="A382" s="348" t="s">
        <v>916</v>
      </c>
      <c r="B382" s="348" t="s">
        <v>711</v>
      </c>
      <c r="C382" s="348"/>
      <c r="D382" s="348" t="s">
        <v>712</v>
      </c>
      <c r="E382" s="352">
        <f>E383</f>
        <v>152000</v>
      </c>
      <c r="F382" s="352">
        <f t="shared" si="418"/>
        <v>152000</v>
      </c>
      <c r="G382" s="352">
        <f t="shared" si="418"/>
        <v>0</v>
      </c>
      <c r="H382" s="352">
        <f t="shared" si="418"/>
        <v>0</v>
      </c>
      <c r="I382" s="352">
        <f t="shared" si="418"/>
        <v>0</v>
      </c>
      <c r="J382" s="352">
        <f t="shared" si="418"/>
        <v>0</v>
      </c>
      <c r="K382" s="352">
        <f t="shared" si="418"/>
        <v>0</v>
      </c>
      <c r="L382" s="352">
        <f t="shared" si="418"/>
        <v>0</v>
      </c>
      <c r="M382" s="352">
        <f t="shared" si="418"/>
        <v>0</v>
      </c>
      <c r="N382" s="352">
        <f t="shared" si="418"/>
        <v>0</v>
      </c>
      <c r="O382" s="352">
        <f t="shared" si="418"/>
        <v>0</v>
      </c>
      <c r="P382" s="352">
        <f t="shared" si="418"/>
        <v>152000</v>
      </c>
      <c r="Q382" s="20"/>
      <c r="R382" s="46"/>
    </row>
    <row r="383" spans="1:18" ht="48" thickTop="1" thickBot="1" x14ac:dyDescent="0.25">
      <c r="A383" s="119" t="s">
        <v>917</v>
      </c>
      <c r="B383" s="119" t="s">
        <v>367</v>
      </c>
      <c r="C383" s="119" t="s">
        <v>43</v>
      </c>
      <c r="D383" s="119" t="s">
        <v>368</v>
      </c>
      <c r="E383" s="393">
        <f t="shared" ref="E383" si="419">F383</f>
        <v>152000</v>
      </c>
      <c r="F383" s="350">
        <v>152000</v>
      </c>
      <c r="G383" s="350"/>
      <c r="H383" s="350"/>
      <c r="I383" s="350"/>
      <c r="J383" s="393">
        <f>L383+O383</f>
        <v>0</v>
      </c>
      <c r="K383" s="350">
        <v>0</v>
      </c>
      <c r="L383" s="350"/>
      <c r="M383" s="350"/>
      <c r="N383" s="350"/>
      <c r="O383" s="351">
        <f>K383</f>
        <v>0</v>
      </c>
      <c r="P383" s="393">
        <f>E383+J383</f>
        <v>152000</v>
      </c>
      <c r="Q383" s="20"/>
      <c r="R383" s="46"/>
    </row>
    <row r="384" spans="1:18" ht="91.5" thickTop="1" thickBot="1" x14ac:dyDescent="0.25">
      <c r="A384" s="403" t="s">
        <v>164</v>
      </c>
      <c r="B384" s="403"/>
      <c r="C384" s="403"/>
      <c r="D384" s="404" t="s">
        <v>895</v>
      </c>
      <c r="E384" s="406">
        <f>E385</f>
        <v>7407294</v>
      </c>
      <c r="F384" s="405">
        <f t="shared" ref="F384:G384" si="420">F385</f>
        <v>7407294</v>
      </c>
      <c r="G384" s="405">
        <f t="shared" si="420"/>
        <v>5498880</v>
      </c>
      <c r="H384" s="405">
        <f>H385</f>
        <v>229363</v>
      </c>
      <c r="I384" s="405">
        <f t="shared" ref="I384" si="421">I385</f>
        <v>0</v>
      </c>
      <c r="J384" s="406">
        <f>J385</f>
        <v>4109303</v>
      </c>
      <c r="K384" s="405">
        <f>K385</f>
        <v>152869</v>
      </c>
      <c r="L384" s="405">
        <f>L385</f>
        <v>1380434</v>
      </c>
      <c r="M384" s="405">
        <f t="shared" ref="M384" si="422">M385</f>
        <v>0</v>
      </c>
      <c r="N384" s="405">
        <f>N385</f>
        <v>0</v>
      </c>
      <c r="O384" s="406">
        <f>O385</f>
        <v>2728869</v>
      </c>
      <c r="P384" s="405">
        <f t="shared" ref="P384" si="423">P385</f>
        <v>11516597</v>
      </c>
      <c r="Q384" s="20"/>
    </row>
    <row r="385" spans="1:18" ht="91.5" thickTop="1" thickBot="1" x14ac:dyDescent="0.25">
      <c r="A385" s="407" t="s">
        <v>165</v>
      </c>
      <c r="B385" s="407"/>
      <c r="C385" s="407"/>
      <c r="D385" s="408" t="s">
        <v>894</v>
      </c>
      <c r="E385" s="409">
        <f>E386+E389+E392</f>
        <v>7407294</v>
      </c>
      <c r="F385" s="409">
        <f t="shared" ref="F385:P385" si="424">F386+F389+F392</f>
        <v>7407294</v>
      </c>
      <c r="G385" s="409">
        <f>G386+G389+G392</f>
        <v>5498880</v>
      </c>
      <c r="H385" s="409">
        <f t="shared" si="424"/>
        <v>229363</v>
      </c>
      <c r="I385" s="409">
        <f t="shared" si="424"/>
        <v>0</v>
      </c>
      <c r="J385" s="409">
        <f>J386+J389+J392</f>
        <v>4109303</v>
      </c>
      <c r="K385" s="409">
        <f t="shared" si="424"/>
        <v>152869</v>
      </c>
      <c r="L385" s="409">
        <f>L386+L389+L392</f>
        <v>1380434</v>
      </c>
      <c r="M385" s="409">
        <f t="shared" si="424"/>
        <v>0</v>
      </c>
      <c r="N385" s="409">
        <f t="shared" si="424"/>
        <v>0</v>
      </c>
      <c r="O385" s="409">
        <f t="shared" si="424"/>
        <v>2728869</v>
      </c>
      <c r="P385" s="409">
        <f t="shared" si="424"/>
        <v>11516597</v>
      </c>
      <c r="Q385" s="353" t="b">
        <f>P385=P387+P391+P393</f>
        <v>1</v>
      </c>
      <c r="R385" s="46"/>
    </row>
    <row r="386" spans="1:18" ht="47.25" thickTop="1" thickBot="1" x14ac:dyDescent="0.25">
      <c r="A386" s="346" t="s">
        <v>839</v>
      </c>
      <c r="B386" s="346" t="s">
        <v>690</v>
      </c>
      <c r="C386" s="346"/>
      <c r="D386" s="346" t="s">
        <v>691</v>
      </c>
      <c r="E386" s="393">
        <f>SUM(E387:E388)</f>
        <v>7371163</v>
      </c>
      <c r="F386" s="393">
        <f t="shared" ref="F386" si="425">SUM(F387:F388)</f>
        <v>7371163</v>
      </c>
      <c r="G386" s="393">
        <f t="shared" ref="G386" si="426">SUM(G387:G388)</f>
        <v>5498880</v>
      </c>
      <c r="H386" s="393">
        <f t="shared" ref="H386" si="427">SUM(H387:H388)</f>
        <v>229363</v>
      </c>
      <c r="I386" s="393">
        <f t="shared" ref="I386" si="428">SUM(I387:I388)</f>
        <v>0</v>
      </c>
      <c r="J386" s="393">
        <f t="shared" ref="J386" si="429">SUM(J387:J388)</f>
        <v>0</v>
      </c>
      <c r="K386" s="393">
        <f t="shared" ref="K386" si="430">SUM(K387:K388)</f>
        <v>0</v>
      </c>
      <c r="L386" s="393">
        <f t="shared" ref="L386" si="431">SUM(L387:L388)</f>
        <v>0</v>
      </c>
      <c r="M386" s="393">
        <f t="shared" ref="M386" si="432">SUM(M387:M388)</f>
        <v>0</v>
      </c>
      <c r="N386" s="393">
        <f t="shared" ref="N386" si="433">SUM(N387:N388)</f>
        <v>0</v>
      </c>
      <c r="O386" s="393">
        <f>SUM(O387:O388)</f>
        <v>0</v>
      </c>
      <c r="P386" s="393">
        <f t="shared" ref="P386" si="434">SUM(P387:P388)</f>
        <v>7371163</v>
      </c>
      <c r="Q386" s="47"/>
      <c r="R386" s="46"/>
    </row>
    <row r="387" spans="1:18" ht="93" thickTop="1" thickBot="1" x14ac:dyDescent="0.25">
      <c r="A387" s="119" t="s">
        <v>426</v>
      </c>
      <c r="B387" s="119" t="s">
        <v>240</v>
      </c>
      <c r="C387" s="119" t="s">
        <v>238</v>
      </c>
      <c r="D387" s="119" t="s">
        <v>239</v>
      </c>
      <c r="E387" s="393">
        <f>F387</f>
        <v>7371163</v>
      </c>
      <c r="F387" s="350">
        <v>7371163</v>
      </c>
      <c r="G387" s="350">
        <v>5498880</v>
      </c>
      <c r="H387" s="350">
        <f>146200+15123+64380+3660</f>
        <v>229363</v>
      </c>
      <c r="I387" s="350"/>
      <c r="J387" s="393">
        <f t="shared" ref="J387:J391" si="435">L387+O387</f>
        <v>0</v>
      </c>
      <c r="K387" s="350"/>
      <c r="L387" s="350"/>
      <c r="M387" s="350"/>
      <c r="N387" s="350"/>
      <c r="O387" s="351">
        <f>K387</f>
        <v>0</v>
      </c>
      <c r="P387" s="393">
        <f t="shared" ref="P387:P391" si="436">E387+J387</f>
        <v>7371163</v>
      </c>
      <c r="Q387" s="47"/>
      <c r="R387" s="46"/>
    </row>
    <row r="388" spans="1:18" ht="93" hidden="1" thickTop="1" thickBot="1" x14ac:dyDescent="0.25">
      <c r="A388" s="41" t="s">
        <v>639</v>
      </c>
      <c r="B388" s="41" t="s">
        <v>366</v>
      </c>
      <c r="C388" s="41" t="s">
        <v>631</v>
      </c>
      <c r="D388" s="41" t="s">
        <v>632</v>
      </c>
      <c r="E388" s="168">
        <f>F388</f>
        <v>0</v>
      </c>
      <c r="F388" s="145">
        <v>0</v>
      </c>
      <c r="G388" s="145"/>
      <c r="H388" s="145"/>
      <c r="I388" s="145"/>
      <c r="J388" s="143">
        <f t="shared" si="435"/>
        <v>0</v>
      </c>
      <c r="K388" s="145"/>
      <c r="L388" s="146"/>
      <c r="M388" s="146"/>
      <c r="N388" s="146"/>
      <c r="O388" s="148">
        <f t="shared" ref="O388" si="437">K388</f>
        <v>0</v>
      </c>
      <c r="P388" s="143">
        <f t="shared" ref="P388" si="438">+J388+E388</f>
        <v>0</v>
      </c>
      <c r="Q388" s="47"/>
      <c r="R388" s="46"/>
    </row>
    <row r="389" spans="1:18" ht="47.25" thickTop="1" thickBot="1" x14ac:dyDescent="0.25">
      <c r="A389" s="346" t="s">
        <v>840</v>
      </c>
      <c r="B389" s="346" t="s">
        <v>702</v>
      </c>
      <c r="C389" s="346"/>
      <c r="D389" s="346" t="s">
        <v>703</v>
      </c>
      <c r="E389" s="347">
        <f>E390</f>
        <v>0</v>
      </c>
      <c r="F389" s="347">
        <f t="shared" ref="F389:P390" si="439">F390</f>
        <v>0</v>
      </c>
      <c r="G389" s="347">
        <f t="shared" si="439"/>
        <v>0</v>
      </c>
      <c r="H389" s="347">
        <f t="shared" si="439"/>
        <v>0</v>
      </c>
      <c r="I389" s="347">
        <f t="shared" si="439"/>
        <v>0</v>
      </c>
      <c r="J389" s="347">
        <f t="shared" si="439"/>
        <v>3956434</v>
      </c>
      <c r="K389" s="347">
        <f t="shared" si="439"/>
        <v>0</v>
      </c>
      <c r="L389" s="347">
        <f t="shared" si="439"/>
        <v>1380434</v>
      </c>
      <c r="M389" s="347">
        <f t="shared" si="439"/>
        <v>0</v>
      </c>
      <c r="N389" s="347">
        <f t="shared" si="439"/>
        <v>0</v>
      </c>
      <c r="O389" s="347">
        <f t="shared" si="439"/>
        <v>2576000</v>
      </c>
      <c r="P389" s="347">
        <f t="shared" si="439"/>
        <v>3956434</v>
      </c>
      <c r="Q389" s="47"/>
      <c r="R389" s="46"/>
    </row>
    <row r="390" spans="1:18" ht="47.25" thickTop="1" thickBot="1" x14ac:dyDescent="0.25">
      <c r="A390" s="348" t="s">
        <v>841</v>
      </c>
      <c r="B390" s="348" t="s">
        <v>842</v>
      </c>
      <c r="C390" s="348"/>
      <c r="D390" s="348" t="s">
        <v>843</v>
      </c>
      <c r="E390" s="349">
        <f>E391</f>
        <v>0</v>
      </c>
      <c r="F390" s="349">
        <f t="shared" si="439"/>
        <v>0</v>
      </c>
      <c r="G390" s="349">
        <f t="shared" si="439"/>
        <v>0</v>
      </c>
      <c r="H390" s="349">
        <f t="shared" si="439"/>
        <v>0</v>
      </c>
      <c r="I390" s="349">
        <f t="shared" si="439"/>
        <v>0</v>
      </c>
      <c r="J390" s="349">
        <f t="shared" si="439"/>
        <v>3956434</v>
      </c>
      <c r="K390" s="349">
        <f t="shared" ref="K390:P390" si="440">K391</f>
        <v>0</v>
      </c>
      <c r="L390" s="349">
        <f t="shared" si="440"/>
        <v>1380434</v>
      </c>
      <c r="M390" s="349">
        <f t="shared" si="440"/>
        <v>0</v>
      </c>
      <c r="N390" s="349">
        <f t="shared" si="440"/>
        <v>0</v>
      </c>
      <c r="O390" s="349">
        <f t="shared" si="440"/>
        <v>2576000</v>
      </c>
      <c r="P390" s="349">
        <f t="shared" si="440"/>
        <v>3956434</v>
      </c>
      <c r="Q390" s="47"/>
      <c r="R390" s="46"/>
    </row>
    <row r="391" spans="1:18" ht="48" thickTop="1" thickBot="1" x14ac:dyDescent="0.25">
      <c r="A391" s="119" t="s">
        <v>1147</v>
      </c>
      <c r="B391" s="119" t="s">
        <v>1148</v>
      </c>
      <c r="C391" s="119" t="s">
        <v>51</v>
      </c>
      <c r="D391" s="119" t="s">
        <v>1149</v>
      </c>
      <c r="E391" s="393">
        <v>0</v>
      </c>
      <c r="F391" s="350"/>
      <c r="G391" s="350"/>
      <c r="H391" s="350"/>
      <c r="I391" s="350"/>
      <c r="J391" s="393">
        <f t="shared" si="435"/>
        <v>3956434</v>
      </c>
      <c r="K391" s="393"/>
      <c r="L391" s="350">
        <f>(((476000)+46434+40000+520000+100000+78000)+120000)-80000+20000-20000-40000-100000+220000+100000+600000-600000-100000</f>
        <v>1380434</v>
      </c>
      <c r="M391" s="350"/>
      <c r="N391" s="350"/>
      <c r="O391" s="351">
        <f>(((K391+874000)+13000+420000+1200000+189000)-120000)-1200000+500000+1200000-500000</f>
        <v>2576000</v>
      </c>
      <c r="P391" s="393">
        <f t="shared" si="436"/>
        <v>3956434</v>
      </c>
      <c r="Q391" s="353" t="b">
        <f>J391='d9'!F28</f>
        <v>1</v>
      </c>
    </row>
    <row r="392" spans="1:18" ht="47.25" thickTop="1" thickBot="1" x14ac:dyDescent="0.25">
      <c r="A392" s="346" t="s">
        <v>1280</v>
      </c>
      <c r="B392" s="346" t="s">
        <v>708</v>
      </c>
      <c r="C392" s="346"/>
      <c r="D392" s="346" t="s">
        <v>709</v>
      </c>
      <c r="E392" s="393">
        <f t="shared" ref="E392:L392" si="441">E393</f>
        <v>36131</v>
      </c>
      <c r="F392" s="393">
        <f t="shared" si="441"/>
        <v>36131</v>
      </c>
      <c r="G392" s="393">
        <f t="shared" si="441"/>
        <v>0</v>
      </c>
      <c r="H392" s="393">
        <f t="shared" si="441"/>
        <v>0</v>
      </c>
      <c r="I392" s="393">
        <f t="shared" si="441"/>
        <v>0</v>
      </c>
      <c r="J392" s="393">
        <f t="shared" si="441"/>
        <v>152869</v>
      </c>
      <c r="K392" s="393">
        <f t="shared" si="441"/>
        <v>152869</v>
      </c>
      <c r="L392" s="393">
        <f t="shared" si="441"/>
        <v>0</v>
      </c>
      <c r="M392" s="393">
        <f t="shared" ref="M392:P392" si="442">M393</f>
        <v>0</v>
      </c>
      <c r="N392" s="393">
        <f t="shared" si="442"/>
        <v>0</v>
      </c>
      <c r="O392" s="393">
        <f t="shared" si="442"/>
        <v>152869</v>
      </c>
      <c r="P392" s="393">
        <f t="shared" si="442"/>
        <v>189000</v>
      </c>
      <c r="Q392" s="47"/>
    </row>
    <row r="393" spans="1:18" ht="91.5" thickTop="1" thickBot="1" x14ac:dyDescent="0.25">
      <c r="A393" s="348" t="s">
        <v>1279</v>
      </c>
      <c r="B393" s="348" t="s">
        <v>518</v>
      </c>
      <c r="C393" s="348" t="s">
        <v>43</v>
      </c>
      <c r="D393" s="348" t="s">
        <v>519</v>
      </c>
      <c r="E393" s="352">
        <f t="shared" ref="E393" si="443">F393</f>
        <v>36131</v>
      </c>
      <c r="F393" s="352">
        <f>(19000+13000)+4131</f>
        <v>36131</v>
      </c>
      <c r="G393" s="352"/>
      <c r="H393" s="352"/>
      <c r="I393" s="352"/>
      <c r="J393" s="352">
        <f>L393+O393</f>
        <v>152869</v>
      </c>
      <c r="K393" s="350">
        <f>(77000+80000)-4131</f>
        <v>152869</v>
      </c>
      <c r="L393" s="352"/>
      <c r="M393" s="352"/>
      <c r="N393" s="352"/>
      <c r="O393" s="352">
        <f>(K393+0)</f>
        <v>152869</v>
      </c>
      <c r="P393" s="352">
        <f>E393+J393</f>
        <v>189000</v>
      </c>
      <c r="Q393" s="47"/>
    </row>
    <row r="394" spans="1:18" ht="91.5" thickTop="1" thickBot="1" x14ac:dyDescent="0.25">
      <c r="A394" s="403" t="s">
        <v>162</v>
      </c>
      <c r="B394" s="403"/>
      <c r="C394" s="403"/>
      <c r="D394" s="404" t="s">
        <v>905</v>
      </c>
      <c r="E394" s="406">
        <f>E395</f>
        <v>10565580</v>
      </c>
      <c r="F394" s="405">
        <f t="shared" ref="F394:G394" si="444">F395</f>
        <v>10565580</v>
      </c>
      <c r="G394" s="405">
        <f t="shared" si="444"/>
        <v>7843804</v>
      </c>
      <c r="H394" s="405">
        <f>H395</f>
        <v>304000</v>
      </c>
      <c r="I394" s="405">
        <f t="shared" ref="I394" si="445">I395</f>
        <v>0</v>
      </c>
      <c r="J394" s="406">
        <f>J395</f>
        <v>1476500</v>
      </c>
      <c r="K394" s="405">
        <f>K395</f>
        <v>476500</v>
      </c>
      <c r="L394" s="405">
        <f>L395</f>
        <v>0</v>
      </c>
      <c r="M394" s="405">
        <f t="shared" ref="M394" si="446">M395</f>
        <v>0</v>
      </c>
      <c r="N394" s="405">
        <f>N395</f>
        <v>0</v>
      </c>
      <c r="O394" s="406">
        <f>O395</f>
        <v>1476500</v>
      </c>
      <c r="P394" s="405">
        <f t="shared" ref="P394" si="447">P395</f>
        <v>12042080</v>
      </c>
      <c r="Q394" s="20"/>
    </row>
    <row r="395" spans="1:18" ht="91.5" thickTop="1" thickBot="1" x14ac:dyDescent="0.25">
      <c r="A395" s="407" t="s">
        <v>163</v>
      </c>
      <c r="B395" s="407"/>
      <c r="C395" s="407"/>
      <c r="D395" s="408" t="s">
        <v>904</v>
      </c>
      <c r="E395" s="409">
        <f>E396+E398</f>
        <v>10565580</v>
      </c>
      <c r="F395" s="409">
        <f t="shared" ref="F395:I395" si="448">F396+F398</f>
        <v>10565580</v>
      </c>
      <c r="G395" s="409">
        <f t="shared" si="448"/>
        <v>7843804</v>
      </c>
      <c r="H395" s="409">
        <f t="shared" si="448"/>
        <v>304000</v>
      </c>
      <c r="I395" s="409">
        <f t="shared" si="448"/>
        <v>0</v>
      </c>
      <c r="J395" s="409">
        <f>L395+O395</f>
        <v>1476500</v>
      </c>
      <c r="K395" s="409">
        <f t="shared" ref="K395:O395" si="449">K396+K398</f>
        <v>476500</v>
      </c>
      <c r="L395" s="409">
        <f t="shared" si="449"/>
        <v>0</v>
      </c>
      <c r="M395" s="409">
        <f t="shared" si="449"/>
        <v>0</v>
      </c>
      <c r="N395" s="409">
        <f t="shared" si="449"/>
        <v>0</v>
      </c>
      <c r="O395" s="409">
        <f t="shared" si="449"/>
        <v>1476500</v>
      </c>
      <c r="P395" s="409">
        <f>E395+J395</f>
        <v>12042080</v>
      </c>
      <c r="Q395" s="353" t="b">
        <f>P395=P400+P402+P397</f>
        <v>1</v>
      </c>
      <c r="R395" s="45"/>
    </row>
    <row r="396" spans="1:18" ht="47.25" thickTop="1" thickBot="1" x14ac:dyDescent="0.25">
      <c r="A396" s="346" t="s">
        <v>844</v>
      </c>
      <c r="B396" s="346" t="s">
        <v>690</v>
      </c>
      <c r="C396" s="346"/>
      <c r="D396" s="346" t="s">
        <v>691</v>
      </c>
      <c r="E396" s="393">
        <f>SUM(E397)</f>
        <v>10375580</v>
      </c>
      <c r="F396" s="393">
        <f t="shared" ref="F396:P396" si="450">SUM(F397)</f>
        <v>10375580</v>
      </c>
      <c r="G396" s="393">
        <f t="shared" si="450"/>
        <v>7843804</v>
      </c>
      <c r="H396" s="393">
        <f t="shared" si="450"/>
        <v>304000</v>
      </c>
      <c r="I396" s="393">
        <f t="shared" si="450"/>
        <v>0</v>
      </c>
      <c r="J396" s="393">
        <f t="shared" si="450"/>
        <v>154000</v>
      </c>
      <c r="K396" s="393">
        <f t="shared" si="450"/>
        <v>154000</v>
      </c>
      <c r="L396" s="393">
        <f t="shared" si="450"/>
        <v>0</v>
      </c>
      <c r="M396" s="393">
        <f t="shared" si="450"/>
        <v>0</v>
      </c>
      <c r="N396" s="393">
        <f t="shared" si="450"/>
        <v>0</v>
      </c>
      <c r="O396" s="393">
        <f t="shared" si="450"/>
        <v>154000</v>
      </c>
      <c r="P396" s="393">
        <f t="shared" si="450"/>
        <v>10529580</v>
      </c>
      <c r="Q396" s="47"/>
      <c r="R396" s="45"/>
    </row>
    <row r="397" spans="1:18" ht="93" thickTop="1" thickBot="1" x14ac:dyDescent="0.25">
      <c r="A397" s="119" t="s">
        <v>422</v>
      </c>
      <c r="B397" s="119" t="s">
        <v>240</v>
      </c>
      <c r="C397" s="119" t="s">
        <v>238</v>
      </c>
      <c r="D397" s="119" t="s">
        <v>239</v>
      </c>
      <c r="E397" s="393">
        <f>F397</f>
        <v>10375580</v>
      </c>
      <c r="F397" s="350">
        <f>(((10277600)+40000+20000+50000)+15000+18980)-111000+50000+15000</f>
        <v>10375580</v>
      </c>
      <c r="G397" s="350">
        <v>7843804</v>
      </c>
      <c r="H397" s="350">
        <f>240000+4000+60000</f>
        <v>304000</v>
      </c>
      <c r="I397" s="350"/>
      <c r="J397" s="393">
        <f>L397+O397</f>
        <v>154000</v>
      </c>
      <c r="K397" s="350">
        <f>((85500)+22500)+46000</f>
        <v>154000</v>
      </c>
      <c r="L397" s="350"/>
      <c r="M397" s="350"/>
      <c r="N397" s="350"/>
      <c r="O397" s="351">
        <f>K397</f>
        <v>154000</v>
      </c>
      <c r="P397" s="393">
        <f>E397+J397</f>
        <v>10529580</v>
      </c>
      <c r="Q397" s="20"/>
      <c r="R397" s="45"/>
    </row>
    <row r="398" spans="1:18" ht="47.25" thickTop="1" thickBot="1" x14ac:dyDescent="0.25">
      <c r="A398" s="346" t="s">
        <v>845</v>
      </c>
      <c r="B398" s="346" t="s">
        <v>754</v>
      </c>
      <c r="C398" s="119"/>
      <c r="D398" s="346" t="s">
        <v>801</v>
      </c>
      <c r="E398" s="393">
        <f t="shared" ref="E398:P398" si="451">E399+E401</f>
        <v>190000</v>
      </c>
      <c r="F398" s="393">
        <f t="shared" si="451"/>
        <v>190000</v>
      </c>
      <c r="G398" s="393">
        <f t="shared" si="451"/>
        <v>0</v>
      </c>
      <c r="H398" s="393">
        <f t="shared" si="451"/>
        <v>0</v>
      </c>
      <c r="I398" s="393">
        <f t="shared" si="451"/>
        <v>0</v>
      </c>
      <c r="J398" s="393">
        <f t="shared" si="451"/>
        <v>1322500</v>
      </c>
      <c r="K398" s="393">
        <f t="shared" si="451"/>
        <v>322500</v>
      </c>
      <c r="L398" s="393">
        <f t="shared" si="451"/>
        <v>0</v>
      </c>
      <c r="M398" s="393">
        <f t="shared" si="451"/>
        <v>0</v>
      </c>
      <c r="N398" s="393">
        <f t="shared" si="451"/>
        <v>0</v>
      </c>
      <c r="O398" s="393">
        <f t="shared" si="451"/>
        <v>1322500</v>
      </c>
      <c r="P398" s="393">
        <f t="shared" si="451"/>
        <v>1512500</v>
      </c>
      <c r="Q398" s="20"/>
      <c r="R398" s="47"/>
    </row>
    <row r="399" spans="1:18" ht="47.25" thickTop="1" thickBot="1" x14ac:dyDescent="0.25">
      <c r="A399" s="348" t="s">
        <v>846</v>
      </c>
      <c r="B399" s="348" t="s">
        <v>847</v>
      </c>
      <c r="C399" s="348"/>
      <c r="D399" s="348" t="s">
        <v>848</v>
      </c>
      <c r="E399" s="352">
        <f>SUM(E400)</f>
        <v>190000</v>
      </c>
      <c r="F399" s="352">
        <f t="shared" ref="F399:P399" si="452">SUM(F400)</f>
        <v>190000</v>
      </c>
      <c r="G399" s="352">
        <f t="shared" si="452"/>
        <v>0</v>
      </c>
      <c r="H399" s="352">
        <f t="shared" si="452"/>
        <v>0</v>
      </c>
      <c r="I399" s="352">
        <f t="shared" si="452"/>
        <v>0</v>
      </c>
      <c r="J399" s="352">
        <f t="shared" si="452"/>
        <v>1210000</v>
      </c>
      <c r="K399" s="352">
        <f t="shared" si="452"/>
        <v>210000</v>
      </c>
      <c r="L399" s="352">
        <f t="shared" si="452"/>
        <v>0</v>
      </c>
      <c r="M399" s="352">
        <f t="shared" si="452"/>
        <v>0</v>
      </c>
      <c r="N399" s="352">
        <f t="shared" si="452"/>
        <v>0</v>
      </c>
      <c r="O399" s="352">
        <f t="shared" si="452"/>
        <v>1210000</v>
      </c>
      <c r="P399" s="352">
        <f t="shared" si="452"/>
        <v>1400000</v>
      </c>
      <c r="Q399" s="20"/>
      <c r="R399" s="47"/>
    </row>
    <row r="400" spans="1:18" ht="48" thickTop="1" thickBot="1" x14ac:dyDescent="0.25">
      <c r="A400" s="119" t="s">
        <v>310</v>
      </c>
      <c r="B400" s="119" t="s">
        <v>311</v>
      </c>
      <c r="C400" s="119" t="s">
        <v>312</v>
      </c>
      <c r="D400" s="119" t="s">
        <v>465</v>
      </c>
      <c r="E400" s="393">
        <f>F400</f>
        <v>190000</v>
      </c>
      <c r="F400" s="350">
        <v>190000</v>
      </c>
      <c r="G400" s="350"/>
      <c r="H400" s="350"/>
      <c r="I400" s="350"/>
      <c r="J400" s="393">
        <f>L400+O400</f>
        <v>1210000</v>
      </c>
      <c r="K400" s="350">
        <f>(210000)</f>
        <v>210000</v>
      </c>
      <c r="L400" s="350"/>
      <c r="M400" s="350"/>
      <c r="N400" s="350"/>
      <c r="O400" s="351">
        <f>(K400)+1000000</f>
        <v>1210000</v>
      </c>
      <c r="P400" s="393">
        <f>E400+J400</f>
        <v>1400000</v>
      </c>
      <c r="Q400" s="20"/>
      <c r="R400" s="45"/>
    </row>
    <row r="401" spans="1:19" ht="47.25" thickTop="1" thickBot="1" x14ac:dyDescent="0.25">
      <c r="A401" s="348" t="s">
        <v>849</v>
      </c>
      <c r="B401" s="348" t="s">
        <v>697</v>
      </c>
      <c r="C401" s="119"/>
      <c r="D401" s="348" t="s">
        <v>850</v>
      </c>
      <c r="E401" s="352">
        <f>SUM(E402)</f>
        <v>0</v>
      </c>
      <c r="F401" s="352">
        <f t="shared" ref="F401:P401" si="453">SUM(F402)</f>
        <v>0</v>
      </c>
      <c r="G401" s="352">
        <f t="shared" si="453"/>
        <v>0</v>
      </c>
      <c r="H401" s="352">
        <f t="shared" si="453"/>
        <v>0</v>
      </c>
      <c r="I401" s="352">
        <f t="shared" si="453"/>
        <v>0</v>
      </c>
      <c r="J401" s="352">
        <f t="shared" si="453"/>
        <v>112500</v>
      </c>
      <c r="K401" s="352">
        <f t="shared" si="453"/>
        <v>112500</v>
      </c>
      <c r="L401" s="352">
        <f t="shared" si="453"/>
        <v>0</v>
      </c>
      <c r="M401" s="352">
        <f t="shared" si="453"/>
        <v>0</v>
      </c>
      <c r="N401" s="352">
        <f t="shared" si="453"/>
        <v>0</v>
      </c>
      <c r="O401" s="352">
        <f t="shared" si="453"/>
        <v>112500</v>
      </c>
      <c r="P401" s="352">
        <f t="shared" si="453"/>
        <v>112500</v>
      </c>
      <c r="Q401" s="20"/>
    </row>
    <row r="402" spans="1:19" ht="48" thickTop="1" thickBot="1" x14ac:dyDescent="0.25">
      <c r="A402" s="119" t="s">
        <v>372</v>
      </c>
      <c r="B402" s="119" t="s">
        <v>373</v>
      </c>
      <c r="C402" s="119" t="s">
        <v>170</v>
      </c>
      <c r="D402" s="119" t="s">
        <v>374</v>
      </c>
      <c r="E402" s="393">
        <f>F402</f>
        <v>0</v>
      </c>
      <c r="F402" s="350"/>
      <c r="G402" s="350"/>
      <c r="H402" s="350"/>
      <c r="I402" s="350"/>
      <c r="J402" s="393">
        <f>L402+O402</f>
        <v>112500</v>
      </c>
      <c r="K402" s="350">
        <f>(90000)+22500</f>
        <v>112500</v>
      </c>
      <c r="L402" s="350"/>
      <c r="M402" s="350"/>
      <c r="N402" s="350"/>
      <c r="O402" s="351">
        <f>K402</f>
        <v>112500</v>
      </c>
      <c r="P402" s="393">
        <f>E402+J402</f>
        <v>112500</v>
      </c>
      <c r="Q402" s="20"/>
      <c r="R402" s="45"/>
    </row>
    <row r="403" spans="1:19" ht="46.5" thickTop="1" thickBot="1" x14ac:dyDescent="0.25">
      <c r="A403" s="403" t="s">
        <v>168</v>
      </c>
      <c r="B403" s="403"/>
      <c r="C403" s="403"/>
      <c r="D403" s="404" t="s">
        <v>27</v>
      </c>
      <c r="E403" s="406">
        <f>E404</f>
        <v>359477083.25999999</v>
      </c>
      <c r="F403" s="405">
        <f t="shared" ref="F403:G403" si="454">F404</f>
        <v>359477083.25999999</v>
      </c>
      <c r="G403" s="405">
        <f t="shared" si="454"/>
        <v>8314383</v>
      </c>
      <c r="H403" s="405">
        <f>H404</f>
        <v>319894</v>
      </c>
      <c r="I403" s="405">
        <f t="shared" ref="I403" si="455">I404</f>
        <v>0</v>
      </c>
      <c r="J403" s="406">
        <f>J404</f>
        <v>45000</v>
      </c>
      <c r="K403" s="405">
        <f>K404</f>
        <v>45000</v>
      </c>
      <c r="L403" s="405">
        <f>L404</f>
        <v>0</v>
      </c>
      <c r="M403" s="405">
        <f t="shared" ref="M403" si="456">M404</f>
        <v>0</v>
      </c>
      <c r="N403" s="405">
        <f>N404</f>
        <v>0</v>
      </c>
      <c r="O403" s="406">
        <f>O404</f>
        <v>45000</v>
      </c>
      <c r="P403" s="405">
        <f t="shared" ref="P403" si="457">P404</f>
        <v>359522083.25999999</v>
      </c>
      <c r="Q403" s="20"/>
    </row>
    <row r="404" spans="1:19" ht="91.5" thickTop="1" thickBot="1" x14ac:dyDescent="0.25">
      <c r="A404" s="407" t="s">
        <v>169</v>
      </c>
      <c r="B404" s="407"/>
      <c r="C404" s="407"/>
      <c r="D404" s="408" t="s">
        <v>40</v>
      </c>
      <c r="E404" s="409">
        <f>E405+E411+E418+E408</f>
        <v>359477083.25999999</v>
      </c>
      <c r="F404" s="409">
        <f t="shared" ref="F404:P404" si="458">F405+F411+F418+F408</f>
        <v>359477083.25999999</v>
      </c>
      <c r="G404" s="409">
        <f t="shared" si="458"/>
        <v>8314383</v>
      </c>
      <c r="H404" s="409">
        <f t="shared" si="458"/>
        <v>319894</v>
      </c>
      <c r="I404" s="409">
        <f t="shared" si="458"/>
        <v>0</v>
      </c>
      <c r="J404" s="409">
        <f t="shared" si="458"/>
        <v>45000</v>
      </c>
      <c r="K404" s="409">
        <f t="shared" si="458"/>
        <v>45000</v>
      </c>
      <c r="L404" s="409">
        <f t="shared" si="458"/>
        <v>0</v>
      </c>
      <c r="M404" s="409">
        <f t="shared" si="458"/>
        <v>0</v>
      </c>
      <c r="N404" s="409">
        <f t="shared" si="458"/>
        <v>0</v>
      </c>
      <c r="O404" s="409">
        <f t="shared" si="458"/>
        <v>45000</v>
      </c>
      <c r="P404" s="409">
        <f t="shared" si="458"/>
        <v>359522083.25999999</v>
      </c>
      <c r="Q404" s="353" t="b">
        <f>P404=P406+P412+P414+P420</f>
        <v>1</v>
      </c>
      <c r="R404" s="45"/>
    </row>
    <row r="405" spans="1:19" ht="47.25" thickTop="1" thickBot="1" x14ac:dyDescent="0.25">
      <c r="A405" s="346" t="s">
        <v>851</v>
      </c>
      <c r="B405" s="346" t="s">
        <v>690</v>
      </c>
      <c r="C405" s="346"/>
      <c r="D405" s="346" t="s">
        <v>691</v>
      </c>
      <c r="E405" s="393">
        <f>SUM(E406:E407)</f>
        <v>10809200</v>
      </c>
      <c r="F405" s="393">
        <f t="shared" ref="F405:P405" si="459">SUM(F406:F407)</f>
        <v>10809200</v>
      </c>
      <c r="G405" s="393">
        <f t="shared" si="459"/>
        <v>8314383</v>
      </c>
      <c r="H405" s="393">
        <f t="shared" si="459"/>
        <v>319894</v>
      </c>
      <c r="I405" s="393">
        <f t="shared" si="459"/>
        <v>0</v>
      </c>
      <c r="J405" s="393">
        <f t="shared" si="459"/>
        <v>45000</v>
      </c>
      <c r="K405" s="393">
        <f t="shared" si="459"/>
        <v>45000</v>
      </c>
      <c r="L405" s="393">
        <f t="shared" si="459"/>
        <v>0</v>
      </c>
      <c r="M405" s="393">
        <f t="shared" si="459"/>
        <v>0</v>
      </c>
      <c r="N405" s="393">
        <f t="shared" si="459"/>
        <v>0</v>
      </c>
      <c r="O405" s="393">
        <f t="shared" si="459"/>
        <v>45000</v>
      </c>
      <c r="P405" s="393">
        <f t="shared" si="459"/>
        <v>10854200</v>
      </c>
      <c r="Q405" s="47"/>
      <c r="R405" s="50"/>
    </row>
    <row r="406" spans="1:19" ht="93" thickTop="1" thickBot="1" x14ac:dyDescent="0.25">
      <c r="A406" s="119" t="s">
        <v>424</v>
      </c>
      <c r="B406" s="119" t="s">
        <v>240</v>
      </c>
      <c r="C406" s="119" t="s">
        <v>238</v>
      </c>
      <c r="D406" s="119" t="s">
        <v>239</v>
      </c>
      <c r="E406" s="393">
        <f>F406</f>
        <v>10809200</v>
      </c>
      <c r="F406" s="350">
        <f>((10739200)-45000)+115000</f>
        <v>10809200</v>
      </c>
      <c r="G406" s="350">
        <f>(8214383)+100000</f>
        <v>8314383</v>
      </c>
      <c r="H406" s="350">
        <f>144480+6318+160000+9096</f>
        <v>319894</v>
      </c>
      <c r="I406" s="350"/>
      <c r="J406" s="393">
        <f>L406+O406</f>
        <v>45000</v>
      </c>
      <c r="K406" s="350">
        <v>45000</v>
      </c>
      <c r="L406" s="350"/>
      <c r="M406" s="350"/>
      <c r="N406" s="350"/>
      <c r="O406" s="351">
        <f>K406</f>
        <v>45000</v>
      </c>
      <c r="P406" s="393">
        <f>E406+J406</f>
        <v>10854200</v>
      </c>
      <c r="Q406" s="47"/>
      <c r="R406" s="50"/>
      <c r="S406" s="47"/>
    </row>
    <row r="407" spans="1:19" ht="93" hidden="1" thickTop="1" thickBot="1" x14ac:dyDescent="0.25">
      <c r="A407" s="144" t="s">
        <v>640</v>
      </c>
      <c r="B407" s="144" t="s">
        <v>366</v>
      </c>
      <c r="C407" s="144" t="s">
        <v>631</v>
      </c>
      <c r="D407" s="144" t="s">
        <v>632</v>
      </c>
      <c r="E407" s="168">
        <f>F407</f>
        <v>0</v>
      </c>
      <c r="F407" s="145"/>
      <c r="G407" s="145"/>
      <c r="H407" s="145"/>
      <c r="I407" s="145"/>
      <c r="J407" s="143">
        <f t="shared" ref="J407" si="460">L407+O407</f>
        <v>0</v>
      </c>
      <c r="K407" s="145"/>
      <c r="L407" s="146"/>
      <c r="M407" s="146"/>
      <c r="N407" s="146"/>
      <c r="O407" s="148">
        <f t="shared" ref="O407" si="461">K407</f>
        <v>0</v>
      </c>
      <c r="P407" s="143">
        <f t="shared" ref="P407" si="462">+J407+E407</f>
        <v>0</v>
      </c>
      <c r="Q407" s="47"/>
      <c r="R407" s="50"/>
    </row>
    <row r="408" spans="1:19" ht="47.25" hidden="1" thickTop="1" thickBot="1" x14ac:dyDescent="0.25">
      <c r="A408" s="152" t="s">
        <v>1229</v>
      </c>
      <c r="B408" s="152" t="s">
        <v>697</v>
      </c>
      <c r="C408" s="152"/>
      <c r="D408" s="152" t="s">
        <v>695</v>
      </c>
      <c r="E408" s="181">
        <f>E409</f>
        <v>0</v>
      </c>
      <c r="F408" s="181">
        <f t="shared" ref="F408:P409" si="463">F409</f>
        <v>0</v>
      </c>
      <c r="G408" s="181">
        <f t="shared" si="463"/>
        <v>0</v>
      </c>
      <c r="H408" s="181">
        <f t="shared" si="463"/>
        <v>0</v>
      </c>
      <c r="I408" s="181">
        <f t="shared" si="463"/>
        <v>0</v>
      </c>
      <c r="J408" s="181">
        <f t="shared" si="463"/>
        <v>0</v>
      </c>
      <c r="K408" s="181">
        <f t="shared" si="463"/>
        <v>0</v>
      </c>
      <c r="L408" s="181">
        <f t="shared" si="463"/>
        <v>0</v>
      </c>
      <c r="M408" s="181">
        <f t="shared" si="463"/>
        <v>0</v>
      </c>
      <c r="N408" s="181">
        <f t="shared" si="463"/>
        <v>0</v>
      </c>
      <c r="O408" s="181">
        <f t="shared" si="463"/>
        <v>0</v>
      </c>
      <c r="P408" s="181">
        <f t="shared" si="463"/>
        <v>0</v>
      </c>
      <c r="Q408" s="47"/>
      <c r="R408" s="50"/>
    </row>
    <row r="409" spans="1:19" ht="48" hidden="1" thickTop="1" thickBot="1" x14ac:dyDescent="0.25">
      <c r="A409" s="156" t="s">
        <v>1230</v>
      </c>
      <c r="B409" s="156" t="s">
        <v>700</v>
      </c>
      <c r="C409" s="156"/>
      <c r="D409" s="156" t="s">
        <v>698</v>
      </c>
      <c r="E409" s="157">
        <f>E410</f>
        <v>0</v>
      </c>
      <c r="F409" s="157">
        <f t="shared" si="463"/>
        <v>0</v>
      </c>
      <c r="G409" s="157">
        <f t="shared" si="463"/>
        <v>0</v>
      </c>
      <c r="H409" s="157">
        <f t="shared" si="463"/>
        <v>0</v>
      </c>
      <c r="I409" s="157">
        <f t="shared" si="463"/>
        <v>0</v>
      </c>
      <c r="J409" s="157">
        <f t="shared" si="463"/>
        <v>0</v>
      </c>
      <c r="K409" s="157">
        <f t="shared" si="463"/>
        <v>0</v>
      </c>
      <c r="L409" s="157">
        <f t="shared" si="463"/>
        <v>0</v>
      </c>
      <c r="M409" s="157">
        <f t="shared" si="463"/>
        <v>0</v>
      </c>
      <c r="N409" s="157">
        <f t="shared" si="463"/>
        <v>0</v>
      </c>
      <c r="O409" s="157">
        <f t="shared" si="463"/>
        <v>0</v>
      </c>
      <c r="P409" s="157">
        <f t="shared" si="463"/>
        <v>0</v>
      </c>
      <c r="Q409" s="47"/>
      <c r="R409" s="50"/>
    </row>
    <row r="410" spans="1:19" ht="48" hidden="1" thickTop="1" thickBot="1" x14ac:dyDescent="0.25">
      <c r="A410" s="144" t="s">
        <v>1231</v>
      </c>
      <c r="B410" s="144" t="s">
        <v>261</v>
      </c>
      <c r="C410" s="144" t="s">
        <v>170</v>
      </c>
      <c r="D410" s="144" t="s">
        <v>259</v>
      </c>
      <c r="E410" s="143">
        <f t="shared" ref="E410" si="464">F410</f>
        <v>0</v>
      </c>
      <c r="F410" s="150"/>
      <c r="G410" s="150"/>
      <c r="H410" s="150"/>
      <c r="I410" s="150"/>
      <c r="J410" s="143">
        <f t="shared" ref="J410" si="465">L410+O410</f>
        <v>0</v>
      </c>
      <c r="K410" s="150"/>
      <c r="L410" s="150"/>
      <c r="M410" s="150"/>
      <c r="N410" s="150"/>
      <c r="O410" s="148">
        <f>K410</f>
        <v>0</v>
      </c>
      <c r="P410" s="143">
        <f t="shared" ref="P410" si="466">E410+J410</f>
        <v>0</v>
      </c>
      <c r="Q410" s="47"/>
      <c r="R410" s="50"/>
    </row>
    <row r="411" spans="1:19" ht="47.25" thickTop="1" thickBot="1" x14ac:dyDescent="0.25">
      <c r="A411" s="346" t="s">
        <v>852</v>
      </c>
      <c r="B411" s="346" t="s">
        <v>702</v>
      </c>
      <c r="C411" s="346"/>
      <c r="D411" s="346" t="s">
        <v>703</v>
      </c>
      <c r="E411" s="347">
        <f t="shared" ref="E411:P411" si="467">E412+E413+E415</f>
        <v>20567183.260000005</v>
      </c>
      <c r="F411" s="347">
        <f t="shared" si="467"/>
        <v>20567183.260000005</v>
      </c>
      <c r="G411" s="347">
        <f t="shared" si="467"/>
        <v>0</v>
      </c>
      <c r="H411" s="347">
        <f t="shared" si="467"/>
        <v>0</v>
      </c>
      <c r="I411" s="347">
        <f t="shared" si="467"/>
        <v>0</v>
      </c>
      <c r="J411" s="347">
        <f t="shared" si="467"/>
        <v>0</v>
      </c>
      <c r="K411" s="347">
        <f t="shared" si="467"/>
        <v>0</v>
      </c>
      <c r="L411" s="347">
        <f t="shared" si="467"/>
        <v>0</v>
      </c>
      <c r="M411" s="347">
        <f t="shared" si="467"/>
        <v>0</v>
      </c>
      <c r="N411" s="347">
        <f t="shared" si="467"/>
        <v>0</v>
      </c>
      <c r="O411" s="347">
        <f t="shared" si="467"/>
        <v>0</v>
      </c>
      <c r="P411" s="347">
        <f t="shared" si="467"/>
        <v>20567183.260000005</v>
      </c>
      <c r="Q411" s="47"/>
      <c r="R411" s="50"/>
    </row>
    <row r="412" spans="1:19" ht="47.25" thickTop="1" thickBot="1" x14ac:dyDescent="0.25">
      <c r="A412" s="500">
        <v>3718600</v>
      </c>
      <c r="B412" s="500">
        <v>8600</v>
      </c>
      <c r="C412" s="348" t="s">
        <v>366</v>
      </c>
      <c r="D412" s="500" t="s">
        <v>456</v>
      </c>
      <c r="E412" s="352">
        <f>F412</f>
        <v>1306400</v>
      </c>
      <c r="F412" s="352">
        <f>1306400</f>
        <v>1306400</v>
      </c>
      <c r="G412" s="352"/>
      <c r="H412" s="352"/>
      <c r="I412" s="352"/>
      <c r="J412" s="352">
        <f>L412+O412</f>
        <v>0</v>
      </c>
      <c r="K412" s="352"/>
      <c r="L412" s="352"/>
      <c r="M412" s="352"/>
      <c r="N412" s="352"/>
      <c r="O412" s="509">
        <f>K412</f>
        <v>0</v>
      </c>
      <c r="P412" s="352">
        <f>E412+J412</f>
        <v>1306400</v>
      </c>
      <c r="Q412" s="20"/>
    </row>
    <row r="413" spans="1:19" ht="47.25" thickTop="1" thickBot="1" x14ac:dyDescent="0.25">
      <c r="A413" s="500">
        <v>3718700</v>
      </c>
      <c r="B413" s="500">
        <v>8700</v>
      </c>
      <c r="C413" s="348"/>
      <c r="D413" s="500" t="s">
        <v>853</v>
      </c>
      <c r="E413" s="352">
        <f t="shared" ref="E413:P413" si="468">E414</f>
        <v>19260783.260000005</v>
      </c>
      <c r="F413" s="352">
        <f t="shared" si="468"/>
        <v>19260783.260000005</v>
      </c>
      <c r="G413" s="352">
        <f t="shared" si="468"/>
        <v>0</v>
      </c>
      <c r="H413" s="352">
        <f t="shared" si="468"/>
        <v>0</v>
      </c>
      <c r="I413" s="352">
        <f t="shared" si="468"/>
        <v>0</v>
      </c>
      <c r="J413" s="352">
        <f t="shared" si="468"/>
        <v>0</v>
      </c>
      <c r="K413" s="352">
        <f t="shared" si="468"/>
        <v>0</v>
      </c>
      <c r="L413" s="352">
        <f t="shared" si="468"/>
        <v>0</v>
      </c>
      <c r="M413" s="352">
        <f t="shared" si="468"/>
        <v>0</v>
      </c>
      <c r="N413" s="352">
        <f t="shared" si="468"/>
        <v>0</v>
      </c>
      <c r="O413" s="352">
        <f t="shared" si="468"/>
        <v>0</v>
      </c>
      <c r="P413" s="352">
        <f t="shared" si="468"/>
        <v>19260783.260000005</v>
      </c>
      <c r="Q413" s="20"/>
    </row>
    <row r="414" spans="1:19" ht="69" customHeight="1" thickTop="1" thickBot="1" x14ac:dyDescent="0.25">
      <c r="A414" s="401">
        <v>3718710</v>
      </c>
      <c r="B414" s="401">
        <v>8710</v>
      </c>
      <c r="C414" s="119" t="s">
        <v>42</v>
      </c>
      <c r="D414" s="413" t="s">
        <v>646</v>
      </c>
      <c r="E414" s="393">
        <f>F414</f>
        <v>19260783.260000005</v>
      </c>
      <c r="F414" s="350">
        <f>(((((((((10570000+18000000-10000000)-10775230)+61721624.88-1208523)-1013222.5-5000000)-41030724.79+410000)+4054078+44007615.72-20000-13700000+237750)-7000000)-5221634.76-1210000)-33198886.49-300000+6562045.2)-6188579-780000-1500000-1550000+13394470</f>
        <v>19260783.260000005</v>
      </c>
      <c r="G414" s="350"/>
      <c r="H414" s="350"/>
      <c r="I414" s="350"/>
      <c r="J414" s="393">
        <f>L414+O414</f>
        <v>0</v>
      </c>
      <c r="K414" s="350"/>
      <c r="L414" s="350"/>
      <c r="M414" s="350"/>
      <c r="N414" s="350"/>
      <c r="O414" s="351">
        <f>K414</f>
        <v>0</v>
      </c>
      <c r="P414" s="393">
        <f>E414+J414</f>
        <v>19260783.260000005</v>
      </c>
      <c r="Q414" s="20"/>
    </row>
    <row r="415" spans="1:19" ht="47.25" hidden="1" thickTop="1" thickBot="1" x14ac:dyDescent="0.25">
      <c r="A415" s="182">
        <v>3718800</v>
      </c>
      <c r="B415" s="182">
        <v>8800</v>
      </c>
      <c r="C415" s="152"/>
      <c r="D415" s="182" t="s">
        <v>861</v>
      </c>
      <c r="E415" s="153">
        <f>E416</f>
        <v>0</v>
      </c>
      <c r="F415" s="153">
        <f>F416</f>
        <v>0</v>
      </c>
      <c r="G415" s="153">
        <f t="shared" ref="G415:P416" si="469">G416</f>
        <v>0</v>
      </c>
      <c r="H415" s="153">
        <f t="shared" si="469"/>
        <v>0</v>
      </c>
      <c r="I415" s="153">
        <f t="shared" si="469"/>
        <v>0</v>
      </c>
      <c r="J415" s="153">
        <f t="shared" si="469"/>
        <v>0</v>
      </c>
      <c r="K415" s="153">
        <f t="shared" si="469"/>
        <v>0</v>
      </c>
      <c r="L415" s="153">
        <f t="shared" si="469"/>
        <v>0</v>
      </c>
      <c r="M415" s="153">
        <f t="shared" si="469"/>
        <v>0</v>
      </c>
      <c r="N415" s="153">
        <f t="shared" si="469"/>
        <v>0</v>
      </c>
      <c r="O415" s="153">
        <f t="shared" si="469"/>
        <v>0</v>
      </c>
      <c r="P415" s="153">
        <f t="shared" si="469"/>
        <v>0</v>
      </c>
      <c r="Q415" s="20"/>
    </row>
    <row r="416" spans="1:19" ht="93" hidden="1" thickTop="1" thickBot="1" x14ac:dyDescent="0.25">
      <c r="A416" s="183">
        <v>3718880</v>
      </c>
      <c r="B416" s="183">
        <v>8880</v>
      </c>
      <c r="C416" s="156"/>
      <c r="D416" s="169" t="s">
        <v>1176</v>
      </c>
      <c r="E416" s="157">
        <f>E417</f>
        <v>0</v>
      </c>
      <c r="F416" s="157">
        <f t="shared" ref="F416" si="470">F417</f>
        <v>0</v>
      </c>
      <c r="G416" s="157">
        <f t="shared" si="469"/>
        <v>0</v>
      </c>
      <c r="H416" s="157">
        <f t="shared" si="469"/>
        <v>0</v>
      </c>
      <c r="I416" s="157">
        <f t="shared" si="469"/>
        <v>0</v>
      </c>
      <c r="J416" s="157">
        <f t="shared" si="469"/>
        <v>0</v>
      </c>
      <c r="K416" s="157">
        <f t="shared" si="469"/>
        <v>0</v>
      </c>
      <c r="L416" s="157">
        <f t="shared" si="469"/>
        <v>0</v>
      </c>
      <c r="M416" s="157">
        <f t="shared" si="469"/>
        <v>0</v>
      </c>
      <c r="N416" s="157">
        <f t="shared" si="469"/>
        <v>0</v>
      </c>
      <c r="O416" s="157">
        <f t="shared" si="469"/>
        <v>0</v>
      </c>
      <c r="P416" s="157">
        <f t="shared" si="469"/>
        <v>0</v>
      </c>
      <c r="Q416" s="20"/>
    </row>
    <row r="417" spans="1:18" ht="93" hidden="1" thickTop="1" thickBot="1" x14ac:dyDescent="0.25">
      <c r="A417" s="144">
        <v>3718881</v>
      </c>
      <c r="B417" s="144">
        <v>8881</v>
      </c>
      <c r="C417" s="144" t="s">
        <v>170</v>
      </c>
      <c r="D417" s="144" t="s">
        <v>1177</v>
      </c>
      <c r="E417" s="168">
        <f>F417</f>
        <v>0</v>
      </c>
      <c r="F417" s="145">
        <f>(2500000)-2500000</f>
        <v>0</v>
      </c>
      <c r="G417" s="145"/>
      <c r="H417" s="145"/>
      <c r="I417" s="145"/>
      <c r="J417" s="143">
        <f t="shared" ref="J417" si="471">L417+O417</f>
        <v>0</v>
      </c>
      <c r="K417" s="145"/>
      <c r="L417" s="146"/>
      <c r="M417" s="146"/>
      <c r="N417" s="146"/>
      <c r="O417" s="148">
        <f t="shared" ref="O417" si="472">K417</f>
        <v>0</v>
      </c>
      <c r="P417" s="143">
        <f t="shared" ref="P417" si="473">+J417+E417</f>
        <v>0</v>
      </c>
      <c r="Q417" s="20"/>
    </row>
    <row r="418" spans="1:18" ht="47.25" thickTop="1" thickBot="1" x14ac:dyDescent="0.25">
      <c r="A418" s="346" t="s">
        <v>854</v>
      </c>
      <c r="B418" s="346" t="s">
        <v>708</v>
      </c>
      <c r="C418" s="346"/>
      <c r="D418" s="346" t="s">
        <v>709</v>
      </c>
      <c r="E418" s="393">
        <f>E419</f>
        <v>328100700</v>
      </c>
      <c r="F418" s="393">
        <f t="shared" ref="F418:P419" si="474">F419</f>
        <v>328100700</v>
      </c>
      <c r="G418" s="393">
        <f t="shared" si="474"/>
        <v>0</v>
      </c>
      <c r="H418" s="393">
        <f t="shared" si="474"/>
        <v>0</v>
      </c>
      <c r="I418" s="393">
        <f t="shared" si="474"/>
        <v>0</v>
      </c>
      <c r="J418" s="393">
        <f t="shared" si="474"/>
        <v>0</v>
      </c>
      <c r="K418" s="393">
        <f t="shared" si="474"/>
        <v>0</v>
      </c>
      <c r="L418" s="393">
        <f t="shared" si="474"/>
        <v>0</v>
      </c>
      <c r="M418" s="393">
        <f t="shared" si="474"/>
        <v>0</v>
      </c>
      <c r="N418" s="393">
        <f t="shared" si="474"/>
        <v>0</v>
      </c>
      <c r="O418" s="393">
        <f t="shared" si="474"/>
        <v>0</v>
      </c>
      <c r="P418" s="393">
        <f t="shared" si="474"/>
        <v>328100700</v>
      </c>
      <c r="Q418" s="20"/>
    </row>
    <row r="419" spans="1:18" ht="47.25" thickTop="1" thickBot="1" x14ac:dyDescent="0.25">
      <c r="A419" s="500">
        <v>3719100</v>
      </c>
      <c r="B419" s="348" t="s">
        <v>856</v>
      </c>
      <c r="C419" s="348"/>
      <c r="D419" s="348" t="s">
        <v>855</v>
      </c>
      <c r="E419" s="352">
        <f>E420</f>
        <v>328100700</v>
      </c>
      <c r="F419" s="352">
        <f t="shared" si="474"/>
        <v>328100700</v>
      </c>
      <c r="G419" s="352">
        <f t="shared" si="474"/>
        <v>0</v>
      </c>
      <c r="H419" s="352">
        <f t="shared" si="474"/>
        <v>0</v>
      </c>
      <c r="I419" s="352">
        <f t="shared" si="474"/>
        <v>0</v>
      </c>
      <c r="J419" s="352">
        <f t="shared" si="474"/>
        <v>0</v>
      </c>
      <c r="K419" s="352">
        <f t="shared" si="474"/>
        <v>0</v>
      </c>
      <c r="L419" s="352">
        <f t="shared" si="474"/>
        <v>0</v>
      </c>
      <c r="M419" s="352">
        <f t="shared" si="474"/>
        <v>0</v>
      </c>
      <c r="N419" s="352">
        <f t="shared" si="474"/>
        <v>0</v>
      </c>
      <c r="O419" s="352">
        <f t="shared" si="474"/>
        <v>0</v>
      </c>
      <c r="P419" s="352">
        <f t="shared" si="474"/>
        <v>328100700</v>
      </c>
      <c r="Q419" s="20"/>
    </row>
    <row r="420" spans="1:18" ht="51" customHeight="1" thickTop="1" thickBot="1" x14ac:dyDescent="0.25">
      <c r="A420" s="401">
        <v>3719110</v>
      </c>
      <c r="B420" s="401">
        <v>9110</v>
      </c>
      <c r="C420" s="119" t="s">
        <v>43</v>
      </c>
      <c r="D420" s="413" t="s">
        <v>455</v>
      </c>
      <c r="E420" s="393">
        <f>F420</f>
        <v>328100700</v>
      </c>
      <c r="F420" s="350">
        <v>328100700</v>
      </c>
      <c r="G420" s="350"/>
      <c r="H420" s="350"/>
      <c r="I420" s="350"/>
      <c r="J420" s="393">
        <f>L420+O420</f>
        <v>0</v>
      </c>
      <c r="K420" s="350"/>
      <c r="L420" s="350"/>
      <c r="M420" s="350"/>
      <c r="N420" s="350"/>
      <c r="O420" s="351">
        <f>K420</f>
        <v>0</v>
      </c>
      <c r="P420" s="393">
        <f>E420+J420</f>
        <v>328100700</v>
      </c>
      <c r="Q420" s="20"/>
    </row>
    <row r="421" spans="1:18" ht="111" customHeight="1" thickTop="1" thickBot="1" x14ac:dyDescent="0.25">
      <c r="A421" s="566" t="s">
        <v>385</v>
      </c>
      <c r="B421" s="566" t="s">
        <v>385</v>
      </c>
      <c r="C421" s="566" t="s">
        <v>385</v>
      </c>
      <c r="D421" s="566" t="s">
        <v>395</v>
      </c>
      <c r="E421" s="567">
        <f t="shared" ref="E421:P421" si="475">E16+E46+E216+E104+E134+E194++E313+E338+E404+E366+E385+E395+E347+E278+E252</f>
        <v>4240424901.0599999</v>
      </c>
      <c r="F421" s="567">
        <f t="shared" si="475"/>
        <v>4240424901.0599999</v>
      </c>
      <c r="G421" s="567">
        <f t="shared" si="475"/>
        <v>1643241755.4300001</v>
      </c>
      <c r="H421" s="567">
        <f t="shared" si="475"/>
        <v>178523212.53</v>
      </c>
      <c r="I421" s="567">
        <f t="shared" si="475"/>
        <v>0</v>
      </c>
      <c r="J421" s="567">
        <f t="shared" si="475"/>
        <v>1627690599.0300002</v>
      </c>
      <c r="K421" s="567">
        <f t="shared" si="475"/>
        <v>1418870125.9500003</v>
      </c>
      <c r="L421" s="567">
        <f t="shared" si="475"/>
        <v>199319807.08000001</v>
      </c>
      <c r="M421" s="567">
        <f t="shared" si="475"/>
        <v>49947065</v>
      </c>
      <c r="N421" s="567">
        <f t="shared" si="475"/>
        <v>17003655</v>
      </c>
      <c r="O421" s="567">
        <f t="shared" si="475"/>
        <v>1428370791.9500003</v>
      </c>
      <c r="P421" s="567">
        <f t="shared" si="475"/>
        <v>5868115500.0900002</v>
      </c>
      <c r="Q421" s="89" t="b">
        <f>P421=J421+E421</f>
        <v>1</v>
      </c>
    </row>
    <row r="422" spans="1:18" ht="46.5" thickTop="1" x14ac:dyDescent="0.2">
      <c r="A422" s="729" t="s">
        <v>1332</v>
      </c>
      <c r="B422" s="730"/>
      <c r="C422" s="730"/>
      <c r="D422" s="730"/>
      <c r="E422" s="730"/>
      <c r="F422" s="730"/>
      <c r="G422" s="730"/>
      <c r="H422" s="730"/>
      <c r="I422" s="730"/>
      <c r="J422" s="730"/>
      <c r="K422" s="730"/>
      <c r="L422" s="730"/>
      <c r="M422" s="730"/>
      <c r="N422" s="730"/>
      <c r="O422" s="730"/>
      <c r="P422" s="730"/>
      <c r="Q422" s="93"/>
    </row>
    <row r="423" spans="1:18" ht="60.75" hidden="1" x14ac:dyDescent="0.2">
      <c r="A423" s="184"/>
      <c r="B423" s="185"/>
      <c r="C423" s="185"/>
      <c r="D423" s="185"/>
      <c r="E423" s="394">
        <f>F423</f>
        <v>4240424901.0600004</v>
      </c>
      <c r="F423" s="394">
        <f>(((((((((((3042022336.28+630802893+8260086)-9359911-150000-4895000)+408547246.84-3366523)-1013222.5)+88281-36901152.46-451590-500000))+166679104.83+12298837.72+1000000-20000+170000+151300-546000)-6500000)+81133279.88)+2413596+168829)+74909739.47-150000000+6000000)+19482770</f>
        <v>4240424901.0600004</v>
      </c>
      <c r="G423" s="394">
        <f>((((((97820900+700442852+88293048+2636610+43398010+109636660+47666561+1669391+510343880+3045420)+13450+3532532)+840600)+72361.47+497899)+1978358)+30121300-2000000-241814+48240.96+270000)-2500000+100000+2443300-100600+44606+3168190</f>
        <v>1643241755.4300001</v>
      </c>
      <c r="H423" s="394">
        <f>((((((((7110100+195613308+216098+5150735+74329+8494910+3165886+4570553+4601586)+142020.09+148400+52329.48)+134764.64+243030+245850)-898850)+168829)-48072913.68-1105000-100000-360000)-230954)-245798)-196000-400000</f>
        <v>178523212.52999997</v>
      </c>
      <c r="I423" s="394">
        <v>0</v>
      </c>
      <c r="J423" s="394">
        <f>(((((((((411784702.72+'d2'!E42-'d4'!N17)+13686000+150000+4895000)+715534375.97+3366523)+36901152.46+451590+500000)+(392213224.81-(7972860-45000))+89386247.57-1000000+20000-170000-151300+546000)+6500000)+50866720.12)+11560925.14)-72423320.76-6000000)-19509382</f>
        <v>1627690599.03</v>
      </c>
      <c r="K423" s="394">
        <f>(((((((((411784702.72+'d2'!F42-'d4'!N17-2950700-1350000-188624447)+13686000+150000+4895000)+715534375.97-6350319-2606434-1286664.08+3366523)+36901152.46+451590+500000)+(392213224.81-(7972860-45000)-1250000)+89386247.57-1000000+20000-170000-151300+546000)-1000000+6500000)+50866720.12-600000)+11560925.14)-72423320.76-2828521-6000000)-19509382-(-26612)</f>
        <v>1418870125.95</v>
      </c>
      <c r="L423" s="394">
        <f>((((((3326700+171685130+2118642+1000000+640000+211210+9125775)+784434+6275319+506938.21+479725.87-50000)+127001)+80000+852942+700000-700000)+600000)+1582602)-26612</f>
        <v>199319807.08000001</v>
      </c>
      <c r="M423" s="394">
        <f>((39544820+350000+361000+5000+1072780+6635445)+1468040)+587980-78000</f>
        <v>49947065</v>
      </c>
      <c r="N423" s="394">
        <f>((15551110+158000+55000+195110+383875+290560)+350000)+20000</f>
        <v>17003655</v>
      </c>
      <c r="O423" s="394">
        <f>((((((((((411784702.72+'d2'!F42-'d4'!N17-188624447-2950700-1350000+(90000+122380+3445630+185680)+974000)+13686000+150000+4895000)+(715534375.97-6350319-2606434-1286664.08)+1822000+75000+300000+50000+3366523)+36901152.46-127001+451590+500000)+(392213224.81-(7972860-45000)-1250000)-80000-700000+397058)+700000+89386247.57-1000000+20000-170000-151300+546000)+6500000)+50866720.12-600000)+11560925.14)-72423320.76-1582602-6000000)-19509382-(-26612)</f>
        <v>1428370791.95</v>
      </c>
      <c r="P423" s="394">
        <f>(((((((((3453807039+'d2'!E42-'d4'!Q28+630802893+8260086)+16400+4309689)+1124081622.81)+88281)+558892329.64)+101685085.29)+132000000)+13974521.14+168829)+2486418.71-150000000)-26612</f>
        <v>5868115500.0900002</v>
      </c>
      <c r="Q423" s="89" t="b">
        <f>E423+J423=P423</f>
        <v>1</v>
      </c>
      <c r="R423" s="56"/>
    </row>
    <row r="424" spans="1:18" ht="45.75" x14ac:dyDescent="0.65">
      <c r="A424" s="15"/>
      <c r="B424" s="16"/>
      <c r="C424" s="16"/>
      <c r="D424" s="644" t="s">
        <v>1586</v>
      </c>
      <c r="E424" s="361"/>
      <c r="F424" s="361"/>
      <c r="G424" s="617"/>
      <c r="H424" s="3"/>
      <c r="I424" s="2"/>
      <c r="J424" s="3"/>
      <c r="K424" s="617" t="s">
        <v>1587</v>
      </c>
      <c r="L424" s="2"/>
      <c r="M424" s="2"/>
      <c r="N424" s="2"/>
      <c r="O424" s="2"/>
      <c r="P424" s="2"/>
      <c r="Q424" s="93"/>
    </row>
    <row r="425" spans="1:18" ht="45.75" hidden="1" x14ac:dyDescent="0.65">
      <c r="A425" s="15"/>
      <c r="B425" s="16"/>
      <c r="C425" s="16"/>
      <c r="D425" s="3" t="s">
        <v>1548</v>
      </c>
      <c r="E425" s="361"/>
      <c r="F425" s="361"/>
      <c r="G425" s="617"/>
      <c r="H425" s="3"/>
      <c r="I425" s="2"/>
      <c r="J425" s="3"/>
      <c r="K425" s="3" t="s">
        <v>1549</v>
      </c>
      <c r="L425" s="2"/>
      <c r="M425" s="2"/>
      <c r="N425" s="2"/>
      <c r="O425" s="2"/>
      <c r="P425" s="2"/>
      <c r="Q425" s="93"/>
    </row>
    <row r="426" spans="1:18" ht="26.25" customHeight="1" x14ac:dyDescent="0.65">
      <c r="A426" s="15"/>
      <c r="B426" s="16"/>
      <c r="C426" s="16"/>
      <c r="D426" s="703"/>
      <c r="E426" s="703"/>
      <c r="F426" s="703"/>
      <c r="G426" s="703"/>
      <c r="H426" s="703"/>
      <c r="I426" s="703"/>
      <c r="J426" s="703"/>
      <c r="K426" s="703"/>
      <c r="L426" s="703"/>
      <c r="M426" s="703"/>
      <c r="N426" s="703"/>
      <c r="O426" s="703"/>
      <c r="P426" s="703"/>
      <c r="Q426" s="93"/>
    </row>
    <row r="427" spans="1:18" ht="50.25" customHeight="1" thickBot="1" x14ac:dyDescent="0.7">
      <c r="A427" s="15"/>
      <c r="B427" s="16"/>
      <c r="C427" s="16"/>
      <c r="D427" s="673" t="s">
        <v>528</v>
      </c>
      <c r="E427" s="674"/>
      <c r="F427" s="674"/>
      <c r="G427" s="618"/>
      <c r="H427" s="618"/>
      <c r="I427" s="2"/>
      <c r="J427" s="2"/>
      <c r="K427" s="3" t="s">
        <v>1435</v>
      </c>
      <c r="L427" s="2"/>
      <c r="M427" s="2"/>
      <c r="N427" s="2"/>
      <c r="O427" s="2"/>
      <c r="P427" s="2"/>
      <c r="Q427" s="93"/>
    </row>
    <row r="428" spans="1:18" ht="47.25" thickTop="1" thickBot="1" x14ac:dyDescent="0.7">
      <c r="A428" s="19"/>
      <c r="B428" s="19"/>
      <c r="C428" s="19"/>
      <c r="D428" s="731"/>
      <c r="E428" s="731"/>
      <c r="F428" s="731"/>
      <c r="G428" s="731"/>
      <c r="H428" s="731"/>
      <c r="I428" s="731"/>
      <c r="J428" s="731"/>
      <c r="K428" s="731"/>
      <c r="L428" s="731"/>
      <c r="M428" s="731"/>
      <c r="N428" s="731"/>
      <c r="O428" s="731"/>
      <c r="P428" s="731"/>
      <c r="Q428" s="94"/>
    </row>
    <row r="429" spans="1:18" ht="95.25" customHeight="1" thickTop="1" x14ac:dyDescent="0.55000000000000004">
      <c r="G429" s="58"/>
      <c r="H429" s="58"/>
      <c r="I429" s="102"/>
      <c r="J429" s="103"/>
      <c r="K429" s="103"/>
      <c r="L429" s="102"/>
      <c r="M429" s="102"/>
      <c r="N429" s="102"/>
      <c r="O429" s="102"/>
      <c r="P429" s="103"/>
      <c r="Q429" s="92"/>
    </row>
    <row r="430" spans="1:18" x14ac:dyDescent="0.2">
      <c r="E430" s="59"/>
      <c r="F430" s="60"/>
      <c r="G430" s="58"/>
      <c r="H430" s="58"/>
      <c r="I430" s="102"/>
      <c r="J430" s="104"/>
      <c r="K430" s="104"/>
      <c r="L430" s="102"/>
      <c r="M430" s="102"/>
      <c r="N430" s="102"/>
      <c r="O430" s="102"/>
      <c r="P430" s="103"/>
    </row>
    <row r="431" spans="1:18" x14ac:dyDescent="0.2">
      <c r="E431" s="59"/>
      <c r="F431" s="60"/>
      <c r="G431" s="58"/>
      <c r="H431" s="58"/>
      <c r="I431" s="102"/>
      <c r="J431" s="104"/>
      <c r="K431" s="104"/>
      <c r="L431" s="102"/>
      <c r="M431" s="102"/>
      <c r="N431" s="102"/>
      <c r="O431" s="102"/>
      <c r="P431" s="103"/>
    </row>
    <row r="432" spans="1:18" ht="60.75" x14ac:dyDescent="0.2">
      <c r="E432" s="89" t="b">
        <f>E423=E421</f>
        <v>1</v>
      </c>
      <c r="F432" s="89" t="b">
        <f>F423=F421</f>
        <v>1</v>
      </c>
      <c r="G432" s="89" t="b">
        <f>G423=G421</f>
        <v>1</v>
      </c>
      <c r="H432" s="89" t="b">
        <f t="shared" ref="H432:O432" si="476">H423=H421</f>
        <v>1</v>
      </c>
      <c r="I432" s="89" t="b">
        <f>I423=I421</f>
        <v>1</v>
      </c>
      <c r="J432" s="89" t="b">
        <f>J423=J421</f>
        <v>1</v>
      </c>
      <c r="K432" s="89" t="b">
        <f>K423=K421</f>
        <v>1</v>
      </c>
      <c r="L432" s="89" t="b">
        <f t="shared" si="476"/>
        <v>1</v>
      </c>
      <c r="M432" s="89" t="b">
        <f t="shared" si="476"/>
        <v>1</v>
      </c>
      <c r="N432" s="89" t="b">
        <f>N423=N421</f>
        <v>1</v>
      </c>
      <c r="O432" s="89" t="b">
        <f t="shared" si="476"/>
        <v>1</v>
      </c>
      <c r="P432" s="89" t="b">
        <f>P423=P421</f>
        <v>1</v>
      </c>
    </row>
    <row r="433" spans="1:18" ht="61.5" x14ac:dyDescent="0.2">
      <c r="E433" s="89" t="b">
        <f>E421=F421</f>
        <v>1</v>
      </c>
      <c r="F433" s="112">
        <f>F414/E421</f>
        <v>4.5421823778049441E-3</v>
      </c>
      <c r="G433" s="96"/>
      <c r="H433" s="97"/>
      <c r="I433" s="98"/>
      <c r="J433" s="89" t="b">
        <f>J423=L423+O423</f>
        <v>1</v>
      </c>
      <c r="K433" s="105"/>
      <c r="L433" s="89"/>
      <c r="M433" s="98"/>
      <c r="N433" s="98"/>
      <c r="O433" s="89"/>
      <c r="P433" s="89" t="b">
        <f>E421+J421=P421</f>
        <v>1</v>
      </c>
    </row>
    <row r="434" spans="1:18" ht="60.75" x14ac:dyDescent="0.2">
      <c r="E434" s="99"/>
      <c r="F434" s="100"/>
      <c r="G434" s="99"/>
      <c r="H434" s="101"/>
      <c r="I434" s="99"/>
      <c r="J434" s="59"/>
      <c r="K434" s="59"/>
    </row>
    <row r="435" spans="1:18" ht="61.5" x14ac:dyDescent="0.2">
      <c r="A435" s="21"/>
      <c r="B435" s="21"/>
      <c r="C435" s="21"/>
      <c r="D435" s="22"/>
      <c r="E435" s="37">
        <f>E421-E423</f>
        <v>0</v>
      </c>
      <c r="F435" s="112">
        <f>400000/E421</f>
        <v>9.433016957805574E-5</v>
      </c>
      <c r="G435" s="96"/>
      <c r="H435" s="61"/>
      <c r="I435" s="22"/>
      <c r="J435" s="37">
        <f>J421-J423</f>
        <v>0</v>
      </c>
      <c r="K435" s="37">
        <f>K421-K423</f>
        <v>0</v>
      </c>
      <c r="L435" s="37"/>
      <c r="M435" s="37"/>
      <c r="N435" s="37"/>
      <c r="O435" s="37">
        <f>O421-O423</f>
        <v>0</v>
      </c>
      <c r="P435" s="37"/>
    </row>
    <row r="436" spans="1:18" ht="61.5" x14ac:dyDescent="0.2">
      <c r="D436" s="22"/>
      <c r="E436" s="37"/>
      <c r="F436" s="63"/>
      <c r="G436" s="55"/>
      <c r="H436" s="61"/>
      <c r="I436" s="22"/>
      <c r="J436" s="37"/>
      <c r="K436" s="37"/>
      <c r="L436" s="64"/>
      <c r="P436" s="55"/>
      <c r="Q436" s="95"/>
      <c r="R436" s="65"/>
    </row>
    <row r="437" spans="1:18" ht="60.75" x14ac:dyDescent="0.2">
      <c r="A437" s="21"/>
      <c r="B437" s="21"/>
      <c r="C437" s="21"/>
      <c r="D437" s="22"/>
      <c r="E437" s="26"/>
      <c r="F437" s="26"/>
      <c r="G437" s="26"/>
      <c r="H437" s="26"/>
      <c r="I437" s="66"/>
      <c r="J437" s="26"/>
      <c r="K437" s="26"/>
      <c r="L437" s="26"/>
      <c r="M437" s="26"/>
      <c r="N437" s="26"/>
      <c r="O437" s="26"/>
      <c r="P437" s="26"/>
      <c r="Q437" s="95"/>
      <c r="R437" s="65"/>
    </row>
    <row r="438" spans="1:18" ht="60.75" x14ac:dyDescent="0.2">
      <c r="D438" s="22"/>
      <c r="E438" s="37"/>
      <c r="F438" s="67"/>
      <c r="O438" s="55"/>
      <c r="P438" s="55"/>
    </row>
    <row r="439" spans="1:18" ht="60.75" x14ac:dyDescent="0.2">
      <c r="A439" s="21"/>
      <c r="B439" s="21"/>
      <c r="C439" s="21"/>
      <c r="D439" s="22"/>
      <c r="E439" s="37"/>
      <c r="F439" s="62"/>
      <c r="G439" s="64"/>
      <c r="I439" s="68"/>
      <c r="J439" s="59"/>
      <c r="K439" s="59"/>
      <c r="L439" s="21"/>
      <c r="M439" s="21"/>
      <c r="N439" s="21"/>
      <c r="O439" s="21"/>
      <c r="P439" s="55"/>
    </row>
    <row r="440" spans="1:18" ht="62.25" x14ac:dyDescent="0.8">
      <c r="A440" s="21"/>
      <c r="B440" s="21"/>
      <c r="C440" s="21"/>
      <c r="D440" s="21"/>
      <c r="E440" s="69"/>
      <c r="F440" s="62"/>
      <c r="J440" s="59"/>
      <c r="K440" s="59"/>
      <c r="L440" s="21"/>
      <c r="M440" s="21"/>
      <c r="N440" s="21"/>
      <c r="O440" s="21"/>
      <c r="P440" s="70"/>
    </row>
    <row r="441" spans="1:18" ht="45.75" x14ac:dyDescent="0.2">
      <c r="E441" s="71"/>
      <c r="F441" s="67"/>
    </row>
    <row r="442" spans="1:18" ht="45.75" x14ac:dyDescent="0.2">
      <c r="A442" s="21"/>
      <c r="B442" s="21"/>
      <c r="C442" s="21"/>
      <c r="D442" s="21"/>
      <c r="E442" s="69"/>
      <c r="F442" s="62"/>
      <c r="L442" s="21"/>
      <c r="M442" s="21"/>
      <c r="N442" s="21"/>
      <c r="O442" s="21"/>
      <c r="P442" s="21"/>
    </row>
    <row r="443" spans="1:18" ht="45.75" x14ac:dyDescent="0.2">
      <c r="E443" s="72"/>
      <c r="F443" s="67"/>
    </row>
    <row r="444" spans="1:18" ht="45.75" x14ac:dyDescent="0.2">
      <c r="E444" s="72"/>
      <c r="F444" s="67"/>
    </row>
    <row r="445" spans="1:18" ht="45.75" x14ac:dyDescent="0.2">
      <c r="E445" s="72"/>
      <c r="F445" s="67"/>
    </row>
    <row r="446" spans="1:18" ht="45.75" x14ac:dyDescent="0.2">
      <c r="A446" s="21"/>
      <c r="B446" s="21"/>
      <c r="C446" s="21"/>
      <c r="D446" s="21"/>
      <c r="E446" s="72"/>
      <c r="F446" s="67"/>
      <c r="G446" s="21"/>
      <c r="H446" s="21"/>
      <c r="I446" s="21"/>
      <c r="J446" s="21"/>
      <c r="K446" s="21"/>
      <c r="L446" s="21"/>
      <c r="M446" s="21"/>
      <c r="N446" s="21"/>
      <c r="O446" s="21"/>
      <c r="P446" s="21"/>
    </row>
    <row r="447" spans="1:18" ht="45.75" x14ac:dyDescent="0.2">
      <c r="A447" s="21"/>
      <c r="B447" s="21"/>
      <c r="C447" s="21"/>
      <c r="D447" s="21"/>
      <c r="E447" s="72"/>
      <c r="F447" s="67"/>
      <c r="G447" s="21"/>
      <c r="H447" s="21"/>
      <c r="I447" s="21"/>
      <c r="J447" s="21"/>
      <c r="K447" s="21"/>
      <c r="L447" s="21"/>
      <c r="M447" s="21"/>
      <c r="N447" s="21"/>
      <c r="O447" s="21"/>
      <c r="P447" s="21"/>
    </row>
    <row r="448" spans="1:18" ht="45.75" x14ac:dyDescent="0.2">
      <c r="A448" s="21"/>
      <c r="B448" s="21"/>
      <c r="C448" s="21"/>
      <c r="D448" s="21"/>
      <c r="E448" s="72"/>
      <c r="F448" s="67"/>
      <c r="G448" s="21"/>
      <c r="H448" s="21"/>
      <c r="I448" s="21"/>
      <c r="J448" s="21"/>
      <c r="K448" s="21"/>
      <c r="L448" s="21"/>
      <c r="M448" s="21"/>
      <c r="N448" s="21"/>
      <c r="O448" s="21"/>
      <c r="P448" s="21"/>
    </row>
    <row r="449" spans="1:16" ht="45.75" x14ac:dyDescent="0.2">
      <c r="A449" s="21"/>
      <c r="B449" s="21"/>
      <c r="C449" s="21"/>
      <c r="D449" s="21"/>
      <c r="E449" s="72"/>
      <c r="F449" s="67"/>
      <c r="G449" s="21"/>
      <c r="H449" s="21"/>
      <c r="I449" s="21"/>
      <c r="J449" s="21"/>
      <c r="K449" s="21"/>
      <c r="L449" s="21"/>
      <c r="M449" s="21"/>
      <c r="N449" s="21"/>
      <c r="O449" s="21"/>
      <c r="P449" s="21"/>
    </row>
  </sheetData>
  <mergeCells count="198">
    <mergeCell ref="A422:P422"/>
    <mergeCell ref="D428:P428"/>
    <mergeCell ref="K30:K31"/>
    <mergeCell ref="L30:L31"/>
    <mergeCell ref="M30:M31"/>
    <mergeCell ref="N30:N31"/>
    <mergeCell ref="O30:O31"/>
    <mergeCell ref="P30:P31"/>
    <mergeCell ref="E272:E273"/>
    <mergeCell ref="F272:F273"/>
    <mergeCell ref="G272:G273"/>
    <mergeCell ref="H272:H273"/>
    <mergeCell ref="I272:I273"/>
    <mergeCell ref="J272:J273"/>
    <mergeCell ref="A30:A31"/>
    <mergeCell ref="E30:E31"/>
    <mergeCell ref="F30:F31"/>
    <mergeCell ref="G30:G31"/>
    <mergeCell ref="H30:H31"/>
    <mergeCell ref="J30:J31"/>
    <mergeCell ref="A301:A302"/>
    <mergeCell ref="A56:A57"/>
    <mergeCell ref="B56:B57"/>
    <mergeCell ref="L56:L57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O12:O13"/>
    <mergeCell ref="A9:B9"/>
    <mergeCell ref="A11:A13"/>
    <mergeCell ref="B11:B13"/>
    <mergeCell ref="C11:C13"/>
    <mergeCell ref="D11:D13"/>
    <mergeCell ref="E11:I11"/>
    <mergeCell ref="K272:K273"/>
    <mergeCell ref="L272:L273"/>
    <mergeCell ref="M272:M273"/>
    <mergeCell ref="N272:N273"/>
    <mergeCell ref="O272:O273"/>
    <mergeCell ref="M56:M57"/>
    <mergeCell ref="N56:N57"/>
    <mergeCell ref="G191:G192"/>
    <mergeCell ref="C56:C57"/>
    <mergeCell ref="E56:E57"/>
    <mergeCell ref="F56:F57"/>
    <mergeCell ref="H191:H192"/>
    <mergeCell ref="I191:I192"/>
    <mergeCell ref="C191:C192"/>
    <mergeCell ref="E191:E192"/>
    <mergeCell ref="F191:F192"/>
    <mergeCell ref="C75:C76"/>
    <mergeCell ref="D75:D76"/>
    <mergeCell ref="E75:E76"/>
    <mergeCell ref="C162:C165"/>
    <mergeCell ref="E162:E165"/>
    <mergeCell ref="F162:F165"/>
    <mergeCell ref="G162:G165"/>
    <mergeCell ref="H162:H165"/>
    <mergeCell ref="I30:I31"/>
    <mergeCell ref="B30:B31"/>
    <mergeCell ref="C30:C31"/>
    <mergeCell ref="J301:J302"/>
    <mergeCell ref="A272:A273"/>
    <mergeCell ref="B272:B273"/>
    <mergeCell ref="C272:C273"/>
    <mergeCell ref="J191:J192"/>
    <mergeCell ref="A191:A192"/>
    <mergeCell ref="B191:B192"/>
    <mergeCell ref="A75:A76"/>
    <mergeCell ref="B75:B76"/>
    <mergeCell ref="B162:B165"/>
    <mergeCell ref="A173:A175"/>
    <mergeCell ref="B173:B175"/>
    <mergeCell ref="I166:I169"/>
    <mergeCell ref="J166:J169"/>
    <mergeCell ref="I162:I165"/>
    <mergeCell ref="P75:P76"/>
    <mergeCell ref="A162:A165"/>
    <mergeCell ref="D426:P426"/>
    <mergeCell ref="O56:O57"/>
    <mergeCell ref="P56:P57"/>
    <mergeCell ref="G56:G57"/>
    <mergeCell ref="H56:H57"/>
    <mergeCell ref="I56:I57"/>
    <mergeCell ref="J56:J57"/>
    <mergeCell ref="K56:K57"/>
    <mergeCell ref="O301:O302"/>
    <mergeCell ref="P301:P302"/>
    <mergeCell ref="K301:K302"/>
    <mergeCell ref="L301:L302"/>
    <mergeCell ref="M301:M302"/>
    <mergeCell ref="N301:N302"/>
    <mergeCell ref="K334:K335"/>
    <mergeCell ref="L334:L335"/>
    <mergeCell ref="M334:M335"/>
    <mergeCell ref="N334:N335"/>
    <mergeCell ref="O334:O335"/>
    <mergeCell ref="E301:E302"/>
    <mergeCell ref="F301:F302"/>
    <mergeCell ref="G301:G302"/>
    <mergeCell ref="Q162:Q165"/>
    <mergeCell ref="A166:A169"/>
    <mergeCell ref="P334:P335"/>
    <mergeCell ref="I75:I76"/>
    <mergeCell ref="J75:J76"/>
    <mergeCell ref="K75:K76"/>
    <mergeCell ref="L75:L76"/>
    <mergeCell ref="A334:A335"/>
    <mergeCell ref="B334:B335"/>
    <mergeCell ref="C334:C335"/>
    <mergeCell ref="E334:E335"/>
    <mergeCell ref="F334:F335"/>
    <mergeCell ref="G334:G335"/>
    <mergeCell ref="H334:H335"/>
    <mergeCell ref="I334:I335"/>
    <mergeCell ref="J334:J335"/>
    <mergeCell ref="F75:F76"/>
    <mergeCell ref="G75:G76"/>
    <mergeCell ref="H75:H76"/>
    <mergeCell ref="M75:M76"/>
    <mergeCell ref="N75:N76"/>
    <mergeCell ref="B301:B302"/>
    <mergeCell ref="C301:C302"/>
    <mergeCell ref="O75:O76"/>
    <mergeCell ref="O166:O169"/>
    <mergeCell ref="P166:P169"/>
    <mergeCell ref="J162:J165"/>
    <mergeCell ref="K162:K165"/>
    <mergeCell ref="L162:L165"/>
    <mergeCell ref="M162:M165"/>
    <mergeCell ref="N162:N165"/>
    <mergeCell ref="O162:O165"/>
    <mergeCell ref="P162:P165"/>
    <mergeCell ref="K166:K169"/>
    <mergeCell ref="L166:L169"/>
    <mergeCell ref="M166:M169"/>
    <mergeCell ref="N166:N169"/>
    <mergeCell ref="R162:R165"/>
    <mergeCell ref="R170:R172"/>
    <mergeCell ref="A170:A172"/>
    <mergeCell ref="B170:B172"/>
    <mergeCell ref="C170:C172"/>
    <mergeCell ref="E170:E172"/>
    <mergeCell ref="F170:F172"/>
    <mergeCell ref="G170:G172"/>
    <mergeCell ref="H170:H172"/>
    <mergeCell ref="I170:I172"/>
    <mergeCell ref="J170:J172"/>
    <mergeCell ref="K170:K172"/>
    <mergeCell ref="L170:L172"/>
    <mergeCell ref="M170:M172"/>
    <mergeCell ref="N170:N172"/>
    <mergeCell ref="O170:O172"/>
    <mergeCell ref="P170:P172"/>
    <mergeCell ref="R166:R169"/>
    <mergeCell ref="B166:B169"/>
    <mergeCell ref="C166:C169"/>
    <mergeCell ref="E166:E169"/>
    <mergeCell ref="F166:F169"/>
    <mergeCell ref="G166:G169"/>
    <mergeCell ref="H166:H169"/>
    <mergeCell ref="D427:F427"/>
    <mergeCell ref="M173:M175"/>
    <mergeCell ref="N173:N175"/>
    <mergeCell ref="O173:O175"/>
    <mergeCell ref="P173:P175"/>
    <mergeCell ref="R173:R175"/>
    <mergeCell ref="C173:C175"/>
    <mergeCell ref="E173:E175"/>
    <mergeCell ref="F173:F175"/>
    <mergeCell ref="G173:G175"/>
    <mergeCell ref="H173:H175"/>
    <mergeCell ref="I173:I175"/>
    <mergeCell ref="J173:J175"/>
    <mergeCell ref="K173:K175"/>
    <mergeCell ref="L173:L175"/>
    <mergeCell ref="H301:H302"/>
    <mergeCell ref="I301:I302"/>
    <mergeCell ref="P272:P273"/>
    <mergeCell ref="K191:K192"/>
    <mergeCell ref="L191:L192"/>
    <mergeCell ref="M191:M192"/>
    <mergeCell ref="N191:N192"/>
    <mergeCell ref="O191:O192"/>
    <mergeCell ref="P191:P192"/>
  </mergeCells>
  <conditionalFormatting sqref="Q338:Q345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Q347:Q348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Q349:Q364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Q385:Q390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Q391:Q393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404:Q405 Q407:R411 R406:S406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Q406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Q366:R372">
    <cfRule type="iconSet" priority="53">
      <iconSet iconSet="3Arrows">
        <cfvo type="percent" val="0"/>
        <cfvo type="percent" val="33"/>
        <cfvo type="percent" val="67"/>
      </iconSet>
    </cfRule>
  </conditionalFormatting>
  <conditionalFormatting sqref="R338:R339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340:R345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47:R348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49:R364">
    <cfRule type="iconSet" priority="49">
      <iconSet iconSet="3Arrows">
        <cfvo type="percent" val="0"/>
        <cfvo type="percent" val="33"/>
        <cfvo type="percent" val="67"/>
      </iconSet>
    </cfRule>
  </conditionalFormatting>
  <conditionalFormatting sqref="R373:R383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R385:R386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387:R390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R397:R399 Q395:R396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R400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402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404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405">
    <cfRule type="iconSet" priority="19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3" orientation="landscape" r:id="rId1"/>
  <headerFooter alignWithMargins="0">
    <oddFooter>&amp;C&amp;"Times New Roman Cyr,курсив"Сторінка &amp;P з &amp;N</oddFooter>
  </headerFooter>
  <rowBreaks count="2" manualBreakCount="2">
    <brk id="291" max="15" man="1"/>
    <brk id="354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Аркуш4"/>
  <dimension ref="A1:R176"/>
  <sheetViews>
    <sheetView showGridLines="0" view="pageBreakPreview" topLeftCell="B21" zoomScale="85" zoomScaleNormal="85" zoomScaleSheetLayoutView="85" workbookViewId="0">
      <selection activeCell="B31" sqref="A31:XFD31"/>
    </sheetView>
  </sheetViews>
  <sheetFormatPr defaultColWidth="7.85546875" defaultRowHeight="12.75" x14ac:dyDescent="0.2"/>
  <cols>
    <col min="1" max="1" width="0" style="186" hidden="1" customWidth="1"/>
    <col min="2" max="2" width="13" style="7" customWidth="1"/>
    <col min="3" max="3" width="13.5703125" style="7" customWidth="1"/>
    <col min="4" max="4" width="15.28515625" style="7" customWidth="1"/>
    <col min="5" max="5" width="38.85546875" style="7" customWidth="1"/>
    <col min="6" max="6" width="11.85546875" style="7" bestFit="1" customWidth="1"/>
    <col min="7" max="7" width="11.85546875" style="7" customWidth="1"/>
    <col min="8" max="8" width="13.28515625" style="7" customWidth="1"/>
    <col min="9" max="9" width="12.5703125" style="7" customWidth="1"/>
    <col min="10" max="10" width="12.140625" style="7" customWidth="1"/>
    <col min="11" max="11" width="18.140625" style="7" customWidth="1"/>
    <col min="12" max="12" width="13.5703125" style="7" customWidth="1"/>
    <col min="13" max="13" width="13" style="7" customWidth="1"/>
    <col min="14" max="14" width="11.42578125" style="7" customWidth="1"/>
    <col min="15" max="15" width="12.7109375" style="7" customWidth="1"/>
    <col min="16" max="16" width="12.5703125" style="7" customWidth="1"/>
    <col min="17" max="17" width="12.7109375" style="7" customWidth="1"/>
    <col min="18" max="18" width="10" style="7" bestFit="1" customWidth="1"/>
    <col min="19" max="16384" width="7.85546875" style="7"/>
  </cols>
  <sheetData>
    <row r="1" spans="1:18" x14ac:dyDescent="0.2"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</row>
    <row r="2" spans="1:18" ht="64.5" customHeight="1" x14ac:dyDescent="0.2">
      <c r="B2" s="423"/>
      <c r="C2" s="423"/>
      <c r="D2" s="423"/>
      <c r="E2" s="446"/>
      <c r="F2" s="446"/>
      <c r="G2" s="446"/>
      <c r="H2" s="446"/>
      <c r="I2" s="446"/>
      <c r="J2" s="446"/>
      <c r="K2" s="446"/>
      <c r="L2" s="446"/>
      <c r="M2" s="740" t="s">
        <v>1366</v>
      </c>
      <c r="N2" s="740"/>
      <c r="O2" s="740"/>
      <c r="P2" s="740"/>
      <c r="Q2" s="740"/>
    </row>
    <row r="3" spans="1:18" ht="18.75" x14ac:dyDescent="0.2">
      <c r="B3" s="745"/>
      <c r="C3" s="745"/>
      <c r="D3" s="423"/>
      <c r="E3" s="741" t="s">
        <v>576</v>
      </c>
      <c r="F3" s="741"/>
      <c r="G3" s="741"/>
      <c r="H3" s="741"/>
      <c r="I3" s="741"/>
      <c r="J3" s="741"/>
      <c r="K3" s="741"/>
      <c r="L3" s="741"/>
      <c r="M3" s="741"/>
      <c r="N3" s="447"/>
      <c r="O3" s="447"/>
      <c r="P3" s="447"/>
      <c r="Q3" s="447"/>
    </row>
    <row r="4" spans="1:18" ht="21" customHeight="1" x14ac:dyDescent="0.2">
      <c r="B4" s="448"/>
      <c r="C4" s="115"/>
      <c r="D4" s="449"/>
      <c r="E4" s="741" t="s">
        <v>1298</v>
      </c>
      <c r="F4" s="754"/>
      <c r="G4" s="754"/>
      <c r="H4" s="754"/>
      <c r="I4" s="754"/>
      <c r="J4" s="754"/>
      <c r="K4" s="754"/>
      <c r="L4" s="754"/>
      <c r="M4" s="754"/>
      <c r="N4" s="423"/>
      <c r="O4" s="423"/>
      <c r="P4" s="423"/>
      <c r="Q4" s="450"/>
    </row>
    <row r="5" spans="1:18" ht="12" customHeight="1" x14ac:dyDescent="0.2">
      <c r="B5" s="746">
        <v>2256400000</v>
      </c>
      <c r="C5" s="747"/>
      <c r="D5" s="449"/>
      <c r="E5" s="417"/>
      <c r="F5" s="417"/>
      <c r="G5" s="417"/>
      <c r="H5" s="417"/>
      <c r="I5" s="417"/>
      <c r="J5" s="417"/>
      <c r="K5" s="417"/>
      <c r="L5" s="417"/>
      <c r="M5" s="417"/>
      <c r="N5" s="423"/>
      <c r="O5" s="423"/>
      <c r="P5" s="423"/>
      <c r="Q5" s="450"/>
    </row>
    <row r="6" spans="1:18" ht="12" customHeight="1" x14ac:dyDescent="0.2">
      <c r="B6" s="748" t="s">
        <v>494</v>
      </c>
      <c r="C6" s="749"/>
      <c r="D6" s="449"/>
      <c r="E6" s="417"/>
      <c r="F6" s="417"/>
      <c r="G6" s="417"/>
      <c r="H6" s="417"/>
      <c r="I6" s="417"/>
      <c r="J6" s="417"/>
      <c r="K6" s="417"/>
      <c r="L6" s="417"/>
      <c r="M6" s="417"/>
      <c r="N6" s="423"/>
      <c r="O6" s="423"/>
      <c r="P6" s="423"/>
      <c r="Q6" s="450"/>
    </row>
    <row r="7" spans="1:18" ht="21" customHeight="1" thickBot="1" x14ac:dyDescent="0.35">
      <c r="B7" s="451"/>
      <c r="C7" s="451"/>
      <c r="D7" s="449"/>
      <c r="E7" s="417"/>
      <c r="F7" s="417"/>
      <c r="G7" s="417"/>
      <c r="H7" s="417"/>
      <c r="I7" s="417"/>
      <c r="J7" s="417"/>
      <c r="K7" s="417"/>
      <c r="L7" s="417"/>
      <c r="M7" s="417"/>
      <c r="N7" s="423"/>
      <c r="O7" s="423"/>
      <c r="P7" s="423"/>
      <c r="Q7" s="452" t="s">
        <v>408</v>
      </c>
    </row>
    <row r="8" spans="1:18" ht="17.45" customHeight="1" thickTop="1" thickBot="1" x14ac:dyDescent="0.25">
      <c r="A8" s="187"/>
      <c r="B8" s="742" t="s">
        <v>495</v>
      </c>
      <c r="C8" s="752" t="s">
        <v>496</v>
      </c>
      <c r="D8" s="752" t="s">
        <v>394</v>
      </c>
      <c r="E8" s="752" t="s">
        <v>578</v>
      </c>
      <c r="F8" s="742" t="s">
        <v>124</v>
      </c>
      <c r="G8" s="742"/>
      <c r="H8" s="742"/>
      <c r="I8" s="742"/>
      <c r="J8" s="742" t="s">
        <v>125</v>
      </c>
      <c r="K8" s="742"/>
      <c r="L8" s="742"/>
      <c r="M8" s="742"/>
      <c r="N8" s="742" t="s">
        <v>393</v>
      </c>
      <c r="O8" s="742"/>
      <c r="P8" s="742"/>
      <c r="Q8" s="742"/>
    </row>
    <row r="9" spans="1:18" ht="28.5" customHeight="1" thickTop="1" thickBot="1" x14ac:dyDescent="0.25">
      <c r="A9" s="188"/>
      <c r="B9" s="742"/>
      <c r="C9" s="728"/>
      <c r="D9" s="728"/>
      <c r="E9" s="753"/>
      <c r="F9" s="737" t="s">
        <v>390</v>
      </c>
      <c r="G9" s="737" t="s">
        <v>391</v>
      </c>
      <c r="H9" s="738"/>
      <c r="I9" s="737" t="s">
        <v>392</v>
      </c>
      <c r="J9" s="737" t="s">
        <v>390</v>
      </c>
      <c r="K9" s="737" t="s">
        <v>391</v>
      </c>
      <c r="L9" s="738"/>
      <c r="M9" s="737" t="s">
        <v>392</v>
      </c>
      <c r="N9" s="737" t="s">
        <v>390</v>
      </c>
      <c r="O9" s="737" t="s">
        <v>391</v>
      </c>
      <c r="P9" s="738"/>
      <c r="Q9" s="737" t="s">
        <v>392</v>
      </c>
    </row>
    <row r="10" spans="1:18" ht="65.25" customHeight="1" thickTop="1" thickBot="1" x14ac:dyDescent="0.25">
      <c r="A10" s="7"/>
      <c r="B10" s="742"/>
      <c r="C10" s="728"/>
      <c r="D10" s="728"/>
      <c r="E10" s="728"/>
      <c r="F10" s="737"/>
      <c r="G10" s="453" t="s">
        <v>388</v>
      </c>
      <c r="H10" s="453" t="s">
        <v>389</v>
      </c>
      <c r="I10" s="737"/>
      <c r="J10" s="737"/>
      <c r="K10" s="453" t="s">
        <v>388</v>
      </c>
      <c r="L10" s="453" t="s">
        <v>389</v>
      </c>
      <c r="M10" s="737"/>
      <c r="N10" s="737"/>
      <c r="O10" s="453" t="s">
        <v>388</v>
      </c>
      <c r="P10" s="453" t="s">
        <v>389</v>
      </c>
      <c r="Q10" s="737"/>
    </row>
    <row r="11" spans="1:18" ht="15" customHeight="1" thickTop="1" thickBot="1" x14ac:dyDescent="0.25">
      <c r="A11" s="7"/>
      <c r="B11" s="454">
        <v>1</v>
      </c>
      <c r="C11" s="455">
        <v>2</v>
      </c>
      <c r="D11" s="454">
        <v>3</v>
      </c>
      <c r="E11" s="455">
        <v>4</v>
      </c>
      <c r="F11" s="454">
        <v>5</v>
      </c>
      <c r="G11" s="455">
        <v>6</v>
      </c>
      <c r="H11" s="454">
        <v>7</v>
      </c>
      <c r="I11" s="455">
        <v>8</v>
      </c>
      <c r="J11" s="454">
        <v>9</v>
      </c>
      <c r="K11" s="455">
        <v>10</v>
      </c>
      <c r="L11" s="454">
        <v>11</v>
      </c>
      <c r="M11" s="455">
        <v>12</v>
      </c>
      <c r="N11" s="454">
        <v>13</v>
      </c>
      <c r="O11" s="455">
        <v>14</v>
      </c>
      <c r="P11" s="454">
        <v>15</v>
      </c>
      <c r="Q11" s="455">
        <v>16</v>
      </c>
    </row>
    <row r="12" spans="1:18" s="193" customFormat="1" ht="46.5" thickTop="1" thickBot="1" x14ac:dyDescent="0.25">
      <c r="A12" s="189"/>
      <c r="B12" s="436" t="s">
        <v>22</v>
      </c>
      <c r="C12" s="436"/>
      <c r="D12" s="436"/>
      <c r="E12" s="437" t="s">
        <v>23</v>
      </c>
      <c r="F12" s="438">
        <f>F13</f>
        <v>790000</v>
      </c>
      <c r="G12" s="438">
        <f t="shared" ref="G12:Q12" si="0">G13</f>
        <v>260000</v>
      </c>
      <c r="H12" s="438">
        <f t="shared" si="0"/>
        <v>0</v>
      </c>
      <c r="I12" s="456">
        <f>I13</f>
        <v>1050000</v>
      </c>
      <c r="J12" s="438">
        <f t="shared" si="0"/>
        <v>0</v>
      </c>
      <c r="K12" s="438">
        <f t="shared" si="0"/>
        <v>-260000</v>
      </c>
      <c r="L12" s="438">
        <f t="shared" si="0"/>
        <v>0</v>
      </c>
      <c r="M12" s="456">
        <f>M13</f>
        <v>-260000</v>
      </c>
      <c r="N12" s="438">
        <f t="shared" si="0"/>
        <v>790000</v>
      </c>
      <c r="O12" s="438">
        <f t="shared" si="0"/>
        <v>0</v>
      </c>
      <c r="P12" s="438">
        <f t="shared" si="0"/>
        <v>0</v>
      </c>
      <c r="Q12" s="456">
        <f t="shared" si="0"/>
        <v>790000</v>
      </c>
      <c r="R12" s="8"/>
    </row>
    <row r="13" spans="1:18" ht="44.25" thickTop="1" thickBot="1" x14ac:dyDescent="0.25">
      <c r="B13" s="440" t="s">
        <v>21</v>
      </c>
      <c r="C13" s="440"/>
      <c r="D13" s="440"/>
      <c r="E13" s="441" t="s">
        <v>35</v>
      </c>
      <c r="F13" s="457">
        <f t="shared" ref="F13:Q13" si="1">F18+F17+F19</f>
        <v>790000</v>
      </c>
      <c r="G13" s="457">
        <f t="shared" si="1"/>
        <v>260000</v>
      </c>
      <c r="H13" s="457">
        <f t="shared" si="1"/>
        <v>0</v>
      </c>
      <c r="I13" s="457">
        <f t="shared" si="1"/>
        <v>1050000</v>
      </c>
      <c r="J13" s="457">
        <f t="shared" si="1"/>
        <v>0</v>
      </c>
      <c r="K13" s="457">
        <f t="shared" si="1"/>
        <v>-260000</v>
      </c>
      <c r="L13" s="457">
        <f t="shared" si="1"/>
        <v>0</v>
      </c>
      <c r="M13" s="457">
        <f t="shared" si="1"/>
        <v>-260000</v>
      </c>
      <c r="N13" s="442">
        <f t="shared" si="1"/>
        <v>790000</v>
      </c>
      <c r="O13" s="442">
        <f t="shared" si="1"/>
        <v>0</v>
      </c>
      <c r="P13" s="442">
        <f t="shared" si="1"/>
        <v>0</v>
      </c>
      <c r="Q13" s="457">
        <f t="shared" si="1"/>
        <v>790000</v>
      </c>
    </row>
    <row r="14" spans="1:18" ht="15.75" thickTop="1" thickBot="1" x14ac:dyDescent="0.25">
      <c r="B14" s="458" t="s">
        <v>857</v>
      </c>
      <c r="C14" s="458" t="s">
        <v>702</v>
      </c>
      <c r="D14" s="458"/>
      <c r="E14" s="459" t="s">
        <v>858</v>
      </c>
      <c r="F14" s="460">
        <f>F15</f>
        <v>790000</v>
      </c>
      <c r="G14" s="460">
        <f t="shared" ref="G14:Q15" si="2">G15</f>
        <v>260000</v>
      </c>
      <c r="H14" s="460">
        <f t="shared" si="2"/>
        <v>0</v>
      </c>
      <c r="I14" s="460">
        <f t="shared" si="2"/>
        <v>1050000</v>
      </c>
      <c r="J14" s="460">
        <f t="shared" si="2"/>
        <v>0</v>
      </c>
      <c r="K14" s="460">
        <f t="shared" si="2"/>
        <v>-260000</v>
      </c>
      <c r="L14" s="460">
        <f t="shared" si="2"/>
        <v>0</v>
      </c>
      <c r="M14" s="460">
        <f t="shared" si="2"/>
        <v>-260000</v>
      </c>
      <c r="N14" s="460">
        <f t="shared" si="2"/>
        <v>790000</v>
      </c>
      <c r="O14" s="460">
        <f t="shared" si="2"/>
        <v>0</v>
      </c>
      <c r="P14" s="460">
        <f t="shared" si="2"/>
        <v>0</v>
      </c>
      <c r="Q14" s="460">
        <f t="shared" si="2"/>
        <v>790000</v>
      </c>
    </row>
    <row r="15" spans="1:18" ht="16.5" thickTop="1" thickBot="1" x14ac:dyDescent="0.25">
      <c r="B15" s="461" t="s">
        <v>859</v>
      </c>
      <c r="C15" s="461" t="s">
        <v>860</v>
      </c>
      <c r="D15" s="461"/>
      <c r="E15" s="462" t="s">
        <v>861</v>
      </c>
      <c r="F15" s="463">
        <f>F16</f>
        <v>790000</v>
      </c>
      <c r="G15" s="463">
        <f t="shared" si="2"/>
        <v>260000</v>
      </c>
      <c r="H15" s="463">
        <f t="shared" si="2"/>
        <v>0</v>
      </c>
      <c r="I15" s="463">
        <f t="shared" si="2"/>
        <v>1050000</v>
      </c>
      <c r="J15" s="463">
        <f t="shared" si="2"/>
        <v>0</v>
      </c>
      <c r="K15" s="463">
        <f t="shared" si="2"/>
        <v>-260000</v>
      </c>
      <c r="L15" s="463">
        <f t="shared" si="2"/>
        <v>0</v>
      </c>
      <c r="M15" s="463">
        <f t="shared" si="2"/>
        <v>-260000</v>
      </c>
      <c r="N15" s="463">
        <f t="shared" si="2"/>
        <v>790000</v>
      </c>
      <c r="O15" s="463">
        <f t="shared" si="2"/>
        <v>0</v>
      </c>
      <c r="P15" s="463">
        <f t="shared" si="2"/>
        <v>0</v>
      </c>
      <c r="Q15" s="463">
        <f t="shared" si="2"/>
        <v>790000</v>
      </c>
    </row>
    <row r="16" spans="1:18" ht="76.5" thickTop="1" thickBot="1" x14ac:dyDescent="0.25">
      <c r="B16" s="464" t="s">
        <v>862</v>
      </c>
      <c r="C16" s="465" t="s">
        <v>863</v>
      </c>
      <c r="D16" s="465"/>
      <c r="E16" s="466" t="s">
        <v>885</v>
      </c>
      <c r="F16" s="467">
        <f>SUM(F17:F18)</f>
        <v>790000</v>
      </c>
      <c r="G16" s="467">
        <f t="shared" ref="G16:Q16" si="3">SUM(G17:G18)</f>
        <v>260000</v>
      </c>
      <c r="H16" s="467">
        <f t="shared" si="3"/>
        <v>0</v>
      </c>
      <c r="I16" s="467">
        <f t="shared" si="3"/>
        <v>1050000</v>
      </c>
      <c r="J16" s="467">
        <f t="shared" si="3"/>
        <v>0</v>
      </c>
      <c r="K16" s="467">
        <f t="shared" si="3"/>
        <v>-260000</v>
      </c>
      <c r="L16" s="467">
        <f t="shared" si="3"/>
        <v>0</v>
      </c>
      <c r="M16" s="467">
        <f t="shared" si="3"/>
        <v>-260000</v>
      </c>
      <c r="N16" s="467">
        <f t="shared" si="3"/>
        <v>790000</v>
      </c>
      <c r="O16" s="467">
        <f t="shared" si="3"/>
        <v>0</v>
      </c>
      <c r="P16" s="467">
        <f t="shared" si="3"/>
        <v>0</v>
      </c>
      <c r="Q16" s="467">
        <f t="shared" si="3"/>
        <v>790000</v>
      </c>
    </row>
    <row r="17" spans="2:18" ht="76.5" thickTop="1" thickBot="1" x14ac:dyDescent="0.25">
      <c r="B17" s="464" t="s">
        <v>461</v>
      </c>
      <c r="C17" s="464" t="s">
        <v>463</v>
      </c>
      <c r="D17" s="464" t="s">
        <v>50</v>
      </c>
      <c r="E17" s="419" t="s">
        <v>887</v>
      </c>
      <c r="F17" s="468">
        <f>(390000)+400000</f>
        <v>790000</v>
      </c>
      <c r="G17" s="468">
        <v>260000</v>
      </c>
      <c r="H17" s="468">
        <v>0</v>
      </c>
      <c r="I17" s="468">
        <f>F17+G17</f>
        <v>1050000</v>
      </c>
      <c r="J17" s="468">
        <v>0</v>
      </c>
      <c r="K17" s="468">
        <v>0</v>
      </c>
      <c r="L17" s="468"/>
      <c r="M17" s="468">
        <f>J17+K17</f>
        <v>0</v>
      </c>
      <c r="N17" s="468">
        <f>F17+J17</f>
        <v>790000</v>
      </c>
      <c r="O17" s="468">
        <f>G17+K17</f>
        <v>260000</v>
      </c>
      <c r="P17" s="468"/>
      <c r="Q17" s="468">
        <f>I17+M17</f>
        <v>1050000</v>
      </c>
    </row>
    <row r="18" spans="2:18" ht="76.5" thickTop="1" thickBot="1" x14ac:dyDescent="0.25">
      <c r="B18" s="464" t="s">
        <v>462</v>
      </c>
      <c r="C18" s="464" t="s">
        <v>464</v>
      </c>
      <c r="D18" s="464" t="s">
        <v>50</v>
      </c>
      <c r="E18" s="419" t="s">
        <v>886</v>
      </c>
      <c r="F18" s="468"/>
      <c r="G18" s="468">
        <f>H18+I18</f>
        <v>0</v>
      </c>
      <c r="H18" s="468"/>
      <c r="I18" s="468"/>
      <c r="J18" s="468"/>
      <c r="K18" s="468">
        <v>-260000</v>
      </c>
      <c r="L18" s="468"/>
      <c r="M18" s="468">
        <f>J18+K18</f>
        <v>-260000</v>
      </c>
      <c r="N18" s="468">
        <f>F18+J18</f>
        <v>0</v>
      </c>
      <c r="O18" s="468">
        <f>G18+K18</f>
        <v>-260000</v>
      </c>
      <c r="P18" s="468"/>
      <c r="Q18" s="468">
        <f>I18+M18</f>
        <v>-260000</v>
      </c>
    </row>
    <row r="19" spans="2:18" ht="61.5" hidden="1" thickTop="1" thickBot="1" x14ac:dyDescent="0.25">
      <c r="B19" s="464" t="s">
        <v>507</v>
      </c>
      <c r="C19" s="464" t="s">
        <v>508</v>
      </c>
      <c r="D19" s="464" t="s">
        <v>50</v>
      </c>
      <c r="E19" s="419" t="s">
        <v>506</v>
      </c>
      <c r="F19" s="468"/>
      <c r="G19" s="468"/>
      <c r="H19" s="468"/>
      <c r="I19" s="468"/>
      <c r="J19" s="468"/>
      <c r="K19" s="468"/>
      <c r="L19" s="468"/>
      <c r="M19" s="468">
        <f>J19+K19</f>
        <v>0</v>
      </c>
      <c r="N19" s="468"/>
      <c r="O19" s="468">
        <f>G19+K19</f>
        <v>0</v>
      </c>
      <c r="P19" s="468"/>
      <c r="Q19" s="468">
        <f>I19+M19</f>
        <v>0</v>
      </c>
    </row>
    <row r="20" spans="2:18" ht="31.5" thickTop="1" thickBot="1" x14ac:dyDescent="0.25">
      <c r="B20" s="436" t="s">
        <v>168</v>
      </c>
      <c r="C20" s="436"/>
      <c r="D20" s="436"/>
      <c r="E20" s="437" t="s">
        <v>27</v>
      </c>
      <c r="F20" s="438">
        <f>F21</f>
        <v>0</v>
      </c>
      <c r="G20" s="438">
        <f t="shared" ref="G20:Q20" si="4">G21</f>
        <v>8941082.5</v>
      </c>
      <c r="H20" s="438">
        <f t="shared" si="4"/>
        <v>8941082.5</v>
      </c>
      <c r="I20" s="456">
        <f>I21</f>
        <v>8941082.5</v>
      </c>
      <c r="J20" s="438">
        <f t="shared" si="4"/>
        <v>0</v>
      </c>
      <c r="K20" s="438">
        <f t="shared" si="4"/>
        <v>0</v>
      </c>
      <c r="L20" s="438">
        <f t="shared" si="4"/>
        <v>0</v>
      </c>
      <c r="M20" s="456">
        <f>M21</f>
        <v>0</v>
      </c>
      <c r="N20" s="438">
        <f t="shared" si="4"/>
        <v>0</v>
      </c>
      <c r="O20" s="438">
        <f t="shared" si="4"/>
        <v>8941082.5</v>
      </c>
      <c r="P20" s="438">
        <f t="shared" si="4"/>
        <v>8941082.5</v>
      </c>
      <c r="Q20" s="456">
        <f t="shared" si="4"/>
        <v>8941082.5</v>
      </c>
    </row>
    <row r="21" spans="2:18" ht="44.25" thickTop="1" thickBot="1" x14ac:dyDescent="0.25">
      <c r="B21" s="440" t="s">
        <v>169</v>
      </c>
      <c r="C21" s="440"/>
      <c r="D21" s="440"/>
      <c r="E21" s="441" t="s">
        <v>40</v>
      </c>
      <c r="F21" s="457">
        <f t="shared" ref="F21:Q21" si="5">F26+F25</f>
        <v>0</v>
      </c>
      <c r="G21" s="457">
        <f t="shared" si="5"/>
        <v>8941082.5</v>
      </c>
      <c r="H21" s="457">
        <f t="shared" si="5"/>
        <v>8941082.5</v>
      </c>
      <c r="I21" s="457">
        <f t="shared" si="5"/>
        <v>8941082.5</v>
      </c>
      <c r="J21" s="457">
        <f t="shared" si="5"/>
        <v>0</v>
      </c>
      <c r="K21" s="457">
        <f t="shared" si="5"/>
        <v>0</v>
      </c>
      <c r="L21" s="457">
        <f t="shared" si="5"/>
        <v>0</v>
      </c>
      <c r="M21" s="457">
        <f t="shared" si="5"/>
        <v>0</v>
      </c>
      <c r="N21" s="457">
        <f t="shared" si="5"/>
        <v>0</v>
      </c>
      <c r="O21" s="457">
        <f t="shared" si="5"/>
        <v>8941082.5</v>
      </c>
      <c r="P21" s="457">
        <f t="shared" si="5"/>
        <v>8941082.5</v>
      </c>
      <c r="Q21" s="457">
        <f t="shared" si="5"/>
        <v>8941082.5</v>
      </c>
    </row>
    <row r="22" spans="2:18" ht="15.75" thickTop="1" thickBot="1" x14ac:dyDescent="0.25">
      <c r="B22" s="458" t="s">
        <v>852</v>
      </c>
      <c r="C22" s="458" t="s">
        <v>702</v>
      </c>
      <c r="D22" s="458"/>
      <c r="E22" s="459" t="s">
        <v>858</v>
      </c>
      <c r="F22" s="460">
        <f>F23</f>
        <v>0</v>
      </c>
      <c r="G22" s="460">
        <f t="shared" ref="G22:Q24" si="6">G23</f>
        <v>8941082.5</v>
      </c>
      <c r="H22" s="460">
        <f t="shared" si="6"/>
        <v>8941082.5</v>
      </c>
      <c r="I22" s="460">
        <f t="shared" si="6"/>
        <v>8941082.5</v>
      </c>
      <c r="J22" s="460">
        <f t="shared" si="6"/>
        <v>0</v>
      </c>
      <c r="K22" s="460">
        <f t="shared" si="6"/>
        <v>0</v>
      </c>
      <c r="L22" s="460">
        <f t="shared" si="6"/>
        <v>0</v>
      </c>
      <c r="M22" s="460">
        <f t="shared" si="6"/>
        <v>0</v>
      </c>
      <c r="N22" s="460">
        <f t="shared" si="6"/>
        <v>0</v>
      </c>
      <c r="O22" s="460">
        <f t="shared" si="6"/>
        <v>8941082.5</v>
      </c>
      <c r="P22" s="460">
        <f t="shared" si="6"/>
        <v>8941082.5</v>
      </c>
      <c r="Q22" s="460">
        <f t="shared" si="6"/>
        <v>8941082.5</v>
      </c>
    </row>
    <row r="23" spans="2:18" ht="16.5" thickTop="1" thickBot="1" x14ac:dyDescent="0.25">
      <c r="B23" s="461" t="s">
        <v>1459</v>
      </c>
      <c r="C23" s="461" t="s">
        <v>860</v>
      </c>
      <c r="D23" s="461"/>
      <c r="E23" s="462" t="s">
        <v>861</v>
      </c>
      <c r="F23" s="463">
        <f>F24</f>
        <v>0</v>
      </c>
      <c r="G23" s="463">
        <f>G24</f>
        <v>8941082.5</v>
      </c>
      <c r="H23" s="463">
        <f t="shared" si="6"/>
        <v>8941082.5</v>
      </c>
      <c r="I23" s="463">
        <f t="shared" si="6"/>
        <v>8941082.5</v>
      </c>
      <c r="J23" s="463">
        <f t="shared" si="6"/>
        <v>0</v>
      </c>
      <c r="K23" s="463">
        <f t="shared" si="6"/>
        <v>0</v>
      </c>
      <c r="L23" s="463">
        <f t="shared" si="6"/>
        <v>0</v>
      </c>
      <c r="M23" s="463">
        <f t="shared" si="6"/>
        <v>0</v>
      </c>
      <c r="N23" s="463">
        <f t="shared" si="6"/>
        <v>0</v>
      </c>
      <c r="O23" s="463">
        <f t="shared" si="6"/>
        <v>8941082.5</v>
      </c>
      <c r="P23" s="463">
        <f t="shared" si="6"/>
        <v>8941082.5</v>
      </c>
      <c r="Q23" s="463">
        <f t="shared" si="6"/>
        <v>8941082.5</v>
      </c>
    </row>
    <row r="24" spans="2:18" ht="46.5" thickTop="1" thickBot="1" x14ac:dyDescent="0.25">
      <c r="B24" s="464" t="s">
        <v>1460</v>
      </c>
      <c r="C24" s="465" t="s">
        <v>863</v>
      </c>
      <c r="D24" s="465"/>
      <c r="E24" s="466" t="s">
        <v>1176</v>
      </c>
      <c r="F24" s="467">
        <f>SUM(F25:F26)</f>
        <v>0</v>
      </c>
      <c r="G24" s="467">
        <f>G25</f>
        <v>8941082.5</v>
      </c>
      <c r="H24" s="467">
        <f t="shared" si="6"/>
        <v>8941082.5</v>
      </c>
      <c r="I24" s="467">
        <f t="shared" si="6"/>
        <v>8941082.5</v>
      </c>
      <c r="J24" s="467">
        <f t="shared" si="6"/>
        <v>0</v>
      </c>
      <c r="K24" s="467">
        <f t="shared" si="6"/>
        <v>0</v>
      </c>
      <c r="L24" s="467">
        <f t="shared" si="6"/>
        <v>0</v>
      </c>
      <c r="M24" s="467">
        <f t="shared" ref="M24:M27" si="7">J24+K24</f>
        <v>0</v>
      </c>
      <c r="N24" s="467">
        <f t="shared" ref="N24:N27" si="8">F24+J24</f>
        <v>0</v>
      </c>
      <c r="O24" s="467">
        <f t="shared" ref="O24:O27" si="9">G24+K24</f>
        <v>8941082.5</v>
      </c>
      <c r="P24" s="467">
        <f t="shared" si="6"/>
        <v>8941082.5</v>
      </c>
      <c r="Q24" s="467">
        <f t="shared" si="6"/>
        <v>8941082.5</v>
      </c>
    </row>
    <row r="25" spans="2:18" ht="61.5" thickTop="1" thickBot="1" x14ac:dyDescent="0.25">
      <c r="B25" s="464" t="s">
        <v>1461</v>
      </c>
      <c r="C25" s="464" t="s">
        <v>1462</v>
      </c>
      <c r="D25" s="464" t="s">
        <v>170</v>
      </c>
      <c r="E25" s="419" t="s">
        <v>1177</v>
      </c>
      <c r="F25" s="468">
        <v>0</v>
      </c>
      <c r="G25" s="468">
        <f>G27</f>
        <v>8941082.5</v>
      </c>
      <c r="H25" s="468">
        <f t="shared" ref="H25:P25" si="10">H27</f>
        <v>8941082.5</v>
      </c>
      <c r="I25" s="468">
        <f t="shared" si="10"/>
        <v>8941082.5</v>
      </c>
      <c r="J25" s="468">
        <f t="shared" si="10"/>
        <v>0</v>
      </c>
      <c r="K25" s="468">
        <f t="shared" si="10"/>
        <v>0</v>
      </c>
      <c r="L25" s="468">
        <f t="shared" si="10"/>
        <v>0</v>
      </c>
      <c r="M25" s="468">
        <f t="shared" si="7"/>
        <v>0</v>
      </c>
      <c r="N25" s="468">
        <f t="shared" si="8"/>
        <v>0</v>
      </c>
      <c r="O25" s="468">
        <f t="shared" si="9"/>
        <v>8941082.5</v>
      </c>
      <c r="P25" s="468">
        <f t="shared" si="10"/>
        <v>8941082.5</v>
      </c>
      <c r="Q25" s="468">
        <f t="shared" ref="P25:Q27" si="11">I25+M25</f>
        <v>8941082.5</v>
      </c>
    </row>
    <row r="26" spans="2:18" ht="61.5" hidden="1" thickTop="1" thickBot="1" x14ac:dyDescent="0.25">
      <c r="B26" s="464" t="s">
        <v>1463</v>
      </c>
      <c r="C26" s="464" t="s">
        <v>1464</v>
      </c>
      <c r="D26" s="464" t="s">
        <v>170</v>
      </c>
      <c r="E26" s="419" t="s">
        <v>1465</v>
      </c>
      <c r="F26" s="468">
        <v>0</v>
      </c>
      <c r="G26" s="468">
        <f>H26</f>
        <v>0</v>
      </c>
      <c r="H26" s="468">
        <v>0</v>
      </c>
      <c r="I26" s="468">
        <f>F26+G26</f>
        <v>0</v>
      </c>
      <c r="J26" s="468">
        <v>0</v>
      </c>
      <c r="K26" s="468"/>
      <c r="L26" s="468"/>
      <c r="M26" s="468">
        <f t="shared" si="7"/>
        <v>0</v>
      </c>
      <c r="N26" s="468">
        <f t="shared" si="8"/>
        <v>0</v>
      </c>
      <c r="O26" s="468">
        <f t="shared" si="9"/>
        <v>0</v>
      </c>
      <c r="P26" s="468">
        <f t="shared" si="11"/>
        <v>0</v>
      </c>
      <c r="Q26" s="468">
        <f t="shared" si="11"/>
        <v>0</v>
      </c>
    </row>
    <row r="27" spans="2:18" ht="31.5" thickTop="1" thickBot="1" x14ac:dyDescent="0.25">
      <c r="B27" s="464" t="s">
        <v>1466</v>
      </c>
      <c r="C27" s="464"/>
      <c r="D27" s="464"/>
      <c r="E27" s="419" t="s">
        <v>1467</v>
      </c>
      <c r="F27" s="468">
        <v>0</v>
      </c>
      <c r="G27" s="468">
        <f>(1013222.5)+1425000+6502860</f>
        <v>8941082.5</v>
      </c>
      <c r="H27" s="468">
        <f>(1013222.5)+1425000+6502860</f>
        <v>8941082.5</v>
      </c>
      <c r="I27" s="468">
        <f>(1013222.5)+1425000+6502860</f>
        <v>8941082.5</v>
      </c>
      <c r="J27" s="468">
        <v>0</v>
      </c>
      <c r="K27" s="468">
        <v>0</v>
      </c>
      <c r="L27" s="468">
        <v>0</v>
      </c>
      <c r="M27" s="468">
        <f t="shared" si="7"/>
        <v>0</v>
      </c>
      <c r="N27" s="468">
        <f t="shared" si="8"/>
        <v>0</v>
      </c>
      <c r="O27" s="468">
        <f t="shared" si="9"/>
        <v>8941082.5</v>
      </c>
      <c r="P27" s="468">
        <f t="shared" si="11"/>
        <v>8941082.5</v>
      </c>
      <c r="Q27" s="468">
        <f t="shared" si="11"/>
        <v>8941082.5</v>
      </c>
    </row>
    <row r="28" spans="2:18" ht="27.75" customHeight="1" thickTop="1" thickBot="1" x14ac:dyDescent="0.25">
      <c r="B28" s="576" t="s">
        <v>385</v>
      </c>
      <c r="C28" s="576" t="s">
        <v>385</v>
      </c>
      <c r="D28" s="576" t="s">
        <v>385</v>
      </c>
      <c r="E28" s="576" t="s">
        <v>395</v>
      </c>
      <c r="F28" s="577">
        <f>F12+F20</f>
        <v>790000</v>
      </c>
      <c r="G28" s="577">
        <f t="shared" ref="G28:P28" si="12">G12+G20</f>
        <v>9201082.5</v>
      </c>
      <c r="H28" s="577">
        <f t="shared" si="12"/>
        <v>8941082.5</v>
      </c>
      <c r="I28" s="577">
        <f t="shared" si="12"/>
        <v>9991082.5</v>
      </c>
      <c r="J28" s="577">
        <f t="shared" si="12"/>
        <v>0</v>
      </c>
      <c r="K28" s="577">
        <f t="shared" si="12"/>
        <v>-260000</v>
      </c>
      <c r="L28" s="577">
        <f t="shared" si="12"/>
        <v>0</v>
      </c>
      <c r="M28" s="577">
        <f t="shared" si="12"/>
        <v>-260000</v>
      </c>
      <c r="N28" s="577">
        <f t="shared" si="12"/>
        <v>790000</v>
      </c>
      <c r="O28" s="577">
        <f t="shared" si="12"/>
        <v>8941082.5</v>
      </c>
      <c r="P28" s="577">
        <f t="shared" si="12"/>
        <v>8941082.5</v>
      </c>
      <c r="Q28" s="577">
        <f>Q12+Q20</f>
        <v>9731082.5</v>
      </c>
      <c r="R28" s="622" t="b">
        <f>Q28=N28+O28</f>
        <v>1</v>
      </c>
    </row>
    <row r="29" spans="2:18" ht="16.5" customHeight="1" thickTop="1" x14ac:dyDescent="0.2">
      <c r="B29" s="469"/>
      <c r="C29" s="469"/>
      <c r="D29" s="469"/>
      <c r="E29" s="470"/>
      <c r="F29" s="471"/>
      <c r="G29" s="471"/>
      <c r="H29" s="471"/>
      <c r="I29" s="471"/>
      <c r="J29" s="471"/>
      <c r="K29" s="471"/>
      <c r="L29" s="471"/>
      <c r="M29" s="471"/>
      <c r="N29" s="471"/>
      <c r="O29" s="471"/>
      <c r="P29" s="471"/>
      <c r="Q29" s="471"/>
    </row>
    <row r="30" spans="2:18" ht="15" x14ac:dyDescent="0.25">
      <c r="B30" s="469"/>
      <c r="C30" s="469"/>
      <c r="D30" s="744" t="s">
        <v>1586</v>
      </c>
      <c r="E30" s="662"/>
      <c r="F30" s="473"/>
      <c r="G30" s="650"/>
      <c r="H30" s="472"/>
      <c r="I30" s="474"/>
      <c r="J30" s="472"/>
      <c r="K30" s="650" t="s">
        <v>1587</v>
      </c>
      <c r="L30" s="474"/>
      <c r="M30" s="474"/>
      <c r="N30" s="474"/>
      <c r="O30" s="474"/>
      <c r="P30" s="474"/>
      <c r="Q30" s="471"/>
    </row>
    <row r="31" spans="2:18" ht="15" hidden="1" x14ac:dyDescent="0.25">
      <c r="B31" s="469"/>
      <c r="C31" s="469"/>
      <c r="D31" s="472" t="s">
        <v>1548</v>
      </c>
      <c r="E31" s="473"/>
      <c r="F31" s="473"/>
      <c r="G31" s="474"/>
      <c r="H31" s="472"/>
      <c r="I31" s="474"/>
      <c r="J31" s="472"/>
      <c r="K31" s="472" t="s">
        <v>1549</v>
      </c>
      <c r="L31" s="474"/>
      <c r="M31" s="474"/>
      <c r="N31" s="474"/>
      <c r="O31" s="474"/>
      <c r="P31" s="474"/>
      <c r="Q31" s="471"/>
    </row>
    <row r="32" spans="2:18" ht="15" x14ac:dyDescent="0.25">
      <c r="B32" s="469"/>
      <c r="C32" s="475"/>
      <c r="D32" s="743"/>
      <c r="E32" s="743"/>
      <c r="F32" s="743"/>
      <c r="G32" s="743"/>
      <c r="H32" s="743"/>
      <c r="I32" s="743"/>
      <c r="J32" s="743"/>
      <c r="K32" s="743"/>
      <c r="L32" s="743"/>
      <c r="M32" s="743"/>
      <c r="N32" s="743"/>
      <c r="O32" s="743"/>
      <c r="P32" s="743"/>
      <c r="Q32" s="471"/>
    </row>
    <row r="33" spans="2:17" ht="15" customHeight="1" x14ac:dyDescent="0.25">
      <c r="B33" s="197"/>
      <c r="C33" s="197"/>
      <c r="D33" s="744" t="s">
        <v>528</v>
      </c>
      <c r="E33" s="662"/>
      <c r="F33" s="641"/>
      <c r="G33" s="619"/>
      <c r="H33" s="619"/>
      <c r="I33" s="474"/>
      <c r="J33" s="474"/>
      <c r="K33" s="472" t="s">
        <v>1435</v>
      </c>
      <c r="L33" s="474"/>
      <c r="M33" s="474"/>
      <c r="N33" s="474"/>
      <c r="O33" s="474"/>
      <c r="P33" s="474"/>
      <c r="Q33" s="198"/>
    </row>
    <row r="34" spans="2:17" ht="15" x14ac:dyDescent="0.25">
      <c r="B34" s="197"/>
      <c r="C34" s="197"/>
      <c r="D34" s="739"/>
      <c r="E34" s="739"/>
      <c r="F34" s="739"/>
      <c r="G34" s="739"/>
      <c r="H34" s="739"/>
      <c r="I34" s="739"/>
      <c r="J34" s="739"/>
      <c r="K34" s="739"/>
      <c r="L34" s="739"/>
      <c r="M34" s="739"/>
      <c r="N34" s="739"/>
      <c r="O34" s="739"/>
      <c r="P34" s="739"/>
      <c r="Q34" s="198"/>
    </row>
    <row r="35" spans="2:17" ht="15" x14ac:dyDescent="0.25">
      <c r="D35" s="739"/>
      <c r="E35" s="739"/>
      <c r="F35" s="739"/>
      <c r="G35" s="739"/>
      <c r="H35" s="739"/>
      <c r="I35" s="739"/>
      <c r="J35" s="739"/>
      <c r="K35" s="739"/>
      <c r="L35" s="739"/>
      <c r="M35" s="739"/>
      <c r="N35" s="739"/>
      <c r="O35" s="739"/>
      <c r="P35" s="739"/>
    </row>
    <row r="36" spans="2:17" ht="15" x14ac:dyDescent="0.25">
      <c r="D36" s="739"/>
      <c r="E36" s="739"/>
      <c r="F36" s="739"/>
      <c r="G36" s="739"/>
      <c r="H36" s="739"/>
      <c r="I36" s="739"/>
      <c r="J36" s="739"/>
      <c r="K36" s="739"/>
      <c r="L36" s="739"/>
      <c r="M36" s="739"/>
      <c r="N36" s="739"/>
      <c r="O36" s="739"/>
      <c r="P36" s="739"/>
    </row>
    <row r="37" spans="2:17" ht="15" x14ac:dyDescent="0.2">
      <c r="D37" s="199"/>
      <c r="E37" s="200"/>
      <c r="F37" s="201"/>
      <c r="G37" s="199"/>
      <c r="H37" s="199"/>
      <c r="I37" s="202"/>
      <c r="J37" s="200"/>
      <c r="K37" s="202"/>
      <c r="L37" s="199"/>
      <c r="M37" s="199"/>
      <c r="N37" s="202"/>
      <c r="O37" s="203"/>
      <c r="P37" s="204"/>
    </row>
    <row r="38" spans="2:17" ht="15" x14ac:dyDescent="0.25"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</row>
    <row r="63" spans="7:7" x14ac:dyDescent="0.2">
      <c r="G63" s="7">
        <f>H63+I63</f>
        <v>0</v>
      </c>
    </row>
    <row r="65" spans="7:7" x14ac:dyDescent="0.2">
      <c r="G65" s="7">
        <f t="shared" ref="G65:G83" si="13">H65+I65</f>
        <v>0</v>
      </c>
    </row>
    <row r="66" spans="7:7" x14ac:dyDescent="0.2">
      <c r="G66" s="7">
        <f t="shared" si="13"/>
        <v>0</v>
      </c>
    </row>
    <row r="67" spans="7:7" x14ac:dyDescent="0.2">
      <c r="G67" s="7">
        <f t="shared" si="13"/>
        <v>0</v>
      </c>
    </row>
    <row r="68" spans="7:7" x14ac:dyDescent="0.2">
      <c r="G68" s="7">
        <f t="shared" si="13"/>
        <v>0</v>
      </c>
    </row>
    <row r="69" spans="7:7" x14ac:dyDescent="0.2">
      <c r="G69" s="7">
        <f t="shared" si="13"/>
        <v>0</v>
      </c>
    </row>
    <row r="70" spans="7:7" x14ac:dyDescent="0.2">
      <c r="G70" s="7">
        <f t="shared" si="13"/>
        <v>0</v>
      </c>
    </row>
    <row r="71" spans="7:7" x14ac:dyDescent="0.2">
      <c r="G71" s="7">
        <f t="shared" si="13"/>
        <v>0</v>
      </c>
    </row>
    <row r="72" spans="7:7" x14ac:dyDescent="0.2">
      <c r="G72" s="7">
        <f t="shared" si="13"/>
        <v>0</v>
      </c>
    </row>
    <row r="73" spans="7:7" x14ac:dyDescent="0.2">
      <c r="G73" s="7">
        <f t="shared" si="13"/>
        <v>0</v>
      </c>
    </row>
    <row r="74" spans="7:7" x14ac:dyDescent="0.2">
      <c r="G74" s="7">
        <f t="shared" si="13"/>
        <v>0</v>
      </c>
    </row>
    <row r="75" spans="7:7" x14ac:dyDescent="0.2">
      <c r="G75" s="7">
        <f t="shared" si="13"/>
        <v>0</v>
      </c>
    </row>
    <row r="76" spans="7:7" x14ac:dyDescent="0.2">
      <c r="G76" s="7">
        <f t="shared" si="13"/>
        <v>0</v>
      </c>
    </row>
    <row r="77" spans="7:7" x14ac:dyDescent="0.2">
      <c r="G77" s="7">
        <f t="shared" si="13"/>
        <v>0</v>
      </c>
    </row>
    <row r="78" spans="7:7" x14ac:dyDescent="0.2">
      <c r="G78" s="7">
        <f t="shared" si="13"/>
        <v>0</v>
      </c>
    </row>
    <row r="79" spans="7:7" x14ac:dyDescent="0.2">
      <c r="G79" s="7">
        <f t="shared" si="13"/>
        <v>0</v>
      </c>
    </row>
    <row r="80" spans="7:7" x14ac:dyDescent="0.2">
      <c r="G80" s="7">
        <f t="shared" si="13"/>
        <v>0</v>
      </c>
    </row>
    <row r="81" spans="7:7" x14ac:dyDescent="0.2">
      <c r="G81" s="7">
        <f t="shared" si="13"/>
        <v>0</v>
      </c>
    </row>
    <row r="82" spans="7:7" x14ac:dyDescent="0.2">
      <c r="G82" s="7">
        <f t="shared" si="13"/>
        <v>0</v>
      </c>
    </row>
    <row r="83" spans="7:7" x14ac:dyDescent="0.2">
      <c r="G83" s="7">
        <f t="shared" si="13"/>
        <v>0</v>
      </c>
    </row>
    <row r="85" spans="7:7" x14ac:dyDescent="0.2">
      <c r="G85" s="7">
        <f>H85+I85</f>
        <v>0</v>
      </c>
    </row>
    <row r="86" spans="7:7" x14ac:dyDescent="0.2">
      <c r="G86" s="7">
        <f>H86+I86</f>
        <v>0</v>
      </c>
    </row>
    <row r="87" spans="7:7" x14ac:dyDescent="0.2">
      <c r="G87" s="7">
        <f>H87+I87</f>
        <v>0</v>
      </c>
    </row>
    <row r="88" spans="7:7" x14ac:dyDescent="0.2">
      <c r="G88" s="7">
        <f>H88+I88</f>
        <v>0</v>
      </c>
    </row>
    <row r="90" spans="7:7" x14ac:dyDescent="0.2">
      <c r="G90" s="7">
        <f>H90+I90</f>
        <v>0</v>
      </c>
    </row>
    <row r="93" spans="7:7" x14ac:dyDescent="0.2">
      <c r="G93" s="750"/>
    </row>
    <row r="94" spans="7:7" x14ac:dyDescent="0.2">
      <c r="G94" s="751"/>
    </row>
    <row r="130" spans="7:7" x14ac:dyDescent="0.2">
      <c r="G130" s="7">
        <f>H130+I130</f>
        <v>0</v>
      </c>
    </row>
    <row r="132" spans="7:7" x14ac:dyDescent="0.2">
      <c r="G132" s="7">
        <f t="shared" ref="G132:G142" si="14">H132+I132</f>
        <v>0</v>
      </c>
    </row>
    <row r="133" spans="7:7" x14ac:dyDescent="0.2">
      <c r="G133" s="7">
        <f t="shared" si="14"/>
        <v>0</v>
      </c>
    </row>
    <row r="134" spans="7:7" x14ac:dyDescent="0.2">
      <c r="G134" s="7">
        <f t="shared" si="14"/>
        <v>0</v>
      </c>
    </row>
    <row r="135" spans="7:7" x14ac:dyDescent="0.2">
      <c r="G135" s="7">
        <f t="shared" si="14"/>
        <v>0</v>
      </c>
    </row>
    <row r="136" spans="7:7" x14ac:dyDescent="0.2">
      <c r="G136" s="7">
        <f t="shared" si="14"/>
        <v>0</v>
      </c>
    </row>
    <row r="137" spans="7:7" x14ac:dyDescent="0.2">
      <c r="G137" s="7">
        <f t="shared" si="14"/>
        <v>0</v>
      </c>
    </row>
    <row r="138" spans="7:7" x14ac:dyDescent="0.2">
      <c r="G138" s="7">
        <f t="shared" si="14"/>
        <v>0</v>
      </c>
    </row>
    <row r="139" spans="7:7" x14ac:dyDescent="0.2">
      <c r="G139" s="7">
        <f t="shared" si="14"/>
        <v>0</v>
      </c>
    </row>
    <row r="140" spans="7:7" x14ac:dyDescent="0.2">
      <c r="G140" s="7">
        <f t="shared" si="14"/>
        <v>0</v>
      </c>
    </row>
    <row r="141" spans="7:7" x14ac:dyDescent="0.2">
      <c r="G141" s="7">
        <f t="shared" si="14"/>
        <v>0</v>
      </c>
    </row>
    <row r="142" spans="7:7" x14ac:dyDescent="0.2">
      <c r="G142" s="7">
        <f t="shared" si="14"/>
        <v>0</v>
      </c>
    </row>
    <row r="144" spans="7:7" x14ac:dyDescent="0.2">
      <c r="G144" s="7">
        <f>H145+I145</f>
        <v>0</v>
      </c>
    </row>
    <row r="145" spans="7:10" x14ac:dyDescent="0.2">
      <c r="G145" s="7">
        <f t="shared" ref="G145" si="15">H145+I145</f>
        <v>0</v>
      </c>
    </row>
    <row r="146" spans="7:10" x14ac:dyDescent="0.2">
      <c r="G146" s="7">
        <f>H146+I146</f>
        <v>0</v>
      </c>
    </row>
    <row r="147" spans="7:10" x14ac:dyDescent="0.2">
      <c r="G147" s="7">
        <f>H147+I147</f>
        <v>0</v>
      </c>
    </row>
    <row r="148" spans="7:10" x14ac:dyDescent="0.2">
      <c r="G148" s="7">
        <f>H148+I148</f>
        <v>0</v>
      </c>
    </row>
    <row r="149" spans="7:10" x14ac:dyDescent="0.2">
      <c r="G149" s="7">
        <f>H149+I149</f>
        <v>0</v>
      </c>
    </row>
    <row r="154" spans="7:10" ht="46.5" x14ac:dyDescent="0.65">
      <c r="J154" s="206"/>
    </row>
    <row r="157" spans="7:10" ht="46.5" x14ac:dyDescent="0.65">
      <c r="G157" s="206">
        <f>H157+I157</f>
        <v>0</v>
      </c>
      <c r="J157" s="206"/>
    </row>
    <row r="176" spans="11:11" ht="90" x14ac:dyDescent="1.1499999999999999">
      <c r="K176" s="207" t="b">
        <f>G176=H176+I176</f>
        <v>1</v>
      </c>
    </row>
  </sheetData>
  <mergeCells count="29">
    <mergeCell ref="B3:C3"/>
    <mergeCell ref="B5:C5"/>
    <mergeCell ref="B6:C6"/>
    <mergeCell ref="G93:G94"/>
    <mergeCell ref="B8:B10"/>
    <mergeCell ref="C8:C10"/>
    <mergeCell ref="D8:D10"/>
    <mergeCell ref="E8:E10"/>
    <mergeCell ref="F8:I8"/>
    <mergeCell ref="F9:F10"/>
    <mergeCell ref="I9:I10"/>
    <mergeCell ref="E4:M4"/>
    <mergeCell ref="D33:E33"/>
    <mergeCell ref="O9:P9"/>
    <mergeCell ref="D36:P36"/>
    <mergeCell ref="D35:P35"/>
    <mergeCell ref="M2:Q2"/>
    <mergeCell ref="E3:M3"/>
    <mergeCell ref="J8:M8"/>
    <mergeCell ref="N8:Q8"/>
    <mergeCell ref="Q9:Q10"/>
    <mergeCell ref="M9:M10"/>
    <mergeCell ref="N9:N10"/>
    <mergeCell ref="J9:J10"/>
    <mergeCell ref="D34:P34"/>
    <mergeCell ref="G9:H9"/>
    <mergeCell ref="K9:L9"/>
    <mergeCell ref="D32:P32"/>
    <mergeCell ref="D30:E30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23"/>
  <sheetViews>
    <sheetView view="pageBreakPreview" topLeftCell="A89" zoomScale="40" zoomScaleNormal="25" zoomScaleSheetLayoutView="40" zoomScalePageLayoutView="10" workbookViewId="0">
      <selection activeCell="A107" sqref="A107:XFD107"/>
    </sheetView>
  </sheetViews>
  <sheetFormatPr defaultColWidth="9.140625" defaultRowHeight="12.75" x14ac:dyDescent="0.2"/>
  <cols>
    <col min="1" max="1" width="62.28515625" style="221" customWidth="1"/>
    <col min="2" max="2" width="49.140625" style="221" customWidth="1"/>
    <col min="3" max="3" width="150.140625" style="221" customWidth="1"/>
    <col min="4" max="4" width="69.7109375" style="221" customWidth="1"/>
    <col min="5" max="6" width="26.5703125" style="210" bestFit="1" customWidth="1"/>
    <col min="7" max="16384" width="9.140625" style="210"/>
  </cols>
  <sheetData>
    <row r="1" spans="1:15" ht="48.75" customHeight="1" x14ac:dyDescent="0.35">
      <c r="A1" s="77"/>
      <c r="B1" s="354"/>
      <c r="C1" s="354"/>
      <c r="D1" s="355" t="s">
        <v>596</v>
      </c>
      <c r="E1" s="209"/>
      <c r="F1" s="209"/>
      <c r="G1" s="209"/>
      <c r="H1" s="209"/>
    </row>
    <row r="2" spans="1:15" ht="84.75" customHeight="1" x14ac:dyDescent="0.35">
      <c r="A2" s="78"/>
      <c r="B2" s="354"/>
      <c r="C2" s="354"/>
      <c r="D2" s="355" t="s">
        <v>1367</v>
      </c>
      <c r="E2" s="209"/>
      <c r="F2" s="209"/>
      <c r="G2" s="209"/>
      <c r="H2" s="209"/>
    </row>
    <row r="3" spans="1:15" ht="40.700000000000003" customHeight="1" x14ac:dyDescent="0.2">
      <c r="A3" s="78"/>
      <c r="B3" s="78"/>
      <c r="C3" s="78"/>
      <c r="D3" s="79"/>
      <c r="N3" s="780"/>
      <c r="O3" s="780"/>
    </row>
    <row r="4" spans="1:15" ht="45.75" hidden="1" x14ac:dyDescent="0.2">
      <c r="A4" s="78"/>
      <c r="B4" s="78"/>
      <c r="C4" s="78"/>
      <c r="D4" s="79"/>
      <c r="N4" s="780"/>
      <c r="O4" s="781"/>
    </row>
    <row r="5" spans="1:15" ht="45.75" x14ac:dyDescent="0.2">
      <c r="A5" s="720" t="s">
        <v>1281</v>
      </c>
      <c r="B5" s="720"/>
      <c r="C5" s="720"/>
      <c r="D5" s="720"/>
      <c r="N5" s="780"/>
      <c r="O5" s="781"/>
    </row>
    <row r="6" spans="1:15" ht="45.75" x14ac:dyDescent="0.65">
      <c r="A6" s="721">
        <v>2256400000</v>
      </c>
      <c r="B6" s="666"/>
      <c r="C6" s="666"/>
      <c r="D6" s="666"/>
    </row>
    <row r="7" spans="1:15" ht="45.75" x14ac:dyDescent="0.2">
      <c r="A7" s="726" t="s">
        <v>494</v>
      </c>
      <c r="B7" s="666"/>
      <c r="C7" s="666"/>
      <c r="D7" s="666"/>
    </row>
    <row r="8" spans="1:15" ht="45.75" x14ac:dyDescent="0.2">
      <c r="A8" s="372"/>
      <c r="B8" s="371"/>
      <c r="C8" s="371"/>
      <c r="D8" s="371"/>
    </row>
    <row r="9" spans="1:15" ht="53.45" customHeight="1" x14ac:dyDescent="0.2">
      <c r="A9" s="767" t="s">
        <v>1131</v>
      </c>
      <c r="B9" s="768"/>
      <c r="C9" s="768"/>
      <c r="D9" s="768"/>
    </row>
    <row r="10" spans="1:15" ht="53.45" customHeight="1" thickBot="1" x14ac:dyDescent="0.25">
      <c r="A10" s="79"/>
      <c r="B10" s="79"/>
      <c r="C10" s="79"/>
      <c r="D10" s="356" t="s">
        <v>408</v>
      </c>
    </row>
    <row r="11" spans="1:15" ht="140.25" customHeight="1" thickTop="1" thickBot="1" x14ac:dyDescent="0.25">
      <c r="A11" s="357" t="s">
        <v>601</v>
      </c>
      <c r="B11" s="784" t="s">
        <v>600</v>
      </c>
      <c r="C11" s="785"/>
      <c r="D11" s="357" t="s">
        <v>387</v>
      </c>
    </row>
    <row r="12" spans="1:15" s="212" customFormat="1" ht="47.25" thickTop="1" thickBot="1" x14ac:dyDescent="0.25">
      <c r="A12" s="119" t="s">
        <v>2</v>
      </c>
      <c r="B12" s="786" t="s">
        <v>3</v>
      </c>
      <c r="C12" s="787"/>
      <c r="D12" s="119" t="s">
        <v>14</v>
      </c>
    </row>
    <row r="13" spans="1:15" s="212" customFormat="1" ht="70.5" customHeight="1" thickTop="1" thickBot="1" x14ac:dyDescent="0.25">
      <c r="A13" s="758" t="s">
        <v>602</v>
      </c>
      <c r="B13" s="759"/>
      <c r="C13" s="759"/>
      <c r="D13" s="760"/>
    </row>
    <row r="14" spans="1:15" s="212" customFormat="1" ht="70.5" customHeight="1" thickTop="1" thickBot="1" x14ac:dyDescent="0.25">
      <c r="A14" s="346" t="s">
        <v>1428</v>
      </c>
      <c r="B14" s="761" t="s">
        <v>1427</v>
      </c>
      <c r="C14" s="762"/>
      <c r="D14" s="558">
        <f>SUM(D15)</f>
        <v>16579700</v>
      </c>
    </row>
    <row r="15" spans="1:15" s="212" customFormat="1" ht="254.25" customHeight="1" thickTop="1" thickBot="1" x14ac:dyDescent="0.25">
      <c r="A15" s="119">
        <v>41021400</v>
      </c>
      <c r="B15" s="755" t="s">
        <v>1434</v>
      </c>
      <c r="C15" s="756"/>
      <c r="D15" s="559">
        <v>16579700</v>
      </c>
    </row>
    <row r="16" spans="1:15" s="212" customFormat="1" ht="47.25" thickTop="1" thickBot="1" x14ac:dyDescent="0.25">
      <c r="A16" s="119" t="s">
        <v>1354</v>
      </c>
      <c r="B16" s="755" t="s">
        <v>579</v>
      </c>
      <c r="C16" s="756"/>
      <c r="D16" s="360">
        <f>D15</f>
        <v>16579700</v>
      </c>
    </row>
    <row r="17" spans="1:6" s="212" customFormat="1" ht="46.5" thickTop="1" thickBot="1" x14ac:dyDescent="0.25">
      <c r="A17" s="346" t="s">
        <v>612</v>
      </c>
      <c r="B17" s="761" t="s">
        <v>442</v>
      </c>
      <c r="C17" s="782"/>
      <c r="D17" s="558">
        <f>SUM(D18:D24)</f>
        <v>622434500</v>
      </c>
    </row>
    <row r="18" spans="1:6" s="212" customFormat="1" ht="47.25" hidden="1" thickTop="1" thickBot="1" x14ac:dyDescent="0.25">
      <c r="A18" s="119" t="s">
        <v>997</v>
      </c>
      <c r="B18" s="755" t="s">
        <v>996</v>
      </c>
      <c r="C18" s="756"/>
      <c r="D18" s="559">
        <v>0</v>
      </c>
    </row>
    <row r="19" spans="1:6" s="212" customFormat="1" ht="47.25" hidden="1" thickTop="1" thickBot="1" x14ac:dyDescent="0.25">
      <c r="A19" s="119" t="s">
        <v>1098</v>
      </c>
      <c r="B19" s="755" t="s">
        <v>1061</v>
      </c>
      <c r="C19" s="756"/>
      <c r="D19" s="559">
        <v>0</v>
      </c>
    </row>
    <row r="20" spans="1:6" s="212" customFormat="1" ht="47.25" thickTop="1" thickBot="1" x14ac:dyDescent="0.25">
      <c r="A20" s="119" t="s">
        <v>611</v>
      </c>
      <c r="B20" s="755" t="s">
        <v>624</v>
      </c>
      <c r="C20" s="756"/>
      <c r="D20" s="360">
        <f>(622418100)+16400</f>
        <v>622434500</v>
      </c>
    </row>
    <row r="21" spans="1:6" s="212" customFormat="1" ht="47.25" hidden="1" thickTop="1" thickBot="1" x14ac:dyDescent="0.25">
      <c r="A21" s="119" t="s">
        <v>1096</v>
      </c>
      <c r="B21" s="755" t="s">
        <v>1062</v>
      </c>
      <c r="C21" s="783"/>
      <c r="D21" s="360">
        <v>0</v>
      </c>
    </row>
    <row r="22" spans="1:6" s="212" customFormat="1" ht="47.25" hidden="1" thickTop="1" thickBot="1" x14ac:dyDescent="0.25">
      <c r="A22" s="119" t="s">
        <v>999</v>
      </c>
      <c r="B22" s="755" t="s">
        <v>998</v>
      </c>
      <c r="C22" s="756"/>
      <c r="D22" s="360">
        <v>0</v>
      </c>
    </row>
    <row r="23" spans="1:6" s="212" customFormat="1" ht="47.25" hidden="1" thickTop="1" thickBot="1" x14ac:dyDescent="0.25">
      <c r="A23" s="119" t="s">
        <v>1008</v>
      </c>
      <c r="B23" s="755" t="s">
        <v>1009</v>
      </c>
      <c r="C23" s="756"/>
      <c r="D23" s="360">
        <v>0</v>
      </c>
    </row>
    <row r="24" spans="1:6" s="212" customFormat="1" ht="47.25" hidden="1" thickTop="1" thickBot="1" x14ac:dyDescent="0.25">
      <c r="A24" s="119" t="s">
        <v>989</v>
      </c>
      <c r="B24" s="755" t="s">
        <v>988</v>
      </c>
      <c r="C24" s="756"/>
      <c r="D24" s="360">
        <v>0</v>
      </c>
    </row>
    <row r="25" spans="1:6" s="212" customFormat="1" ht="47.25" thickTop="1" thickBot="1" x14ac:dyDescent="0.25">
      <c r="A25" s="119" t="s">
        <v>1354</v>
      </c>
      <c r="B25" s="755" t="s">
        <v>579</v>
      </c>
      <c r="C25" s="756"/>
      <c r="D25" s="360">
        <f>D17</f>
        <v>622434500</v>
      </c>
    </row>
    <row r="26" spans="1:6" s="212" customFormat="1" ht="46.5" thickTop="1" thickBot="1" x14ac:dyDescent="0.25">
      <c r="A26" s="346" t="s">
        <v>616</v>
      </c>
      <c r="B26" s="761" t="s">
        <v>348</v>
      </c>
      <c r="C26" s="762"/>
      <c r="D26" s="558">
        <f>SUM(D27:D28)</f>
        <v>7726747.6399999997</v>
      </c>
    </row>
    <row r="27" spans="1:6" s="212" customFormat="1" ht="194.25" customHeight="1" thickTop="1" thickBot="1" x14ac:dyDescent="0.25">
      <c r="A27" s="119" t="s">
        <v>617</v>
      </c>
      <c r="B27" s="755" t="s">
        <v>625</v>
      </c>
      <c r="C27" s="756"/>
      <c r="D27" s="559">
        <v>7423154</v>
      </c>
    </row>
    <row r="28" spans="1:6" s="212" customFormat="1" ht="47.25" thickTop="1" thickBot="1" x14ac:dyDescent="0.25">
      <c r="A28" s="119" t="s">
        <v>1243</v>
      </c>
      <c r="B28" s="755" t="s">
        <v>1242</v>
      </c>
      <c r="C28" s="756"/>
      <c r="D28" s="559">
        <f>(134764.64)+168829</f>
        <v>303593.64</v>
      </c>
    </row>
    <row r="29" spans="1:6" s="212" customFormat="1" ht="47.25" thickTop="1" thickBot="1" x14ac:dyDescent="0.25">
      <c r="A29" s="119" t="s">
        <v>1358</v>
      </c>
      <c r="B29" s="755" t="s">
        <v>615</v>
      </c>
      <c r="C29" s="756"/>
      <c r="D29" s="360">
        <f>SUM(D27:D28)</f>
        <v>7726747.6399999997</v>
      </c>
    </row>
    <row r="30" spans="1:6" s="212" customFormat="1" ht="46.5" thickTop="1" thickBot="1" x14ac:dyDescent="0.25">
      <c r="A30" s="346" t="s">
        <v>618</v>
      </c>
      <c r="B30" s="761" t="s">
        <v>619</v>
      </c>
      <c r="C30" s="762"/>
      <c r="D30" s="558">
        <f>D49+D51</f>
        <v>136137199.14000002</v>
      </c>
      <c r="E30" s="634" t="b">
        <f>D30=D49+D51</f>
        <v>1</v>
      </c>
      <c r="F30" s="634" t="b">
        <f>D30='d1'!D121</f>
        <v>1</v>
      </c>
    </row>
    <row r="31" spans="1:6" s="212" customFormat="1" ht="367.5" customHeight="1" thickTop="1" x14ac:dyDescent="0.65">
      <c r="A31" s="694" t="s">
        <v>1099</v>
      </c>
      <c r="B31" s="776" t="s">
        <v>1527</v>
      </c>
      <c r="C31" s="777"/>
      <c r="D31" s="708">
        <v>60048682.840000004</v>
      </c>
    </row>
    <row r="32" spans="1:6" s="212" customFormat="1" ht="409.6" customHeight="1" thickBot="1" x14ac:dyDescent="0.25">
      <c r="A32" s="684"/>
      <c r="B32" s="778" t="s">
        <v>1528</v>
      </c>
      <c r="C32" s="779"/>
      <c r="D32" s="684"/>
    </row>
    <row r="33" spans="1:4" s="212" customFormat="1" ht="361.5" customHeight="1" thickTop="1" x14ac:dyDescent="0.65">
      <c r="A33" s="694" t="s">
        <v>1097</v>
      </c>
      <c r="B33" s="776" t="s">
        <v>1529</v>
      </c>
      <c r="C33" s="777"/>
      <c r="D33" s="708">
        <f>(16166689.19)+2178010.14</f>
        <v>18344699.329999998</v>
      </c>
    </row>
    <row r="34" spans="1:4" s="212" customFormat="1" ht="196.5" customHeight="1" thickBot="1" x14ac:dyDescent="0.25">
      <c r="A34" s="684"/>
      <c r="B34" s="778" t="s">
        <v>1530</v>
      </c>
      <c r="C34" s="779"/>
      <c r="D34" s="684"/>
    </row>
    <row r="35" spans="1:4" s="212" customFormat="1" ht="409.6" customHeight="1" thickTop="1" x14ac:dyDescent="0.65">
      <c r="A35" s="694">
        <v>41050600</v>
      </c>
      <c r="B35" s="776" t="s">
        <v>1531</v>
      </c>
      <c r="C35" s="777"/>
      <c r="D35" s="708">
        <f>((25469713.26)+9382915)-400956.29</f>
        <v>34451671.970000006</v>
      </c>
    </row>
    <row r="36" spans="1:4" s="212" customFormat="1" ht="385.5" customHeight="1" thickBot="1" x14ac:dyDescent="0.25">
      <c r="A36" s="684"/>
      <c r="B36" s="778" t="s">
        <v>1532</v>
      </c>
      <c r="C36" s="779"/>
      <c r="D36" s="684"/>
    </row>
    <row r="37" spans="1:4" s="212" customFormat="1" ht="174" hidden="1" customHeight="1" thickTop="1" thickBot="1" x14ac:dyDescent="0.25">
      <c r="A37" s="119">
        <v>41050900</v>
      </c>
      <c r="B37" s="755" t="s">
        <v>1100</v>
      </c>
      <c r="C37" s="756"/>
      <c r="D37" s="360">
        <v>0</v>
      </c>
    </row>
    <row r="38" spans="1:4" s="212" customFormat="1" ht="110.25" customHeight="1" thickTop="1" thickBot="1" x14ac:dyDescent="0.25">
      <c r="A38" s="119" t="s">
        <v>620</v>
      </c>
      <c r="B38" s="755" t="s">
        <v>621</v>
      </c>
      <c r="C38" s="756"/>
      <c r="D38" s="360">
        <v>8260086</v>
      </c>
    </row>
    <row r="39" spans="1:4" s="212" customFormat="1" ht="160.5" customHeight="1" thickTop="1" thickBot="1" x14ac:dyDescent="0.25">
      <c r="A39" s="119" t="s">
        <v>622</v>
      </c>
      <c r="B39" s="755" t="s">
        <v>1353</v>
      </c>
      <c r="C39" s="756"/>
      <c r="D39" s="559">
        <v>4309689</v>
      </c>
    </row>
    <row r="40" spans="1:4" s="212" customFormat="1" ht="47.25" hidden="1" thickTop="1" thickBot="1" x14ac:dyDescent="0.25">
      <c r="A40" s="119" t="s">
        <v>1000</v>
      </c>
      <c r="B40" s="755" t="s">
        <v>1001</v>
      </c>
      <c r="C40" s="756"/>
      <c r="D40" s="559">
        <v>0</v>
      </c>
    </row>
    <row r="41" spans="1:4" s="212" customFormat="1" ht="180.75" customHeight="1" thickTop="1" thickBot="1" x14ac:dyDescent="0.25">
      <c r="A41" s="119" t="s">
        <v>956</v>
      </c>
      <c r="B41" s="755" t="s">
        <v>957</v>
      </c>
      <c r="C41" s="756"/>
      <c r="D41" s="559">
        <v>2413596</v>
      </c>
    </row>
    <row r="42" spans="1:4" s="212" customFormat="1" ht="47.25" thickTop="1" thickBot="1" x14ac:dyDescent="0.25">
      <c r="A42" s="119">
        <v>41053900</v>
      </c>
      <c r="B42" s="755" t="s">
        <v>368</v>
      </c>
      <c r="C42" s="756"/>
      <c r="D42" s="559">
        <v>961639</v>
      </c>
    </row>
    <row r="43" spans="1:4" s="212" customFormat="1" ht="20.25" hidden="1" thickTop="1" x14ac:dyDescent="0.65">
      <c r="A43" s="694" t="s">
        <v>1101</v>
      </c>
      <c r="B43" s="776" t="s">
        <v>1102</v>
      </c>
      <c r="C43" s="777"/>
      <c r="D43" s="708">
        <v>0</v>
      </c>
    </row>
    <row r="44" spans="1:4" s="212" customFormat="1" ht="13.5" hidden="1" thickBot="1" x14ac:dyDescent="0.25">
      <c r="A44" s="684"/>
      <c r="B44" s="778" t="s">
        <v>1103</v>
      </c>
      <c r="C44" s="779"/>
      <c r="D44" s="684"/>
    </row>
    <row r="45" spans="1:4" s="212" customFormat="1" ht="47.25" hidden="1" thickTop="1" thickBot="1" x14ac:dyDescent="0.25">
      <c r="A45" s="119" t="s">
        <v>623</v>
      </c>
      <c r="B45" s="755" t="s">
        <v>626</v>
      </c>
      <c r="C45" s="756"/>
      <c r="D45" s="559">
        <v>0</v>
      </c>
    </row>
    <row r="46" spans="1:4" s="212" customFormat="1" ht="47.25" hidden="1" thickTop="1" thickBot="1" x14ac:dyDescent="0.25">
      <c r="A46" s="119" t="s">
        <v>1040</v>
      </c>
      <c r="B46" s="755" t="s">
        <v>1041</v>
      </c>
      <c r="C46" s="756"/>
      <c r="D46" s="360">
        <f>10623233.82-10623233.82</f>
        <v>0</v>
      </c>
    </row>
    <row r="47" spans="1:4" s="212" customFormat="1" ht="148.5" customHeight="1" thickTop="1" thickBot="1" x14ac:dyDescent="0.25">
      <c r="A47" s="119">
        <v>41057700</v>
      </c>
      <c r="B47" s="755" t="s">
        <v>1468</v>
      </c>
      <c r="C47" s="756"/>
      <c r="D47" s="559">
        <f>(88281)+58854</f>
        <v>147135</v>
      </c>
    </row>
    <row r="48" spans="1:4" s="212" customFormat="1" ht="148.5" customHeight="1" thickTop="1" thickBot="1" x14ac:dyDescent="0.25">
      <c r="A48" s="119">
        <v>41059000</v>
      </c>
      <c r="B48" s="755" t="s">
        <v>1497</v>
      </c>
      <c r="C48" s="756"/>
      <c r="D48" s="559">
        <v>7200000</v>
      </c>
    </row>
    <row r="49" spans="1:5" s="212" customFormat="1" ht="47.25" thickTop="1" thickBot="1" x14ac:dyDescent="0.55000000000000004">
      <c r="A49" s="119" t="s">
        <v>1358</v>
      </c>
      <c r="B49" s="755" t="s">
        <v>615</v>
      </c>
      <c r="C49" s="756"/>
      <c r="D49" s="360">
        <f>SUM(D31:D48)</f>
        <v>136137199.14000002</v>
      </c>
      <c r="E49" s="214"/>
    </row>
    <row r="50" spans="1:5" s="212" customFormat="1" ht="47.25" hidden="1" thickTop="1" thickBot="1" x14ac:dyDescent="0.25">
      <c r="A50" s="501" t="s">
        <v>1123</v>
      </c>
      <c r="B50" s="772" t="s">
        <v>1124</v>
      </c>
      <c r="C50" s="773"/>
      <c r="D50" s="560">
        <v>0</v>
      </c>
    </row>
    <row r="51" spans="1:5" s="212" customFormat="1" ht="47.25" hidden="1" thickTop="1" thickBot="1" x14ac:dyDescent="0.25">
      <c r="A51" s="501" t="s">
        <v>581</v>
      </c>
      <c r="B51" s="772" t="s">
        <v>582</v>
      </c>
      <c r="C51" s="773"/>
      <c r="D51" s="503">
        <f>D50</f>
        <v>0</v>
      </c>
    </row>
    <row r="52" spans="1:5" ht="63.75" customHeight="1" thickTop="1" thickBot="1" x14ac:dyDescent="0.25">
      <c r="A52" s="758" t="s">
        <v>603</v>
      </c>
      <c r="B52" s="759"/>
      <c r="C52" s="759"/>
      <c r="D52" s="760"/>
    </row>
    <row r="53" spans="1:5" ht="46.5" hidden="1" thickTop="1" thickBot="1" x14ac:dyDescent="0.25">
      <c r="A53" s="561" t="s">
        <v>612</v>
      </c>
      <c r="B53" s="774" t="s">
        <v>442</v>
      </c>
      <c r="C53" s="775"/>
      <c r="D53" s="562">
        <f>D54</f>
        <v>0</v>
      </c>
    </row>
    <row r="54" spans="1:5" ht="47.25" hidden="1" thickTop="1" thickBot="1" x14ac:dyDescent="0.25">
      <c r="A54" s="563" t="s">
        <v>1096</v>
      </c>
      <c r="B54" s="765" t="s">
        <v>1062</v>
      </c>
      <c r="C54" s="766"/>
      <c r="D54" s="564">
        <v>0</v>
      </c>
    </row>
    <row r="55" spans="1:5" ht="47.25" hidden="1" thickTop="1" thickBot="1" x14ac:dyDescent="0.25">
      <c r="A55" s="563" t="s">
        <v>888</v>
      </c>
      <c r="B55" s="765" t="s">
        <v>579</v>
      </c>
      <c r="C55" s="766"/>
      <c r="D55" s="565">
        <f>D53</f>
        <v>0</v>
      </c>
    </row>
    <row r="56" spans="1:5" ht="46.5" thickTop="1" thickBot="1" x14ac:dyDescent="0.25">
      <c r="A56" s="346" t="s">
        <v>618</v>
      </c>
      <c r="B56" s="761" t="s">
        <v>619</v>
      </c>
      <c r="C56" s="762"/>
      <c r="D56" s="558">
        <f>D60+D62</f>
        <v>2801909</v>
      </c>
      <c r="E56" s="647" t="b">
        <f>D56=D57+D58+D61+D59</f>
        <v>1</v>
      </c>
    </row>
    <row r="57" spans="1:5" ht="47.25" hidden="1" thickTop="1" thickBot="1" x14ac:dyDescent="0.25">
      <c r="A57" s="563" t="s">
        <v>958</v>
      </c>
      <c r="B57" s="765" t="s">
        <v>961</v>
      </c>
      <c r="C57" s="766"/>
      <c r="D57" s="564">
        <v>0</v>
      </c>
    </row>
    <row r="58" spans="1:5" ht="47.25" hidden="1" thickTop="1" thickBot="1" x14ac:dyDescent="0.25">
      <c r="A58" s="563">
        <v>41053900</v>
      </c>
      <c r="B58" s="765" t="s">
        <v>962</v>
      </c>
      <c r="C58" s="766"/>
      <c r="D58" s="564">
        <v>0</v>
      </c>
    </row>
    <row r="59" spans="1:5" ht="47.25" thickTop="1" thickBot="1" x14ac:dyDescent="0.25">
      <c r="A59" s="119" t="s">
        <v>620</v>
      </c>
      <c r="B59" s="755" t="s">
        <v>621</v>
      </c>
      <c r="C59" s="756"/>
      <c r="D59" s="559">
        <f>2828521-26612</f>
        <v>2801909</v>
      </c>
    </row>
    <row r="60" spans="1:5" ht="47.25" thickTop="1" thickBot="1" x14ac:dyDescent="0.25">
      <c r="A60" s="119" t="s">
        <v>1358</v>
      </c>
      <c r="B60" s="755" t="s">
        <v>615</v>
      </c>
      <c r="C60" s="756"/>
      <c r="D60" s="360">
        <f>SUM(D57:D59)</f>
        <v>2801909</v>
      </c>
    </row>
    <row r="61" spans="1:5" ht="47.25" hidden="1" thickTop="1" thickBot="1" x14ac:dyDescent="0.25">
      <c r="A61" s="563">
        <v>41053900</v>
      </c>
      <c r="B61" s="765" t="s">
        <v>1122</v>
      </c>
      <c r="C61" s="766"/>
      <c r="D61" s="564">
        <v>0</v>
      </c>
    </row>
    <row r="62" spans="1:5" ht="47.25" hidden="1" thickTop="1" thickBot="1" x14ac:dyDescent="0.25">
      <c r="A62" s="563" t="s">
        <v>581</v>
      </c>
      <c r="B62" s="765" t="s">
        <v>582</v>
      </c>
      <c r="C62" s="766"/>
      <c r="D62" s="565">
        <f>D61</f>
        <v>0</v>
      </c>
    </row>
    <row r="63" spans="1:5" ht="47.25" thickTop="1" thickBot="1" x14ac:dyDescent="0.25">
      <c r="A63" s="506" t="s">
        <v>385</v>
      </c>
      <c r="B63" s="763" t="s">
        <v>604</v>
      </c>
      <c r="C63" s="764"/>
      <c r="D63" s="508">
        <f>D64+D65</f>
        <v>785680055.77999997</v>
      </c>
      <c r="E63" s="635" t="b">
        <f>D63='d1'!C106</f>
        <v>1</v>
      </c>
    </row>
    <row r="64" spans="1:5" ht="47.25" thickTop="1" thickBot="1" x14ac:dyDescent="0.25">
      <c r="A64" s="119" t="s">
        <v>385</v>
      </c>
      <c r="B64" s="755" t="s">
        <v>390</v>
      </c>
      <c r="C64" s="756"/>
      <c r="D64" s="360">
        <f>D49+D25+D29+D51+D16</f>
        <v>782878146.77999997</v>
      </c>
      <c r="E64" s="635" t="b">
        <f>D64='d1'!D106</f>
        <v>1</v>
      </c>
    </row>
    <row r="65" spans="1:6" ht="47.25" thickTop="1" thickBot="1" x14ac:dyDescent="0.25">
      <c r="A65" s="119" t="s">
        <v>385</v>
      </c>
      <c r="B65" s="755" t="s">
        <v>391</v>
      </c>
      <c r="C65" s="756"/>
      <c r="D65" s="360">
        <f>D60+D55+D62</f>
        <v>2801909</v>
      </c>
      <c r="E65" s="635" t="b">
        <f>D65='d1'!E106</f>
        <v>1</v>
      </c>
    </row>
    <row r="66" spans="1:6" ht="31.7" customHeight="1" thickTop="1" x14ac:dyDescent="0.2">
      <c r="A66" s="184"/>
      <c r="B66" s="185"/>
      <c r="C66" s="185"/>
      <c r="D66" s="185"/>
    </row>
    <row r="67" spans="1:6" ht="31.7" customHeight="1" x14ac:dyDescent="0.2">
      <c r="A67" s="184"/>
      <c r="B67" s="185"/>
      <c r="C67" s="185"/>
      <c r="D67" s="185"/>
    </row>
    <row r="68" spans="1:6" ht="60" customHeight="1" x14ac:dyDescent="0.2">
      <c r="A68" s="767" t="s">
        <v>1132</v>
      </c>
      <c r="B68" s="768"/>
      <c r="C68" s="768"/>
      <c r="D68" s="768"/>
    </row>
    <row r="69" spans="1:6" ht="54" customHeight="1" thickBot="1" x14ac:dyDescent="0.25">
      <c r="A69" s="15"/>
      <c r="B69" s="16"/>
      <c r="C69" s="16"/>
      <c r="D69" s="356" t="s">
        <v>408</v>
      </c>
    </row>
    <row r="70" spans="1:6" ht="325.5" customHeight="1" thickTop="1" thickBot="1" x14ac:dyDescent="0.25">
      <c r="A70" s="357" t="s">
        <v>605</v>
      </c>
      <c r="B70" s="358" t="s">
        <v>496</v>
      </c>
      <c r="C70" s="357" t="s">
        <v>606</v>
      </c>
      <c r="D70" s="357" t="s">
        <v>387</v>
      </c>
    </row>
    <row r="71" spans="1:6" ht="50.25" customHeight="1" thickTop="1" thickBot="1" x14ac:dyDescent="0.25">
      <c r="A71" s="119" t="s">
        <v>2</v>
      </c>
      <c r="B71" s="119" t="s">
        <v>3</v>
      </c>
      <c r="C71" s="119" t="s">
        <v>14</v>
      </c>
      <c r="D71" s="119" t="s">
        <v>5</v>
      </c>
    </row>
    <row r="72" spans="1:6" ht="65.25" customHeight="1" thickTop="1" thickBot="1" x14ac:dyDescent="0.25">
      <c r="A72" s="758" t="s">
        <v>607</v>
      </c>
      <c r="B72" s="759"/>
      <c r="C72" s="759"/>
      <c r="D72" s="760"/>
    </row>
    <row r="73" spans="1:6" ht="184.5" thickTop="1" thickBot="1" x14ac:dyDescent="0.55000000000000004">
      <c r="A73" s="119" t="s">
        <v>249</v>
      </c>
      <c r="B73" s="119" t="s">
        <v>250</v>
      </c>
      <c r="C73" s="359" t="s">
        <v>447</v>
      </c>
      <c r="D73" s="360">
        <f>SUM(D74:D75)</f>
        <v>1163700</v>
      </c>
      <c r="E73" s="635" t="b">
        <f>D73='d3'!E41</f>
        <v>1</v>
      </c>
      <c r="F73" s="214"/>
    </row>
    <row r="74" spans="1:6" ht="93" thickTop="1" thickBot="1" x14ac:dyDescent="0.55000000000000004">
      <c r="A74" s="119" t="s">
        <v>1357</v>
      </c>
      <c r="B74" s="119"/>
      <c r="C74" s="359" t="s">
        <v>583</v>
      </c>
      <c r="D74" s="360">
        <v>500000</v>
      </c>
      <c r="E74" s="214"/>
      <c r="F74" s="214"/>
    </row>
    <row r="75" spans="1:6" ht="93" thickTop="1" thickBot="1" x14ac:dyDescent="0.55000000000000004">
      <c r="A75" s="119" t="s">
        <v>1356</v>
      </c>
      <c r="B75" s="119"/>
      <c r="C75" s="359" t="s">
        <v>584</v>
      </c>
      <c r="D75" s="360">
        <v>663700</v>
      </c>
      <c r="E75" s="214"/>
      <c r="F75" s="214"/>
    </row>
    <row r="76" spans="1:6" ht="47.25" thickTop="1" thickBot="1" x14ac:dyDescent="0.55000000000000004">
      <c r="A76" s="119" t="s">
        <v>580</v>
      </c>
      <c r="B76" s="119" t="s">
        <v>367</v>
      </c>
      <c r="C76" s="359" t="s">
        <v>368</v>
      </c>
      <c r="D76" s="360">
        <f>SUM(D77)</f>
        <v>148700</v>
      </c>
      <c r="E76" s="635" t="b">
        <f>D76='d3'!E42</f>
        <v>1</v>
      </c>
      <c r="F76" s="214"/>
    </row>
    <row r="77" spans="1:6" ht="47.25" thickTop="1" thickBot="1" x14ac:dyDescent="0.55000000000000004">
      <c r="A77" s="119" t="s">
        <v>1355</v>
      </c>
      <c r="B77" s="119"/>
      <c r="C77" s="359" t="s">
        <v>582</v>
      </c>
      <c r="D77" s="360">
        <v>148700</v>
      </c>
      <c r="E77" s="214"/>
      <c r="F77" s="214"/>
    </row>
    <row r="78" spans="1:6" ht="138.75" thickTop="1" thickBot="1" x14ac:dyDescent="0.55000000000000004">
      <c r="A78" s="119" t="s">
        <v>517</v>
      </c>
      <c r="B78" s="119" t="s">
        <v>518</v>
      </c>
      <c r="C78" s="359" t="s">
        <v>519</v>
      </c>
      <c r="D78" s="360">
        <f>((((((10831000+415230+969000)+150000+935000+1000000+4342180+997000+1066000+600000+1000000-180000+306800+373000+496702-275000+300000+1000000-86000+505900+115000+650000+850000+1100000+320000+871614+14000)+19381401.33-410000+5800000)+6034038.38+17127467+1000000+170000-546000)+47584626.76+234000+20997+1210000)+33386164)+1500000</f>
        <v>161160120.47</v>
      </c>
      <c r="E78" s="635" t="b">
        <f>D78='d3'!E43</f>
        <v>1</v>
      </c>
      <c r="F78" s="214"/>
    </row>
    <row r="79" spans="1:6" ht="138.75" thickTop="1" thickBot="1" x14ac:dyDescent="0.55000000000000004">
      <c r="A79" s="119" t="s">
        <v>1424</v>
      </c>
      <c r="B79" s="119" t="s">
        <v>518</v>
      </c>
      <c r="C79" s="359" t="s">
        <v>519</v>
      </c>
      <c r="D79" s="360">
        <v>120000</v>
      </c>
      <c r="E79" s="635" t="b">
        <f>D79='d3'!E364</f>
        <v>1</v>
      </c>
      <c r="F79" s="214"/>
    </row>
    <row r="80" spans="1:6" ht="138.75" thickTop="1" thickBot="1" x14ac:dyDescent="0.55000000000000004">
      <c r="A80" s="119" t="s">
        <v>1279</v>
      </c>
      <c r="B80" s="119" t="s">
        <v>518</v>
      </c>
      <c r="C80" s="359" t="s">
        <v>519</v>
      </c>
      <c r="D80" s="360">
        <f>(19000+13000)+4131</f>
        <v>36131</v>
      </c>
      <c r="E80" s="635" t="b">
        <f>D80='d3'!E393</f>
        <v>1</v>
      </c>
      <c r="F80" s="214"/>
    </row>
    <row r="81" spans="1:6" ht="47.25" thickTop="1" thickBot="1" x14ac:dyDescent="0.55000000000000004">
      <c r="A81" s="119" t="s">
        <v>1354</v>
      </c>
      <c r="B81" s="119"/>
      <c r="C81" s="359" t="s">
        <v>579</v>
      </c>
      <c r="D81" s="360">
        <f>SUM(D78:D80)</f>
        <v>161316251.47</v>
      </c>
      <c r="E81" s="214"/>
      <c r="F81" s="214"/>
    </row>
    <row r="82" spans="1:6" ht="47.25" hidden="1" thickTop="1" thickBot="1" x14ac:dyDescent="0.55000000000000004">
      <c r="A82" s="215" t="s">
        <v>591</v>
      </c>
      <c r="B82" s="215" t="s">
        <v>367</v>
      </c>
      <c r="C82" s="217" t="s">
        <v>368</v>
      </c>
      <c r="D82" s="216">
        <f>SUM(D83)</f>
        <v>0</v>
      </c>
      <c r="E82" s="636" t="b">
        <f>D82='d3'!E214</f>
        <v>1</v>
      </c>
      <c r="F82" s="214"/>
    </row>
    <row r="83" spans="1:6" ht="93" hidden="1" thickTop="1" thickBot="1" x14ac:dyDescent="0.55000000000000004">
      <c r="A83" s="215" t="s">
        <v>585</v>
      </c>
      <c r="B83" s="215"/>
      <c r="C83" s="217" t="s">
        <v>586</v>
      </c>
      <c r="D83" s="216">
        <v>0</v>
      </c>
      <c r="E83" s="214"/>
      <c r="F83" s="214"/>
    </row>
    <row r="84" spans="1:6" ht="47.25" hidden="1" thickTop="1" thickBot="1" x14ac:dyDescent="0.55000000000000004">
      <c r="A84" s="215" t="s">
        <v>1129</v>
      </c>
      <c r="B84" s="215" t="s">
        <v>367</v>
      </c>
      <c r="C84" s="217" t="s">
        <v>368</v>
      </c>
      <c r="D84" s="216">
        <v>0</v>
      </c>
      <c r="E84" s="636" t="b">
        <f>D84='d3'!E250</f>
        <v>1</v>
      </c>
      <c r="F84" s="214"/>
    </row>
    <row r="85" spans="1:6" ht="47.25" thickTop="1" thickBot="1" x14ac:dyDescent="0.55000000000000004">
      <c r="A85" s="119" t="s">
        <v>917</v>
      </c>
      <c r="B85" s="119" t="s">
        <v>367</v>
      </c>
      <c r="C85" s="359" t="s">
        <v>368</v>
      </c>
      <c r="D85" s="360">
        <v>152000</v>
      </c>
      <c r="E85" s="635" t="b">
        <f>D85='d3'!E383</f>
        <v>1</v>
      </c>
      <c r="F85" s="214"/>
    </row>
    <row r="86" spans="1:6" ht="47.25" thickTop="1" thickBot="1" x14ac:dyDescent="0.55000000000000004">
      <c r="A86" s="119" t="s">
        <v>1358</v>
      </c>
      <c r="B86" s="119"/>
      <c r="C86" s="359" t="s">
        <v>615</v>
      </c>
      <c r="D86" s="360">
        <f>SUM(D84:D85)</f>
        <v>152000</v>
      </c>
      <c r="E86" s="214"/>
      <c r="F86" s="214"/>
    </row>
    <row r="87" spans="1:6" ht="409.6" hidden="1" thickTop="1" thickBot="1" x14ac:dyDescent="0.55000000000000004">
      <c r="A87" s="119" t="s">
        <v>1480</v>
      </c>
      <c r="B87" s="119" t="s">
        <v>1481</v>
      </c>
      <c r="C87" s="359" t="s">
        <v>1479</v>
      </c>
      <c r="D87" s="360">
        <f>(2000000)-2000000</f>
        <v>0</v>
      </c>
      <c r="E87" s="214"/>
      <c r="F87" s="214"/>
    </row>
    <row r="88" spans="1:6" ht="47.25" hidden="1" thickTop="1" thickBot="1" x14ac:dyDescent="0.55000000000000004">
      <c r="A88" s="119" t="s">
        <v>1354</v>
      </c>
      <c r="B88" s="119"/>
      <c r="C88" s="359" t="s">
        <v>579</v>
      </c>
      <c r="D88" s="360">
        <f>D87</f>
        <v>0</v>
      </c>
      <c r="E88" s="214"/>
      <c r="F88" s="214"/>
    </row>
    <row r="89" spans="1:6" ht="47.25" thickTop="1" thickBot="1" x14ac:dyDescent="0.55000000000000004">
      <c r="A89" s="119" t="s">
        <v>609</v>
      </c>
      <c r="B89" s="119" t="s">
        <v>610</v>
      </c>
      <c r="C89" s="359" t="s">
        <v>455</v>
      </c>
      <c r="D89" s="360">
        <f>SUM(D90)</f>
        <v>328100700</v>
      </c>
      <c r="E89" s="635" t="b">
        <f>D89='d3'!E420</f>
        <v>1</v>
      </c>
      <c r="F89" s="214"/>
    </row>
    <row r="90" spans="1:6" ht="47.25" thickTop="1" thickBot="1" x14ac:dyDescent="0.55000000000000004">
      <c r="A90" s="119" t="s">
        <v>1354</v>
      </c>
      <c r="B90" s="119"/>
      <c r="C90" s="359" t="s">
        <v>579</v>
      </c>
      <c r="D90" s="360">
        <v>328100700</v>
      </c>
      <c r="E90" s="214"/>
      <c r="F90" s="214"/>
    </row>
    <row r="91" spans="1:6" ht="77.25" customHeight="1" thickTop="1" thickBot="1" x14ac:dyDescent="0.55000000000000004">
      <c r="A91" s="758" t="s">
        <v>608</v>
      </c>
      <c r="B91" s="759"/>
      <c r="C91" s="759"/>
      <c r="D91" s="760"/>
      <c r="E91" s="214"/>
      <c r="F91" s="214"/>
    </row>
    <row r="92" spans="1:6" ht="138.75" thickTop="1" thickBot="1" x14ac:dyDescent="0.55000000000000004">
      <c r="A92" s="119" t="s">
        <v>517</v>
      </c>
      <c r="B92" s="119" t="s">
        <v>518</v>
      </c>
      <c r="C92" s="359" t="s">
        <v>519</v>
      </c>
      <c r="D92" s="360">
        <f>(((((12286000+1300000+150000+4895000)+700000+1000000+65000+400000+2000000+3653000+3934000+12071320+180000+693200+627000+275000+1400000+86000+75000+1100000+2000000+135000+23000)+33049720.46+500000)+5619428.62-798000+51025755-1000000-170000+546000)+38510438.28-20997)+13175833</f>
        <v>189486698.36000001</v>
      </c>
      <c r="E92" s="635" t="b">
        <f>D92='d3'!J43</f>
        <v>1</v>
      </c>
      <c r="F92" s="637"/>
    </row>
    <row r="93" spans="1:6" ht="138.75" hidden="1" thickTop="1" thickBot="1" x14ac:dyDescent="0.55000000000000004">
      <c r="A93" s="119" t="s">
        <v>1279</v>
      </c>
      <c r="B93" s="119" t="s">
        <v>518</v>
      </c>
      <c r="C93" s="359" t="s">
        <v>519</v>
      </c>
      <c r="D93" s="360">
        <v>0</v>
      </c>
      <c r="E93" s="635" t="b">
        <f>D93='d3'!P393</f>
        <v>0</v>
      </c>
      <c r="F93" s="637"/>
    </row>
    <row r="94" spans="1:6" ht="138.75" thickTop="1" thickBot="1" x14ac:dyDescent="0.55000000000000004">
      <c r="A94" s="119" t="s">
        <v>1279</v>
      </c>
      <c r="B94" s="119" t="s">
        <v>518</v>
      </c>
      <c r="C94" s="359" t="s">
        <v>519</v>
      </c>
      <c r="D94" s="360">
        <f>(77000+80000)-4131</f>
        <v>152869</v>
      </c>
      <c r="E94" s="635" t="b">
        <f>D94='d3'!J393</f>
        <v>1</v>
      </c>
      <c r="F94" s="637"/>
    </row>
    <row r="95" spans="1:6" ht="47.25" thickTop="1" thickBot="1" x14ac:dyDescent="0.55000000000000004">
      <c r="A95" s="119" t="s">
        <v>1354</v>
      </c>
      <c r="B95" s="119"/>
      <c r="C95" s="359" t="s">
        <v>579</v>
      </c>
      <c r="D95" s="360">
        <f>D92+D94</f>
        <v>189639567.36000001</v>
      </c>
      <c r="E95" s="637"/>
      <c r="F95" s="637"/>
    </row>
    <row r="96" spans="1:6" ht="47.25" hidden="1" thickTop="1" thickBot="1" x14ac:dyDescent="0.55000000000000004">
      <c r="A96" s="501" t="s">
        <v>1046</v>
      </c>
      <c r="B96" s="501" t="s">
        <v>367</v>
      </c>
      <c r="C96" s="502" t="s">
        <v>368</v>
      </c>
      <c r="D96" s="503">
        <v>0</v>
      </c>
      <c r="E96" s="635" t="b">
        <f>D96='d3'!J102</f>
        <v>1</v>
      </c>
      <c r="F96" s="637"/>
    </row>
    <row r="97" spans="1:12" ht="47.25" hidden="1" thickTop="1" thickBot="1" x14ac:dyDescent="0.55000000000000004">
      <c r="A97" s="501" t="s">
        <v>1129</v>
      </c>
      <c r="B97" s="501" t="s">
        <v>367</v>
      </c>
      <c r="C97" s="502" t="s">
        <v>368</v>
      </c>
      <c r="D97" s="503">
        <v>0</v>
      </c>
      <c r="E97" s="635" t="b">
        <f>D97='d3'!J250</f>
        <v>1</v>
      </c>
      <c r="F97" s="637"/>
    </row>
    <row r="98" spans="1:12" ht="47.25" thickTop="1" thickBot="1" x14ac:dyDescent="0.55000000000000004">
      <c r="A98" s="119" t="s">
        <v>1591</v>
      </c>
      <c r="B98" s="119" t="s">
        <v>367</v>
      </c>
      <c r="C98" s="359" t="s">
        <v>368</v>
      </c>
      <c r="D98" s="360">
        <v>10000000</v>
      </c>
      <c r="E98" s="635" t="b">
        <f>D98='d3'!J311</f>
        <v>1</v>
      </c>
      <c r="F98" s="637"/>
    </row>
    <row r="99" spans="1:12" ht="47.25" hidden="1" thickTop="1" thickBot="1" x14ac:dyDescent="0.55000000000000004">
      <c r="A99" s="119" t="s">
        <v>917</v>
      </c>
      <c r="B99" s="119" t="s">
        <v>367</v>
      </c>
      <c r="C99" s="359" t="s">
        <v>368</v>
      </c>
      <c r="D99" s="360">
        <v>0</v>
      </c>
      <c r="E99" s="635" t="b">
        <f>D99='d3'!J383</f>
        <v>1</v>
      </c>
      <c r="F99" s="637"/>
    </row>
    <row r="100" spans="1:12" ht="47.25" thickTop="1" thickBot="1" x14ac:dyDescent="0.55000000000000004">
      <c r="A100" s="119" t="s">
        <v>1358</v>
      </c>
      <c r="B100" s="119"/>
      <c r="C100" s="359" t="s">
        <v>615</v>
      </c>
      <c r="D100" s="360">
        <f>SUM(D96:D99)</f>
        <v>10000000</v>
      </c>
      <c r="E100" s="637"/>
      <c r="F100" s="637"/>
    </row>
    <row r="101" spans="1:12" ht="47.25" hidden="1" thickTop="1" thickBot="1" x14ac:dyDescent="0.55000000000000004">
      <c r="A101" s="483"/>
      <c r="B101" s="483"/>
      <c r="C101" s="504"/>
      <c r="D101" s="505"/>
      <c r="E101" s="637"/>
      <c r="F101" s="637"/>
    </row>
    <row r="102" spans="1:12" ht="84.75" customHeight="1" thickTop="1" thickBot="1" x14ac:dyDescent="0.25">
      <c r="A102" s="506" t="s">
        <v>385</v>
      </c>
      <c r="B102" s="506" t="s">
        <v>385</v>
      </c>
      <c r="C102" s="507" t="s">
        <v>604</v>
      </c>
      <c r="D102" s="508">
        <f>D74+D75+D77+D81+D83+D86+D90+D95+D100+D88</f>
        <v>690520918.83000004</v>
      </c>
      <c r="E102" s="634" t="b">
        <f>D102=D103+D104</f>
        <v>1</v>
      </c>
      <c r="F102" s="634" t="b">
        <f>D102=D89+'d7'!G43+'d7'!G44+'d7'!G45+'d7'!G46+'d7'!G47+'d7'!G48+'d7'!G49+'d7'!G50+'d7'!G51+'d7'!G52+'d7'!G53+'d7'!G315+'d7'!G335+'d7'!G41+'d7'!G42+'d7'!G54+'d7'!G328+'d7'!G276</f>
        <v>1</v>
      </c>
    </row>
    <row r="103" spans="1:12" ht="47.25" thickTop="1" thickBot="1" x14ac:dyDescent="0.55000000000000004">
      <c r="A103" s="119" t="s">
        <v>385</v>
      </c>
      <c r="B103" s="119" t="s">
        <v>385</v>
      </c>
      <c r="C103" s="359" t="s">
        <v>390</v>
      </c>
      <c r="D103" s="360">
        <f>'d3'!E39+'d3'!E363+'d3'!E392+'d3'!E418+'d3'!E383+'d3'!E311</f>
        <v>490881351.47000003</v>
      </c>
      <c r="E103" s="634" t="b">
        <f>D103=D73+D76+D82+D85+D89+D78+D84+D80+D79+D87</f>
        <v>1</v>
      </c>
      <c r="F103" s="638"/>
    </row>
    <row r="104" spans="1:12" ht="47.25" thickTop="1" thickBot="1" x14ac:dyDescent="0.55000000000000004">
      <c r="A104" s="119" t="s">
        <v>385</v>
      </c>
      <c r="B104" s="119" t="s">
        <v>385</v>
      </c>
      <c r="C104" s="359" t="s">
        <v>391</v>
      </c>
      <c r="D104" s="360">
        <f>'d3'!J39+'d3'!J363+'d3'!J392+'d3'!J418+'d3'!J311</f>
        <v>199639567.36000001</v>
      </c>
      <c r="E104" s="634" t="b">
        <f>D104=D94+D92+D98</f>
        <v>1</v>
      </c>
      <c r="F104" s="638"/>
    </row>
    <row r="105" spans="1:12" ht="91.5" customHeight="1" thickTop="1" x14ac:dyDescent="0.2">
      <c r="A105" s="184"/>
      <c r="B105" s="185"/>
      <c r="C105" s="185"/>
      <c r="D105" s="185"/>
      <c r="E105" s="90"/>
      <c r="F105" s="90"/>
    </row>
    <row r="106" spans="1:12" ht="45.75" x14ac:dyDescent="0.65">
      <c r="A106" s="184"/>
      <c r="B106" s="769" t="s">
        <v>1586</v>
      </c>
      <c r="C106" s="662"/>
      <c r="D106" s="617" t="s">
        <v>1587</v>
      </c>
      <c r="E106" s="14"/>
      <c r="F106" s="218"/>
      <c r="G106" s="219"/>
      <c r="H106" s="218"/>
      <c r="I106" s="218"/>
      <c r="J106" s="220"/>
      <c r="K106" s="220"/>
      <c r="L106" s="220"/>
    </row>
    <row r="107" spans="1:12" ht="45.75" hidden="1" x14ac:dyDescent="0.65">
      <c r="A107" s="184"/>
      <c r="B107" s="3" t="s">
        <v>1548</v>
      </c>
      <c r="C107" s="361"/>
      <c r="D107" s="3" t="s">
        <v>1549</v>
      </c>
      <c r="E107" s="14"/>
      <c r="F107" s="218"/>
      <c r="G107" s="219"/>
      <c r="H107" s="218"/>
      <c r="I107" s="218"/>
      <c r="J107" s="220"/>
      <c r="K107" s="220"/>
      <c r="L107" s="220"/>
    </row>
    <row r="108" spans="1:12" ht="27.75" customHeight="1" x14ac:dyDescent="0.65">
      <c r="A108" s="211"/>
      <c r="B108" s="3"/>
      <c r="C108" s="3"/>
      <c r="D108" s="3"/>
      <c r="E108" s="1"/>
      <c r="F108" s="13"/>
    </row>
    <row r="109" spans="1:12" ht="42" customHeight="1" x14ac:dyDescent="0.65">
      <c r="A109" s="208"/>
      <c r="B109" s="769" t="s">
        <v>528</v>
      </c>
      <c r="C109" s="662"/>
      <c r="D109" s="3" t="s">
        <v>1435</v>
      </c>
      <c r="E109" s="1"/>
      <c r="F109" s="472"/>
      <c r="G109" s="474"/>
      <c r="H109" s="472"/>
      <c r="I109" s="472"/>
    </row>
    <row r="110" spans="1:12" ht="45.75" x14ac:dyDescent="0.65">
      <c r="A110" s="208"/>
      <c r="B110" s="770"/>
      <c r="C110" s="771"/>
      <c r="D110" s="218"/>
      <c r="E110" s="13"/>
      <c r="F110" s="13"/>
    </row>
    <row r="111" spans="1:12" ht="45.75" x14ac:dyDescent="0.65">
      <c r="A111" s="208"/>
      <c r="B111" s="757"/>
      <c r="C111" s="757"/>
      <c r="D111" s="757"/>
      <c r="E111" s="13"/>
      <c r="F111" s="13"/>
    </row>
    <row r="114" spans="1:4" x14ac:dyDescent="0.2">
      <c r="A114" s="210"/>
      <c r="B114" s="210"/>
      <c r="C114" s="210"/>
    </row>
    <row r="116" spans="1:4" x14ac:dyDescent="0.2">
      <c r="A116" s="210"/>
      <c r="B116" s="210"/>
      <c r="C116" s="210"/>
    </row>
    <row r="120" spans="1:4" x14ac:dyDescent="0.2">
      <c r="A120" s="210"/>
      <c r="B120" s="210"/>
      <c r="C120" s="210"/>
      <c r="D120" s="210"/>
    </row>
    <row r="121" spans="1:4" x14ac:dyDescent="0.2">
      <c r="A121" s="210"/>
      <c r="B121" s="210"/>
      <c r="C121" s="210"/>
      <c r="D121" s="210"/>
    </row>
    <row r="122" spans="1:4" x14ac:dyDescent="0.2">
      <c r="A122" s="210"/>
      <c r="B122" s="210"/>
      <c r="C122" s="210"/>
      <c r="D122" s="210"/>
    </row>
    <row r="123" spans="1:4" x14ac:dyDescent="0.2">
      <c r="A123" s="210"/>
      <c r="B123" s="210"/>
      <c r="C123" s="210"/>
      <c r="D123" s="210"/>
    </row>
  </sheetData>
  <mergeCells count="77">
    <mergeCell ref="B15:C15"/>
    <mergeCell ref="B16:C16"/>
    <mergeCell ref="B48:C48"/>
    <mergeCell ref="A31:A32"/>
    <mergeCell ref="D31:D32"/>
    <mergeCell ref="B37:C37"/>
    <mergeCell ref="B43:C43"/>
    <mergeCell ref="A43:A44"/>
    <mergeCell ref="D43:D44"/>
    <mergeCell ref="B44:C44"/>
    <mergeCell ref="A33:A34"/>
    <mergeCell ref="D33:D34"/>
    <mergeCell ref="A35:A36"/>
    <mergeCell ref="D35:D36"/>
    <mergeCell ref="B39:C39"/>
    <mergeCell ref="B41:C41"/>
    <mergeCell ref="A9:D9"/>
    <mergeCell ref="A13:D13"/>
    <mergeCell ref="B11:C11"/>
    <mergeCell ref="B12:C12"/>
    <mergeCell ref="B14:C14"/>
    <mergeCell ref="B19:C19"/>
    <mergeCell ref="B17:C17"/>
    <mergeCell ref="B26:C26"/>
    <mergeCell ref="B27:C27"/>
    <mergeCell ref="B20:C20"/>
    <mergeCell ref="B24:C24"/>
    <mergeCell ref="B18:C18"/>
    <mergeCell ref="B22:C22"/>
    <mergeCell ref="B23:C23"/>
    <mergeCell ref="B21:C21"/>
    <mergeCell ref="B25:C25"/>
    <mergeCell ref="N3:O3"/>
    <mergeCell ref="N4:O4"/>
    <mergeCell ref="N5:O5"/>
    <mergeCell ref="A6:D6"/>
    <mergeCell ref="A7:D7"/>
    <mergeCell ref="A5:D5"/>
    <mergeCell ref="B46:C46"/>
    <mergeCell ref="B28:C28"/>
    <mergeCell ref="B30:C30"/>
    <mergeCell ref="B29:C29"/>
    <mergeCell ref="B40:C40"/>
    <mergeCell ref="B42:C42"/>
    <mergeCell ref="B31:C31"/>
    <mergeCell ref="B32:C32"/>
    <mergeCell ref="B35:C35"/>
    <mergeCell ref="B45:C45"/>
    <mergeCell ref="B38:C38"/>
    <mergeCell ref="B36:C36"/>
    <mergeCell ref="B33:C33"/>
    <mergeCell ref="B34:C34"/>
    <mergeCell ref="B110:C110"/>
    <mergeCell ref="B50:C50"/>
    <mergeCell ref="B51:C51"/>
    <mergeCell ref="B53:C53"/>
    <mergeCell ref="B54:C54"/>
    <mergeCell ref="B55:C55"/>
    <mergeCell ref="A52:D52"/>
    <mergeCell ref="B59:C59"/>
    <mergeCell ref="B106:C106"/>
    <mergeCell ref="B47:C47"/>
    <mergeCell ref="B49:C49"/>
    <mergeCell ref="B111:D111"/>
    <mergeCell ref="A72:D72"/>
    <mergeCell ref="A91:D91"/>
    <mergeCell ref="B56:C56"/>
    <mergeCell ref="B64:C64"/>
    <mergeCell ref="B65:C65"/>
    <mergeCell ref="B63:C63"/>
    <mergeCell ref="B57:C57"/>
    <mergeCell ref="B60:C60"/>
    <mergeCell ref="A68:D68"/>
    <mergeCell ref="B61:C61"/>
    <mergeCell ref="B62:C62"/>
    <mergeCell ref="B58:C58"/>
    <mergeCell ref="B109:C109"/>
  </mergeCells>
  <pageMargins left="0.23622047244094491" right="0.27559055118110237" top="0.27559055118110237" bottom="0.15748031496062992" header="0.23622047244094491" footer="0.27559055118110237"/>
  <pageSetup paperSize="9" scale="30" fitToHeight="0" orientation="portrait" horizontalDpi="4294967295" verticalDpi="4294967295" r:id="rId1"/>
  <headerFooter alignWithMargins="0">
    <oddFooter>&amp;C&amp;"Times New Roman Cyr,курсив"Сторінка &amp;P з &amp;N</oddFooter>
  </headerFooter>
  <rowBreaks count="1" manualBreakCount="1">
    <brk id="11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66"/>
  <sheetViews>
    <sheetView view="pageBreakPreview" topLeftCell="B1" zoomScale="70" zoomScaleNormal="40" zoomScaleSheetLayoutView="70" workbookViewId="0">
      <pane ySplit="10" topLeftCell="A122" activePane="bottomLeft" state="frozen"/>
      <selection activeCell="G144" sqref="G144"/>
      <selection pane="bottomLeft" activeCell="B129" sqref="A129:XFD129"/>
    </sheetView>
  </sheetViews>
  <sheetFormatPr defaultColWidth="7.85546875" defaultRowHeight="12.75" x14ac:dyDescent="0.2"/>
  <cols>
    <col min="1" max="1" width="3.28515625" style="186" hidden="1" customWidth="1"/>
    <col min="2" max="3" width="15.42578125" style="11" customWidth="1"/>
    <col min="4" max="4" width="16.85546875" style="11" customWidth="1"/>
    <col min="5" max="5" width="41.5703125" style="11" customWidth="1"/>
    <col min="6" max="6" width="38.5703125" style="11" customWidth="1"/>
    <col min="7" max="8" width="18.140625" style="269" customWidth="1"/>
    <col min="9" max="9" width="20.28515625" style="269" customWidth="1"/>
    <col min="10" max="10" width="23" style="269" customWidth="1"/>
    <col min="11" max="11" width="18.140625" style="269" customWidth="1"/>
    <col min="12" max="14" width="15.42578125" style="186" bestFit="1" customWidth="1"/>
    <col min="15" max="15" width="12.7109375" style="186" customWidth="1"/>
    <col min="16" max="16384" width="7.85546875" style="186"/>
  </cols>
  <sheetData>
    <row r="1" spans="2:18" s="265" customFormat="1" ht="22.7" customHeight="1" x14ac:dyDescent="0.25">
      <c r="B1" s="791"/>
      <c r="C1" s="791"/>
      <c r="D1" s="791"/>
      <c r="E1" s="791"/>
      <c r="F1" s="791"/>
      <c r="G1" s="791"/>
      <c r="H1" s="791"/>
      <c r="I1" s="791"/>
      <c r="J1" s="791"/>
      <c r="K1" s="791"/>
    </row>
    <row r="2" spans="2:18" ht="41.25" customHeight="1" x14ac:dyDescent="0.2">
      <c r="B2" s="415"/>
      <c r="C2" s="415"/>
      <c r="D2" s="415"/>
      <c r="E2" s="415"/>
      <c r="F2" s="415"/>
      <c r="G2" s="740" t="s">
        <v>1368</v>
      </c>
      <c r="H2" s="740"/>
      <c r="I2" s="740"/>
      <c r="J2" s="740"/>
      <c r="K2" s="740"/>
    </row>
    <row r="3" spans="2:18" ht="29.25" customHeight="1" x14ac:dyDescent="0.2">
      <c r="B3" s="415"/>
      <c r="C3" s="415"/>
      <c r="D3" s="415"/>
      <c r="E3" s="415"/>
      <c r="F3" s="415"/>
      <c r="G3" s="416"/>
      <c r="H3" s="416"/>
      <c r="I3" s="416"/>
      <c r="J3" s="416"/>
      <c r="K3" s="416"/>
    </row>
    <row r="4" spans="2:18" ht="31.7" customHeight="1" x14ac:dyDescent="0.2">
      <c r="B4" s="792" t="s">
        <v>1133</v>
      </c>
      <c r="C4" s="741"/>
      <c r="D4" s="741"/>
      <c r="E4" s="741"/>
      <c r="F4" s="741"/>
      <c r="G4" s="741"/>
      <c r="H4" s="741"/>
      <c r="I4" s="741"/>
      <c r="J4" s="741"/>
      <c r="K4" s="741"/>
    </row>
    <row r="5" spans="2:18" ht="31.7" customHeight="1" x14ac:dyDescent="0.2">
      <c r="B5" s="792" t="s">
        <v>1134</v>
      </c>
      <c r="C5" s="741"/>
      <c r="D5" s="741"/>
      <c r="E5" s="741"/>
      <c r="F5" s="741"/>
      <c r="G5" s="741"/>
      <c r="H5" s="741"/>
      <c r="I5" s="741"/>
      <c r="J5" s="741"/>
      <c r="K5" s="741"/>
    </row>
    <row r="6" spans="2:18" ht="24.75" customHeight="1" x14ac:dyDescent="0.2">
      <c r="B6" s="792" t="s">
        <v>1295</v>
      </c>
      <c r="C6" s="741"/>
      <c r="D6" s="741"/>
      <c r="E6" s="741"/>
      <c r="F6" s="741"/>
      <c r="G6" s="741"/>
      <c r="H6" s="741"/>
      <c r="I6" s="741"/>
      <c r="J6" s="741"/>
      <c r="K6" s="741"/>
    </row>
    <row r="7" spans="2:18" ht="18.75" x14ac:dyDescent="0.2">
      <c r="B7" s="746">
        <v>2256400000</v>
      </c>
      <c r="C7" s="747"/>
      <c r="D7" s="417"/>
      <c r="E7" s="417"/>
      <c r="F7" s="417"/>
      <c r="G7" s="417"/>
      <c r="H7" s="417"/>
      <c r="I7" s="417"/>
      <c r="J7" s="417"/>
      <c r="K7" s="417"/>
    </row>
    <row r="8" spans="2:18" ht="19.5" thickBot="1" x14ac:dyDescent="0.25">
      <c r="B8" s="748" t="s">
        <v>494</v>
      </c>
      <c r="C8" s="749"/>
      <c r="D8" s="417"/>
      <c r="E8" s="417"/>
      <c r="F8" s="417"/>
      <c r="G8" s="417"/>
      <c r="H8" s="417"/>
      <c r="I8" s="417"/>
      <c r="J8" s="417"/>
      <c r="K8" s="417"/>
    </row>
    <row r="9" spans="2:18" ht="120" customHeight="1" thickTop="1" thickBot="1" x14ac:dyDescent="0.25">
      <c r="B9" s="418" t="s">
        <v>495</v>
      </c>
      <c r="C9" s="418" t="s">
        <v>496</v>
      </c>
      <c r="D9" s="418" t="s">
        <v>394</v>
      </c>
      <c r="E9" s="418" t="s">
        <v>578</v>
      </c>
      <c r="F9" s="419" t="s">
        <v>1135</v>
      </c>
      <c r="G9" s="419" t="s">
        <v>1136</v>
      </c>
      <c r="H9" s="419" t="s">
        <v>1137</v>
      </c>
      <c r="I9" s="419" t="s">
        <v>1138</v>
      </c>
      <c r="J9" s="419" t="s">
        <v>1296</v>
      </c>
      <c r="K9" s="419" t="s">
        <v>1297</v>
      </c>
      <c r="L9" s="222"/>
      <c r="M9" s="222"/>
      <c r="N9" s="222"/>
      <c r="O9" s="222"/>
      <c r="P9" s="222"/>
      <c r="Q9" s="222"/>
      <c r="R9" s="222"/>
    </row>
    <row r="10" spans="2:18" ht="16.5" thickTop="1" thickBot="1" x14ac:dyDescent="0.25">
      <c r="B10" s="418">
        <v>1</v>
      </c>
      <c r="C10" s="418">
        <v>2</v>
      </c>
      <c r="D10" s="418">
        <v>3</v>
      </c>
      <c r="E10" s="418">
        <v>4</v>
      </c>
      <c r="F10" s="418">
        <v>5</v>
      </c>
      <c r="G10" s="418">
        <v>6</v>
      </c>
      <c r="H10" s="418">
        <v>7</v>
      </c>
      <c r="I10" s="418">
        <v>8</v>
      </c>
      <c r="J10" s="418">
        <v>9</v>
      </c>
      <c r="K10" s="418">
        <v>10</v>
      </c>
      <c r="L10" s="222"/>
      <c r="M10" s="222"/>
      <c r="N10" s="222"/>
      <c r="O10" s="222"/>
      <c r="P10" s="222"/>
      <c r="Q10" s="222"/>
      <c r="R10" s="222"/>
    </row>
    <row r="11" spans="2:18" ht="31.5" hidden="1" thickTop="1" thickBot="1" x14ac:dyDescent="0.25">
      <c r="B11" s="223" t="s">
        <v>148</v>
      </c>
      <c r="C11" s="223"/>
      <c r="D11" s="223"/>
      <c r="E11" s="224" t="s">
        <v>150</v>
      </c>
      <c r="F11" s="223"/>
      <c r="G11" s="223"/>
      <c r="H11" s="223"/>
      <c r="I11" s="224"/>
      <c r="J11" s="225">
        <f>J12</f>
        <v>0</v>
      </c>
      <c r="K11" s="223"/>
      <c r="L11" s="222"/>
      <c r="M11" s="222"/>
      <c r="N11" s="222"/>
      <c r="O11" s="222"/>
      <c r="P11" s="222"/>
      <c r="Q11" s="222"/>
      <c r="R11" s="222"/>
    </row>
    <row r="12" spans="2:18" ht="44.25" hidden="1" thickTop="1" thickBot="1" x14ac:dyDescent="0.25">
      <c r="B12" s="226" t="s">
        <v>149</v>
      </c>
      <c r="C12" s="226"/>
      <c r="D12" s="226"/>
      <c r="E12" s="227" t="s">
        <v>151</v>
      </c>
      <c r="F12" s="226"/>
      <c r="G12" s="226"/>
      <c r="H12" s="226"/>
      <c r="I12" s="227"/>
      <c r="J12" s="228">
        <f>SUM(J13:J18)</f>
        <v>0</v>
      </c>
      <c r="K12" s="226"/>
      <c r="L12" s="222"/>
      <c r="M12" s="222"/>
      <c r="N12" s="222"/>
      <c r="O12" s="222"/>
      <c r="P12" s="222"/>
      <c r="Q12" s="222"/>
      <c r="R12" s="222"/>
    </row>
    <row r="13" spans="2:18" ht="76.5" hidden="1" thickTop="1" thickBot="1" x14ac:dyDescent="0.25">
      <c r="B13" s="229" t="s">
        <v>236</v>
      </c>
      <c r="C13" s="229" t="s">
        <v>237</v>
      </c>
      <c r="D13" s="229" t="s">
        <v>238</v>
      </c>
      <c r="E13" s="229" t="s">
        <v>235</v>
      </c>
      <c r="F13" s="230" t="s">
        <v>524</v>
      </c>
      <c r="G13" s="231"/>
      <c r="H13" s="232"/>
      <c r="I13" s="231"/>
      <c r="J13" s="233"/>
      <c r="K13" s="233"/>
      <c r="L13" s="222"/>
      <c r="M13" s="222"/>
      <c r="N13" s="222"/>
      <c r="O13" s="222"/>
      <c r="P13" s="222"/>
      <c r="Q13" s="222"/>
      <c r="R13" s="222"/>
    </row>
    <row r="14" spans="2:18" ht="91.5" hidden="1" thickTop="1" thickBot="1" x14ac:dyDescent="0.25">
      <c r="B14" s="229" t="s">
        <v>236</v>
      </c>
      <c r="C14" s="229" t="s">
        <v>237</v>
      </c>
      <c r="D14" s="229" t="s">
        <v>238</v>
      </c>
      <c r="E14" s="229" t="s">
        <v>235</v>
      </c>
      <c r="F14" s="230" t="s">
        <v>1112</v>
      </c>
      <c r="G14" s="234" t="s">
        <v>563</v>
      </c>
      <c r="H14" s="235"/>
      <c r="I14" s="236"/>
      <c r="J14" s="233"/>
      <c r="K14" s="236"/>
      <c r="L14" s="222"/>
      <c r="M14" s="222"/>
      <c r="N14" s="222"/>
      <c r="O14" s="222"/>
      <c r="P14" s="222"/>
      <c r="Q14" s="222"/>
      <c r="R14" s="222"/>
    </row>
    <row r="15" spans="2:18" ht="31.5" hidden="1" thickTop="1" thickBot="1" x14ac:dyDescent="0.25">
      <c r="B15" s="229" t="s">
        <v>242</v>
      </c>
      <c r="C15" s="229" t="s">
        <v>243</v>
      </c>
      <c r="D15" s="229" t="s">
        <v>244</v>
      </c>
      <c r="E15" s="229" t="s">
        <v>241</v>
      </c>
      <c r="F15" s="230" t="s">
        <v>524</v>
      </c>
      <c r="G15" s="231"/>
      <c r="H15" s="232"/>
      <c r="I15" s="231"/>
      <c r="J15" s="233"/>
      <c r="K15" s="233"/>
      <c r="L15" s="222"/>
      <c r="M15" s="222"/>
      <c r="N15" s="222"/>
      <c r="O15" s="222"/>
      <c r="P15" s="222"/>
      <c r="Q15" s="222"/>
      <c r="R15" s="222"/>
    </row>
    <row r="16" spans="2:18" ht="61.5" hidden="1" thickTop="1" thickBot="1" x14ac:dyDescent="0.25">
      <c r="B16" s="229" t="s">
        <v>517</v>
      </c>
      <c r="C16" s="229" t="s">
        <v>518</v>
      </c>
      <c r="D16" s="229" t="s">
        <v>43</v>
      </c>
      <c r="E16" s="229" t="s">
        <v>519</v>
      </c>
      <c r="F16" s="230" t="s">
        <v>524</v>
      </c>
      <c r="G16" s="231"/>
      <c r="H16" s="232"/>
      <c r="I16" s="231"/>
      <c r="J16" s="233"/>
      <c r="K16" s="233"/>
      <c r="L16" s="222"/>
      <c r="M16" s="222"/>
      <c r="N16" s="222"/>
      <c r="O16" s="222"/>
      <c r="P16" s="222"/>
      <c r="Q16" s="222"/>
      <c r="R16" s="222"/>
    </row>
    <row r="17" spans="1:18" ht="181.5" hidden="1" thickTop="1" thickBot="1" x14ac:dyDescent="0.25">
      <c r="B17" s="229" t="s">
        <v>517</v>
      </c>
      <c r="C17" s="229" t="s">
        <v>518</v>
      </c>
      <c r="D17" s="229" t="s">
        <v>43</v>
      </c>
      <c r="E17" s="229" t="s">
        <v>519</v>
      </c>
      <c r="F17" s="230" t="s">
        <v>1126</v>
      </c>
      <c r="G17" s="231"/>
      <c r="H17" s="232"/>
      <c r="I17" s="231"/>
      <c r="J17" s="233"/>
      <c r="K17" s="233"/>
      <c r="L17" s="222"/>
      <c r="M17" s="222"/>
      <c r="N17" s="222"/>
      <c r="O17" s="222"/>
      <c r="P17" s="222"/>
      <c r="Q17" s="222"/>
      <c r="R17" s="222"/>
    </row>
    <row r="18" spans="1:18" ht="61.5" hidden="1" thickTop="1" thickBot="1" x14ac:dyDescent="0.25">
      <c r="B18" s="229" t="s">
        <v>517</v>
      </c>
      <c r="C18" s="229" t="s">
        <v>518</v>
      </c>
      <c r="D18" s="229" t="s">
        <v>43</v>
      </c>
      <c r="E18" s="229" t="s">
        <v>519</v>
      </c>
      <c r="F18" s="230" t="s">
        <v>945</v>
      </c>
      <c r="G18" s="231"/>
      <c r="H18" s="232"/>
      <c r="I18" s="231"/>
      <c r="J18" s="233"/>
      <c r="K18" s="233"/>
      <c r="L18" s="222"/>
      <c r="M18" s="222"/>
      <c r="N18" s="222"/>
      <c r="O18" s="222"/>
      <c r="P18" s="222"/>
      <c r="Q18" s="222"/>
      <c r="R18" s="222"/>
    </row>
    <row r="19" spans="1:18" ht="46.5" thickTop="1" thickBot="1" x14ac:dyDescent="0.25">
      <c r="A19" s="266"/>
      <c r="B19" s="436" t="s">
        <v>152</v>
      </c>
      <c r="C19" s="436"/>
      <c r="D19" s="436"/>
      <c r="E19" s="437" t="s">
        <v>0</v>
      </c>
      <c r="F19" s="436"/>
      <c r="G19" s="436"/>
      <c r="H19" s="438">
        <f>H20</f>
        <v>198822325.30000001</v>
      </c>
      <c r="I19" s="438">
        <f>I20</f>
        <v>56954826.659999996</v>
      </c>
      <c r="J19" s="438">
        <f>J20</f>
        <v>50493078.730000004</v>
      </c>
      <c r="K19" s="439"/>
      <c r="L19" s="222"/>
      <c r="M19" s="222"/>
      <c r="N19" s="222"/>
      <c r="O19" s="222"/>
      <c r="P19" s="222"/>
      <c r="Q19" s="222"/>
      <c r="R19" s="222"/>
    </row>
    <row r="20" spans="1:18" ht="44.25" thickTop="1" thickBot="1" x14ac:dyDescent="0.25">
      <c r="A20" s="266"/>
      <c r="B20" s="440" t="s">
        <v>153</v>
      </c>
      <c r="C20" s="440"/>
      <c r="D20" s="440"/>
      <c r="E20" s="441" t="s">
        <v>1</v>
      </c>
      <c r="F20" s="440"/>
      <c r="G20" s="440"/>
      <c r="H20" s="442">
        <f>H21+H27+H34+H22+H23+H24+H26+H37+H35+H28+H29+H30+H33+H36+H31+H32</f>
        <v>198822325.30000001</v>
      </c>
      <c r="I20" s="442">
        <f>I21+I27+I34+I22+I23+I24+I26+I37+I35+I28+I29+I30+I33+I36+I31+I32</f>
        <v>56954826.659999996</v>
      </c>
      <c r="J20" s="442">
        <f>J21+J27+J34+J22+J23+J24+J26+J37+J35+J28+J29+J30+J33+J36+J31+J32</f>
        <v>50493078.730000004</v>
      </c>
      <c r="K20" s="443"/>
      <c r="L20" s="222"/>
      <c r="M20" s="222"/>
      <c r="N20" s="222"/>
      <c r="O20" s="222"/>
      <c r="P20" s="222"/>
      <c r="Q20" s="222"/>
      <c r="R20" s="222"/>
    </row>
    <row r="21" spans="1:18" ht="76.5" thickTop="1" thickBot="1" x14ac:dyDescent="0.25">
      <c r="B21" s="414" t="s">
        <v>647</v>
      </c>
      <c r="C21" s="414" t="s">
        <v>648</v>
      </c>
      <c r="D21" s="414" t="s">
        <v>208</v>
      </c>
      <c r="E21" s="414" t="s">
        <v>1336</v>
      </c>
      <c r="F21" s="426" t="s">
        <v>1125</v>
      </c>
      <c r="G21" s="421" t="s">
        <v>614</v>
      </c>
      <c r="H21" s="422">
        <v>4201740</v>
      </c>
      <c r="I21" s="422">
        <f>2110572.76+J21</f>
        <v>4201739.76</v>
      </c>
      <c r="J21" s="424">
        <f>(1330068.27)+761098.73</f>
        <v>2091167</v>
      </c>
      <c r="K21" s="425">
        <f t="shared" ref="K21:K26" si="0">I21/H21</f>
        <v>0.99999994288080651</v>
      </c>
      <c r="L21" s="245"/>
      <c r="M21" s="246"/>
      <c r="N21" s="222"/>
      <c r="O21" s="222"/>
      <c r="P21" s="222"/>
      <c r="Q21" s="222"/>
      <c r="R21" s="222"/>
    </row>
    <row r="22" spans="1:18" ht="76.5" thickTop="1" thickBot="1" x14ac:dyDescent="0.25">
      <c r="B22" s="414" t="s">
        <v>647</v>
      </c>
      <c r="C22" s="414" t="s">
        <v>648</v>
      </c>
      <c r="D22" s="414" t="s">
        <v>208</v>
      </c>
      <c r="E22" s="414" t="s">
        <v>1336</v>
      </c>
      <c r="F22" s="426" t="s">
        <v>1387</v>
      </c>
      <c r="G22" s="421" t="s">
        <v>1301</v>
      </c>
      <c r="H22" s="422">
        <v>198765.2</v>
      </c>
      <c r="I22" s="422">
        <f>12860.2+J22</f>
        <v>198765.2</v>
      </c>
      <c r="J22" s="424">
        <v>185905</v>
      </c>
      <c r="K22" s="425">
        <f t="shared" si="0"/>
        <v>1</v>
      </c>
      <c r="L22" s="245"/>
      <c r="M22" s="246"/>
      <c r="N22" s="222"/>
      <c r="O22" s="222"/>
      <c r="P22" s="222"/>
      <c r="Q22" s="222"/>
      <c r="R22" s="222"/>
    </row>
    <row r="23" spans="1:18" ht="76.5" thickTop="1" thickBot="1" x14ac:dyDescent="0.25">
      <c r="B23" s="414" t="s">
        <v>647</v>
      </c>
      <c r="C23" s="414" t="s">
        <v>648</v>
      </c>
      <c r="D23" s="414" t="s">
        <v>208</v>
      </c>
      <c r="E23" s="414" t="s">
        <v>1336</v>
      </c>
      <c r="F23" s="426" t="s">
        <v>1390</v>
      </c>
      <c r="G23" s="421" t="s">
        <v>1301</v>
      </c>
      <c r="H23" s="422">
        <v>61430.58</v>
      </c>
      <c r="I23" s="422">
        <f>4279.58+J23</f>
        <v>61430.58</v>
      </c>
      <c r="J23" s="424">
        <v>57151</v>
      </c>
      <c r="K23" s="425">
        <f t="shared" si="0"/>
        <v>1</v>
      </c>
      <c r="L23" s="245"/>
      <c r="M23" s="246"/>
      <c r="N23" s="222"/>
      <c r="O23" s="222"/>
      <c r="P23" s="222"/>
      <c r="Q23" s="222"/>
      <c r="R23" s="222"/>
    </row>
    <row r="24" spans="1:18" ht="91.5" thickTop="1" thickBot="1" x14ac:dyDescent="0.25">
      <c r="B24" s="414" t="s">
        <v>647</v>
      </c>
      <c r="C24" s="414" t="s">
        <v>648</v>
      </c>
      <c r="D24" s="414" t="s">
        <v>208</v>
      </c>
      <c r="E24" s="414" t="s">
        <v>1336</v>
      </c>
      <c r="F24" s="426" t="s">
        <v>1389</v>
      </c>
      <c r="G24" s="421" t="s">
        <v>1301</v>
      </c>
      <c r="H24" s="422">
        <v>65907.199999999997</v>
      </c>
      <c r="I24" s="422">
        <f>12860.2+J24</f>
        <v>65907.199999999997</v>
      </c>
      <c r="J24" s="424">
        <v>53047</v>
      </c>
      <c r="K24" s="425">
        <f t="shared" si="0"/>
        <v>1</v>
      </c>
      <c r="L24" s="245"/>
      <c r="M24" s="246"/>
      <c r="N24" s="222"/>
      <c r="O24" s="222"/>
      <c r="P24" s="222"/>
      <c r="Q24" s="222"/>
      <c r="R24" s="222"/>
    </row>
    <row r="25" spans="1:18" ht="76.5" hidden="1" thickTop="1" thickBot="1" x14ac:dyDescent="0.25">
      <c r="B25" s="414" t="s">
        <v>647</v>
      </c>
      <c r="C25" s="414" t="s">
        <v>648</v>
      </c>
      <c r="D25" s="414" t="s">
        <v>208</v>
      </c>
      <c r="E25" s="414" t="s">
        <v>1336</v>
      </c>
      <c r="F25" s="426" t="s">
        <v>1603</v>
      </c>
      <c r="G25" s="421" t="s">
        <v>1318</v>
      </c>
      <c r="H25" s="422">
        <v>128794</v>
      </c>
      <c r="I25" s="422">
        <f>J25</f>
        <v>0</v>
      </c>
      <c r="J25" s="424"/>
      <c r="K25" s="425">
        <f t="shared" si="0"/>
        <v>0</v>
      </c>
      <c r="L25" s="245"/>
      <c r="M25" s="246"/>
      <c r="N25" s="222"/>
      <c r="O25" s="222"/>
      <c r="P25" s="222"/>
      <c r="Q25" s="222"/>
      <c r="R25" s="222"/>
    </row>
    <row r="26" spans="1:18" ht="91.5" thickTop="1" thickBot="1" x14ac:dyDescent="0.25">
      <c r="B26" s="414" t="s">
        <v>647</v>
      </c>
      <c r="C26" s="414" t="s">
        <v>648</v>
      </c>
      <c r="D26" s="414" t="s">
        <v>208</v>
      </c>
      <c r="E26" s="414" t="s">
        <v>1336</v>
      </c>
      <c r="F26" s="426" t="s">
        <v>1388</v>
      </c>
      <c r="G26" s="421" t="s">
        <v>1301</v>
      </c>
      <c r="H26" s="422">
        <v>65836.78</v>
      </c>
      <c r="I26" s="422">
        <f>18759.78+J26</f>
        <v>65836.78</v>
      </c>
      <c r="J26" s="424">
        <v>47077</v>
      </c>
      <c r="K26" s="425">
        <f t="shared" si="0"/>
        <v>1</v>
      </c>
      <c r="L26" s="245"/>
      <c r="M26" s="246"/>
      <c r="N26" s="222"/>
      <c r="O26" s="222"/>
      <c r="P26" s="222"/>
      <c r="Q26" s="222"/>
      <c r="R26" s="222"/>
    </row>
    <row r="27" spans="1:18" ht="91.5" thickTop="1" thickBot="1" x14ac:dyDescent="0.25">
      <c r="A27" s="423"/>
      <c r="B27" s="414" t="s">
        <v>1019</v>
      </c>
      <c r="C27" s="414" t="s">
        <v>1021</v>
      </c>
      <c r="D27" s="414" t="s">
        <v>214</v>
      </c>
      <c r="E27" s="414" t="s">
        <v>1294</v>
      </c>
      <c r="F27" s="420" t="s">
        <v>1473</v>
      </c>
      <c r="G27" s="421" t="s">
        <v>614</v>
      </c>
      <c r="H27" s="422">
        <v>2736135.54</v>
      </c>
      <c r="I27" s="422">
        <f>893578+J27</f>
        <v>2673914.0700000003</v>
      </c>
      <c r="J27" s="424">
        <f>(1611703)+168633.07</f>
        <v>1780336.07</v>
      </c>
      <c r="K27" s="425">
        <v>1</v>
      </c>
      <c r="L27" s="245"/>
      <c r="M27" s="246"/>
      <c r="N27" s="222"/>
      <c r="O27" s="222"/>
      <c r="P27" s="222"/>
      <c r="Q27" s="222"/>
      <c r="R27" s="222"/>
    </row>
    <row r="28" spans="1:18" ht="76.5" thickTop="1" thickBot="1" x14ac:dyDescent="0.25">
      <c r="A28" s="423"/>
      <c r="B28" s="414" t="s">
        <v>1486</v>
      </c>
      <c r="C28" s="414" t="s">
        <v>1487</v>
      </c>
      <c r="D28" s="414" t="s">
        <v>214</v>
      </c>
      <c r="E28" s="414" t="s">
        <v>1488</v>
      </c>
      <c r="F28" s="420" t="s">
        <v>1566</v>
      </c>
      <c r="G28" s="421" t="s">
        <v>1562</v>
      </c>
      <c r="H28" s="422">
        <v>41197697</v>
      </c>
      <c r="I28" s="422">
        <f>J28</f>
        <v>8000000</v>
      </c>
      <c r="J28" s="422">
        <f>7000000+1000000</f>
        <v>8000000</v>
      </c>
      <c r="K28" s="425">
        <f>(I28+I29)/H28</f>
        <v>0.3689526625723763</v>
      </c>
      <c r="L28" s="245"/>
      <c r="M28" s="246"/>
      <c r="N28" s="222"/>
      <c r="O28" s="222"/>
      <c r="P28" s="222"/>
      <c r="Q28" s="222"/>
      <c r="R28" s="222"/>
    </row>
    <row r="29" spans="1:18" ht="76.5" thickTop="1" thickBot="1" x14ac:dyDescent="0.25">
      <c r="A29" s="423"/>
      <c r="B29" s="414" t="s">
        <v>1489</v>
      </c>
      <c r="C29" s="414" t="s">
        <v>1490</v>
      </c>
      <c r="D29" s="414" t="s">
        <v>214</v>
      </c>
      <c r="E29" s="414" t="s">
        <v>1491</v>
      </c>
      <c r="F29" s="420" t="s">
        <v>1566</v>
      </c>
      <c r="G29" s="421" t="s">
        <v>1562</v>
      </c>
      <c r="H29" s="422">
        <v>41197697</v>
      </c>
      <c r="I29" s="422">
        <f>J29</f>
        <v>7200000</v>
      </c>
      <c r="J29" s="424">
        <v>7200000</v>
      </c>
      <c r="K29" s="425">
        <f>(I29+I28)/H29</f>
        <v>0.3689526625723763</v>
      </c>
      <c r="L29" s="245"/>
      <c r="M29" s="246"/>
      <c r="N29" s="222"/>
      <c r="O29" s="222"/>
      <c r="P29" s="222"/>
      <c r="Q29" s="222"/>
      <c r="R29" s="222"/>
    </row>
    <row r="30" spans="1:18" ht="91.5" thickTop="1" thickBot="1" x14ac:dyDescent="0.25">
      <c r="A30" s="423"/>
      <c r="B30" s="414" t="s">
        <v>1121</v>
      </c>
      <c r="C30" s="414" t="s">
        <v>315</v>
      </c>
      <c r="D30" s="414" t="s">
        <v>308</v>
      </c>
      <c r="E30" s="414" t="s">
        <v>1372</v>
      </c>
      <c r="F30" s="420" t="s">
        <v>1564</v>
      </c>
      <c r="G30" s="421" t="s">
        <v>1562</v>
      </c>
      <c r="H30" s="422">
        <v>27852755</v>
      </c>
      <c r="I30" s="422">
        <f>J30</f>
        <v>9352755</v>
      </c>
      <c r="J30" s="422">
        <f>(27852755)-18500000</f>
        <v>9352755</v>
      </c>
      <c r="K30" s="425">
        <f>I30/H30</f>
        <v>0.33579281475028233</v>
      </c>
      <c r="L30" s="245"/>
      <c r="M30" s="246"/>
      <c r="N30" s="222"/>
      <c r="O30" s="222"/>
      <c r="P30" s="222"/>
      <c r="Q30" s="222"/>
      <c r="R30" s="222"/>
    </row>
    <row r="31" spans="1:18" ht="106.5" thickTop="1" thickBot="1" x14ac:dyDescent="0.25">
      <c r="A31" s="423"/>
      <c r="B31" s="414" t="s">
        <v>1121</v>
      </c>
      <c r="C31" s="414" t="s">
        <v>315</v>
      </c>
      <c r="D31" s="414" t="s">
        <v>308</v>
      </c>
      <c r="E31" s="414" t="s">
        <v>1372</v>
      </c>
      <c r="F31" s="420" t="s">
        <v>1598</v>
      </c>
      <c r="G31" s="421" t="s">
        <v>1562</v>
      </c>
      <c r="H31" s="422">
        <v>25022708</v>
      </c>
      <c r="I31" s="422">
        <f t="shared" ref="I31:I32" si="1">J31</f>
        <v>1000000</v>
      </c>
      <c r="J31" s="422">
        <v>1000000</v>
      </c>
      <c r="K31" s="425">
        <f t="shared" ref="K31:K32" si="2">I31/H31</f>
        <v>3.9963700171859899E-2</v>
      </c>
      <c r="L31" s="245"/>
      <c r="M31" s="246"/>
      <c r="N31" s="222"/>
      <c r="O31" s="222"/>
      <c r="P31" s="222"/>
      <c r="Q31" s="222"/>
      <c r="R31" s="222"/>
    </row>
    <row r="32" spans="1:18" ht="91.5" thickTop="1" thickBot="1" x14ac:dyDescent="0.25">
      <c r="A32" s="423"/>
      <c r="B32" s="414" t="s">
        <v>1121</v>
      </c>
      <c r="C32" s="414" t="s">
        <v>315</v>
      </c>
      <c r="D32" s="414" t="s">
        <v>308</v>
      </c>
      <c r="E32" s="414" t="s">
        <v>1372</v>
      </c>
      <c r="F32" s="420" t="s">
        <v>1599</v>
      </c>
      <c r="G32" s="421" t="s">
        <v>1562</v>
      </c>
      <c r="H32" s="422">
        <v>18359547</v>
      </c>
      <c r="I32" s="422">
        <f t="shared" si="1"/>
        <v>1000000</v>
      </c>
      <c r="J32" s="422">
        <v>1000000</v>
      </c>
      <c r="K32" s="425">
        <f t="shared" si="2"/>
        <v>5.4467574826328774E-2</v>
      </c>
      <c r="L32" s="245"/>
      <c r="M32" s="246"/>
      <c r="N32" s="222"/>
      <c r="O32" s="222"/>
      <c r="P32" s="222"/>
      <c r="Q32" s="222"/>
      <c r="R32" s="222"/>
    </row>
    <row r="33" spans="1:18" ht="91.5" thickTop="1" thickBot="1" x14ac:dyDescent="0.25">
      <c r="A33" s="423"/>
      <c r="B33" s="414" t="s">
        <v>1121</v>
      </c>
      <c r="C33" s="414" t="s">
        <v>315</v>
      </c>
      <c r="D33" s="414" t="s">
        <v>308</v>
      </c>
      <c r="E33" s="414" t="s">
        <v>1372</v>
      </c>
      <c r="F33" s="420" t="s">
        <v>1565</v>
      </c>
      <c r="G33" s="421" t="s">
        <v>1562</v>
      </c>
      <c r="H33" s="422">
        <v>20032080</v>
      </c>
      <c r="I33" s="422">
        <f>J33</f>
        <v>6168334</v>
      </c>
      <c r="J33" s="422">
        <v>6168334</v>
      </c>
      <c r="K33" s="425">
        <f>I33/H33</f>
        <v>0.30792279184188559</v>
      </c>
      <c r="L33" s="245"/>
      <c r="M33" s="246"/>
      <c r="N33" s="222"/>
      <c r="O33" s="222"/>
      <c r="P33" s="222"/>
      <c r="Q33" s="222"/>
      <c r="R33" s="222"/>
    </row>
    <row r="34" spans="1:18" ht="76.5" thickTop="1" thickBot="1" x14ac:dyDescent="0.25">
      <c r="A34" s="423"/>
      <c r="B34" s="414" t="s">
        <v>1121</v>
      </c>
      <c r="C34" s="414" t="s">
        <v>315</v>
      </c>
      <c r="D34" s="414" t="s">
        <v>308</v>
      </c>
      <c r="E34" s="414" t="s">
        <v>1372</v>
      </c>
      <c r="F34" s="420" t="s">
        <v>1373</v>
      </c>
      <c r="G34" s="421" t="s">
        <v>1317</v>
      </c>
      <c r="H34" s="422">
        <v>4761740</v>
      </c>
      <c r="I34" s="422">
        <f>0+J34</f>
        <v>4414068.8899999997</v>
      </c>
      <c r="J34" s="424">
        <f>((200000)+4561740)-347671.11</f>
        <v>4414068.8899999997</v>
      </c>
      <c r="K34" s="425">
        <v>1</v>
      </c>
      <c r="L34" s="245"/>
      <c r="M34" s="246"/>
      <c r="N34" s="222"/>
      <c r="O34" s="222"/>
      <c r="P34" s="222"/>
      <c r="Q34" s="222"/>
      <c r="R34" s="222"/>
    </row>
    <row r="35" spans="1:18" ht="61.5" thickTop="1" thickBot="1" x14ac:dyDescent="0.25">
      <c r="A35" s="423"/>
      <c r="B35" s="414" t="s">
        <v>1121</v>
      </c>
      <c r="C35" s="414" t="s">
        <v>315</v>
      </c>
      <c r="D35" s="414" t="s">
        <v>308</v>
      </c>
      <c r="E35" s="414" t="s">
        <v>1372</v>
      </c>
      <c r="F35" s="420" t="s">
        <v>1494</v>
      </c>
      <c r="G35" s="422" t="s">
        <v>1318</v>
      </c>
      <c r="H35" s="422">
        <v>5580231</v>
      </c>
      <c r="I35" s="422">
        <f>0+J35</f>
        <v>5580231</v>
      </c>
      <c r="J35" s="424">
        <f>(2597000)+2983231</f>
        <v>5580231</v>
      </c>
      <c r="K35" s="425">
        <f>I35/H35</f>
        <v>1</v>
      </c>
      <c r="L35" s="245"/>
      <c r="M35" s="246"/>
      <c r="N35" s="222"/>
      <c r="O35" s="222"/>
      <c r="P35" s="222"/>
      <c r="Q35" s="222"/>
      <c r="R35" s="222"/>
    </row>
    <row r="36" spans="1:18" ht="121.5" thickTop="1" thickBot="1" x14ac:dyDescent="0.25">
      <c r="A36" s="423"/>
      <c r="B36" s="414" t="s">
        <v>1121</v>
      </c>
      <c r="C36" s="414" t="s">
        <v>315</v>
      </c>
      <c r="D36" s="414" t="s">
        <v>308</v>
      </c>
      <c r="E36" s="414" t="s">
        <v>1372</v>
      </c>
      <c r="F36" s="420" t="s">
        <v>1563</v>
      </c>
      <c r="G36" s="422" t="s">
        <v>1318</v>
      </c>
      <c r="H36" s="422">
        <v>1999750</v>
      </c>
      <c r="I36" s="422">
        <f>J36</f>
        <v>1999750</v>
      </c>
      <c r="J36" s="422">
        <f>(1000000)+999750</f>
        <v>1999750</v>
      </c>
      <c r="K36" s="425">
        <f>I36/H36</f>
        <v>1</v>
      </c>
      <c r="L36" s="245"/>
      <c r="M36" s="246"/>
      <c r="N36" s="222"/>
      <c r="O36" s="222"/>
      <c r="P36" s="222"/>
      <c r="Q36" s="222"/>
      <c r="R36" s="222"/>
    </row>
    <row r="37" spans="1:18" ht="89.25" customHeight="1" thickTop="1" thickBot="1" x14ac:dyDescent="0.25">
      <c r="B37" s="414" t="s">
        <v>1121</v>
      </c>
      <c r="C37" s="414" t="s">
        <v>315</v>
      </c>
      <c r="D37" s="414" t="s">
        <v>308</v>
      </c>
      <c r="E37" s="414" t="s">
        <v>1372</v>
      </c>
      <c r="F37" s="426" t="s">
        <v>1391</v>
      </c>
      <c r="G37" s="421" t="s">
        <v>1317</v>
      </c>
      <c r="H37" s="422">
        <v>5488305</v>
      </c>
      <c r="I37" s="422">
        <f>3408837.41+J37</f>
        <v>4972094.18</v>
      </c>
      <c r="J37" s="424">
        <f>(1666801+5550.6)-109094.83</f>
        <v>1563256.77</v>
      </c>
      <c r="K37" s="425">
        <v>1</v>
      </c>
      <c r="L37" s="245"/>
      <c r="M37" s="246"/>
      <c r="N37" s="222"/>
      <c r="O37" s="222"/>
      <c r="P37" s="222"/>
      <c r="Q37" s="222"/>
      <c r="R37" s="222"/>
    </row>
    <row r="38" spans="1:18" ht="61.5" hidden="1" thickTop="1" thickBot="1" x14ac:dyDescent="0.25">
      <c r="B38" s="239" t="s">
        <v>1121</v>
      </c>
      <c r="C38" s="239" t="s">
        <v>315</v>
      </c>
      <c r="D38" s="239" t="s">
        <v>308</v>
      </c>
      <c r="E38" s="239" t="s">
        <v>1264</v>
      </c>
      <c r="F38" s="240" t="s">
        <v>1154</v>
      </c>
      <c r="G38" s="241" t="s">
        <v>1007</v>
      </c>
      <c r="H38" s="242">
        <v>4179432</v>
      </c>
      <c r="I38" s="243">
        <f>(49000)+13800</f>
        <v>62800</v>
      </c>
      <c r="J38" s="243">
        <f>(700000)-700000</f>
        <v>0</v>
      </c>
      <c r="K38" s="244">
        <f>(J38+I38)/H38</f>
        <v>1.5025965250780489E-2</v>
      </c>
      <c r="L38" s="247"/>
      <c r="M38" s="246"/>
      <c r="N38" s="222"/>
      <c r="O38" s="222"/>
      <c r="P38" s="222"/>
      <c r="Q38" s="222"/>
      <c r="R38" s="222"/>
    </row>
    <row r="39" spans="1:18" ht="46.5" thickTop="1" thickBot="1" x14ac:dyDescent="0.25">
      <c r="B39" s="436" t="s">
        <v>154</v>
      </c>
      <c r="C39" s="436"/>
      <c r="D39" s="436"/>
      <c r="E39" s="437" t="s">
        <v>18</v>
      </c>
      <c r="F39" s="436"/>
      <c r="G39" s="436"/>
      <c r="H39" s="438">
        <f>H40</f>
        <v>25987032</v>
      </c>
      <c r="I39" s="438">
        <f>I40</f>
        <v>24670053</v>
      </c>
      <c r="J39" s="438">
        <f>J40</f>
        <v>24670053</v>
      </c>
      <c r="K39" s="439"/>
      <c r="L39" s="222"/>
      <c r="M39" s="222"/>
      <c r="N39" s="222"/>
      <c r="O39" s="222"/>
      <c r="P39" s="222"/>
      <c r="Q39" s="222"/>
      <c r="R39" s="222"/>
    </row>
    <row r="40" spans="1:18" ht="44.25" thickTop="1" thickBot="1" x14ac:dyDescent="0.25">
      <c r="B40" s="440" t="s">
        <v>155</v>
      </c>
      <c r="C40" s="440"/>
      <c r="D40" s="440"/>
      <c r="E40" s="441" t="s">
        <v>36</v>
      </c>
      <c r="F40" s="440"/>
      <c r="G40" s="440"/>
      <c r="H40" s="442">
        <f>H44+H43</f>
        <v>25987032</v>
      </c>
      <c r="I40" s="442">
        <f t="shared" ref="I40:J40" si="3">I44+I43</f>
        <v>24670053</v>
      </c>
      <c r="J40" s="442">
        <f t="shared" si="3"/>
        <v>24670053</v>
      </c>
      <c r="K40" s="443"/>
      <c r="L40" s="222"/>
      <c r="M40" s="222"/>
      <c r="N40" s="222"/>
      <c r="O40" s="222"/>
      <c r="P40" s="222"/>
      <c r="Q40" s="222"/>
      <c r="R40" s="222"/>
    </row>
    <row r="41" spans="1:18" ht="91.5" hidden="1" thickTop="1" thickBot="1" x14ac:dyDescent="0.25">
      <c r="B41" s="229" t="s">
        <v>420</v>
      </c>
      <c r="C41" s="229" t="s">
        <v>240</v>
      </c>
      <c r="D41" s="229" t="s">
        <v>238</v>
      </c>
      <c r="E41" s="229" t="s">
        <v>239</v>
      </c>
      <c r="F41" s="230" t="s">
        <v>1113</v>
      </c>
      <c r="G41" s="234" t="s">
        <v>1114</v>
      </c>
      <c r="H41" s="235"/>
      <c r="I41" s="236"/>
      <c r="J41" s="233"/>
      <c r="K41" s="236"/>
      <c r="L41" s="222"/>
      <c r="M41" s="222"/>
      <c r="N41" s="222"/>
      <c r="O41" s="222"/>
      <c r="P41" s="222"/>
      <c r="Q41" s="222"/>
      <c r="R41" s="222"/>
    </row>
    <row r="42" spans="1:18" ht="91.5" hidden="1" thickTop="1" thickBot="1" x14ac:dyDescent="0.25">
      <c r="B42" s="239" t="s">
        <v>218</v>
      </c>
      <c r="C42" s="239" t="s">
        <v>215</v>
      </c>
      <c r="D42" s="239" t="s">
        <v>219</v>
      </c>
      <c r="E42" s="239" t="s">
        <v>19</v>
      </c>
      <c r="F42" s="248" t="s">
        <v>1141</v>
      </c>
      <c r="G42" s="241" t="s">
        <v>614</v>
      </c>
      <c r="H42" s="242">
        <v>24579593</v>
      </c>
      <c r="I42" s="242">
        <f>600000+5500000</f>
        <v>6100000</v>
      </c>
      <c r="J42" s="243"/>
      <c r="K42" s="244">
        <f>(J42+I42)/H42</f>
        <v>0.24817335258561848</v>
      </c>
      <c r="L42" s="222"/>
      <c r="M42" s="222"/>
      <c r="N42" s="222"/>
      <c r="O42" s="222"/>
      <c r="P42" s="222"/>
      <c r="Q42" s="222"/>
      <c r="R42" s="222"/>
    </row>
    <row r="43" spans="1:18" ht="196.5" thickTop="1" thickBot="1" x14ac:dyDescent="0.25">
      <c r="B43" s="414" t="s">
        <v>1203</v>
      </c>
      <c r="C43" s="414" t="s">
        <v>1205</v>
      </c>
      <c r="D43" s="414" t="s">
        <v>308</v>
      </c>
      <c r="E43" s="414" t="s">
        <v>1306</v>
      </c>
      <c r="F43" s="481" t="s">
        <v>1521</v>
      </c>
      <c r="G43" s="422" t="s">
        <v>1318</v>
      </c>
      <c r="H43" s="422">
        <v>5954299</v>
      </c>
      <c r="I43" s="422">
        <f>0+J43</f>
        <v>5841803</v>
      </c>
      <c r="J43" s="424">
        <f>5841803</f>
        <v>5841803</v>
      </c>
      <c r="K43" s="425">
        <v>1</v>
      </c>
      <c r="L43" s="222"/>
      <c r="M43" s="222"/>
      <c r="N43" s="222"/>
      <c r="O43" s="222"/>
      <c r="P43" s="222"/>
      <c r="Q43" s="222"/>
      <c r="R43" s="222"/>
    </row>
    <row r="44" spans="1:18" ht="91.5" thickTop="1" thickBot="1" x14ac:dyDescent="0.25">
      <c r="B44" s="414" t="s">
        <v>1203</v>
      </c>
      <c r="C44" s="414" t="s">
        <v>1205</v>
      </c>
      <c r="D44" s="414" t="s">
        <v>308</v>
      </c>
      <c r="E44" s="414" t="s">
        <v>1306</v>
      </c>
      <c r="F44" s="481" t="s">
        <v>1304</v>
      </c>
      <c r="G44" s="421" t="s">
        <v>1317</v>
      </c>
      <c r="H44" s="422">
        <v>20032733</v>
      </c>
      <c r="I44" s="422">
        <f>0+J44</f>
        <v>18828250</v>
      </c>
      <c r="J44" s="424">
        <f>(11239495)+7588755</f>
        <v>18828250</v>
      </c>
      <c r="K44" s="425">
        <v>1</v>
      </c>
      <c r="L44" s="496" t="s">
        <v>1328</v>
      </c>
      <c r="M44" s="222"/>
      <c r="N44" s="222"/>
      <c r="O44" s="222"/>
      <c r="P44" s="222"/>
      <c r="Q44" s="222"/>
      <c r="R44" s="222"/>
    </row>
    <row r="45" spans="1:18" ht="106.5" hidden="1" thickTop="1" thickBot="1" x14ac:dyDescent="0.25">
      <c r="B45" s="239" t="s">
        <v>1203</v>
      </c>
      <c r="C45" s="239" t="s">
        <v>1205</v>
      </c>
      <c r="D45" s="239" t="s">
        <v>308</v>
      </c>
      <c r="E45" s="239" t="s">
        <v>1265</v>
      </c>
      <c r="F45" s="248" t="s">
        <v>1206</v>
      </c>
      <c r="G45" s="241" t="s">
        <v>1157</v>
      </c>
      <c r="H45" s="242">
        <v>300000</v>
      </c>
      <c r="I45" s="242">
        <v>0</v>
      </c>
      <c r="J45" s="243"/>
      <c r="K45" s="244">
        <f>(J45+I45)/H45</f>
        <v>0</v>
      </c>
      <c r="L45" s="222"/>
      <c r="M45" s="222"/>
      <c r="N45" s="222"/>
      <c r="O45" s="222"/>
      <c r="P45" s="222"/>
      <c r="Q45" s="222"/>
      <c r="R45" s="222"/>
    </row>
    <row r="46" spans="1:18" ht="46.5" thickTop="1" thickBot="1" x14ac:dyDescent="0.25">
      <c r="B46" s="436" t="s">
        <v>156</v>
      </c>
      <c r="C46" s="436"/>
      <c r="D46" s="436"/>
      <c r="E46" s="437" t="s">
        <v>37</v>
      </c>
      <c r="F46" s="436"/>
      <c r="G46" s="436"/>
      <c r="H46" s="438">
        <f t="shared" ref="H46:J47" si="4">H47</f>
        <v>24622660</v>
      </c>
      <c r="I46" s="438">
        <f t="shared" si="4"/>
        <v>13000000</v>
      </c>
      <c r="J46" s="438">
        <f t="shared" si="4"/>
        <v>13000000</v>
      </c>
      <c r="K46" s="439"/>
      <c r="L46" s="222"/>
      <c r="M46" s="222"/>
      <c r="N46" s="222"/>
      <c r="O46" s="222"/>
      <c r="P46" s="222"/>
      <c r="Q46" s="222"/>
      <c r="R46" s="222"/>
    </row>
    <row r="47" spans="1:18" ht="58.5" thickTop="1" thickBot="1" x14ac:dyDescent="0.25">
      <c r="B47" s="440" t="s">
        <v>157</v>
      </c>
      <c r="C47" s="440"/>
      <c r="D47" s="440"/>
      <c r="E47" s="441" t="s">
        <v>38</v>
      </c>
      <c r="F47" s="440"/>
      <c r="G47" s="440"/>
      <c r="H47" s="442">
        <f t="shared" si="4"/>
        <v>24622660</v>
      </c>
      <c r="I47" s="442">
        <f t="shared" si="4"/>
        <v>13000000</v>
      </c>
      <c r="J47" s="442">
        <f t="shared" si="4"/>
        <v>13000000</v>
      </c>
      <c r="K47" s="443"/>
      <c r="L47" s="222"/>
      <c r="M47" s="222"/>
      <c r="N47" s="222"/>
      <c r="O47" s="222"/>
      <c r="P47" s="222"/>
      <c r="Q47" s="222"/>
      <c r="R47" s="222"/>
    </row>
    <row r="48" spans="1:18" ht="121.5" thickTop="1" thickBot="1" x14ac:dyDescent="0.25">
      <c r="B48" s="414" t="s">
        <v>1228</v>
      </c>
      <c r="C48" s="414" t="s">
        <v>1225</v>
      </c>
      <c r="D48" s="414" t="s">
        <v>210</v>
      </c>
      <c r="E48" s="646" t="s">
        <v>1226</v>
      </c>
      <c r="F48" s="481" t="s">
        <v>1560</v>
      </c>
      <c r="G48" s="422" t="s">
        <v>1318</v>
      </c>
      <c r="H48" s="422">
        <v>24622660</v>
      </c>
      <c r="I48" s="424">
        <f>+J48</f>
        <v>13000000</v>
      </c>
      <c r="J48" s="422">
        <f>5000000+8000000</f>
        <v>13000000</v>
      </c>
      <c r="K48" s="425">
        <f>I48/H48</f>
        <v>0.52796895217657236</v>
      </c>
      <c r="L48" s="222"/>
      <c r="M48" s="222"/>
      <c r="N48" s="222"/>
      <c r="O48" s="222"/>
      <c r="P48" s="222"/>
      <c r="Q48" s="222"/>
      <c r="R48" s="222"/>
    </row>
    <row r="49" spans="1:18" ht="46.5" hidden="1" thickTop="1" thickBot="1" x14ac:dyDescent="0.25">
      <c r="A49" s="267"/>
      <c r="B49" s="250">
        <v>1000000</v>
      </c>
      <c r="C49" s="250"/>
      <c r="D49" s="250"/>
      <c r="E49" s="251" t="s">
        <v>24</v>
      </c>
      <c r="F49" s="250"/>
      <c r="G49" s="250"/>
      <c r="H49" s="252">
        <f>H50</f>
        <v>27064985</v>
      </c>
      <c r="I49" s="252">
        <f>I50</f>
        <v>19955037.289999999</v>
      </c>
      <c r="J49" s="252">
        <f>J50</f>
        <v>0</v>
      </c>
      <c r="K49" s="253"/>
      <c r="L49" s="222"/>
      <c r="M49" s="222"/>
      <c r="N49" s="222"/>
      <c r="O49" s="222"/>
      <c r="P49" s="222"/>
      <c r="Q49" s="222"/>
      <c r="R49" s="222"/>
    </row>
    <row r="50" spans="1:18" ht="44.25" hidden="1" thickTop="1" thickBot="1" x14ac:dyDescent="0.25">
      <c r="A50" s="267"/>
      <c r="B50" s="254">
        <v>1010000</v>
      </c>
      <c r="C50" s="254"/>
      <c r="D50" s="254"/>
      <c r="E50" s="255" t="s">
        <v>39</v>
      </c>
      <c r="F50" s="254"/>
      <c r="G50" s="254"/>
      <c r="H50" s="256">
        <f>SUM(H51:H52)</f>
        <v>27064985</v>
      </c>
      <c r="I50" s="256">
        <f>SUM(I51:I52)</f>
        <v>19955037.289999999</v>
      </c>
      <c r="J50" s="256">
        <f>SUM(J51:J52)</f>
        <v>0</v>
      </c>
      <c r="K50" s="257"/>
      <c r="L50" s="222"/>
      <c r="M50" s="222"/>
      <c r="N50" s="222"/>
      <c r="O50" s="222"/>
      <c r="P50" s="222"/>
      <c r="Q50" s="222"/>
      <c r="R50" s="222"/>
    </row>
    <row r="51" spans="1:18" ht="61.5" hidden="1" thickTop="1" thickBot="1" x14ac:dyDescent="0.25">
      <c r="B51" s="239" t="s">
        <v>180</v>
      </c>
      <c r="C51" s="239" t="s">
        <v>181</v>
      </c>
      <c r="D51" s="239" t="s">
        <v>178</v>
      </c>
      <c r="E51" s="239" t="s">
        <v>467</v>
      </c>
      <c r="F51" s="240" t="s">
        <v>948</v>
      </c>
      <c r="G51" s="242" t="s">
        <v>525</v>
      </c>
      <c r="H51" s="242">
        <v>27064985</v>
      </c>
      <c r="I51" s="242">
        <f>1430336+2994769.5+4929931.79+5600000+(3000000)+2000000</f>
        <v>19955037.289999999</v>
      </c>
      <c r="J51" s="242">
        <f>(4652920)-4652920</f>
        <v>0</v>
      </c>
      <c r="K51" s="258">
        <f>(J51+I51)/H51</f>
        <v>0.73730088119391157</v>
      </c>
      <c r="L51" s="222"/>
      <c r="M51" s="222"/>
      <c r="N51" s="222"/>
      <c r="O51" s="222"/>
      <c r="P51" s="222"/>
      <c r="Q51" s="222"/>
      <c r="R51" s="222"/>
    </row>
    <row r="52" spans="1:18" ht="121.5" hidden="1" thickTop="1" thickBot="1" x14ac:dyDescent="0.25">
      <c r="A52" s="267"/>
      <c r="B52" s="229" t="s">
        <v>926</v>
      </c>
      <c r="C52" s="229" t="s">
        <v>201</v>
      </c>
      <c r="D52" s="229" t="s">
        <v>170</v>
      </c>
      <c r="E52" s="229" t="s">
        <v>34</v>
      </c>
      <c r="F52" s="249" t="s">
        <v>955</v>
      </c>
      <c r="G52" s="234" t="s">
        <v>563</v>
      </c>
      <c r="H52" s="235"/>
      <c r="I52" s="236"/>
      <c r="J52" s="235"/>
      <c r="K52" s="236"/>
      <c r="L52" s="222"/>
      <c r="M52" s="222"/>
      <c r="N52" s="222"/>
      <c r="O52" s="222"/>
      <c r="P52" s="222"/>
      <c r="Q52" s="222"/>
      <c r="R52" s="222"/>
    </row>
    <row r="53" spans="1:18" ht="46.5" thickTop="1" thickBot="1" x14ac:dyDescent="0.25">
      <c r="B53" s="436" t="s">
        <v>22</v>
      </c>
      <c r="C53" s="436"/>
      <c r="D53" s="436"/>
      <c r="E53" s="437" t="s">
        <v>23</v>
      </c>
      <c r="F53" s="436"/>
      <c r="G53" s="436"/>
      <c r="H53" s="438">
        <f t="shared" ref="H53:J53" si="5">H54</f>
        <v>37220922</v>
      </c>
      <c r="I53" s="438">
        <f t="shared" si="5"/>
        <v>32133883.559999999</v>
      </c>
      <c r="J53" s="438">
        <f t="shared" si="5"/>
        <v>20483856.079999998</v>
      </c>
      <c r="K53" s="439"/>
      <c r="L53" s="222"/>
      <c r="M53" s="222"/>
      <c r="N53" s="222"/>
      <c r="O53" s="222"/>
      <c r="P53" s="222"/>
      <c r="Q53" s="222"/>
      <c r="R53" s="222"/>
    </row>
    <row r="54" spans="1:18" ht="44.25" thickTop="1" thickBot="1" x14ac:dyDescent="0.25">
      <c r="B54" s="440" t="s">
        <v>21</v>
      </c>
      <c r="C54" s="440"/>
      <c r="D54" s="440"/>
      <c r="E54" s="441" t="s">
        <v>35</v>
      </c>
      <c r="F54" s="440"/>
      <c r="G54" s="440"/>
      <c r="H54" s="442">
        <f>H55+H56</f>
        <v>37220922</v>
      </c>
      <c r="I54" s="442">
        <f>I55+I56</f>
        <v>32133883.559999999</v>
      </c>
      <c r="J54" s="442">
        <f>J55+J56</f>
        <v>20483856.079999998</v>
      </c>
      <c r="K54" s="443"/>
      <c r="L54" s="222"/>
      <c r="M54" s="222"/>
      <c r="N54" s="222"/>
      <c r="O54" s="222"/>
      <c r="P54" s="222"/>
      <c r="Q54" s="222"/>
      <c r="R54" s="222"/>
    </row>
    <row r="55" spans="1:18" ht="46.5" thickTop="1" thickBot="1" x14ac:dyDescent="0.25">
      <c r="B55" s="414" t="s">
        <v>193</v>
      </c>
      <c r="C55" s="414" t="s">
        <v>194</v>
      </c>
      <c r="D55" s="414" t="s">
        <v>189</v>
      </c>
      <c r="E55" s="414" t="s">
        <v>10</v>
      </c>
      <c r="F55" s="420" t="s">
        <v>1310</v>
      </c>
      <c r="G55" s="421" t="s">
        <v>614</v>
      </c>
      <c r="H55" s="422">
        <v>2102059</v>
      </c>
      <c r="I55" s="424">
        <f>66820+3338.56+J55</f>
        <v>80838.559999999998</v>
      </c>
      <c r="J55" s="424">
        <v>10680</v>
      </c>
      <c r="K55" s="425">
        <f>I55/H55</f>
        <v>3.8456846358736835E-2</v>
      </c>
      <c r="L55" s="222"/>
      <c r="M55" s="222"/>
      <c r="N55" s="222"/>
      <c r="O55" s="222"/>
      <c r="P55" s="222"/>
      <c r="Q55" s="222"/>
      <c r="R55" s="222"/>
    </row>
    <row r="56" spans="1:18" s="268" customFormat="1" ht="76.5" thickTop="1" thickBot="1" x14ac:dyDescent="0.25">
      <c r="B56" s="414" t="s">
        <v>28</v>
      </c>
      <c r="C56" s="414" t="s">
        <v>196</v>
      </c>
      <c r="D56" s="414" t="s">
        <v>199</v>
      </c>
      <c r="E56" s="414" t="s">
        <v>48</v>
      </c>
      <c r="F56" s="420" t="s">
        <v>1302</v>
      </c>
      <c r="G56" s="421" t="s">
        <v>1301</v>
      </c>
      <c r="H56" s="422">
        <v>35118863</v>
      </c>
      <c r="I56" s="424">
        <f>6649999+4929869.92+J56</f>
        <v>32053045</v>
      </c>
      <c r="J56" s="424">
        <f>((179860)+10427935.08)+10979381-1114000</f>
        <v>20473176.079999998</v>
      </c>
      <c r="K56" s="425">
        <v>1</v>
      </c>
      <c r="L56" s="497">
        <f>H56-I56-4929869.92</f>
        <v>-1864051.92</v>
      </c>
      <c r="M56" s="260"/>
      <c r="N56" s="260"/>
      <c r="O56" s="260"/>
      <c r="P56" s="260"/>
      <c r="Q56" s="260"/>
      <c r="R56" s="260"/>
    </row>
    <row r="57" spans="1:18" s="268" customFormat="1" ht="16.5" hidden="1" thickTop="1" thickBot="1" x14ac:dyDescent="0.25">
      <c r="B57" s="414"/>
      <c r="C57" s="414"/>
      <c r="D57" s="414"/>
      <c r="E57" s="414"/>
      <c r="F57" s="420"/>
      <c r="G57" s="421"/>
      <c r="H57" s="422"/>
      <c r="I57" s="424"/>
      <c r="J57" s="424"/>
      <c r="K57" s="425"/>
      <c r="L57" s="497"/>
      <c r="M57" s="260"/>
      <c r="N57" s="260"/>
      <c r="O57" s="260"/>
      <c r="P57" s="260"/>
      <c r="Q57" s="260"/>
      <c r="R57" s="260"/>
    </row>
    <row r="58" spans="1:18" s="268" customFormat="1" ht="16.5" hidden="1" thickTop="1" thickBot="1" x14ac:dyDescent="0.25">
      <c r="B58" s="414"/>
      <c r="C58" s="414"/>
      <c r="D58" s="414"/>
      <c r="E58" s="414"/>
      <c r="F58" s="420"/>
      <c r="G58" s="421"/>
      <c r="H58" s="422"/>
      <c r="I58" s="424"/>
      <c r="J58" s="424"/>
      <c r="K58" s="425"/>
      <c r="L58" s="497"/>
      <c r="M58" s="260"/>
      <c r="N58" s="260"/>
      <c r="O58" s="260"/>
      <c r="P58" s="260"/>
      <c r="Q58" s="260"/>
      <c r="R58" s="260"/>
    </row>
    <row r="59" spans="1:18" s="268" customFormat="1" ht="46.5" hidden="1" thickTop="1" thickBot="1" x14ac:dyDescent="0.25">
      <c r="B59" s="190" t="s">
        <v>158</v>
      </c>
      <c r="C59" s="190"/>
      <c r="D59" s="190"/>
      <c r="E59" s="191" t="s">
        <v>566</v>
      </c>
      <c r="F59" s="190"/>
      <c r="G59" s="190"/>
      <c r="H59" s="192">
        <f t="shared" ref="H59:J59" si="6">H60</f>
        <v>4177606</v>
      </c>
      <c r="I59" s="192">
        <f t="shared" si="6"/>
        <v>0</v>
      </c>
      <c r="J59" s="192">
        <f t="shared" si="6"/>
        <v>0</v>
      </c>
      <c r="K59" s="237"/>
      <c r="L59" s="261"/>
      <c r="M59" s="260"/>
      <c r="N59" s="260"/>
      <c r="O59" s="260"/>
      <c r="P59" s="260"/>
      <c r="Q59" s="260"/>
      <c r="R59" s="260"/>
    </row>
    <row r="60" spans="1:18" s="268" customFormat="1" ht="44.25" hidden="1" thickTop="1" thickBot="1" x14ac:dyDescent="0.25">
      <c r="B60" s="194" t="s">
        <v>159</v>
      </c>
      <c r="C60" s="194"/>
      <c r="D60" s="194"/>
      <c r="E60" s="195" t="s">
        <v>567</v>
      </c>
      <c r="F60" s="194"/>
      <c r="G60" s="194"/>
      <c r="H60" s="196">
        <f>H61</f>
        <v>4177606</v>
      </c>
      <c r="I60" s="196">
        <f>I61</f>
        <v>0</v>
      </c>
      <c r="J60" s="196">
        <f>J61</f>
        <v>0</v>
      </c>
      <c r="K60" s="238"/>
      <c r="L60" s="261"/>
      <c r="M60" s="260"/>
      <c r="N60" s="260"/>
      <c r="O60" s="260"/>
      <c r="P60" s="260"/>
      <c r="Q60" s="260"/>
      <c r="R60" s="260"/>
    </row>
    <row r="61" spans="1:18" s="268" customFormat="1" ht="46.5" hidden="1" thickTop="1" thickBot="1" x14ac:dyDescent="0.25">
      <c r="B61" s="239" t="s">
        <v>1167</v>
      </c>
      <c r="C61" s="239" t="s">
        <v>309</v>
      </c>
      <c r="D61" s="239" t="s">
        <v>308</v>
      </c>
      <c r="E61" s="239" t="s">
        <v>1266</v>
      </c>
      <c r="F61" s="259" t="s">
        <v>1174</v>
      </c>
      <c r="G61" s="242" t="s">
        <v>1157</v>
      </c>
      <c r="H61" s="242">
        <v>4177606</v>
      </c>
      <c r="I61" s="242">
        <v>0</v>
      </c>
      <c r="J61" s="243"/>
      <c r="K61" s="258">
        <f>(I61+J61)/H61</f>
        <v>0</v>
      </c>
      <c r="L61" s="261"/>
      <c r="M61" s="260"/>
      <c r="N61" s="260"/>
      <c r="O61" s="260"/>
      <c r="P61" s="260"/>
      <c r="Q61" s="260"/>
      <c r="R61" s="260"/>
    </row>
    <row r="62" spans="1:18" s="268" customFormat="1" ht="46.5" thickTop="1" thickBot="1" x14ac:dyDescent="0.25">
      <c r="B62" s="436" t="s">
        <v>545</v>
      </c>
      <c r="C62" s="436"/>
      <c r="D62" s="436"/>
      <c r="E62" s="437" t="s">
        <v>564</v>
      </c>
      <c r="F62" s="436"/>
      <c r="G62" s="436"/>
      <c r="H62" s="438">
        <f>H63</f>
        <v>239141366.44999999</v>
      </c>
      <c r="I62" s="438">
        <f>I63</f>
        <v>134855817.34</v>
      </c>
      <c r="J62" s="438">
        <f>J63</f>
        <v>107289675.56</v>
      </c>
      <c r="K62" s="439"/>
      <c r="L62" s="261"/>
      <c r="M62" s="260"/>
      <c r="N62" s="260"/>
      <c r="O62" s="260"/>
      <c r="P62" s="260"/>
      <c r="Q62" s="260"/>
      <c r="R62" s="260"/>
    </row>
    <row r="63" spans="1:18" s="268" customFormat="1" ht="44.25" thickTop="1" thickBot="1" x14ac:dyDescent="0.25">
      <c r="B63" s="440" t="s">
        <v>546</v>
      </c>
      <c r="C63" s="440"/>
      <c r="D63" s="440"/>
      <c r="E63" s="441" t="s">
        <v>565</v>
      </c>
      <c r="F63" s="440"/>
      <c r="G63" s="440"/>
      <c r="H63" s="442">
        <f>H80+H81+H82+H83+H84+H89+H85+H86+H87+H88+H90+H71+H78+H91+H92+H93+H94+H98+H97+H76+H64+H99+H100+H101+H102+H103+H70</f>
        <v>239141366.44999999</v>
      </c>
      <c r="I63" s="442">
        <f>I80+I81+I82+I83+I84+I89+I85+I86+I87+I88+I90+I71+I78+I91+I92+I93+I94+I98+I97+I76+I64+I99+I100+I101+I102+I103+I70</f>
        <v>134855817.34</v>
      </c>
      <c r="J63" s="442">
        <f>J80+J81+J82+J83+J84+J89+J85+J86+J87+J88+J90+J71+J78+J91+J92+J93+J94+J98+J97+J76+J64+J99+J100+J101+J102+J103+J70</f>
        <v>107289675.56</v>
      </c>
      <c r="K63" s="443"/>
      <c r="L63" s="261"/>
      <c r="M63" s="260"/>
      <c r="N63" s="260"/>
      <c r="O63" s="260"/>
      <c r="P63" s="260"/>
      <c r="Q63" s="260"/>
      <c r="R63" s="260"/>
    </row>
    <row r="64" spans="1:18" s="268" customFormat="1" ht="61.5" thickTop="1" thickBot="1" x14ac:dyDescent="0.25">
      <c r="A64" s="186"/>
      <c r="B64" s="414" t="s">
        <v>553</v>
      </c>
      <c r="C64" s="414" t="s">
        <v>309</v>
      </c>
      <c r="D64" s="414" t="s">
        <v>308</v>
      </c>
      <c r="E64" s="414" t="s">
        <v>473</v>
      </c>
      <c r="F64" s="418" t="s">
        <v>1155</v>
      </c>
      <c r="G64" s="422" t="s">
        <v>1326</v>
      </c>
      <c r="H64" s="422">
        <v>10423167</v>
      </c>
      <c r="I64" s="422">
        <f>1987516+J64</f>
        <v>2297516</v>
      </c>
      <c r="J64" s="422">
        <f>(3000000-2000000)-690000</f>
        <v>310000</v>
      </c>
      <c r="K64" s="491">
        <f>I64/H64</f>
        <v>0.22042398438017927</v>
      </c>
      <c r="L64" s="261"/>
      <c r="M64" s="260"/>
      <c r="N64" s="260"/>
      <c r="O64" s="260"/>
      <c r="P64" s="260"/>
      <c r="Q64" s="260"/>
      <c r="R64" s="260"/>
    </row>
    <row r="65" spans="1:18" s="268" customFormat="1" ht="46.5" hidden="1" thickTop="1" thickBot="1" x14ac:dyDescent="0.25">
      <c r="A65" s="186"/>
      <c r="B65" s="239" t="s">
        <v>553</v>
      </c>
      <c r="C65" s="239" t="s">
        <v>309</v>
      </c>
      <c r="D65" s="239" t="s">
        <v>308</v>
      </c>
      <c r="E65" s="239" t="s">
        <v>473</v>
      </c>
      <c r="F65" s="262" t="s">
        <v>1156</v>
      </c>
      <c r="G65" s="242" t="s">
        <v>526</v>
      </c>
      <c r="H65" s="242">
        <v>19973126</v>
      </c>
      <c r="I65" s="242">
        <v>3000000</v>
      </c>
      <c r="J65" s="242">
        <f>(2000000)-2000000</f>
        <v>0</v>
      </c>
      <c r="K65" s="258">
        <f t="shared" ref="K65:K104" si="7">(I65+J65)/H65</f>
        <v>0.15020182619385669</v>
      </c>
      <c r="L65" s="261"/>
      <c r="M65" s="260"/>
      <c r="N65" s="260"/>
      <c r="O65" s="260"/>
      <c r="P65" s="260"/>
      <c r="Q65" s="260"/>
      <c r="R65" s="260"/>
    </row>
    <row r="66" spans="1:18" s="268" customFormat="1" ht="61.5" hidden="1" thickTop="1" thickBot="1" x14ac:dyDescent="0.25">
      <c r="A66" s="186"/>
      <c r="B66" s="239" t="s">
        <v>553</v>
      </c>
      <c r="C66" s="239" t="s">
        <v>309</v>
      </c>
      <c r="D66" s="239" t="s">
        <v>308</v>
      </c>
      <c r="E66" s="239" t="s">
        <v>473</v>
      </c>
      <c r="F66" s="262" t="s">
        <v>1196</v>
      </c>
      <c r="G66" s="242" t="s">
        <v>1157</v>
      </c>
      <c r="H66" s="242">
        <v>7326277</v>
      </c>
      <c r="I66" s="242">
        <v>0</v>
      </c>
      <c r="J66" s="242"/>
      <c r="K66" s="258">
        <f t="shared" si="7"/>
        <v>0</v>
      </c>
      <c r="L66" s="261"/>
      <c r="M66" s="260"/>
      <c r="N66" s="260"/>
      <c r="O66" s="260"/>
      <c r="P66" s="260"/>
      <c r="Q66" s="260"/>
      <c r="R66" s="260"/>
    </row>
    <row r="67" spans="1:18" s="268" customFormat="1" ht="46.5" hidden="1" thickTop="1" thickBot="1" x14ac:dyDescent="0.25">
      <c r="A67" s="186"/>
      <c r="B67" s="239" t="s">
        <v>553</v>
      </c>
      <c r="C67" s="239" t="s">
        <v>309</v>
      </c>
      <c r="D67" s="239" t="s">
        <v>308</v>
      </c>
      <c r="E67" s="239" t="s">
        <v>473</v>
      </c>
      <c r="F67" s="262" t="s">
        <v>1161</v>
      </c>
      <c r="G67" s="242" t="s">
        <v>1157</v>
      </c>
      <c r="H67" s="242">
        <v>8650378</v>
      </c>
      <c r="I67" s="242">
        <v>0</v>
      </c>
      <c r="J67" s="242"/>
      <c r="K67" s="258">
        <f t="shared" si="7"/>
        <v>0</v>
      </c>
      <c r="L67" s="261"/>
      <c r="M67" s="260"/>
      <c r="N67" s="260"/>
      <c r="O67" s="260"/>
      <c r="P67" s="260"/>
      <c r="Q67" s="260"/>
      <c r="R67" s="260"/>
    </row>
    <row r="68" spans="1:18" s="268" customFormat="1" ht="46.5" hidden="1" thickTop="1" thickBot="1" x14ac:dyDescent="0.25">
      <c r="A68" s="186"/>
      <c r="B68" s="239" t="s">
        <v>553</v>
      </c>
      <c r="C68" s="239" t="s">
        <v>309</v>
      </c>
      <c r="D68" s="239" t="s">
        <v>308</v>
      </c>
      <c r="E68" s="239" t="s">
        <v>473</v>
      </c>
      <c r="F68" s="262" t="s">
        <v>1162</v>
      </c>
      <c r="G68" s="242" t="s">
        <v>525</v>
      </c>
      <c r="H68" s="242">
        <v>68621716</v>
      </c>
      <c r="I68" s="242">
        <v>65923472</v>
      </c>
      <c r="J68" s="242"/>
      <c r="K68" s="258">
        <f t="shared" si="7"/>
        <v>0.96067944439046093</v>
      </c>
      <c r="L68" s="261"/>
      <c r="M68" s="260"/>
      <c r="N68" s="260"/>
      <c r="O68" s="260"/>
      <c r="P68" s="260"/>
      <c r="Q68" s="260"/>
      <c r="R68" s="260"/>
    </row>
    <row r="69" spans="1:18" s="268" customFormat="1" ht="46.5" hidden="1" thickTop="1" thickBot="1" x14ac:dyDescent="0.25">
      <c r="A69" s="186"/>
      <c r="B69" s="239" t="s">
        <v>553</v>
      </c>
      <c r="C69" s="239" t="s">
        <v>309</v>
      </c>
      <c r="D69" s="239" t="s">
        <v>308</v>
      </c>
      <c r="E69" s="239" t="s">
        <v>473</v>
      </c>
      <c r="F69" s="262" t="s">
        <v>1183</v>
      </c>
      <c r="G69" s="242" t="s">
        <v>525</v>
      </c>
      <c r="H69" s="242">
        <v>18370999</v>
      </c>
      <c r="I69" s="242">
        <f>(300000+171778.77+2000000+2000000)</f>
        <v>4471778.7699999996</v>
      </c>
      <c r="J69" s="242"/>
      <c r="K69" s="258">
        <f>(I69+J69)/H69</f>
        <v>0.24341511150264608</v>
      </c>
      <c r="L69" s="261"/>
      <c r="M69" s="260"/>
      <c r="N69" s="260"/>
      <c r="O69" s="260"/>
      <c r="P69" s="260"/>
      <c r="Q69" s="260"/>
      <c r="R69" s="260"/>
    </row>
    <row r="70" spans="1:18" s="268" customFormat="1" ht="61.5" thickTop="1" thickBot="1" x14ac:dyDescent="0.25">
      <c r="A70" s="186"/>
      <c r="B70" s="414" t="s">
        <v>554</v>
      </c>
      <c r="C70" s="414" t="s">
        <v>297</v>
      </c>
      <c r="D70" s="414" t="s">
        <v>299</v>
      </c>
      <c r="E70" s="414" t="s">
        <v>298</v>
      </c>
      <c r="F70" s="418" t="s">
        <v>1604</v>
      </c>
      <c r="G70" s="422" t="s">
        <v>1326</v>
      </c>
      <c r="H70" s="613">
        <v>96666042</v>
      </c>
      <c r="I70" s="422">
        <f>526400+J70</f>
        <v>31236400</v>
      </c>
      <c r="J70" s="422">
        <f>(27710000)+3000000</f>
        <v>30710000</v>
      </c>
      <c r="K70" s="491">
        <f>I70/H70</f>
        <v>0.32313726054905612</v>
      </c>
      <c r="L70" s="261"/>
      <c r="M70" s="260"/>
      <c r="N70" s="260"/>
      <c r="O70" s="260"/>
      <c r="P70" s="260"/>
      <c r="Q70" s="260"/>
      <c r="R70" s="260"/>
    </row>
    <row r="71" spans="1:18" s="268" customFormat="1" ht="76.5" thickTop="1" thickBot="1" x14ac:dyDescent="0.25">
      <c r="A71" s="186"/>
      <c r="B71" s="414" t="s">
        <v>555</v>
      </c>
      <c r="C71" s="414" t="s">
        <v>216</v>
      </c>
      <c r="D71" s="414" t="s">
        <v>217</v>
      </c>
      <c r="E71" s="414" t="s">
        <v>41</v>
      </c>
      <c r="F71" s="609" t="s">
        <v>1158</v>
      </c>
      <c r="G71" s="421" t="s">
        <v>1411</v>
      </c>
      <c r="H71" s="630">
        <v>41231871</v>
      </c>
      <c r="I71" s="422">
        <f>17580407.65+J71</f>
        <v>34014775.649999999</v>
      </c>
      <c r="J71" s="422">
        <v>16434368</v>
      </c>
      <c r="K71" s="425">
        <f>I71/H71</f>
        <v>0.8249631856386046</v>
      </c>
      <c r="L71" s="261"/>
      <c r="M71" s="260"/>
      <c r="N71" s="260"/>
      <c r="O71" s="260"/>
      <c r="P71" s="260"/>
      <c r="Q71" s="260"/>
      <c r="R71" s="260"/>
    </row>
    <row r="72" spans="1:18" s="268" customFormat="1" ht="46.5" hidden="1" thickTop="1" thickBot="1" x14ac:dyDescent="0.25">
      <c r="A72" s="186"/>
      <c r="B72" s="465" t="s">
        <v>556</v>
      </c>
      <c r="C72" s="465" t="s">
        <v>201</v>
      </c>
      <c r="D72" s="465" t="s">
        <v>170</v>
      </c>
      <c r="E72" s="465" t="s">
        <v>34</v>
      </c>
      <c r="F72" s="610" t="s">
        <v>1417</v>
      </c>
      <c r="G72" s="421"/>
      <c r="H72" s="613"/>
      <c r="I72" s="422"/>
      <c r="J72" s="422"/>
      <c r="K72" s="425"/>
      <c r="L72" s="261"/>
      <c r="M72" s="260"/>
      <c r="N72" s="260"/>
      <c r="O72" s="260"/>
      <c r="P72" s="260"/>
      <c r="Q72" s="260"/>
      <c r="R72" s="260"/>
    </row>
    <row r="73" spans="1:18" s="268" customFormat="1" ht="91.5" hidden="1" thickTop="1" thickBot="1" x14ac:dyDescent="0.25">
      <c r="A73" s="186"/>
      <c r="B73" s="239" t="s">
        <v>556</v>
      </c>
      <c r="C73" s="239" t="s">
        <v>201</v>
      </c>
      <c r="D73" s="239" t="s">
        <v>170</v>
      </c>
      <c r="E73" s="239" t="s">
        <v>34</v>
      </c>
      <c r="F73" s="263" t="s">
        <v>1159</v>
      </c>
      <c r="G73" s="241" t="s">
        <v>1153</v>
      </c>
      <c r="H73" s="242">
        <v>4730960</v>
      </c>
      <c r="I73" s="242">
        <f>5000</f>
        <v>5000</v>
      </c>
      <c r="J73" s="242"/>
      <c r="K73" s="258">
        <f t="shared" si="7"/>
        <v>1.0568679506907689E-3</v>
      </c>
      <c r="L73" s="261"/>
      <c r="M73" s="260"/>
      <c r="N73" s="260"/>
      <c r="O73" s="260"/>
      <c r="P73" s="260"/>
      <c r="Q73" s="260"/>
      <c r="R73" s="260"/>
    </row>
    <row r="74" spans="1:18" s="268" customFormat="1" ht="46.5" hidden="1" thickTop="1" thickBot="1" x14ac:dyDescent="0.25">
      <c r="A74" s="186"/>
      <c r="B74" s="414" t="s">
        <v>556</v>
      </c>
      <c r="C74" s="414" t="s">
        <v>201</v>
      </c>
      <c r="D74" s="414" t="s">
        <v>170</v>
      </c>
      <c r="E74" s="414" t="s">
        <v>34</v>
      </c>
      <c r="F74" s="481" t="s">
        <v>1418</v>
      </c>
      <c r="G74" s="421" t="s">
        <v>1301</v>
      </c>
      <c r="H74" s="422">
        <v>3936902</v>
      </c>
      <c r="I74" s="422">
        <f>J74</f>
        <v>100000</v>
      </c>
      <c r="J74" s="422">
        <v>100000</v>
      </c>
      <c r="K74" s="425">
        <f>I74/H74</f>
        <v>2.5400683075169257E-2</v>
      </c>
      <c r="L74" s="261"/>
      <c r="M74" s="260"/>
      <c r="N74" s="260"/>
      <c r="O74" s="260"/>
      <c r="P74" s="260"/>
      <c r="Q74" s="260"/>
      <c r="R74" s="260"/>
    </row>
    <row r="75" spans="1:18" s="268" customFormat="1" ht="46.5" thickTop="1" thickBot="1" x14ac:dyDescent="0.25">
      <c r="A75" s="186"/>
      <c r="B75" s="465" t="s">
        <v>556</v>
      </c>
      <c r="C75" s="465" t="s">
        <v>201</v>
      </c>
      <c r="D75" s="465" t="s">
        <v>170</v>
      </c>
      <c r="E75" s="465" t="s">
        <v>34</v>
      </c>
      <c r="F75" s="610" t="s">
        <v>1417</v>
      </c>
      <c r="G75" s="241"/>
      <c r="H75" s="242"/>
      <c r="I75" s="242"/>
      <c r="J75" s="242"/>
      <c r="K75" s="258"/>
      <c r="L75" s="261"/>
      <c r="M75" s="260"/>
      <c r="N75" s="260"/>
      <c r="O75" s="260"/>
      <c r="P75" s="260"/>
      <c r="Q75" s="260"/>
      <c r="R75" s="260"/>
    </row>
    <row r="76" spans="1:18" s="268" customFormat="1" ht="46.5" thickTop="1" thickBot="1" x14ac:dyDescent="0.25">
      <c r="A76" s="186"/>
      <c r="B76" s="414" t="s">
        <v>556</v>
      </c>
      <c r="C76" s="414" t="s">
        <v>201</v>
      </c>
      <c r="D76" s="414" t="s">
        <v>170</v>
      </c>
      <c r="E76" s="414" t="s">
        <v>34</v>
      </c>
      <c r="F76" s="481" t="s">
        <v>1504</v>
      </c>
      <c r="G76" s="421" t="s">
        <v>1326</v>
      </c>
      <c r="H76" s="422">
        <v>7619432.4500000002</v>
      </c>
      <c r="I76" s="422">
        <f>2006390.45+J76</f>
        <v>6506390.4500000002</v>
      </c>
      <c r="J76" s="422">
        <f>(((100000)+1500000)+2000000)+900000</f>
        <v>4500000</v>
      </c>
      <c r="K76" s="425">
        <f>I76/H76</f>
        <v>0.85392061583274492</v>
      </c>
      <c r="L76" s="261"/>
      <c r="M76" s="260"/>
      <c r="N76" s="260"/>
      <c r="O76" s="260"/>
      <c r="P76" s="260"/>
      <c r="Q76" s="260"/>
      <c r="R76" s="260"/>
    </row>
    <row r="77" spans="1:18" s="268" customFormat="1" ht="31.5" thickTop="1" thickBot="1" x14ac:dyDescent="0.25">
      <c r="A77" s="186"/>
      <c r="B77" s="465" t="s">
        <v>556</v>
      </c>
      <c r="C77" s="465" t="s">
        <v>201</v>
      </c>
      <c r="D77" s="465" t="s">
        <v>170</v>
      </c>
      <c r="E77" s="465" t="s">
        <v>34</v>
      </c>
      <c r="F77" s="610" t="s">
        <v>1416</v>
      </c>
      <c r="G77" s="241"/>
      <c r="H77" s="242"/>
      <c r="I77" s="242"/>
      <c r="J77" s="242"/>
      <c r="K77" s="258"/>
      <c r="L77" s="261"/>
      <c r="M77" s="260"/>
      <c r="N77" s="260"/>
      <c r="O77" s="260"/>
      <c r="P77" s="260"/>
      <c r="Q77" s="260"/>
      <c r="R77" s="260"/>
    </row>
    <row r="78" spans="1:18" s="268" customFormat="1" ht="76.5" thickTop="1" thickBot="1" x14ac:dyDescent="0.25">
      <c r="A78" s="186"/>
      <c r="B78" s="414" t="s">
        <v>556</v>
      </c>
      <c r="C78" s="414" t="s">
        <v>201</v>
      </c>
      <c r="D78" s="414" t="s">
        <v>170</v>
      </c>
      <c r="E78" s="414" t="s">
        <v>34</v>
      </c>
      <c r="F78" s="481" t="s">
        <v>1414</v>
      </c>
      <c r="G78" s="422" t="s">
        <v>1318</v>
      </c>
      <c r="H78" s="422">
        <v>1814685</v>
      </c>
      <c r="I78" s="422">
        <f>0+J78</f>
        <v>1814685</v>
      </c>
      <c r="J78" s="422">
        <v>1814685</v>
      </c>
      <c r="K78" s="425">
        <f>I78/H78</f>
        <v>1</v>
      </c>
      <c r="L78" s="261"/>
      <c r="M78" s="260"/>
      <c r="N78" s="260"/>
      <c r="O78" s="260"/>
      <c r="P78" s="260"/>
      <c r="Q78" s="260"/>
      <c r="R78" s="260"/>
    </row>
    <row r="79" spans="1:18" s="268" customFormat="1" ht="46.5" thickTop="1" thickBot="1" x14ac:dyDescent="0.25">
      <c r="A79" s="186"/>
      <c r="B79" s="465" t="s">
        <v>556</v>
      </c>
      <c r="C79" s="465" t="s">
        <v>201</v>
      </c>
      <c r="D79" s="465" t="s">
        <v>170</v>
      </c>
      <c r="E79" s="465" t="s">
        <v>34</v>
      </c>
      <c r="F79" s="610" t="s">
        <v>1415</v>
      </c>
      <c r="G79" s="611"/>
      <c r="H79" s="611"/>
      <c r="I79" s="611"/>
      <c r="J79" s="611"/>
      <c r="K79" s="612"/>
      <c r="L79" s="261"/>
      <c r="M79" s="260"/>
      <c r="N79" s="260"/>
      <c r="O79" s="260"/>
      <c r="P79" s="260"/>
      <c r="Q79" s="260"/>
      <c r="R79" s="260"/>
    </row>
    <row r="80" spans="1:18" s="268" customFormat="1" ht="61.5" thickTop="1" thickBot="1" x14ac:dyDescent="0.25">
      <c r="A80" s="186"/>
      <c r="B80" s="414" t="s">
        <v>556</v>
      </c>
      <c r="C80" s="414" t="s">
        <v>201</v>
      </c>
      <c r="D80" s="414" t="s">
        <v>170</v>
      </c>
      <c r="E80" s="414" t="s">
        <v>34</v>
      </c>
      <c r="F80" s="481" t="s">
        <v>1396</v>
      </c>
      <c r="G80" s="422" t="s">
        <v>1317</v>
      </c>
      <c r="H80" s="422">
        <v>5372119</v>
      </c>
      <c r="I80" s="422">
        <f>98758+J80</f>
        <v>3645877</v>
      </c>
      <c r="J80" s="422">
        <f>(((800000)+4473361)-1008242)-718000</f>
        <v>3547119</v>
      </c>
      <c r="K80" s="425">
        <v>1</v>
      </c>
      <c r="L80" s="261"/>
      <c r="M80" s="260"/>
      <c r="N80" s="260"/>
      <c r="O80" s="260"/>
      <c r="P80" s="260"/>
      <c r="Q80" s="260"/>
      <c r="R80" s="260"/>
    </row>
    <row r="81" spans="1:18" s="268" customFormat="1" ht="46.5" thickTop="1" thickBot="1" x14ac:dyDescent="0.25">
      <c r="A81" s="186"/>
      <c r="B81" s="414" t="s">
        <v>556</v>
      </c>
      <c r="C81" s="414" t="s">
        <v>201</v>
      </c>
      <c r="D81" s="414" t="s">
        <v>170</v>
      </c>
      <c r="E81" s="414" t="s">
        <v>34</v>
      </c>
      <c r="F81" s="481" t="s">
        <v>1397</v>
      </c>
      <c r="G81" s="422" t="s">
        <v>1318</v>
      </c>
      <c r="H81" s="422">
        <v>7772411</v>
      </c>
      <c r="I81" s="422">
        <f t="shared" ref="I81:I88" si="8">0+J81</f>
        <v>7201885</v>
      </c>
      <c r="J81" s="422">
        <f>((800000)+6172411)+229474</f>
        <v>7201885</v>
      </c>
      <c r="K81" s="425">
        <v>1</v>
      </c>
      <c r="L81" s="261"/>
      <c r="M81" s="260"/>
      <c r="N81" s="260"/>
      <c r="O81" s="260"/>
      <c r="P81" s="260"/>
      <c r="Q81" s="260"/>
      <c r="R81" s="260"/>
    </row>
    <row r="82" spans="1:18" s="268" customFormat="1" ht="61.5" hidden="1" thickTop="1" thickBot="1" x14ac:dyDescent="0.25">
      <c r="A82" s="186"/>
      <c r="B82" s="414" t="s">
        <v>556</v>
      </c>
      <c r="C82" s="414" t="s">
        <v>201</v>
      </c>
      <c r="D82" s="414" t="s">
        <v>170</v>
      </c>
      <c r="E82" s="414" t="s">
        <v>34</v>
      </c>
      <c r="F82" s="481" t="s">
        <v>1398</v>
      </c>
      <c r="G82" s="422" t="s">
        <v>1318</v>
      </c>
      <c r="H82" s="422">
        <f>9279628-9279628</f>
        <v>0</v>
      </c>
      <c r="I82" s="422">
        <f t="shared" si="8"/>
        <v>0</v>
      </c>
      <c r="J82" s="422">
        <f>(((800000)+8479628)-752674)-8526954</f>
        <v>0</v>
      </c>
      <c r="K82" s="425">
        <v>1</v>
      </c>
      <c r="L82" s="261"/>
      <c r="M82" s="260"/>
      <c r="N82" s="260"/>
      <c r="O82" s="260"/>
      <c r="P82" s="260"/>
      <c r="Q82" s="260"/>
      <c r="R82" s="260"/>
    </row>
    <row r="83" spans="1:18" s="268" customFormat="1" ht="46.5" thickTop="1" thickBot="1" x14ac:dyDescent="0.25">
      <c r="A83" s="186"/>
      <c r="B83" s="414" t="s">
        <v>556</v>
      </c>
      <c r="C83" s="414" t="s">
        <v>201</v>
      </c>
      <c r="D83" s="414" t="s">
        <v>170</v>
      </c>
      <c r="E83" s="414" t="s">
        <v>34</v>
      </c>
      <c r="F83" s="481" t="s">
        <v>1399</v>
      </c>
      <c r="G83" s="422" t="s">
        <v>1318</v>
      </c>
      <c r="H83" s="422">
        <v>1414397</v>
      </c>
      <c r="I83" s="422">
        <f t="shared" si="8"/>
        <v>1392754</v>
      </c>
      <c r="J83" s="422">
        <f>((216700)+1197697)-21643</f>
        <v>1392754</v>
      </c>
      <c r="K83" s="425">
        <v>1</v>
      </c>
      <c r="L83" s="261"/>
      <c r="M83" s="260"/>
      <c r="N83" s="260"/>
      <c r="O83" s="260"/>
      <c r="P83" s="260"/>
      <c r="Q83" s="260"/>
      <c r="R83" s="260"/>
    </row>
    <row r="84" spans="1:18" s="268" customFormat="1" ht="46.5" thickTop="1" thickBot="1" x14ac:dyDescent="0.25">
      <c r="A84" s="186"/>
      <c r="B84" s="414" t="s">
        <v>556</v>
      </c>
      <c r="C84" s="414" t="s">
        <v>201</v>
      </c>
      <c r="D84" s="414" t="s">
        <v>170</v>
      </c>
      <c r="E84" s="414" t="s">
        <v>34</v>
      </c>
      <c r="F84" s="481" t="s">
        <v>1406</v>
      </c>
      <c r="G84" s="422" t="s">
        <v>1318</v>
      </c>
      <c r="H84" s="422">
        <v>1102662</v>
      </c>
      <c r="I84" s="422">
        <f t="shared" si="8"/>
        <v>1083784</v>
      </c>
      <c r="J84" s="422">
        <f>((500000)+602662)-18878</f>
        <v>1083784</v>
      </c>
      <c r="K84" s="425">
        <v>1</v>
      </c>
      <c r="L84" s="261"/>
      <c r="M84" s="260"/>
      <c r="N84" s="260"/>
      <c r="O84" s="260"/>
      <c r="P84" s="260"/>
      <c r="Q84" s="260"/>
      <c r="R84" s="260"/>
    </row>
    <row r="85" spans="1:18" s="268" customFormat="1" ht="61.5" thickTop="1" thickBot="1" x14ac:dyDescent="0.25">
      <c r="A85" s="186"/>
      <c r="B85" s="414" t="s">
        <v>556</v>
      </c>
      <c r="C85" s="414" t="s">
        <v>201</v>
      </c>
      <c r="D85" s="414" t="s">
        <v>170</v>
      </c>
      <c r="E85" s="414" t="s">
        <v>34</v>
      </c>
      <c r="F85" s="481" t="s">
        <v>1400</v>
      </c>
      <c r="G85" s="422" t="s">
        <v>1318</v>
      </c>
      <c r="H85" s="422">
        <v>2295880</v>
      </c>
      <c r="I85" s="422">
        <f t="shared" si="8"/>
        <v>2272102</v>
      </c>
      <c r="J85" s="422">
        <f>((800000)+1495880)-23778</f>
        <v>2272102</v>
      </c>
      <c r="K85" s="425">
        <v>1</v>
      </c>
      <c r="L85" s="261"/>
      <c r="M85" s="260"/>
      <c r="N85" s="260"/>
      <c r="O85" s="260"/>
      <c r="P85" s="260"/>
      <c r="Q85" s="260"/>
      <c r="R85" s="260"/>
    </row>
    <row r="86" spans="1:18" s="268" customFormat="1" ht="46.5" thickTop="1" thickBot="1" x14ac:dyDescent="0.25">
      <c r="A86" s="186"/>
      <c r="B86" s="414" t="s">
        <v>556</v>
      </c>
      <c r="C86" s="414" t="s">
        <v>201</v>
      </c>
      <c r="D86" s="414" t="s">
        <v>170</v>
      </c>
      <c r="E86" s="414" t="s">
        <v>34</v>
      </c>
      <c r="F86" s="481" t="s">
        <v>1401</v>
      </c>
      <c r="G86" s="422" t="s">
        <v>1318</v>
      </c>
      <c r="H86" s="422">
        <v>130655</v>
      </c>
      <c r="I86" s="422">
        <f t="shared" si="8"/>
        <v>130655</v>
      </c>
      <c r="J86" s="422">
        <f>(119860)+10795</f>
        <v>130655</v>
      </c>
      <c r="K86" s="425">
        <f t="shared" ref="K86:K87" si="9">I86/H86</f>
        <v>1</v>
      </c>
      <c r="L86" s="261"/>
      <c r="M86" s="260"/>
      <c r="N86" s="260"/>
      <c r="O86" s="260"/>
      <c r="P86" s="260"/>
      <c r="Q86" s="260"/>
      <c r="R86" s="260"/>
    </row>
    <row r="87" spans="1:18" s="268" customFormat="1" ht="46.5" thickTop="1" thickBot="1" x14ac:dyDescent="0.25">
      <c r="A87" s="186"/>
      <c r="B87" s="414" t="s">
        <v>556</v>
      </c>
      <c r="C87" s="414" t="s">
        <v>201</v>
      </c>
      <c r="D87" s="414" t="s">
        <v>170</v>
      </c>
      <c r="E87" s="414" t="s">
        <v>34</v>
      </c>
      <c r="F87" s="481" t="s">
        <v>1402</v>
      </c>
      <c r="G87" s="422" t="s">
        <v>1318</v>
      </c>
      <c r="H87" s="422">
        <v>294266</v>
      </c>
      <c r="I87" s="422">
        <f t="shared" si="8"/>
        <v>294266</v>
      </c>
      <c r="J87" s="422">
        <f>(213380)+80886</f>
        <v>294266</v>
      </c>
      <c r="K87" s="425">
        <f t="shared" si="9"/>
        <v>1</v>
      </c>
      <c r="L87" s="261"/>
      <c r="M87" s="260"/>
      <c r="N87" s="260"/>
      <c r="O87" s="260"/>
      <c r="P87" s="260"/>
      <c r="Q87" s="260"/>
      <c r="R87" s="260"/>
    </row>
    <row r="88" spans="1:18" s="268" customFormat="1" ht="76.5" thickTop="1" thickBot="1" x14ac:dyDescent="0.25">
      <c r="A88" s="186"/>
      <c r="B88" s="414" t="s">
        <v>556</v>
      </c>
      <c r="C88" s="414" t="s">
        <v>201</v>
      </c>
      <c r="D88" s="414" t="s">
        <v>170</v>
      </c>
      <c r="E88" s="414" t="s">
        <v>34</v>
      </c>
      <c r="F88" s="481" t="s">
        <v>1403</v>
      </c>
      <c r="G88" s="422" t="s">
        <v>1318</v>
      </c>
      <c r="H88" s="422">
        <v>17944150</v>
      </c>
      <c r="I88" s="422">
        <f t="shared" si="8"/>
        <v>12818630</v>
      </c>
      <c r="J88" s="422">
        <f>((1425470)+16518680)-5125520</f>
        <v>12818630</v>
      </c>
      <c r="K88" s="425">
        <v>1</v>
      </c>
      <c r="L88" s="261"/>
      <c r="M88" s="260"/>
      <c r="N88" s="260"/>
      <c r="O88" s="260"/>
      <c r="P88" s="260"/>
      <c r="Q88" s="260"/>
      <c r="R88" s="260"/>
    </row>
    <row r="89" spans="1:18" s="268" customFormat="1" ht="61.5" thickTop="1" thickBot="1" x14ac:dyDescent="0.25">
      <c r="A89" s="186"/>
      <c r="B89" s="414" t="s">
        <v>556</v>
      </c>
      <c r="C89" s="414" t="s">
        <v>201</v>
      </c>
      <c r="D89" s="414" t="s">
        <v>170</v>
      </c>
      <c r="E89" s="414" t="s">
        <v>34</v>
      </c>
      <c r="F89" s="481" t="s">
        <v>1404</v>
      </c>
      <c r="G89" s="422" t="s">
        <v>1318</v>
      </c>
      <c r="H89" s="422">
        <v>5736181</v>
      </c>
      <c r="I89" s="422">
        <f t="shared" ref="I89:I91" si="10">0+J89</f>
        <v>5067179</v>
      </c>
      <c r="J89" s="422">
        <f>((800000)+2820845)+1446334</f>
        <v>5067179</v>
      </c>
      <c r="K89" s="425">
        <f t="shared" ref="K89" si="11">I89/H89</f>
        <v>0.88337153238365385</v>
      </c>
      <c r="L89" s="261"/>
      <c r="M89" s="260"/>
      <c r="N89" s="260"/>
      <c r="O89" s="260"/>
      <c r="P89" s="260"/>
      <c r="Q89" s="260"/>
      <c r="R89" s="260"/>
    </row>
    <row r="90" spans="1:18" s="268" customFormat="1" ht="61.5" thickTop="1" thickBot="1" x14ac:dyDescent="0.25">
      <c r="A90" s="186"/>
      <c r="B90" s="414" t="s">
        <v>556</v>
      </c>
      <c r="C90" s="414" t="s">
        <v>201</v>
      </c>
      <c r="D90" s="414" t="s">
        <v>170</v>
      </c>
      <c r="E90" s="414" t="s">
        <v>34</v>
      </c>
      <c r="F90" s="481" t="s">
        <v>1405</v>
      </c>
      <c r="G90" s="422" t="s">
        <v>1318</v>
      </c>
      <c r="H90" s="422">
        <v>1063241</v>
      </c>
      <c r="I90" s="422">
        <f t="shared" si="10"/>
        <v>1038211</v>
      </c>
      <c r="J90" s="422">
        <f>((800000)+263241)-25030</f>
        <v>1038211</v>
      </c>
      <c r="K90" s="425">
        <v>1</v>
      </c>
      <c r="L90" s="261"/>
      <c r="M90" s="260"/>
      <c r="N90" s="260"/>
      <c r="O90" s="260"/>
      <c r="P90" s="260"/>
      <c r="Q90" s="260"/>
      <c r="R90" s="260"/>
    </row>
    <row r="91" spans="1:18" s="268" customFormat="1" ht="61.5" thickTop="1" thickBot="1" x14ac:dyDescent="0.25">
      <c r="A91" s="186"/>
      <c r="B91" s="414" t="s">
        <v>556</v>
      </c>
      <c r="C91" s="414" t="s">
        <v>201</v>
      </c>
      <c r="D91" s="414" t="s">
        <v>170</v>
      </c>
      <c r="E91" s="414" t="s">
        <v>34</v>
      </c>
      <c r="F91" s="481" t="s">
        <v>1407</v>
      </c>
      <c r="G91" s="422" t="s">
        <v>1318</v>
      </c>
      <c r="H91" s="422">
        <v>2915336</v>
      </c>
      <c r="I91" s="422">
        <f t="shared" si="10"/>
        <v>2915336</v>
      </c>
      <c r="J91" s="422">
        <v>2915336</v>
      </c>
      <c r="K91" s="425">
        <f>I91/H91</f>
        <v>1</v>
      </c>
      <c r="L91" s="261"/>
      <c r="M91" s="260"/>
      <c r="N91" s="260"/>
      <c r="O91" s="260"/>
      <c r="P91" s="260"/>
      <c r="Q91" s="260"/>
      <c r="R91" s="260"/>
    </row>
    <row r="92" spans="1:18" s="268" customFormat="1" ht="46.5" thickTop="1" thickBot="1" x14ac:dyDescent="0.25">
      <c r="A92" s="186"/>
      <c r="B92" s="414" t="s">
        <v>556</v>
      </c>
      <c r="C92" s="414" t="s">
        <v>201</v>
      </c>
      <c r="D92" s="414" t="s">
        <v>170</v>
      </c>
      <c r="E92" s="414" t="s">
        <v>34</v>
      </c>
      <c r="F92" s="481" t="s">
        <v>1408</v>
      </c>
      <c r="G92" s="422" t="s">
        <v>1301</v>
      </c>
      <c r="H92" s="422">
        <v>2163176</v>
      </c>
      <c r="I92" s="422">
        <f>333866.12+J92</f>
        <v>1685143</v>
      </c>
      <c r="J92" s="422">
        <f>(778960+362316.88)+210000</f>
        <v>1351276.88</v>
      </c>
      <c r="K92" s="425">
        <f>I92/H92</f>
        <v>0.77901335813636985</v>
      </c>
      <c r="L92" s="608" t="s">
        <v>1592</v>
      </c>
      <c r="M92" s="260"/>
      <c r="N92" s="260"/>
      <c r="O92" s="260"/>
      <c r="P92" s="260"/>
      <c r="Q92" s="260"/>
      <c r="R92" s="260"/>
    </row>
    <row r="93" spans="1:18" s="268" customFormat="1" ht="61.5" thickTop="1" thickBot="1" x14ac:dyDescent="0.25">
      <c r="A93" s="186"/>
      <c r="B93" s="414" t="s">
        <v>556</v>
      </c>
      <c r="C93" s="414" t="s">
        <v>201</v>
      </c>
      <c r="D93" s="414" t="s">
        <v>170</v>
      </c>
      <c r="E93" s="414" t="s">
        <v>34</v>
      </c>
      <c r="F93" s="481" t="s">
        <v>1409</v>
      </c>
      <c r="G93" s="422" t="s">
        <v>1301</v>
      </c>
      <c r="H93" s="422">
        <v>990371</v>
      </c>
      <c r="I93" s="422">
        <f>495172+J93</f>
        <v>602150</v>
      </c>
      <c r="J93" s="422">
        <v>106978</v>
      </c>
      <c r="K93" s="425">
        <f>I93/H93</f>
        <v>0.60800447509064781</v>
      </c>
      <c r="L93" s="608" t="s">
        <v>1410</v>
      </c>
      <c r="M93" s="260"/>
      <c r="N93" s="260"/>
      <c r="O93" s="260"/>
      <c r="P93" s="260"/>
      <c r="Q93" s="260"/>
      <c r="R93" s="260"/>
    </row>
    <row r="94" spans="1:18" s="268" customFormat="1" ht="76.5" thickTop="1" thickBot="1" x14ac:dyDescent="0.25">
      <c r="A94" s="186"/>
      <c r="B94" s="414" t="s">
        <v>556</v>
      </c>
      <c r="C94" s="414" t="s">
        <v>201</v>
      </c>
      <c r="D94" s="414" t="s">
        <v>170</v>
      </c>
      <c r="E94" s="414" t="s">
        <v>34</v>
      </c>
      <c r="F94" s="481" t="s">
        <v>1413</v>
      </c>
      <c r="G94" s="422" t="s">
        <v>1301</v>
      </c>
      <c r="H94" s="422">
        <v>3193463</v>
      </c>
      <c r="I94" s="422">
        <f>990793.71+J94</f>
        <v>2706428.58</v>
      </c>
      <c r="J94" s="422">
        <f>500000+1215634.87</f>
        <v>1715634.87</v>
      </c>
      <c r="K94" s="425">
        <f>I94/H94</f>
        <v>0.84749019481359267</v>
      </c>
      <c r="L94" s="608" t="s">
        <v>1410</v>
      </c>
      <c r="M94" s="260"/>
      <c r="N94" s="260"/>
      <c r="O94" s="260"/>
      <c r="P94" s="260"/>
      <c r="Q94" s="260"/>
      <c r="R94" s="260"/>
    </row>
    <row r="95" spans="1:18" s="268" customFormat="1" ht="91.5" hidden="1" thickTop="1" thickBot="1" x14ac:dyDescent="0.25">
      <c r="A95" s="186"/>
      <c r="B95" s="239" t="s">
        <v>556</v>
      </c>
      <c r="C95" s="239" t="s">
        <v>201</v>
      </c>
      <c r="D95" s="239" t="s">
        <v>170</v>
      </c>
      <c r="E95" s="239" t="s">
        <v>34</v>
      </c>
      <c r="F95" s="248" t="s">
        <v>1163</v>
      </c>
      <c r="G95" s="242" t="s">
        <v>1157</v>
      </c>
      <c r="H95" s="242">
        <v>3387286</v>
      </c>
      <c r="I95" s="242">
        <v>0</v>
      </c>
      <c r="J95" s="242">
        <f>(500000)-500000</f>
        <v>0</v>
      </c>
      <c r="K95" s="258">
        <f t="shared" si="7"/>
        <v>0</v>
      </c>
      <c r="L95" s="261"/>
      <c r="M95" s="260"/>
      <c r="N95" s="260"/>
      <c r="O95" s="260"/>
      <c r="P95" s="260"/>
      <c r="Q95" s="260"/>
      <c r="R95" s="260"/>
    </row>
    <row r="96" spans="1:18" s="268" customFormat="1" ht="91.5" hidden="1" thickTop="1" thickBot="1" x14ac:dyDescent="0.25">
      <c r="A96" s="186"/>
      <c r="B96" s="239" t="s">
        <v>556</v>
      </c>
      <c r="C96" s="239" t="s">
        <v>201</v>
      </c>
      <c r="D96" s="239" t="s">
        <v>170</v>
      </c>
      <c r="E96" s="239" t="s">
        <v>34</v>
      </c>
      <c r="F96" s="248" t="s">
        <v>1160</v>
      </c>
      <c r="G96" s="242" t="s">
        <v>1157</v>
      </c>
      <c r="H96" s="242">
        <v>5891152</v>
      </c>
      <c r="I96" s="242">
        <v>0</v>
      </c>
      <c r="J96" s="242">
        <f>(1000000)-1000000</f>
        <v>0</v>
      </c>
      <c r="K96" s="258">
        <f t="shared" si="7"/>
        <v>0</v>
      </c>
      <c r="L96" s="261"/>
      <c r="M96" s="260"/>
      <c r="N96" s="260"/>
      <c r="O96" s="260"/>
      <c r="P96" s="260"/>
      <c r="Q96" s="260"/>
      <c r="R96" s="260"/>
    </row>
    <row r="97" spans="1:18" s="268" customFormat="1" ht="46.5" thickTop="1" thickBot="1" x14ac:dyDescent="0.25">
      <c r="A97" s="186"/>
      <c r="B97" s="414" t="s">
        <v>556</v>
      </c>
      <c r="C97" s="414" t="s">
        <v>201</v>
      </c>
      <c r="D97" s="414" t="s">
        <v>170</v>
      </c>
      <c r="E97" s="414" t="s">
        <v>34</v>
      </c>
      <c r="F97" s="481" t="s">
        <v>1412</v>
      </c>
      <c r="G97" s="422" t="s">
        <v>1317</v>
      </c>
      <c r="H97" s="422">
        <v>1442309</v>
      </c>
      <c r="I97" s="422">
        <f>0+J97</f>
        <v>1165856.81</v>
      </c>
      <c r="J97" s="422">
        <v>1165856.81</v>
      </c>
      <c r="K97" s="425">
        <v>1</v>
      </c>
      <c r="L97" s="261"/>
      <c r="M97" s="260"/>
      <c r="N97" s="260"/>
      <c r="O97" s="260"/>
      <c r="P97" s="260"/>
      <c r="Q97" s="260"/>
      <c r="R97" s="260"/>
    </row>
    <row r="98" spans="1:18" s="268" customFormat="1" ht="61.5" thickTop="1" thickBot="1" x14ac:dyDescent="0.25">
      <c r="A98" s="186"/>
      <c r="B98" s="414" t="s">
        <v>556</v>
      </c>
      <c r="C98" s="414" t="s">
        <v>201</v>
      </c>
      <c r="D98" s="414" t="s">
        <v>170</v>
      </c>
      <c r="E98" s="414" t="s">
        <v>34</v>
      </c>
      <c r="F98" s="481" t="s">
        <v>1426</v>
      </c>
      <c r="G98" s="422" t="s">
        <v>951</v>
      </c>
      <c r="H98" s="422">
        <v>21842639</v>
      </c>
      <c r="I98" s="422">
        <f>3147154.85+J98</f>
        <v>9252879.8499999996</v>
      </c>
      <c r="J98" s="422">
        <f>(5891152)+214573</f>
        <v>6105725</v>
      </c>
      <c r="K98" s="425">
        <f t="shared" ref="K98:K103" si="12">I98/H98</f>
        <v>0.42361547292888918</v>
      </c>
      <c r="L98" s="261"/>
      <c r="M98" s="260"/>
      <c r="N98" s="260"/>
      <c r="O98" s="260"/>
      <c r="P98" s="260"/>
      <c r="Q98" s="260"/>
      <c r="R98" s="260"/>
    </row>
    <row r="99" spans="1:18" s="268" customFormat="1" ht="54" customHeight="1" thickTop="1" thickBot="1" x14ac:dyDescent="0.25">
      <c r="A99" s="186"/>
      <c r="B99" s="414" t="s">
        <v>556</v>
      </c>
      <c r="C99" s="414" t="s">
        <v>201</v>
      </c>
      <c r="D99" s="414" t="s">
        <v>170</v>
      </c>
      <c r="E99" s="414" t="s">
        <v>34</v>
      </c>
      <c r="F99" s="481" t="s">
        <v>1544</v>
      </c>
      <c r="G99" s="422" t="s">
        <v>1318</v>
      </c>
      <c r="H99" s="422">
        <v>428388</v>
      </c>
      <c r="I99" s="422">
        <v>428388</v>
      </c>
      <c r="J99" s="422">
        <f>(428388)-12412</f>
        <v>415976</v>
      </c>
      <c r="K99" s="425">
        <f t="shared" si="12"/>
        <v>1</v>
      </c>
      <c r="L99" s="261"/>
      <c r="M99" s="260"/>
      <c r="N99" s="260"/>
      <c r="O99" s="260"/>
      <c r="P99" s="260"/>
      <c r="Q99" s="260"/>
      <c r="R99" s="260"/>
    </row>
    <row r="100" spans="1:18" s="268" customFormat="1" ht="46.5" thickTop="1" thickBot="1" x14ac:dyDescent="0.25">
      <c r="A100" s="186"/>
      <c r="B100" s="414" t="s">
        <v>556</v>
      </c>
      <c r="C100" s="414" t="s">
        <v>201</v>
      </c>
      <c r="D100" s="414" t="s">
        <v>170</v>
      </c>
      <c r="E100" s="414" t="s">
        <v>34</v>
      </c>
      <c r="F100" s="481" t="s">
        <v>1515</v>
      </c>
      <c r="G100" s="422" t="s">
        <v>1318</v>
      </c>
      <c r="H100" s="422">
        <v>3122498</v>
      </c>
      <c r="I100" s="422">
        <v>3122498</v>
      </c>
      <c r="J100" s="422">
        <f>(3122498)-325803</f>
        <v>2796695</v>
      </c>
      <c r="K100" s="425">
        <f t="shared" si="12"/>
        <v>1</v>
      </c>
      <c r="L100" s="261"/>
      <c r="M100" s="260"/>
      <c r="N100" s="260"/>
      <c r="O100" s="260"/>
      <c r="P100" s="260"/>
      <c r="Q100" s="260"/>
      <c r="R100" s="260"/>
    </row>
    <row r="101" spans="1:18" s="268" customFormat="1" ht="31.5" thickTop="1" thickBot="1" x14ac:dyDescent="0.25">
      <c r="A101" s="186"/>
      <c r="B101" s="414" t="s">
        <v>556</v>
      </c>
      <c r="C101" s="414" t="s">
        <v>201</v>
      </c>
      <c r="D101" s="414" t="s">
        <v>170</v>
      </c>
      <c r="E101" s="414" t="s">
        <v>34</v>
      </c>
      <c r="F101" s="481" t="s">
        <v>1516</v>
      </c>
      <c r="G101" s="422" t="s">
        <v>1318</v>
      </c>
      <c r="H101" s="422">
        <v>738847</v>
      </c>
      <c r="I101" s="422">
        <v>738847</v>
      </c>
      <c r="J101" s="422">
        <f>(738847)-43844</f>
        <v>695003</v>
      </c>
      <c r="K101" s="425">
        <f t="shared" si="12"/>
        <v>1</v>
      </c>
      <c r="L101" s="261"/>
      <c r="M101" s="260"/>
      <c r="N101" s="260"/>
      <c r="O101" s="260"/>
      <c r="P101" s="260"/>
      <c r="Q101" s="260"/>
      <c r="R101" s="260"/>
    </row>
    <row r="102" spans="1:18" s="268" customFormat="1" ht="31.5" thickTop="1" thickBot="1" x14ac:dyDescent="0.25">
      <c r="A102" s="186"/>
      <c r="B102" s="414" t="s">
        <v>556</v>
      </c>
      <c r="C102" s="414" t="s">
        <v>201</v>
      </c>
      <c r="D102" s="414" t="s">
        <v>170</v>
      </c>
      <c r="E102" s="414" t="s">
        <v>34</v>
      </c>
      <c r="F102" s="481" t="s">
        <v>1517</v>
      </c>
      <c r="G102" s="422" t="s">
        <v>1318</v>
      </c>
      <c r="H102" s="422">
        <v>499889</v>
      </c>
      <c r="I102" s="422">
        <v>499889</v>
      </c>
      <c r="J102" s="422">
        <v>499889</v>
      </c>
      <c r="K102" s="425">
        <f t="shared" si="12"/>
        <v>1</v>
      </c>
      <c r="L102" s="261"/>
      <c r="M102" s="260"/>
      <c r="N102" s="260"/>
      <c r="O102" s="260"/>
      <c r="P102" s="260"/>
      <c r="Q102" s="260"/>
      <c r="R102" s="260"/>
    </row>
    <row r="103" spans="1:18" s="268" customFormat="1" ht="61.5" thickTop="1" thickBot="1" x14ac:dyDescent="0.25">
      <c r="A103" s="186"/>
      <c r="B103" s="414" t="s">
        <v>556</v>
      </c>
      <c r="C103" s="414" t="s">
        <v>201</v>
      </c>
      <c r="D103" s="414" t="s">
        <v>170</v>
      </c>
      <c r="E103" s="414" t="s">
        <v>34</v>
      </c>
      <c r="F103" s="481" t="s">
        <v>1518</v>
      </c>
      <c r="G103" s="422" t="s">
        <v>1318</v>
      </c>
      <c r="H103" s="422">
        <v>923291</v>
      </c>
      <c r="I103" s="422">
        <v>923291</v>
      </c>
      <c r="J103" s="422">
        <f>(923291)-17624</f>
        <v>905667</v>
      </c>
      <c r="K103" s="425">
        <f t="shared" si="12"/>
        <v>1</v>
      </c>
      <c r="L103" s="261"/>
      <c r="M103" s="260"/>
      <c r="N103" s="260"/>
      <c r="O103" s="260"/>
      <c r="P103" s="260"/>
      <c r="Q103" s="260"/>
      <c r="R103" s="260"/>
    </row>
    <row r="104" spans="1:18" s="268" customFormat="1" ht="76.5" hidden="1" thickTop="1" thickBot="1" x14ac:dyDescent="0.25">
      <c r="A104" s="186"/>
      <c r="B104" s="239" t="s">
        <v>556</v>
      </c>
      <c r="C104" s="239" t="s">
        <v>201</v>
      </c>
      <c r="D104" s="239" t="s">
        <v>170</v>
      </c>
      <c r="E104" s="239" t="s">
        <v>34</v>
      </c>
      <c r="F104" s="248" t="s">
        <v>914</v>
      </c>
      <c r="G104" s="241" t="s">
        <v>1007</v>
      </c>
      <c r="H104" s="242">
        <v>2924077</v>
      </c>
      <c r="I104" s="242">
        <v>100000</v>
      </c>
      <c r="J104" s="242">
        <f>(500000)-500000</f>
        <v>0</v>
      </c>
      <c r="K104" s="258">
        <f t="shared" si="7"/>
        <v>3.4198825817514385E-2</v>
      </c>
      <c r="L104" s="261"/>
      <c r="M104" s="260"/>
      <c r="N104" s="260"/>
      <c r="O104" s="260"/>
      <c r="P104" s="260"/>
      <c r="Q104" s="260"/>
      <c r="R104" s="260"/>
    </row>
    <row r="105" spans="1:18" ht="46.5" thickTop="1" thickBot="1" x14ac:dyDescent="0.25">
      <c r="B105" s="436" t="s">
        <v>25</v>
      </c>
      <c r="C105" s="436"/>
      <c r="D105" s="436"/>
      <c r="E105" s="437" t="s">
        <v>900</v>
      </c>
      <c r="F105" s="436"/>
      <c r="G105" s="436"/>
      <c r="H105" s="438">
        <f>H106</f>
        <v>1041299049</v>
      </c>
      <c r="I105" s="438">
        <f>I106</f>
        <v>424460691.10000008</v>
      </c>
      <c r="J105" s="438">
        <f>J106</f>
        <v>97115727</v>
      </c>
      <c r="K105" s="439"/>
      <c r="L105" s="264"/>
      <c r="M105" s="222"/>
      <c r="N105" s="222"/>
      <c r="O105" s="222"/>
      <c r="P105" s="222"/>
      <c r="Q105" s="222"/>
      <c r="R105" s="222"/>
    </row>
    <row r="106" spans="1:18" ht="63" customHeight="1" thickTop="1" thickBot="1" x14ac:dyDescent="0.25">
      <c r="B106" s="440" t="s">
        <v>26</v>
      </c>
      <c r="C106" s="440"/>
      <c r="D106" s="440"/>
      <c r="E106" s="441" t="s">
        <v>901</v>
      </c>
      <c r="F106" s="440"/>
      <c r="G106" s="440"/>
      <c r="H106" s="442">
        <f>H107+H108+H112+H113+H114+H115+H116+H117+H118+H119+H120+H121+H122+H123+H124</f>
        <v>1041299049</v>
      </c>
      <c r="I106" s="442">
        <f>I107+I108+I112+I113+I114+I115+I116+I117+I118+I119+I120+I121+I122+I123+I124</f>
        <v>424460691.10000008</v>
      </c>
      <c r="J106" s="442">
        <f>J107+J108+J112+J113+J114+J115+J116+J117+J118+J119+J120+J121+J122+J123+J124</f>
        <v>97115727</v>
      </c>
      <c r="K106" s="443"/>
      <c r="L106" s="264"/>
      <c r="M106" s="222"/>
      <c r="N106" s="222"/>
      <c r="O106" s="222"/>
      <c r="P106" s="222"/>
      <c r="Q106" s="222"/>
      <c r="R106" s="222"/>
    </row>
    <row r="107" spans="1:18" ht="91.5" thickTop="1" thickBot="1" x14ac:dyDescent="0.25">
      <c r="A107" s="423"/>
      <c r="B107" s="492" t="s">
        <v>437</v>
      </c>
      <c r="C107" s="492" t="s">
        <v>438</v>
      </c>
      <c r="D107" s="492" t="s">
        <v>199</v>
      </c>
      <c r="E107" s="492" t="s">
        <v>1202</v>
      </c>
      <c r="F107" s="420" t="s">
        <v>1142</v>
      </c>
      <c r="G107" s="422" t="s">
        <v>1144</v>
      </c>
      <c r="H107" s="422">
        <v>448128773</v>
      </c>
      <c r="I107" s="422">
        <f>287427907.48+3866315.08+J107</f>
        <v>293494222.56</v>
      </c>
      <c r="J107" s="422">
        <f>(3000000)-800000</f>
        <v>2200000</v>
      </c>
      <c r="K107" s="491">
        <f t="shared" ref="K107:K124" si="13">I107/H107</f>
        <v>0.6549327787974909</v>
      </c>
      <c r="L107" s="264"/>
      <c r="M107" s="222"/>
      <c r="N107" s="222"/>
      <c r="O107" s="222"/>
      <c r="P107" s="222"/>
      <c r="Q107" s="222"/>
      <c r="R107" s="222"/>
    </row>
    <row r="108" spans="1:18" ht="61.5" thickTop="1" thickBot="1" x14ac:dyDescent="0.25">
      <c r="A108" s="423"/>
      <c r="B108" s="492" t="s">
        <v>936</v>
      </c>
      <c r="C108" s="492" t="s">
        <v>309</v>
      </c>
      <c r="D108" s="492" t="s">
        <v>308</v>
      </c>
      <c r="E108" s="492" t="s">
        <v>473</v>
      </c>
      <c r="F108" s="493" t="s">
        <v>1143</v>
      </c>
      <c r="G108" s="422" t="s">
        <v>1326</v>
      </c>
      <c r="H108" s="422">
        <v>6293206</v>
      </c>
      <c r="I108" s="422">
        <f>1639036.69+J108</f>
        <v>6139036.6899999995</v>
      </c>
      <c r="J108" s="422">
        <f>(100000+1000000)+3400000</f>
        <v>4500000</v>
      </c>
      <c r="K108" s="491">
        <f t="shared" si="13"/>
        <v>0.97550226228094228</v>
      </c>
      <c r="L108" s="615">
        <f>1639037+J108</f>
        <v>6139037</v>
      </c>
      <c r="M108" s="222"/>
      <c r="N108" s="222"/>
      <c r="O108" s="222"/>
      <c r="P108" s="222"/>
      <c r="Q108" s="222"/>
      <c r="R108" s="222"/>
    </row>
    <row r="109" spans="1:18" ht="76.5" hidden="1" thickTop="1" thickBot="1" x14ac:dyDescent="0.25">
      <c r="A109" s="423"/>
      <c r="B109" s="492" t="s">
        <v>314</v>
      </c>
      <c r="C109" s="492" t="s">
        <v>315</v>
      </c>
      <c r="D109" s="492" t="s">
        <v>308</v>
      </c>
      <c r="E109" s="492" t="s">
        <v>313</v>
      </c>
      <c r="F109" s="493" t="s">
        <v>949</v>
      </c>
      <c r="G109" s="422" t="s">
        <v>1144</v>
      </c>
      <c r="H109" s="422">
        <f>(9300000+10829899)-20129899</f>
        <v>0</v>
      </c>
      <c r="I109" s="422">
        <f>(7572904.16+J109)-7572904.16</f>
        <v>0</v>
      </c>
      <c r="J109" s="422">
        <f>(200000+2000000)-2200000</f>
        <v>0</v>
      </c>
      <c r="K109" s="491" t="e">
        <f t="shared" si="13"/>
        <v>#DIV/0!</v>
      </c>
      <c r="L109" s="615">
        <f>7572904+J109</f>
        <v>7572904</v>
      </c>
      <c r="M109" s="222"/>
      <c r="N109" s="222"/>
      <c r="O109" s="222"/>
      <c r="P109" s="222"/>
      <c r="Q109" s="222"/>
      <c r="R109" s="222"/>
    </row>
    <row r="110" spans="1:18" ht="46.5" hidden="1" thickTop="1" thickBot="1" x14ac:dyDescent="0.25">
      <c r="A110" s="423"/>
      <c r="B110" s="492" t="s">
        <v>314</v>
      </c>
      <c r="C110" s="492" t="s">
        <v>315</v>
      </c>
      <c r="D110" s="492" t="s">
        <v>308</v>
      </c>
      <c r="E110" s="492" t="s">
        <v>313</v>
      </c>
      <c r="F110" s="493" t="s">
        <v>1429</v>
      </c>
      <c r="G110" s="422" t="s">
        <v>1430</v>
      </c>
      <c r="H110" s="422">
        <f>56437448-56437448</f>
        <v>0</v>
      </c>
      <c r="I110" s="422">
        <f>48973733.31+J110-48973733.31</f>
        <v>0</v>
      </c>
      <c r="J110" s="422">
        <f>(2000000)-2000000</f>
        <v>0</v>
      </c>
      <c r="K110" s="491" t="e">
        <f>I110/H110</f>
        <v>#DIV/0!</v>
      </c>
      <c r="L110" s="615">
        <f>28071676+15122869+2857360+1500000+1458181+J110</f>
        <v>49010086</v>
      </c>
      <c r="M110" s="616"/>
      <c r="N110" s="222"/>
      <c r="O110" s="222"/>
      <c r="P110" s="222"/>
      <c r="Q110" s="222"/>
      <c r="R110" s="222"/>
    </row>
    <row r="111" spans="1:18" ht="61.5" hidden="1" thickTop="1" thickBot="1" x14ac:dyDescent="0.25">
      <c r="A111" s="423"/>
      <c r="B111" s="492" t="s">
        <v>314</v>
      </c>
      <c r="C111" s="492" t="s">
        <v>315</v>
      </c>
      <c r="D111" s="492" t="s">
        <v>308</v>
      </c>
      <c r="E111" s="492" t="s">
        <v>313</v>
      </c>
      <c r="F111" s="493" t="s">
        <v>1431</v>
      </c>
      <c r="G111" s="422" t="s">
        <v>1432</v>
      </c>
      <c r="H111" s="422">
        <f>34056704-34056704</f>
        <v>0</v>
      </c>
      <c r="I111" s="422">
        <f>24032981.17+J111-24032981.17</f>
        <v>0</v>
      </c>
      <c r="J111" s="422">
        <f>1000000-1000000</f>
        <v>0</v>
      </c>
      <c r="K111" s="491" t="e">
        <f>I111/H111</f>
        <v>#DIV/0!</v>
      </c>
      <c r="L111" s="615">
        <f>13051785+7748088+1427600+2095030-176100+J111</f>
        <v>24146403</v>
      </c>
      <c r="M111" s="616"/>
      <c r="N111" s="222"/>
      <c r="O111" s="222"/>
      <c r="P111" s="222"/>
      <c r="Q111" s="222"/>
      <c r="R111" s="222"/>
    </row>
    <row r="112" spans="1:18" ht="111.75" thickTop="1" thickBot="1" x14ac:dyDescent="0.25">
      <c r="A112" s="423"/>
      <c r="B112" s="492" t="s">
        <v>314</v>
      </c>
      <c r="C112" s="492" t="s">
        <v>315</v>
      </c>
      <c r="D112" s="492" t="s">
        <v>308</v>
      </c>
      <c r="E112" s="492" t="s">
        <v>313</v>
      </c>
      <c r="F112" s="493" t="s">
        <v>1594</v>
      </c>
      <c r="G112" s="422" t="s">
        <v>1562</v>
      </c>
      <c r="H112" s="422">
        <v>26289468</v>
      </c>
      <c r="I112" s="422">
        <f>0+J112</f>
        <v>10000000</v>
      </c>
      <c r="J112" s="422">
        <v>10000000</v>
      </c>
      <c r="K112" s="491">
        <f t="shared" ref="K112:K115" si="14">I112/H112</f>
        <v>0.38038046262480474</v>
      </c>
      <c r="L112" s="615"/>
      <c r="M112" s="616"/>
      <c r="N112" s="222"/>
      <c r="O112" s="222"/>
      <c r="P112" s="222"/>
      <c r="Q112" s="222"/>
      <c r="R112" s="222"/>
    </row>
    <row r="113" spans="1:18" ht="96" thickTop="1" thickBot="1" x14ac:dyDescent="0.25">
      <c r="A113" s="423"/>
      <c r="B113" s="492" t="s">
        <v>314</v>
      </c>
      <c r="C113" s="492" t="s">
        <v>315</v>
      </c>
      <c r="D113" s="492" t="s">
        <v>308</v>
      </c>
      <c r="E113" s="492" t="s">
        <v>313</v>
      </c>
      <c r="F113" s="493" t="s">
        <v>1595</v>
      </c>
      <c r="G113" s="422" t="s">
        <v>1562</v>
      </c>
      <c r="H113" s="422">
        <v>39661807</v>
      </c>
      <c r="I113" s="422">
        <f>0+J113</f>
        <v>10000000</v>
      </c>
      <c r="J113" s="422">
        <v>10000000</v>
      </c>
      <c r="K113" s="491">
        <f t="shared" si="14"/>
        <v>0.25213172965114777</v>
      </c>
      <c r="L113" s="615"/>
      <c r="M113" s="616"/>
      <c r="N113" s="222"/>
      <c r="O113" s="222"/>
      <c r="P113" s="222"/>
      <c r="Q113" s="222"/>
      <c r="R113" s="222"/>
    </row>
    <row r="114" spans="1:18" ht="143.25" thickTop="1" thickBot="1" x14ac:dyDescent="0.25">
      <c r="A114" s="423"/>
      <c r="B114" s="492" t="s">
        <v>314</v>
      </c>
      <c r="C114" s="492" t="s">
        <v>315</v>
      </c>
      <c r="D114" s="492" t="s">
        <v>308</v>
      </c>
      <c r="E114" s="492" t="s">
        <v>313</v>
      </c>
      <c r="F114" s="493" t="s">
        <v>1596</v>
      </c>
      <c r="G114" s="422" t="s">
        <v>1562</v>
      </c>
      <c r="H114" s="422">
        <v>48619051</v>
      </c>
      <c r="I114" s="422">
        <f>0+J114</f>
        <v>10000000</v>
      </c>
      <c r="J114" s="422">
        <v>10000000</v>
      </c>
      <c r="K114" s="491">
        <f t="shared" si="14"/>
        <v>0.20568069088802249</v>
      </c>
      <c r="L114" s="615"/>
      <c r="M114" s="616"/>
      <c r="N114" s="222"/>
      <c r="O114" s="222"/>
      <c r="P114" s="222"/>
      <c r="Q114" s="222"/>
      <c r="R114" s="222"/>
    </row>
    <row r="115" spans="1:18" ht="96" thickTop="1" thickBot="1" x14ac:dyDescent="0.25">
      <c r="A115" s="423"/>
      <c r="B115" s="492" t="s">
        <v>314</v>
      </c>
      <c r="C115" s="492" t="s">
        <v>315</v>
      </c>
      <c r="D115" s="492" t="s">
        <v>308</v>
      </c>
      <c r="E115" s="492" t="s">
        <v>313</v>
      </c>
      <c r="F115" s="493" t="s">
        <v>1597</v>
      </c>
      <c r="G115" s="422" t="s">
        <v>1562</v>
      </c>
      <c r="H115" s="422">
        <v>56351562</v>
      </c>
      <c r="I115" s="422">
        <f>0+J115</f>
        <v>10000000</v>
      </c>
      <c r="J115" s="422">
        <v>10000000</v>
      </c>
      <c r="K115" s="491">
        <f t="shared" si="14"/>
        <v>0.17745737021451152</v>
      </c>
      <c r="L115" s="615"/>
      <c r="M115" s="616"/>
      <c r="N115" s="222"/>
      <c r="O115" s="222"/>
      <c r="P115" s="222"/>
      <c r="Q115" s="222"/>
      <c r="R115" s="222"/>
    </row>
    <row r="116" spans="1:18" ht="69.75" customHeight="1" thickTop="1" thickBot="1" x14ac:dyDescent="0.25">
      <c r="B116" s="492" t="s">
        <v>520</v>
      </c>
      <c r="C116" s="492" t="s">
        <v>521</v>
      </c>
      <c r="D116" s="492" t="s">
        <v>308</v>
      </c>
      <c r="E116" s="492" t="s">
        <v>1323</v>
      </c>
      <c r="F116" s="493" t="s">
        <v>527</v>
      </c>
      <c r="G116" s="422" t="s">
        <v>951</v>
      </c>
      <c r="H116" s="422">
        <v>21098584</v>
      </c>
      <c r="I116" s="422">
        <f>729041.07+1594.6+J116</f>
        <v>9080635.6699999999</v>
      </c>
      <c r="J116" s="422">
        <f>(500000+9000000)-1150000</f>
        <v>8350000</v>
      </c>
      <c r="K116" s="491">
        <f>I116/H116</f>
        <v>0.43039076319055347</v>
      </c>
      <c r="L116" s="615">
        <f>730636+J116</f>
        <v>9080636</v>
      </c>
      <c r="M116" s="222"/>
      <c r="N116" s="222"/>
      <c r="O116" s="222"/>
      <c r="P116" s="222"/>
      <c r="Q116" s="222"/>
      <c r="R116" s="222"/>
    </row>
    <row r="117" spans="1:18" ht="61.5" thickTop="1" thickBot="1" x14ac:dyDescent="0.25">
      <c r="B117" s="492" t="s">
        <v>318</v>
      </c>
      <c r="C117" s="492" t="s">
        <v>319</v>
      </c>
      <c r="D117" s="492" t="s">
        <v>308</v>
      </c>
      <c r="E117" s="492" t="s">
        <v>466</v>
      </c>
      <c r="F117" s="495" t="s">
        <v>1145</v>
      </c>
      <c r="G117" s="422" t="s">
        <v>952</v>
      </c>
      <c r="H117" s="422">
        <v>15423995</v>
      </c>
      <c r="I117" s="422">
        <f>211261.75+1743.5+J117</f>
        <v>663787.25</v>
      </c>
      <c r="J117" s="422">
        <f>100000+350782</f>
        <v>450782</v>
      </c>
      <c r="K117" s="491">
        <f t="shared" si="13"/>
        <v>4.3036013043313358E-2</v>
      </c>
      <c r="L117" s="615">
        <f>213005+J117</f>
        <v>663787</v>
      </c>
      <c r="M117" s="222"/>
      <c r="N117" s="222"/>
      <c r="O117" s="222"/>
      <c r="P117" s="222"/>
      <c r="Q117" s="222"/>
      <c r="R117" s="222"/>
    </row>
    <row r="118" spans="1:18" ht="92.25" customHeight="1" thickTop="1" thickBot="1" x14ac:dyDescent="0.25">
      <c r="B118" s="492" t="s">
        <v>318</v>
      </c>
      <c r="C118" s="492" t="s">
        <v>319</v>
      </c>
      <c r="D118" s="492" t="s">
        <v>308</v>
      </c>
      <c r="E118" s="492" t="s">
        <v>466</v>
      </c>
      <c r="F118" s="495" t="s">
        <v>1146</v>
      </c>
      <c r="G118" s="422" t="s">
        <v>1144</v>
      </c>
      <c r="H118" s="422">
        <v>14473674</v>
      </c>
      <c r="I118" s="422">
        <f>8250400.29+J118</f>
        <v>8833240.2899999991</v>
      </c>
      <c r="J118" s="422">
        <f>((100000+1760720)+4362554)-5640434</f>
        <v>582840</v>
      </c>
      <c r="K118" s="491">
        <f t="shared" si="13"/>
        <v>0.61029703239136102</v>
      </c>
      <c r="L118" s="615">
        <f>8250400+J118</f>
        <v>8833240</v>
      </c>
      <c r="M118" s="222"/>
      <c r="N118" s="222"/>
      <c r="O118" s="222"/>
      <c r="P118" s="222"/>
      <c r="Q118" s="222"/>
      <c r="R118" s="222"/>
    </row>
    <row r="119" spans="1:18" ht="46.5" thickTop="1" thickBot="1" x14ac:dyDescent="0.25">
      <c r="B119" s="492" t="s">
        <v>318</v>
      </c>
      <c r="C119" s="492" t="s">
        <v>319</v>
      </c>
      <c r="D119" s="492" t="s">
        <v>308</v>
      </c>
      <c r="E119" s="492" t="s">
        <v>466</v>
      </c>
      <c r="F119" s="495" t="s">
        <v>1500</v>
      </c>
      <c r="G119" s="422" t="s">
        <v>950</v>
      </c>
      <c r="H119" s="422">
        <v>80787509</v>
      </c>
      <c r="I119" s="422">
        <f>1618673.51+31922.71+J119</f>
        <v>2046000.22</v>
      </c>
      <c r="J119" s="422">
        <f>(270000)+125404</f>
        <v>395404</v>
      </c>
      <c r="K119" s="491">
        <f t="shared" si="13"/>
        <v>2.5325700041079369E-2</v>
      </c>
      <c r="L119" s="615">
        <f>1618674+J119</f>
        <v>2014078</v>
      </c>
      <c r="M119" s="222"/>
      <c r="N119" s="222"/>
      <c r="O119" s="222"/>
      <c r="P119" s="222"/>
      <c r="Q119" s="222"/>
      <c r="R119" s="222"/>
    </row>
    <row r="120" spans="1:18" ht="46.5" thickTop="1" thickBot="1" x14ac:dyDescent="0.25">
      <c r="B120" s="492" t="s">
        <v>318</v>
      </c>
      <c r="C120" s="492" t="s">
        <v>319</v>
      </c>
      <c r="D120" s="492" t="s">
        <v>308</v>
      </c>
      <c r="E120" s="492" t="s">
        <v>466</v>
      </c>
      <c r="F120" s="494" t="s">
        <v>1254</v>
      </c>
      <c r="G120" s="422" t="s">
        <v>952</v>
      </c>
      <c r="H120" s="422">
        <v>65017720</v>
      </c>
      <c r="I120" s="422">
        <f>22468487.3+J120</f>
        <v>38809572.299999997</v>
      </c>
      <c r="J120" s="422">
        <f>(100000+2000000)+14241085</f>
        <v>16341085</v>
      </c>
      <c r="K120" s="491">
        <f t="shared" si="13"/>
        <v>0.59690761687736815</v>
      </c>
      <c r="L120" s="615">
        <f>22468487+J120</f>
        <v>38809572</v>
      </c>
      <c r="M120" s="222"/>
      <c r="N120" s="222"/>
      <c r="O120" s="222"/>
      <c r="P120" s="222"/>
      <c r="Q120" s="222"/>
      <c r="R120" s="222"/>
    </row>
    <row r="121" spans="1:18" ht="76.5" thickTop="1" thickBot="1" x14ac:dyDescent="0.25">
      <c r="B121" s="492" t="s">
        <v>318</v>
      </c>
      <c r="C121" s="492" t="s">
        <v>319</v>
      </c>
      <c r="D121" s="492" t="s">
        <v>308</v>
      </c>
      <c r="E121" s="492" t="s">
        <v>466</v>
      </c>
      <c r="F121" s="494" t="s">
        <v>1325</v>
      </c>
      <c r="G121" s="422" t="s">
        <v>1327</v>
      </c>
      <c r="H121" s="422">
        <v>14225016</v>
      </c>
      <c r="I121" s="422">
        <f>49956+33089.84+J121</f>
        <v>133045.84</v>
      </c>
      <c r="J121" s="422">
        <v>50000</v>
      </c>
      <c r="K121" s="491">
        <f t="shared" si="13"/>
        <v>9.3529483552074744E-3</v>
      </c>
      <c r="L121" s="615">
        <f>83046+J121</f>
        <v>133046</v>
      </c>
      <c r="M121" s="222"/>
      <c r="N121" s="222"/>
      <c r="O121" s="222"/>
      <c r="P121" s="222"/>
      <c r="Q121" s="222"/>
      <c r="R121" s="222"/>
    </row>
    <row r="122" spans="1:18" ht="61.5" thickTop="1" thickBot="1" x14ac:dyDescent="0.25">
      <c r="B122" s="492" t="s">
        <v>318</v>
      </c>
      <c r="C122" s="492" t="s">
        <v>319</v>
      </c>
      <c r="D122" s="492" t="s">
        <v>308</v>
      </c>
      <c r="E122" s="492" t="s">
        <v>466</v>
      </c>
      <c r="F122" s="494" t="s">
        <v>1324</v>
      </c>
      <c r="G122" s="422" t="s">
        <v>951</v>
      </c>
      <c r="H122" s="422">
        <v>44940000</v>
      </c>
      <c r="I122" s="422">
        <f>151662+J122</f>
        <v>1485988</v>
      </c>
      <c r="J122" s="422">
        <f>((1000000+2334326)+10000000)-12000000</f>
        <v>1334326</v>
      </c>
      <c r="K122" s="491">
        <f t="shared" si="13"/>
        <v>3.3066043613707165E-2</v>
      </c>
      <c r="L122" s="615">
        <f>151662+J122</f>
        <v>1485988</v>
      </c>
      <c r="M122" s="222"/>
      <c r="N122" s="222"/>
      <c r="O122" s="222"/>
      <c r="P122" s="222"/>
      <c r="Q122" s="222"/>
      <c r="R122" s="222"/>
    </row>
    <row r="123" spans="1:18" ht="61.5" thickTop="1" thickBot="1" x14ac:dyDescent="0.25">
      <c r="B123" s="492" t="s">
        <v>318</v>
      </c>
      <c r="C123" s="492" t="s">
        <v>319</v>
      </c>
      <c r="D123" s="492" t="s">
        <v>308</v>
      </c>
      <c r="E123" s="492" t="s">
        <v>466</v>
      </c>
      <c r="F123" s="494" t="s">
        <v>1523</v>
      </c>
      <c r="G123" s="422" t="s">
        <v>1374</v>
      </c>
      <c r="H123" s="422">
        <v>2848861</v>
      </c>
      <c r="I123" s="422">
        <f>102794.48+J123</f>
        <v>2848861.48</v>
      </c>
      <c r="J123" s="422">
        <f>(2000000)+746067</f>
        <v>2746067</v>
      </c>
      <c r="K123" s="491">
        <f t="shared" si="13"/>
        <v>1.0000001684883888</v>
      </c>
      <c r="L123" s="615">
        <f>102794+J123</f>
        <v>2848861</v>
      </c>
      <c r="M123" s="222"/>
      <c r="N123" s="222"/>
      <c r="O123" s="222"/>
      <c r="P123" s="222"/>
      <c r="Q123" s="222"/>
      <c r="R123" s="222"/>
    </row>
    <row r="124" spans="1:18" ht="76.5" thickTop="1" thickBot="1" x14ac:dyDescent="0.25">
      <c r="B124" s="492" t="s">
        <v>318</v>
      </c>
      <c r="C124" s="492" t="s">
        <v>319</v>
      </c>
      <c r="D124" s="492" t="s">
        <v>308</v>
      </c>
      <c r="E124" s="492" t="s">
        <v>466</v>
      </c>
      <c r="F124" s="494" t="s">
        <v>1524</v>
      </c>
      <c r="G124" s="422" t="s">
        <v>951</v>
      </c>
      <c r="H124" s="422">
        <v>157139823</v>
      </c>
      <c r="I124" s="422">
        <f>761077.8+J124</f>
        <v>20926300.800000001</v>
      </c>
      <c r="J124" s="422">
        <f>((130000+35223)+10000000)+10000000</f>
        <v>20165223</v>
      </c>
      <c r="K124" s="491">
        <f t="shared" si="13"/>
        <v>0.13316993999668691</v>
      </c>
      <c r="L124" s="615">
        <f>4088+756990+J124</f>
        <v>20926301</v>
      </c>
      <c r="M124" s="222"/>
      <c r="N124" s="222"/>
      <c r="O124" s="222"/>
      <c r="P124" s="222"/>
      <c r="Q124" s="222"/>
      <c r="R124" s="222"/>
    </row>
    <row r="125" spans="1:18" ht="21.75" thickTop="1" thickBot="1" x14ac:dyDescent="0.25">
      <c r="A125" s="266"/>
      <c r="B125" s="578" t="s">
        <v>385</v>
      </c>
      <c r="C125" s="578" t="s">
        <v>385</v>
      </c>
      <c r="D125" s="578" t="s">
        <v>385</v>
      </c>
      <c r="E125" s="578" t="s">
        <v>387</v>
      </c>
      <c r="F125" s="578" t="s">
        <v>385</v>
      </c>
      <c r="G125" s="578" t="s">
        <v>385</v>
      </c>
      <c r="H125" s="578">
        <f>H105+H62+H53+H39+H19+H46</f>
        <v>1567093354.75</v>
      </c>
      <c r="I125" s="578">
        <f>I105+I62+I53+I39+I19+I46</f>
        <v>686075271.65999997</v>
      </c>
      <c r="J125" s="578">
        <f>J105+J62+J53+J39+J19+J46</f>
        <v>313052390.37</v>
      </c>
      <c r="K125" s="578" t="s">
        <v>385</v>
      </c>
      <c r="L125" s="629" t="b">
        <f>H125=H124+H123+H122+H121+H120+H119+H118+H117+H116+H109+H108+H107+H103+H102+H101+H100+H99+H98+H97+H94+H93+H92+H91+H90+H89+H88+H87+H86+H85+H84+H83+H82+H81+H80+H78+H76+H71+H64+H56+H55+H44+H43+H37+H35+H34+H27+H26+H24+H23+H22+H21+H48+H36+H33+H30+H29+H28+H115+H114+H113+H112+H32+H31+H70</f>
        <v>1</v>
      </c>
      <c r="M125" s="629" t="b">
        <f>I125=I124+I123+I122+I121+I120+I119+I118+I117+I116+I109+I108+I107+I103+I102+I101+I100+I99+I98+I97+I94+I93+I92+I91+I90+I89+I88+I87+I86+I85+I84+I83+I82+I81+I80+I78+I76+I71+I64+I56+I55+I44+I43+I37+I35+I34+I27+I26+I24+I23+I22+I21+I48+I36+I33+I30+I29+I28+I115+I114+I113+I112+I32+I31+I70</f>
        <v>1</v>
      </c>
      <c r="N125" s="629" t="b">
        <f>J125=J124+J123+J122+J121+J120+J119+J118+J117+J116+J109+J108+J107+J103+J102+J101+J100+J99+J98+J97+J94+J93+J92+J91+J90+J89+J88+J87+J86+J85+J84+J83+J82+J81+J80+J78+J76+J71+J64+J56+J55+J44+J43+J37+J35+J34+J27+J26+J24+J23+J22+J21+J48+J36+J33+J30+J29+J28+J115+J114+J113+J112+J32+J31+J70</f>
        <v>1</v>
      </c>
      <c r="O125" s="222"/>
      <c r="P125" s="222"/>
      <c r="Q125" s="222"/>
      <c r="R125" s="222"/>
    </row>
    <row r="126" spans="1:18" ht="16.5" thickTop="1" x14ac:dyDescent="0.2">
      <c r="B126" s="789" t="s">
        <v>1329</v>
      </c>
      <c r="C126" s="768"/>
      <c r="D126" s="768"/>
      <c r="E126" s="768"/>
      <c r="F126" s="768"/>
      <c r="G126" s="768"/>
      <c r="H126" s="768"/>
      <c r="I126" s="768"/>
      <c r="J126" s="768"/>
      <c r="K126" s="768"/>
      <c r="L126" s="768"/>
      <c r="M126" s="768"/>
      <c r="N126" s="768"/>
      <c r="O126" s="768"/>
      <c r="P126" s="768"/>
      <c r="Q126" s="768"/>
      <c r="R126" s="768"/>
    </row>
    <row r="127" spans="1:18" ht="19.5" customHeight="1" x14ac:dyDescent="0.2">
      <c r="B127" s="790"/>
      <c r="C127" s="790"/>
      <c r="D127" s="790"/>
      <c r="E127" s="790"/>
      <c r="F127" s="790"/>
      <c r="G127" s="790"/>
      <c r="H127" s="790"/>
      <c r="I127" s="790"/>
      <c r="J127" s="790"/>
      <c r="K127" s="790"/>
      <c r="L127" s="423"/>
      <c r="M127" s="423"/>
      <c r="N127" s="423"/>
      <c r="O127" s="423"/>
      <c r="P127" s="423"/>
      <c r="Q127" s="423"/>
      <c r="R127" s="423"/>
    </row>
    <row r="128" spans="1:18" ht="15" x14ac:dyDescent="0.25">
      <c r="B128" s="415"/>
      <c r="C128" s="415"/>
      <c r="D128" s="744" t="s">
        <v>1586</v>
      </c>
      <c r="E128" s="788"/>
      <c r="F128" s="650"/>
      <c r="G128" s="650" t="s">
        <v>1587</v>
      </c>
      <c r="H128" s="498"/>
      <c r="I128" s="474"/>
      <c r="J128" s="474"/>
      <c r="K128" s="472"/>
      <c r="L128" s="423"/>
      <c r="M128" s="423"/>
      <c r="N128" s="423"/>
      <c r="O128" s="423"/>
      <c r="P128" s="423"/>
      <c r="Q128" s="423"/>
      <c r="R128" s="423"/>
    </row>
    <row r="129" spans="2:18" ht="15" hidden="1" x14ac:dyDescent="0.25">
      <c r="B129" s="415"/>
      <c r="C129" s="415"/>
      <c r="D129" s="472" t="s">
        <v>1588</v>
      </c>
      <c r="E129" s="473"/>
      <c r="F129" s="472"/>
      <c r="G129" s="472" t="s">
        <v>1549</v>
      </c>
      <c r="H129" s="498"/>
      <c r="I129" s="474"/>
      <c r="J129" s="474"/>
      <c r="K129" s="472"/>
      <c r="L129" s="423"/>
      <c r="M129" s="423"/>
      <c r="N129" s="423"/>
      <c r="O129" s="423"/>
      <c r="P129" s="423"/>
      <c r="Q129" s="423"/>
      <c r="R129" s="423"/>
    </row>
    <row r="130" spans="2:18" ht="15" x14ac:dyDescent="0.25">
      <c r="B130" s="415"/>
      <c r="C130" s="415"/>
      <c r="D130" s="472"/>
      <c r="E130" s="472"/>
      <c r="F130" s="472"/>
      <c r="G130" s="472"/>
      <c r="H130" s="498"/>
      <c r="I130" s="498"/>
      <c r="J130" s="415"/>
      <c r="K130" s="415"/>
      <c r="L130" s="423"/>
      <c r="M130" s="423"/>
      <c r="N130" s="423"/>
      <c r="O130" s="423"/>
      <c r="P130" s="423"/>
      <c r="Q130" s="423"/>
      <c r="R130" s="423"/>
    </row>
    <row r="131" spans="2:18" ht="15" x14ac:dyDescent="0.25">
      <c r="B131" s="415"/>
      <c r="C131" s="415"/>
      <c r="D131" s="744" t="s">
        <v>528</v>
      </c>
      <c r="E131" s="788"/>
      <c r="F131" s="472"/>
      <c r="G131" s="472" t="s">
        <v>1435</v>
      </c>
      <c r="H131" s="472"/>
      <c r="I131" s="474"/>
      <c r="J131" s="474"/>
      <c r="K131" s="472"/>
      <c r="L131" s="423"/>
      <c r="M131" s="423"/>
      <c r="N131" s="423"/>
      <c r="O131" s="423"/>
      <c r="P131" s="423"/>
      <c r="Q131" s="423"/>
      <c r="R131" s="423"/>
    </row>
    <row r="142" spans="2:18" x14ac:dyDescent="0.2">
      <c r="D142" s="11">
        <f>SUM(D143:D155)+D162</f>
        <v>88281</v>
      </c>
    </row>
    <row r="143" spans="2:18" ht="46.5" x14ac:dyDescent="0.2">
      <c r="K143" s="270"/>
    </row>
    <row r="146" spans="7:11" ht="46.5" x14ac:dyDescent="0.2">
      <c r="G146" s="270"/>
      <c r="K146" s="270"/>
    </row>
    <row r="162" spans="1:12" x14ac:dyDescent="0.2">
      <c r="A162" s="186">
        <v>41057700</v>
      </c>
      <c r="B162" s="11" t="s">
        <v>1468</v>
      </c>
      <c r="D162" s="11">
        <v>88281</v>
      </c>
    </row>
    <row r="163" spans="1:12" x14ac:dyDescent="0.2">
      <c r="G163" s="269" t="b">
        <f>C163=C159+C158+C157+C137+C131+C124+C118+C117+C109+C108+C107+C106+C98+C97+C96+C95+C93+C92+C90+C88+C87+C86+C83+C82+C81+C79+C78+C72+C71+C70+C67+C66+C65+C63+C62+C58+C57+C56+C55+C54+C53+C52+C51+C50+C49+C45+C42+C39+C37+C27+C23+C21+C20+C19+C18+C122+C121+C46+C60+C148+C147+C128+C162</f>
        <v>0</v>
      </c>
      <c r="H163" s="269" t="e">
        <f>D163=D159+D158+D157+D137+D131+D124+D118+D117+D109+D108+D107+D106+D98+D97+D96+D95+D93+D92+D90+D88+D87+D86+D83+D82+D81+D79+D78+D72+D71+D70+D67+D66+D65+D63+D62+D58+D57+D56+D55+D54+D53+D52+D51+D50+D49+D45+D42+D39+D37+D27+D23+D21+D20+D19+D18+D122+D121+D46+D60+D148+D147+D128+D162</f>
        <v>#VALUE!</v>
      </c>
      <c r="I163" s="269" t="e">
        <f>E163=E159+E158+E157+E137+E131+E124+E118+E117+E109+E108+E107+E106+E98+E97+E96+E95+E93+E92+E90+E88+E87+E86+E83+E82+E81+E79+E78+E72+E71+E70+E67+E66+E65+E63+E62+E58+E57+E56+E55+E54+E53+E52+E51+E50+E49+E45+E42+E39+E37+E27+E23+E21+E20+E19+E18+E122+E121+E46+E60+E148+E147+E128+E162</f>
        <v>#VALUE!</v>
      </c>
      <c r="J163" s="269" t="e">
        <f>F163=F159+F158+F157+F137+F131+F124+F118+F117+F109+F108+F107+F106+F98+F97+F96+F95+F93+F92+F90+F88+F87+F86+F83+F82+F81+F79+F78+F72+F71+F70+F67+F66+F65+F63+F62+F58+F57+F56+F55+F54+F53+F52+F51+F50+F49+F45+F42+F39+F37+F27+F23+F21+F20+F19+F18+F122+F121+F46+F60+F148+F147+F128+F162</f>
        <v>#VALUE!</v>
      </c>
    </row>
    <row r="164" spans="1:12" x14ac:dyDescent="0.2">
      <c r="G164" s="269" t="b">
        <f>(3453807039-'d2'!C37+7423154+961639+622418100+3715400+4544686)+16400+4309689+6350319+16579700+88281=C163</f>
        <v>0</v>
      </c>
    </row>
    <row r="166" spans="1:12" ht="90" x14ac:dyDescent="1.1499999999999999">
      <c r="L166" s="207"/>
    </row>
  </sheetData>
  <mergeCells count="11">
    <mergeCell ref="D131:E131"/>
    <mergeCell ref="B126:R126"/>
    <mergeCell ref="B127:K127"/>
    <mergeCell ref="B8:C8"/>
    <mergeCell ref="B1:K1"/>
    <mergeCell ref="G2:K2"/>
    <mergeCell ref="B4:K4"/>
    <mergeCell ref="B5:K5"/>
    <mergeCell ref="B7:C7"/>
    <mergeCell ref="B6:K6"/>
    <mergeCell ref="D128:E128"/>
  </mergeCells>
  <printOptions horizontalCentered="1"/>
  <pageMargins left="0.82677165354330717" right="0" top="0.31496062992125984" bottom="0.31496062992125984" header="0.23622047244094491" footer="0.19685039370078741"/>
  <pageSetup paperSize="9" scale="61" fitToHeight="0" orientation="landscape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66"/>
  <sheetViews>
    <sheetView view="pageBreakPreview" zoomScale="25" zoomScaleNormal="25" zoomScaleSheetLayoutView="25" zoomScalePageLayoutView="10" workbookViewId="0">
      <pane ySplit="14" topLeftCell="A343" activePane="bottomLeft" state="frozen"/>
      <selection activeCell="B52" sqref="B52:E52"/>
      <selection pane="bottomLeft" activeCell="A352" sqref="A352:XFD352"/>
    </sheetView>
  </sheetViews>
  <sheetFormatPr defaultColWidth="9.140625" defaultRowHeight="12.75" x14ac:dyDescent="0.2"/>
  <cols>
    <col min="1" max="1" width="48" style="208" customWidth="1"/>
    <col min="2" max="2" width="52.5703125" style="208" customWidth="1"/>
    <col min="3" max="3" width="65.7109375" style="208" customWidth="1"/>
    <col min="4" max="4" width="137.7109375" style="208" customWidth="1"/>
    <col min="5" max="5" width="136.7109375" style="303" customWidth="1"/>
    <col min="6" max="6" width="114" style="208" customWidth="1"/>
    <col min="7" max="7" width="55.42578125" style="208" customWidth="1"/>
    <col min="8" max="8" width="63.5703125" style="208" customWidth="1"/>
    <col min="9" max="9" width="62.140625" style="208" customWidth="1"/>
    <col min="10" max="10" width="70.28515625" style="303" customWidth="1"/>
    <col min="11" max="11" width="100.28515625" style="139" customWidth="1"/>
    <col min="12" max="13" width="71.5703125" style="139" bestFit="1" customWidth="1"/>
    <col min="14" max="14" width="71.5703125" style="13" bestFit="1" customWidth="1"/>
    <col min="15" max="15" width="52.140625" style="13" bestFit="1" customWidth="1"/>
    <col min="16" max="16" width="9.140625" style="13"/>
    <col min="17" max="17" width="70.28515625" style="13" customWidth="1"/>
    <col min="18" max="16384" width="9.140625" style="13"/>
  </cols>
  <sheetData>
    <row r="1" spans="1:13" ht="45.75" x14ac:dyDescent="0.2">
      <c r="A1" s="77"/>
      <c r="B1" s="77"/>
      <c r="C1" s="77"/>
      <c r="D1" s="78"/>
      <c r="E1" s="79"/>
      <c r="F1" s="80"/>
      <c r="G1" s="79"/>
      <c r="H1" s="79"/>
      <c r="I1" s="716" t="s">
        <v>597</v>
      </c>
      <c r="J1" s="716"/>
    </row>
    <row r="2" spans="1:13" ht="45.75" x14ac:dyDescent="0.2">
      <c r="A2" s="78"/>
      <c r="B2" s="78"/>
      <c r="C2" s="78"/>
      <c r="D2" s="78"/>
      <c r="E2" s="79"/>
      <c r="F2" s="80"/>
      <c r="G2" s="79"/>
      <c r="H2" s="79"/>
      <c r="I2" s="716" t="s">
        <v>1369</v>
      </c>
      <c r="J2" s="719"/>
    </row>
    <row r="3" spans="1:13" ht="40.700000000000003" customHeight="1" x14ac:dyDescent="0.2">
      <c r="A3" s="78"/>
      <c r="B3" s="78"/>
      <c r="C3" s="78"/>
      <c r="D3" s="78"/>
      <c r="E3" s="79"/>
      <c r="F3" s="80"/>
      <c r="G3" s="79"/>
      <c r="H3" s="79"/>
      <c r="I3" s="716"/>
      <c r="J3" s="719"/>
    </row>
    <row r="4" spans="1:13" ht="45.75" hidden="1" x14ac:dyDescent="0.2">
      <c r="A4" s="78"/>
      <c r="B4" s="78"/>
      <c r="C4" s="78"/>
      <c r="D4" s="78"/>
      <c r="E4" s="79"/>
      <c r="F4" s="80"/>
      <c r="G4" s="79"/>
      <c r="H4" s="79"/>
      <c r="I4" s="78"/>
      <c r="J4" s="80"/>
    </row>
    <row r="5" spans="1:13" ht="45" x14ac:dyDescent="0.2">
      <c r="A5" s="720" t="s">
        <v>570</v>
      </c>
      <c r="B5" s="720"/>
      <c r="C5" s="720"/>
      <c r="D5" s="720"/>
      <c r="E5" s="720"/>
      <c r="F5" s="720"/>
      <c r="G5" s="720"/>
      <c r="H5" s="720"/>
      <c r="I5" s="720"/>
      <c r="J5" s="720"/>
    </row>
    <row r="6" spans="1:13" ht="45" x14ac:dyDescent="0.2">
      <c r="A6" s="720" t="s">
        <v>1139</v>
      </c>
      <c r="B6" s="720"/>
      <c r="C6" s="720"/>
      <c r="D6" s="720"/>
      <c r="E6" s="720"/>
      <c r="F6" s="720"/>
      <c r="G6" s="720"/>
      <c r="H6" s="720"/>
      <c r="I6" s="720"/>
      <c r="J6" s="720"/>
    </row>
    <row r="7" spans="1:13" ht="45" x14ac:dyDescent="0.2">
      <c r="A7" s="720" t="s">
        <v>1282</v>
      </c>
      <c r="B7" s="720"/>
      <c r="C7" s="720"/>
      <c r="D7" s="720"/>
      <c r="E7" s="720"/>
      <c r="F7" s="720"/>
      <c r="G7" s="720"/>
      <c r="H7" s="720"/>
      <c r="I7" s="720"/>
      <c r="J7" s="720"/>
    </row>
    <row r="8" spans="1:13" ht="45" x14ac:dyDescent="0.2">
      <c r="A8" s="720"/>
      <c r="B8" s="720"/>
      <c r="C8" s="720"/>
      <c r="D8" s="720"/>
      <c r="E8" s="720"/>
      <c r="F8" s="720"/>
      <c r="G8" s="720"/>
      <c r="H8" s="720"/>
      <c r="I8" s="720"/>
      <c r="J8" s="720"/>
    </row>
    <row r="9" spans="1:13" ht="45.75" x14ac:dyDescent="0.65">
      <c r="A9" s="721">
        <v>2256400000</v>
      </c>
      <c r="B9" s="722"/>
      <c r="C9" s="666"/>
      <c r="D9" s="666"/>
      <c r="E9" s="666"/>
      <c r="F9" s="666"/>
      <c r="G9" s="666"/>
      <c r="H9" s="666"/>
      <c r="I9" s="666"/>
      <c r="J9" s="666"/>
      <c r="K9" s="155"/>
      <c r="L9" s="155"/>
      <c r="M9" s="155"/>
    </row>
    <row r="10" spans="1:13" ht="45.75" x14ac:dyDescent="0.2">
      <c r="A10" s="726" t="s">
        <v>494</v>
      </c>
      <c r="B10" s="727"/>
      <c r="C10" s="666"/>
      <c r="D10" s="666"/>
      <c r="E10" s="666"/>
      <c r="F10" s="666"/>
      <c r="G10" s="666"/>
      <c r="H10" s="666"/>
      <c r="I10" s="666"/>
      <c r="J10" s="666"/>
      <c r="K10" s="155"/>
      <c r="L10" s="155"/>
      <c r="M10" s="155"/>
    </row>
    <row r="11" spans="1:13" ht="53.45" customHeight="1" thickBot="1" x14ac:dyDescent="0.25">
      <c r="A11" s="79"/>
      <c r="B11" s="79"/>
      <c r="C11" s="79"/>
      <c r="D11" s="79"/>
      <c r="E11" s="79"/>
      <c r="F11" s="80"/>
      <c r="G11" s="79"/>
      <c r="H11" s="79"/>
      <c r="I11" s="79"/>
      <c r="J11" s="356" t="s">
        <v>408</v>
      </c>
      <c r="K11" s="155"/>
      <c r="L11" s="155"/>
      <c r="M11" s="155"/>
    </row>
    <row r="12" spans="1:13" ht="104.25" customHeight="1" thickTop="1" thickBot="1" x14ac:dyDescent="0.25">
      <c r="A12" s="803" t="s">
        <v>495</v>
      </c>
      <c r="B12" s="803" t="s">
        <v>496</v>
      </c>
      <c r="C12" s="803" t="s">
        <v>394</v>
      </c>
      <c r="D12" s="803" t="s">
        <v>571</v>
      </c>
      <c r="E12" s="803" t="s">
        <v>499</v>
      </c>
      <c r="F12" s="803" t="s">
        <v>500</v>
      </c>
      <c r="G12" s="803" t="s">
        <v>387</v>
      </c>
      <c r="H12" s="803" t="s">
        <v>12</v>
      </c>
      <c r="I12" s="804" t="s">
        <v>52</v>
      </c>
      <c r="J12" s="724"/>
      <c r="K12" s="155"/>
      <c r="L12" s="155"/>
      <c r="M12" s="155"/>
    </row>
    <row r="13" spans="1:13" ht="406.5" customHeight="1" thickTop="1" thickBot="1" x14ac:dyDescent="0.25">
      <c r="A13" s="804"/>
      <c r="B13" s="724"/>
      <c r="C13" s="724"/>
      <c r="D13" s="804"/>
      <c r="E13" s="804"/>
      <c r="F13" s="804"/>
      <c r="G13" s="804"/>
      <c r="H13" s="804"/>
      <c r="I13" s="362" t="s">
        <v>388</v>
      </c>
      <c r="J13" s="362" t="s">
        <v>389</v>
      </c>
      <c r="K13" s="155"/>
      <c r="L13" s="155"/>
      <c r="M13" s="155"/>
    </row>
    <row r="14" spans="1:13" s="4" customFormat="1" ht="47.25" thickTop="1" thickBot="1" x14ac:dyDescent="0.25">
      <c r="A14" s="119" t="s">
        <v>2</v>
      </c>
      <c r="B14" s="119" t="s">
        <v>3</v>
      </c>
      <c r="C14" s="119" t="s">
        <v>14</v>
      </c>
      <c r="D14" s="119" t="s">
        <v>5</v>
      </c>
      <c r="E14" s="119" t="s">
        <v>396</v>
      </c>
      <c r="F14" s="119" t="s">
        <v>397</v>
      </c>
      <c r="G14" s="119" t="s">
        <v>398</v>
      </c>
      <c r="H14" s="119" t="s">
        <v>399</v>
      </c>
      <c r="I14" s="119" t="s">
        <v>400</v>
      </c>
      <c r="J14" s="119" t="s">
        <v>401</v>
      </c>
      <c r="K14" s="149"/>
      <c r="L14" s="149"/>
      <c r="M14" s="149"/>
    </row>
    <row r="15" spans="1:13" s="4" customFormat="1" ht="148.69999999999999" customHeight="1" thickTop="1" thickBot="1" x14ac:dyDescent="0.25">
      <c r="A15" s="403" t="s">
        <v>148</v>
      </c>
      <c r="B15" s="403"/>
      <c r="C15" s="403"/>
      <c r="D15" s="404" t="s">
        <v>150</v>
      </c>
      <c r="E15" s="403"/>
      <c r="F15" s="403"/>
      <c r="G15" s="405">
        <f>G16</f>
        <v>489593134.52000004</v>
      </c>
      <c r="H15" s="405">
        <f t="shared" ref="H15:J15" si="0">H16</f>
        <v>234864745.94999999</v>
      </c>
      <c r="I15" s="405">
        <f>I16</f>
        <v>254728388.57000002</v>
      </c>
      <c r="J15" s="405">
        <f t="shared" si="0"/>
        <v>249973692.36000001</v>
      </c>
      <c r="K15" s="106" t="b">
        <f>H16='d3'!E16-'d3'!E18-'d3'!E44+'d7'!H17+'d7'!H20+'d7'!H22+H21</f>
        <v>1</v>
      </c>
      <c r="L15" s="106" t="b">
        <f>I16='d3'!J16-'d3'!J18-'d3'!J44+I17+I20+I22+I21</f>
        <v>1</v>
      </c>
      <c r="M15" s="106" t="b">
        <f>J16='d3'!K16-'d3'!K18-'d3'!K44+J17+J20+J22+J21</f>
        <v>1</v>
      </c>
    </row>
    <row r="16" spans="1:13" s="4" customFormat="1" ht="157.69999999999999" customHeight="1" thickTop="1" thickBot="1" x14ac:dyDescent="0.25">
      <c r="A16" s="407" t="s">
        <v>149</v>
      </c>
      <c r="B16" s="407"/>
      <c r="C16" s="407"/>
      <c r="D16" s="408" t="s">
        <v>151</v>
      </c>
      <c r="E16" s="409"/>
      <c r="F16" s="409"/>
      <c r="G16" s="409">
        <f>SUM(G17:G54)</f>
        <v>489593134.52000004</v>
      </c>
      <c r="H16" s="409">
        <f>SUM(H17:H54)</f>
        <v>234864745.94999999</v>
      </c>
      <c r="I16" s="409">
        <f>SUM(I17:I54)</f>
        <v>254728388.57000002</v>
      </c>
      <c r="J16" s="409">
        <f>SUM(J17:J54)</f>
        <v>249973692.36000001</v>
      </c>
      <c r="K16" s="149"/>
      <c r="L16" s="149"/>
      <c r="M16" s="149"/>
    </row>
    <row r="17" spans="1:13" ht="276" thickTop="1" thickBot="1" x14ac:dyDescent="0.25">
      <c r="A17" s="119" t="s">
        <v>236</v>
      </c>
      <c r="B17" s="119" t="s">
        <v>237</v>
      </c>
      <c r="C17" s="119" t="s">
        <v>238</v>
      </c>
      <c r="D17" s="119" t="s">
        <v>235</v>
      </c>
      <c r="E17" s="363" t="s">
        <v>1055</v>
      </c>
      <c r="F17" s="360" t="s">
        <v>864</v>
      </c>
      <c r="G17" s="360">
        <f t="shared" ref="G17:G33" si="1">H17+I17</f>
        <v>1774990</v>
      </c>
      <c r="H17" s="364">
        <v>0</v>
      </c>
      <c r="I17" s="360">
        <f>((200000)+500000+175000+99990+750000)+50000</f>
        <v>1774990</v>
      </c>
      <c r="J17" s="360">
        <f>((200000)+500000+175000+99990+750000)+50000</f>
        <v>1774990</v>
      </c>
      <c r="K17" s="271"/>
      <c r="L17" s="271"/>
      <c r="M17" s="271"/>
    </row>
    <row r="18" spans="1:13" ht="367.5" hidden="1" thickTop="1" thickBot="1" x14ac:dyDescent="0.25">
      <c r="A18" s="144" t="s">
        <v>236</v>
      </c>
      <c r="B18" s="144" t="s">
        <v>237</v>
      </c>
      <c r="C18" s="144" t="s">
        <v>238</v>
      </c>
      <c r="D18" s="144" t="s">
        <v>235</v>
      </c>
      <c r="E18" s="213" t="s">
        <v>1236</v>
      </c>
      <c r="F18" s="213" t="s">
        <v>866</v>
      </c>
      <c r="G18" s="213">
        <f t="shared" si="1"/>
        <v>0</v>
      </c>
      <c r="H18" s="273">
        <v>0</v>
      </c>
      <c r="I18" s="213">
        <v>0</v>
      </c>
      <c r="J18" s="213">
        <v>0</v>
      </c>
      <c r="K18" s="274"/>
      <c r="L18" s="274"/>
      <c r="M18" s="274"/>
    </row>
    <row r="19" spans="1:13" ht="276" hidden="1" thickTop="1" thickBot="1" x14ac:dyDescent="0.25">
      <c r="A19" s="41" t="s">
        <v>236</v>
      </c>
      <c r="B19" s="41" t="s">
        <v>237</v>
      </c>
      <c r="C19" s="41" t="s">
        <v>238</v>
      </c>
      <c r="D19" s="41" t="s">
        <v>235</v>
      </c>
      <c r="E19" s="275" t="s">
        <v>879</v>
      </c>
      <c r="F19" s="73" t="s">
        <v>880</v>
      </c>
      <c r="G19" s="73">
        <f t="shared" si="1"/>
        <v>0</v>
      </c>
      <c r="H19" s="276"/>
      <c r="I19" s="73"/>
      <c r="J19" s="73"/>
      <c r="K19" s="277"/>
      <c r="L19" s="166"/>
      <c r="M19" s="155"/>
    </row>
    <row r="20" spans="1:13" ht="276" thickTop="1" thickBot="1" x14ac:dyDescent="0.25">
      <c r="A20" s="119" t="s">
        <v>236</v>
      </c>
      <c r="B20" s="119" t="s">
        <v>237</v>
      </c>
      <c r="C20" s="119" t="s">
        <v>238</v>
      </c>
      <c r="D20" s="119" t="s">
        <v>235</v>
      </c>
      <c r="E20" s="363" t="s">
        <v>1173</v>
      </c>
      <c r="F20" s="360" t="s">
        <v>1172</v>
      </c>
      <c r="G20" s="360">
        <f t="shared" si="1"/>
        <v>400000</v>
      </c>
      <c r="H20" s="364">
        <v>0</v>
      </c>
      <c r="I20" s="360">
        <v>400000</v>
      </c>
      <c r="J20" s="360">
        <v>400000</v>
      </c>
      <c r="K20" s="277"/>
      <c r="L20" s="166"/>
      <c r="M20" s="155"/>
    </row>
    <row r="21" spans="1:13" ht="276" thickTop="1" thickBot="1" x14ac:dyDescent="0.25">
      <c r="A21" s="119" t="s">
        <v>236</v>
      </c>
      <c r="B21" s="119" t="s">
        <v>237</v>
      </c>
      <c r="C21" s="119" t="s">
        <v>238</v>
      </c>
      <c r="D21" s="119" t="s">
        <v>235</v>
      </c>
      <c r="E21" s="363" t="s">
        <v>1546</v>
      </c>
      <c r="F21" s="360" t="s">
        <v>1547</v>
      </c>
      <c r="G21" s="360">
        <f t="shared" si="1"/>
        <v>1593600</v>
      </c>
      <c r="H21" s="364">
        <f>98000+95000+93000+85000+750000+37600</f>
        <v>1158600</v>
      </c>
      <c r="I21" s="360">
        <f>500000+285000+150000+964000-964000-500000</f>
        <v>435000</v>
      </c>
      <c r="J21" s="360">
        <f>500000+285000+150000+964000-964000-500000</f>
        <v>435000</v>
      </c>
      <c r="K21" s="277"/>
      <c r="L21" s="166"/>
      <c r="M21" s="155"/>
    </row>
    <row r="22" spans="1:13" ht="276" thickTop="1" thickBot="1" x14ac:dyDescent="0.25">
      <c r="A22" s="119" t="s">
        <v>236</v>
      </c>
      <c r="B22" s="119" t="s">
        <v>237</v>
      </c>
      <c r="C22" s="119" t="s">
        <v>238</v>
      </c>
      <c r="D22" s="119" t="s">
        <v>235</v>
      </c>
      <c r="E22" s="363" t="s">
        <v>1342</v>
      </c>
      <c r="F22" s="360" t="s">
        <v>1343</v>
      </c>
      <c r="G22" s="360">
        <f t="shared" si="1"/>
        <v>1434532</v>
      </c>
      <c r="H22" s="364">
        <v>0</v>
      </c>
      <c r="I22" s="360">
        <f>((1400000)+34532)+1705000-1705000</f>
        <v>1434532</v>
      </c>
      <c r="J22" s="360">
        <f>((1400000)+34532)+1705000-1705000</f>
        <v>1434532</v>
      </c>
      <c r="K22" s="277"/>
      <c r="L22" s="166"/>
      <c r="M22" s="155"/>
    </row>
    <row r="23" spans="1:13" ht="367.5" thickTop="1" thickBot="1" x14ac:dyDescent="0.25">
      <c r="A23" s="119" t="s">
        <v>630</v>
      </c>
      <c r="B23" s="119" t="s">
        <v>366</v>
      </c>
      <c r="C23" s="119" t="s">
        <v>631</v>
      </c>
      <c r="D23" s="119" t="s">
        <v>632</v>
      </c>
      <c r="E23" s="363" t="s">
        <v>1359</v>
      </c>
      <c r="F23" s="360" t="s">
        <v>1360</v>
      </c>
      <c r="G23" s="360">
        <f t="shared" si="1"/>
        <v>139400</v>
      </c>
      <c r="H23" s="364">
        <f>'d3'!E20</f>
        <v>139400</v>
      </c>
      <c r="I23" s="360">
        <v>0</v>
      </c>
      <c r="J23" s="360">
        <v>0</v>
      </c>
      <c r="K23" s="277"/>
      <c r="L23" s="166"/>
      <c r="M23" s="155"/>
    </row>
    <row r="24" spans="1:13" ht="321.75" thickTop="1" thickBot="1" x14ac:dyDescent="0.25">
      <c r="A24" s="119" t="s">
        <v>251</v>
      </c>
      <c r="B24" s="119" t="s">
        <v>43</v>
      </c>
      <c r="C24" s="119" t="s">
        <v>42</v>
      </c>
      <c r="D24" s="119" t="s">
        <v>252</v>
      </c>
      <c r="E24" s="363" t="s">
        <v>1477</v>
      </c>
      <c r="F24" s="360" t="s">
        <v>1437</v>
      </c>
      <c r="G24" s="360">
        <f t="shared" si="1"/>
        <v>31995200</v>
      </c>
      <c r="H24" s="364">
        <f>((18646000+1620000+3000000)+5000000)+3729200</f>
        <v>31995200</v>
      </c>
      <c r="I24" s="360">
        <v>0</v>
      </c>
      <c r="J24" s="360">
        <v>0</v>
      </c>
      <c r="K24" s="805" t="b">
        <f>H24+H26+H25+H28+H27='d3'!E21</f>
        <v>1</v>
      </c>
      <c r="L24" s="801"/>
      <c r="M24" s="801"/>
    </row>
    <row r="25" spans="1:13" ht="138.75" thickTop="1" thickBot="1" x14ac:dyDescent="0.25">
      <c r="A25" s="119" t="s">
        <v>251</v>
      </c>
      <c r="B25" s="119" t="s">
        <v>43</v>
      </c>
      <c r="C25" s="119" t="s">
        <v>42</v>
      </c>
      <c r="D25" s="119" t="s">
        <v>252</v>
      </c>
      <c r="E25" s="363" t="s">
        <v>1345</v>
      </c>
      <c r="F25" s="360" t="s">
        <v>1344</v>
      </c>
      <c r="G25" s="360">
        <f t="shared" ref="G25" si="2">H25+I25</f>
        <v>1380000</v>
      </c>
      <c r="H25" s="364">
        <f>(1500000)-120000</f>
        <v>1380000</v>
      </c>
      <c r="I25" s="360">
        <v>0</v>
      </c>
      <c r="J25" s="360">
        <v>0</v>
      </c>
      <c r="K25" s="805"/>
      <c r="L25" s="801"/>
      <c r="M25" s="801"/>
    </row>
    <row r="26" spans="1:13" ht="184.7" customHeight="1" thickTop="1" thickBot="1" x14ac:dyDescent="0.25">
      <c r="A26" s="119" t="s">
        <v>251</v>
      </c>
      <c r="B26" s="119" t="s">
        <v>43</v>
      </c>
      <c r="C26" s="119" t="s">
        <v>42</v>
      </c>
      <c r="D26" s="119" t="s">
        <v>252</v>
      </c>
      <c r="E26" s="363" t="s">
        <v>1342</v>
      </c>
      <c r="F26" s="360" t="s">
        <v>1343</v>
      </c>
      <c r="G26" s="360">
        <f t="shared" si="1"/>
        <v>1934470</v>
      </c>
      <c r="H26" s="364">
        <f>106000+1828470</f>
        <v>1934470</v>
      </c>
      <c r="I26" s="360">
        <v>0</v>
      </c>
      <c r="J26" s="360">
        <v>0</v>
      </c>
      <c r="K26" s="806"/>
      <c r="L26" s="802"/>
      <c r="M26" s="802"/>
    </row>
    <row r="27" spans="1:13" ht="184.7" customHeight="1" thickTop="1" thickBot="1" x14ac:dyDescent="0.25">
      <c r="A27" s="119" t="s">
        <v>251</v>
      </c>
      <c r="B27" s="119" t="s">
        <v>43</v>
      </c>
      <c r="C27" s="119" t="s">
        <v>42</v>
      </c>
      <c r="D27" s="119" t="s">
        <v>252</v>
      </c>
      <c r="E27" s="363" t="s">
        <v>1320</v>
      </c>
      <c r="F27" s="360" t="s">
        <v>947</v>
      </c>
      <c r="G27" s="360">
        <f t="shared" si="1"/>
        <v>100000</v>
      </c>
      <c r="H27" s="364">
        <v>100000</v>
      </c>
      <c r="I27" s="360">
        <v>0</v>
      </c>
      <c r="J27" s="360">
        <v>0</v>
      </c>
      <c r="K27" s="366"/>
      <c r="L27" s="155"/>
      <c r="M27" s="155"/>
    </row>
    <row r="28" spans="1:13" ht="276" hidden="1" thickTop="1" thickBot="1" x14ac:dyDescent="0.25">
      <c r="A28" s="119" t="s">
        <v>251</v>
      </c>
      <c r="B28" s="119" t="s">
        <v>43</v>
      </c>
      <c r="C28" s="119" t="s">
        <v>42</v>
      </c>
      <c r="D28" s="119" t="s">
        <v>252</v>
      </c>
      <c r="E28" s="360" t="s">
        <v>1216</v>
      </c>
      <c r="F28" s="401" t="s">
        <v>1215</v>
      </c>
      <c r="G28" s="360">
        <f t="shared" si="1"/>
        <v>0</v>
      </c>
      <c r="H28" s="360">
        <f>(((((20000000+10000000)-17307000-5864000)+107839798-50000000-5963614)-38157184-548000-6300000)+31024533-44724533+13700000)-13700000</f>
        <v>0</v>
      </c>
      <c r="I28" s="360">
        <v>0</v>
      </c>
      <c r="J28" s="360">
        <v>0</v>
      </c>
      <c r="K28" s="366"/>
      <c r="L28" s="155"/>
      <c r="M28" s="155"/>
    </row>
    <row r="29" spans="1:13" ht="138.75" thickTop="1" thickBot="1" x14ac:dyDescent="0.25">
      <c r="A29" s="119" t="s">
        <v>242</v>
      </c>
      <c r="B29" s="119" t="s">
        <v>243</v>
      </c>
      <c r="C29" s="119" t="s">
        <v>244</v>
      </c>
      <c r="D29" s="119" t="s">
        <v>241</v>
      </c>
      <c r="E29" s="363" t="s">
        <v>1055</v>
      </c>
      <c r="F29" s="360" t="s">
        <v>864</v>
      </c>
      <c r="G29" s="360">
        <f t="shared" si="1"/>
        <v>7298364.9800000004</v>
      </c>
      <c r="H29" s="360">
        <f>'d3'!E24</f>
        <v>5063364.9800000004</v>
      </c>
      <c r="I29" s="360">
        <f>'d3'!J24</f>
        <v>2235000</v>
      </c>
      <c r="J29" s="360">
        <f>'d3'!K24</f>
        <v>2235000</v>
      </c>
      <c r="K29" s="106" t="b">
        <f>H29='d3'!E24</f>
        <v>1</v>
      </c>
      <c r="L29" s="107" t="b">
        <f>I29='d3'!J24</f>
        <v>1</v>
      </c>
      <c r="M29" s="108" t="b">
        <f>J29='d3'!K24</f>
        <v>1</v>
      </c>
    </row>
    <row r="30" spans="1:13" ht="184.5" hidden="1" thickTop="1" thickBot="1" x14ac:dyDescent="0.25">
      <c r="A30" s="396" t="s">
        <v>990</v>
      </c>
      <c r="B30" s="396" t="s">
        <v>991</v>
      </c>
      <c r="C30" s="396" t="s">
        <v>244</v>
      </c>
      <c r="D30" s="396" t="s">
        <v>992</v>
      </c>
      <c r="E30" s="397" t="s">
        <v>1055</v>
      </c>
      <c r="F30" s="398" t="s">
        <v>864</v>
      </c>
      <c r="G30" s="360">
        <f t="shared" si="1"/>
        <v>0</v>
      </c>
      <c r="H30" s="360">
        <f>'d3'!E25</f>
        <v>0</v>
      </c>
      <c r="I30" s="360">
        <f>'d3'!J25</f>
        <v>0</v>
      </c>
      <c r="J30" s="360">
        <f>'d3'!K25</f>
        <v>0</v>
      </c>
      <c r="K30" s="271" t="b">
        <f>H30='d3'!E25</f>
        <v>1</v>
      </c>
      <c r="L30" s="278" t="b">
        <f>I30='d3'!J25</f>
        <v>1</v>
      </c>
      <c r="M30" s="279" t="b">
        <f>J30='d3'!K25</f>
        <v>1</v>
      </c>
    </row>
    <row r="31" spans="1:13" ht="184.5" thickTop="1" thickBot="1" x14ac:dyDescent="0.25">
      <c r="A31" s="119" t="s">
        <v>1501</v>
      </c>
      <c r="B31" s="119" t="s">
        <v>216</v>
      </c>
      <c r="C31" s="119" t="s">
        <v>217</v>
      </c>
      <c r="D31" s="119" t="s">
        <v>41</v>
      </c>
      <c r="E31" s="363" t="s">
        <v>1546</v>
      </c>
      <c r="F31" s="360" t="s">
        <v>1547</v>
      </c>
      <c r="G31" s="360">
        <f t="shared" si="1"/>
        <v>57672.000000000233</v>
      </c>
      <c r="H31" s="360">
        <v>0</v>
      </c>
      <c r="I31" s="360">
        <f>(1000000)+1591587.2-1591587.2-942328</f>
        <v>57672.000000000233</v>
      </c>
      <c r="J31" s="360">
        <f>(1000000)+1591587.2-1591587.2-942328</f>
        <v>57672.000000000233</v>
      </c>
      <c r="K31" s="106" t="b">
        <f>'d3'!E27='d7'!H31</f>
        <v>1</v>
      </c>
      <c r="L31" s="107" t="b">
        <f>I31='d3'!J27</f>
        <v>1</v>
      </c>
      <c r="M31" s="108" t="b">
        <f>J31='d3'!K27</f>
        <v>1</v>
      </c>
    </row>
    <row r="32" spans="1:13" ht="138.75" thickTop="1" thickBot="1" x14ac:dyDescent="0.25">
      <c r="A32" s="119" t="s">
        <v>303</v>
      </c>
      <c r="B32" s="119" t="s">
        <v>304</v>
      </c>
      <c r="C32" s="119" t="s">
        <v>170</v>
      </c>
      <c r="D32" s="119" t="s">
        <v>446</v>
      </c>
      <c r="E32" s="363" t="s">
        <v>1342</v>
      </c>
      <c r="F32" s="360" t="s">
        <v>1343</v>
      </c>
      <c r="G32" s="360">
        <f t="shared" si="1"/>
        <v>341770.5</v>
      </c>
      <c r="H32" s="360">
        <f>'d3'!E28</f>
        <v>341770.5</v>
      </c>
      <c r="I32" s="360">
        <f>'d3'!J28</f>
        <v>0</v>
      </c>
      <c r="J32" s="360">
        <f>'d3'!K28</f>
        <v>0</v>
      </c>
      <c r="K32" s="106" t="b">
        <f>H32='d3'!E28</f>
        <v>1</v>
      </c>
      <c r="L32" s="107" t="b">
        <f>I32='d3'!J28</f>
        <v>1</v>
      </c>
      <c r="M32" s="108" t="b">
        <f>J32='d3'!K28</f>
        <v>1</v>
      </c>
    </row>
    <row r="33" spans="1:13" ht="292.5" customHeight="1" thickTop="1" thickBot="1" x14ac:dyDescent="0.7">
      <c r="A33" s="702" t="s">
        <v>343</v>
      </c>
      <c r="B33" s="702" t="s">
        <v>342</v>
      </c>
      <c r="C33" s="702" t="s">
        <v>170</v>
      </c>
      <c r="D33" s="81" t="s">
        <v>444</v>
      </c>
      <c r="E33" s="702" t="s">
        <v>1342</v>
      </c>
      <c r="F33" s="702" t="s">
        <v>1343</v>
      </c>
      <c r="G33" s="708">
        <f t="shared" si="1"/>
        <v>4754696.21</v>
      </c>
      <c r="H33" s="708">
        <f>'d3'!E30</f>
        <v>0</v>
      </c>
      <c r="I33" s="708">
        <f>'d3'!J30</f>
        <v>4754696.21</v>
      </c>
      <c r="J33" s="708">
        <f>'d3'!K30</f>
        <v>0</v>
      </c>
      <c r="K33" s="106" t="b">
        <f>H33='d3'!E30</f>
        <v>1</v>
      </c>
      <c r="L33" s="107" t="b">
        <f>I33='d3'!J30</f>
        <v>1</v>
      </c>
      <c r="M33" s="108" t="b">
        <f>J33='d3'!K30</f>
        <v>1</v>
      </c>
    </row>
    <row r="34" spans="1:13" ht="138.75" customHeight="1" thickTop="1" thickBot="1" x14ac:dyDescent="0.25">
      <c r="A34" s="710"/>
      <c r="B34" s="710"/>
      <c r="C34" s="710"/>
      <c r="D34" s="82" t="s">
        <v>445</v>
      </c>
      <c r="E34" s="710"/>
      <c r="F34" s="710"/>
      <c r="G34" s="795"/>
      <c r="H34" s="795"/>
      <c r="I34" s="795"/>
      <c r="J34" s="795"/>
      <c r="K34" s="155"/>
      <c r="L34" s="155"/>
      <c r="M34" s="155"/>
    </row>
    <row r="35" spans="1:13" ht="184.5" thickTop="1" thickBot="1" x14ac:dyDescent="0.25">
      <c r="A35" s="119" t="s">
        <v>923</v>
      </c>
      <c r="B35" s="119" t="s">
        <v>261</v>
      </c>
      <c r="C35" s="119" t="s">
        <v>170</v>
      </c>
      <c r="D35" s="119" t="s">
        <v>259</v>
      </c>
      <c r="E35" s="360" t="s">
        <v>1195</v>
      </c>
      <c r="F35" s="401" t="s">
        <v>1194</v>
      </c>
      <c r="G35" s="360">
        <f t="shared" ref="G35:G42" si="3">H35+I35</f>
        <v>2207674</v>
      </c>
      <c r="H35" s="360">
        <f>'d3'!E32</f>
        <v>2207674</v>
      </c>
      <c r="I35" s="360">
        <f>'d3'!J32</f>
        <v>0</v>
      </c>
      <c r="J35" s="360">
        <f>'d3'!K32</f>
        <v>0</v>
      </c>
      <c r="K35" s="155"/>
      <c r="L35" s="155"/>
      <c r="M35" s="155"/>
    </row>
    <row r="36" spans="1:13" ht="276" thickTop="1" thickBot="1" x14ac:dyDescent="0.25">
      <c r="A36" s="119" t="s">
        <v>1237</v>
      </c>
      <c r="B36" s="119" t="s">
        <v>1238</v>
      </c>
      <c r="C36" s="119" t="s">
        <v>1212</v>
      </c>
      <c r="D36" s="119" t="s">
        <v>1239</v>
      </c>
      <c r="E36" s="360" t="s">
        <v>1605</v>
      </c>
      <c r="F36" s="401" t="s">
        <v>1215</v>
      </c>
      <c r="G36" s="360">
        <f t="shared" si="3"/>
        <v>56715000</v>
      </c>
      <c r="H36" s="360">
        <f>(((500000)+500000)+2013000-392800+6000000)+500000</f>
        <v>9120200</v>
      </c>
      <c r="I36" s="360">
        <f>((((6000000)+6500000)+7000000)+14987000+392800+16000000+2533915.2+4028130-6562045.2-6000000)+1935000+780000</f>
        <v>47594800</v>
      </c>
      <c r="J36" s="360">
        <f>((((6000000)+6500000)+7000000)+14987000+392800+16000000+2533915.2+4028130-6562045.2-6000000)+1935000+780000</f>
        <v>47594800</v>
      </c>
      <c r="K36" s="106" t="b">
        <f>H36+H37='d3'!E35</f>
        <v>1</v>
      </c>
      <c r="L36" s="107" t="b">
        <f>I36+I37='d3'!J35</f>
        <v>1</v>
      </c>
      <c r="M36" s="107" t="b">
        <f>J36+J37='d3'!K35</f>
        <v>1</v>
      </c>
    </row>
    <row r="37" spans="1:13" ht="367.5" thickTop="1" thickBot="1" x14ac:dyDescent="0.25">
      <c r="A37" s="119" t="s">
        <v>1237</v>
      </c>
      <c r="B37" s="119" t="s">
        <v>1238</v>
      </c>
      <c r="C37" s="119" t="s">
        <v>1212</v>
      </c>
      <c r="D37" s="119" t="s">
        <v>1239</v>
      </c>
      <c r="E37" s="360" t="s">
        <v>1482</v>
      </c>
      <c r="F37" s="360" t="s">
        <v>866</v>
      </c>
      <c r="G37" s="360">
        <f t="shared" si="3"/>
        <v>1000000</v>
      </c>
      <c r="H37" s="360">
        <v>600000</v>
      </c>
      <c r="I37" s="360">
        <v>400000</v>
      </c>
      <c r="J37" s="360">
        <v>400000</v>
      </c>
      <c r="K37" s="155"/>
      <c r="L37" s="155"/>
      <c r="M37" s="155"/>
    </row>
    <row r="38" spans="1:13" ht="184.5" thickTop="1" thickBot="1" x14ac:dyDescent="0.25">
      <c r="A38" s="119" t="s">
        <v>1213</v>
      </c>
      <c r="B38" s="119" t="s">
        <v>1214</v>
      </c>
      <c r="C38" s="119" t="s">
        <v>1212</v>
      </c>
      <c r="D38" s="119" t="s">
        <v>1211</v>
      </c>
      <c r="E38" s="119" t="s">
        <v>1476</v>
      </c>
      <c r="F38" s="360" t="s">
        <v>1346</v>
      </c>
      <c r="G38" s="360">
        <f t="shared" si="3"/>
        <v>4430000</v>
      </c>
      <c r="H38" s="360">
        <v>4430000</v>
      </c>
      <c r="I38" s="360"/>
      <c r="J38" s="360"/>
      <c r="K38" s="106" t="b">
        <f>H38+H39='d3'!E36</f>
        <v>1</v>
      </c>
      <c r="L38" s="107" t="b">
        <f>I38+I39='d3'!J36</f>
        <v>1</v>
      </c>
      <c r="M38" s="107" t="b">
        <f>J38+J39='d3'!K36</f>
        <v>1</v>
      </c>
    </row>
    <row r="39" spans="1:13" ht="184.5" thickTop="1" thickBot="1" x14ac:dyDescent="0.25">
      <c r="A39" s="119" t="s">
        <v>1213</v>
      </c>
      <c r="B39" s="119" t="s">
        <v>1214</v>
      </c>
      <c r="C39" s="119" t="s">
        <v>1212</v>
      </c>
      <c r="D39" s="119" t="s">
        <v>1211</v>
      </c>
      <c r="E39" s="360" t="s">
        <v>1291</v>
      </c>
      <c r="F39" s="401" t="s">
        <v>1252</v>
      </c>
      <c r="G39" s="360">
        <f>H39+I39</f>
        <v>9281546</v>
      </c>
      <c r="H39" s="360">
        <v>4041546</v>
      </c>
      <c r="I39" s="360">
        <f>((100000)+2500000+500000)+150000+120000+1870000</f>
        <v>5240000</v>
      </c>
      <c r="J39" s="360">
        <f>((100000)+2500000+500000)+150000+120000+1870000</f>
        <v>5240000</v>
      </c>
      <c r="K39" s="13"/>
      <c r="L39" s="13"/>
      <c r="M39" s="13"/>
    </row>
    <row r="40" spans="1:13" ht="255.75" customHeight="1" thickTop="1" thickBot="1" x14ac:dyDescent="0.25">
      <c r="A40" s="119" t="s">
        <v>245</v>
      </c>
      <c r="B40" s="119" t="s">
        <v>246</v>
      </c>
      <c r="C40" s="119" t="s">
        <v>247</v>
      </c>
      <c r="D40" s="119" t="s">
        <v>248</v>
      </c>
      <c r="E40" s="360" t="s">
        <v>1545</v>
      </c>
      <c r="F40" s="360" t="s">
        <v>898</v>
      </c>
      <c r="G40" s="360">
        <f t="shared" si="3"/>
        <v>10795000</v>
      </c>
      <c r="H40" s="360">
        <f>'d3'!E38</f>
        <v>9880000</v>
      </c>
      <c r="I40" s="360">
        <f>'d3'!J38</f>
        <v>915000</v>
      </c>
      <c r="J40" s="360">
        <f>'d3'!K38</f>
        <v>915000</v>
      </c>
      <c r="K40" s="106" t="b">
        <f>H40='d3'!E38</f>
        <v>1</v>
      </c>
      <c r="L40" s="107" t="b">
        <f>I40='d3'!J38</f>
        <v>1</v>
      </c>
      <c r="M40" s="108" t="b">
        <f>J40='d3'!K38</f>
        <v>1</v>
      </c>
    </row>
    <row r="41" spans="1:13" ht="230.25" thickTop="1" thickBot="1" x14ac:dyDescent="0.25">
      <c r="A41" s="119" t="s">
        <v>249</v>
      </c>
      <c r="B41" s="119" t="s">
        <v>250</v>
      </c>
      <c r="C41" s="119" t="s">
        <v>43</v>
      </c>
      <c r="D41" s="119" t="s">
        <v>447</v>
      </c>
      <c r="E41" s="363" t="s">
        <v>1342</v>
      </c>
      <c r="F41" s="360" t="s">
        <v>1343</v>
      </c>
      <c r="G41" s="360">
        <f t="shared" si="3"/>
        <v>1163700</v>
      </c>
      <c r="H41" s="364">
        <f>'d3'!E41</f>
        <v>1163700</v>
      </c>
      <c r="I41" s="360">
        <f>'d3'!J41</f>
        <v>0</v>
      </c>
      <c r="J41" s="360">
        <f>'d3'!K41</f>
        <v>0</v>
      </c>
      <c r="K41" s="106" t="b">
        <f>H41='d3'!E41</f>
        <v>1</v>
      </c>
      <c r="L41" s="107" t="b">
        <f>I41='d3'!J41</f>
        <v>1</v>
      </c>
      <c r="M41" s="107" t="b">
        <f>J41='d3'!K41</f>
        <v>1</v>
      </c>
    </row>
    <row r="42" spans="1:13" ht="138.75" thickTop="1" thickBot="1" x14ac:dyDescent="0.25">
      <c r="A42" s="119" t="s">
        <v>580</v>
      </c>
      <c r="B42" s="119" t="s">
        <v>367</v>
      </c>
      <c r="C42" s="119" t="s">
        <v>43</v>
      </c>
      <c r="D42" s="119" t="s">
        <v>368</v>
      </c>
      <c r="E42" s="363" t="s">
        <v>1342</v>
      </c>
      <c r="F42" s="360" t="s">
        <v>1343</v>
      </c>
      <c r="G42" s="360">
        <f t="shared" si="3"/>
        <v>148700</v>
      </c>
      <c r="H42" s="364">
        <f>'d3'!E42</f>
        <v>148700</v>
      </c>
      <c r="I42" s="360">
        <f>'d3'!J42</f>
        <v>0</v>
      </c>
      <c r="J42" s="360">
        <f>'d3'!K42</f>
        <v>0</v>
      </c>
      <c r="K42" s="106" t="b">
        <f>H42='d3'!E42</f>
        <v>1</v>
      </c>
      <c r="L42" s="107" t="b">
        <f>I42='d3'!J42</f>
        <v>1</v>
      </c>
      <c r="M42" s="107" t="b">
        <f>J42='d3'!K42</f>
        <v>1</v>
      </c>
    </row>
    <row r="43" spans="1:13" ht="276" thickTop="1" thickBot="1" x14ac:dyDescent="0.25">
      <c r="A43" s="119" t="s">
        <v>517</v>
      </c>
      <c r="B43" s="119" t="s">
        <v>518</v>
      </c>
      <c r="C43" s="119" t="s">
        <v>43</v>
      </c>
      <c r="D43" s="119" t="s">
        <v>519</v>
      </c>
      <c r="E43" s="360" t="s">
        <v>1605</v>
      </c>
      <c r="F43" s="401" t="s">
        <v>1215</v>
      </c>
      <c r="G43" s="360">
        <f t="shared" ref="G43:G54" si="4">H43+I43</f>
        <v>300259688.83000004</v>
      </c>
      <c r="H43" s="360">
        <f>(((((8411000+969000)+8726682-86000+3805614)+1500000+1000000+550000+500000+1450000+729810+1400000+518296.62+4520000+505000+1098294.71+5800000+4384038.38+12277467+1000000+170000-546000)+804000+739000+4000000+2371046.72+1717354.83+7550000+19299000+600000+3754000+1200000+400000+1203380+1300400-500000+500000+9445.21+234000+20997+1210000)-332102+332102-438000+9370000-1800000+1233000+1924000-750000+501000+1882000+8535+128600+100000+8003839-729810+2039810+5586690-538700+538700+284500+600000)+1500000</f>
        <v>134539990.47</v>
      </c>
      <c r="I43" s="360">
        <f>((((8896000+4895000)+23433520+86000+2158000)+7512198.08+4000000+1500000+1200000+1310000+100000+1481703.38+2500000+4540819+3300000+60000+45000+2000000+500000+4591428.62+49125755-1000000-170000+546000)+2696000+761000+3000000+5628953.28+2569485-7550000+4682000+468000+94000+12870400-1300400+3000000+4000000-20997)+600000+438000-171670.5+171670.5-1972000+1972000+3630000+567000-1924000+249000+380000+3900000+1823833+140500-1310000+3715500</f>
        <v>165719698.36000001</v>
      </c>
      <c r="J43" s="360">
        <f>((((8896000+4895000)+23433520+86000+2158000)+7512198.08+4000000+1500000+1200000+1310000+100000+1481703.38+2500000+4540819+3300000+60000+45000+2000000+500000+4591428.62+49125755-1000000-170000+546000)+2696000+761000+3000000+5628953.28+2569485-7550000+4682000+468000+94000+12870400-1300400+3000000+4000000-20997)+600000+438000-171670.5+171670.5-1972000+1972000+3630000+567000-1924000+249000+380000+3900000+1823833+140500-1310000+3715500</f>
        <v>165719698.36000001</v>
      </c>
      <c r="K43" s="106" t="b">
        <f>H43+H44+H45+H46+H47+H48+H53+H49+H51+H52+H50+H54='d3'!E43</f>
        <v>1</v>
      </c>
      <c r="L43" s="107" t="b">
        <f>I43+I44+I45+I46+I47+I48+I53+I51+I52+I49+I50+I54='d3'!J43</f>
        <v>1</v>
      </c>
      <c r="M43" s="107" t="b">
        <f>J43+J44+J45+J46+J47+J48+J53+J51+J52+J49+J50+J54='d3'!K43</f>
        <v>1</v>
      </c>
    </row>
    <row r="44" spans="1:13" ht="367.5" thickTop="1" thickBot="1" x14ac:dyDescent="0.25">
      <c r="A44" s="119" t="s">
        <v>517</v>
      </c>
      <c r="B44" s="119" t="s">
        <v>518</v>
      </c>
      <c r="C44" s="119" t="s">
        <v>43</v>
      </c>
      <c r="D44" s="119" t="s">
        <v>519</v>
      </c>
      <c r="E44" s="360" t="s">
        <v>1482</v>
      </c>
      <c r="F44" s="360" t="s">
        <v>866</v>
      </c>
      <c r="G44" s="360">
        <f t="shared" si="4"/>
        <v>4350000</v>
      </c>
      <c r="H44" s="360">
        <f>((((50000)+500000)+1000000)+1000000)+300000</f>
        <v>2850000</v>
      </c>
      <c r="I44" s="360">
        <f>400000+1100000</f>
        <v>1500000</v>
      </c>
      <c r="J44" s="360">
        <f>400000+1100000</f>
        <v>1500000</v>
      </c>
      <c r="K44" s="271"/>
      <c r="L44" s="278"/>
      <c r="M44" s="279"/>
    </row>
    <row r="45" spans="1:13" ht="276" thickTop="1" thickBot="1" x14ac:dyDescent="0.25">
      <c r="A45" s="119" t="s">
        <v>517</v>
      </c>
      <c r="B45" s="119" t="s">
        <v>518</v>
      </c>
      <c r="C45" s="119" t="s">
        <v>43</v>
      </c>
      <c r="D45" s="119" t="s">
        <v>519</v>
      </c>
      <c r="E45" s="360" t="s">
        <v>1060</v>
      </c>
      <c r="F45" s="360" t="s">
        <v>946</v>
      </c>
      <c r="G45" s="360">
        <f t="shared" si="4"/>
        <v>9355900</v>
      </c>
      <c r="H45" s="360">
        <f>((((770000)+1000000+505900+115000)+1000000+200000)+850000)+1660000</f>
        <v>6100900</v>
      </c>
      <c r="I45" s="360">
        <f>((1790000+150000+75000)+900000)+340000</f>
        <v>3255000</v>
      </c>
      <c r="J45" s="360">
        <f>((1790000+150000+75000)+900000)+340000</f>
        <v>3255000</v>
      </c>
      <c r="K45" s="271"/>
      <c r="L45" s="278"/>
      <c r="M45" s="279"/>
    </row>
    <row r="46" spans="1:13" ht="184.5" thickTop="1" thickBot="1" x14ac:dyDescent="0.25">
      <c r="A46" s="119" t="s">
        <v>517</v>
      </c>
      <c r="B46" s="119" t="s">
        <v>518</v>
      </c>
      <c r="C46" s="119" t="s">
        <v>43</v>
      </c>
      <c r="D46" s="119" t="s">
        <v>519</v>
      </c>
      <c r="E46" s="360" t="s">
        <v>1474</v>
      </c>
      <c r="F46" s="360" t="s">
        <v>1395</v>
      </c>
      <c r="G46" s="360">
        <f t="shared" si="4"/>
        <v>23210000</v>
      </c>
      <c r="H46" s="360">
        <f>(((((1600000)+1000000)+1000000+2000000)+4000000)+500000-500000+2000000+500000-4000000+400000)+1000000+815000+3327000</f>
        <v>13642000</v>
      </c>
      <c r="I46" s="360">
        <f>((((1000000)+1400000)+2500000)-2500000+3500000*2)+495000-327000</f>
        <v>9568000</v>
      </c>
      <c r="J46" s="360">
        <f>((((1000000)+1400000)+2500000)-2500000+3500000*2)+495000-327000</f>
        <v>9568000</v>
      </c>
      <c r="K46" s="271"/>
      <c r="L46" s="278"/>
      <c r="M46" s="279"/>
    </row>
    <row r="47" spans="1:13" ht="367.5" thickTop="1" thickBot="1" x14ac:dyDescent="0.25">
      <c r="A47" s="119" t="s">
        <v>517</v>
      </c>
      <c r="B47" s="119" t="s">
        <v>518</v>
      </c>
      <c r="C47" s="119" t="s">
        <v>43</v>
      </c>
      <c r="D47" s="119" t="s">
        <v>519</v>
      </c>
      <c r="E47" s="360" t="s">
        <v>1433</v>
      </c>
      <c r="F47" s="360" t="s">
        <v>1394</v>
      </c>
      <c r="G47" s="360">
        <f t="shared" si="4"/>
        <v>6900000</v>
      </c>
      <c r="H47" s="360">
        <v>0</v>
      </c>
      <c r="I47" s="360">
        <f>((((1900000)+1000000)+1000000)+1000000)+2000000</f>
        <v>6900000</v>
      </c>
      <c r="J47" s="360">
        <f>((((1900000)+1000000)+1000000)+1000000)+2000000</f>
        <v>6900000</v>
      </c>
      <c r="K47" s="271"/>
      <c r="L47" s="278"/>
      <c r="M47" s="279"/>
    </row>
    <row r="48" spans="1:13" ht="276" thickTop="1" thickBot="1" x14ac:dyDescent="0.25">
      <c r="A48" s="119" t="s">
        <v>517</v>
      </c>
      <c r="B48" s="119" t="s">
        <v>518</v>
      </c>
      <c r="C48" s="119" t="s">
        <v>43</v>
      </c>
      <c r="D48" s="119" t="s">
        <v>519</v>
      </c>
      <c r="E48" s="360" t="s">
        <v>1475</v>
      </c>
      <c r="F48" s="360" t="s">
        <v>1438</v>
      </c>
      <c r="G48" s="360">
        <f>H48+I48</f>
        <v>2500000</v>
      </c>
      <c r="H48" s="360">
        <f>((935000)+500000)+1000000</f>
        <v>2435000</v>
      </c>
      <c r="I48" s="360">
        <v>65000</v>
      </c>
      <c r="J48" s="360">
        <v>65000</v>
      </c>
      <c r="K48" s="271"/>
      <c r="L48" s="278"/>
      <c r="M48" s="279"/>
    </row>
    <row r="49" spans="1:13" ht="321.75" thickTop="1" thickBot="1" x14ac:dyDescent="0.25">
      <c r="A49" s="119" t="s">
        <v>517</v>
      </c>
      <c r="B49" s="119" t="s">
        <v>518</v>
      </c>
      <c r="C49" s="119" t="s">
        <v>43</v>
      </c>
      <c r="D49" s="119" t="s">
        <v>519</v>
      </c>
      <c r="E49" s="360" t="s">
        <v>1503</v>
      </c>
      <c r="F49" s="360" t="s">
        <v>1056</v>
      </c>
      <c r="G49" s="360">
        <f t="shared" si="4"/>
        <v>230000</v>
      </c>
      <c r="H49" s="360">
        <v>0</v>
      </c>
      <c r="I49" s="360">
        <v>230000</v>
      </c>
      <c r="J49" s="360">
        <v>230000</v>
      </c>
      <c r="K49" s="271"/>
      <c r="L49" s="278"/>
      <c r="M49" s="279"/>
    </row>
    <row r="50" spans="1:13" ht="276" thickTop="1" thickBot="1" x14ac:dyDescent="0.25">
      <c r="A50" s="119" t="s">
        <v>517</v>
      </c>
      <c r="B50" s="119" t="s">
        <v>518</v>
      </c>
      <c r="C50" s="119" t="s">
        <v>43</v>
      </c>
      <c r="D50" s="119" t="s">
        <v>519</v>
      </c>
      <c r="E50" s="360" t="s">
        <v>1606</v>
      </c>
      <c r="F50" s="360" t="s">
        <v>1502</v>
      </c>
      <c r="G50" s="360">
        <f t="shared" si="4"/>
        <v>798000</v>
      </c>
      <c r="H50" s="360">
        <v>0</v>
      </c>
      <c r="I50" s="360">
        <f>(798000)</f>
        <v>798000</v>
      </c>
      <c r="J50" s="360">
        <f>(798000)</f>
        <v>798000</v>
      </c>
      <c r="K50" s="271"/>
      <c r="L50" s="278"/>
      <c r="M50" s="279"/>
    </row>
    <row r="51" spans="1:13" ht="276" thickTop="1" thickBot="1" x14ac:dyDescent="0.25">
      <c r="A51" s="119" t="s">
        <v>517</v>
      </c>
      <c r="B51" s="119" t="s">
        <v>518</v>
      </c>
      <c r="C51" s="119" t="s">
        <v>43</v>
      </c>
      <c r="D51" s="119" t="s">
        <v>519</v>
      </c>
      <c r="E51" s="360" t="s">
        <v>1392</v>
      </c>
      <c r="F51" s="360" t="s">
        <v>1393</v>
      </c>
      <c r="G51" s="360">
        <f t="shared" si="4"/>
        <v>700000</v>
      </c>
      <c r="H51" s="360">
        <v>0</v>
      </c>
      <c r="I51" s="360">
        <v>700000</v>
      </c>
      <c r="J51" s="360">
        <v>700000</v>
      </c>
      <c r="K51" s="271"/>
      <c r="L51" s="278"/>
      <c r="M51" s="279"/>
    </row>
    <row r="52" spans="1:13" ht="391.5" thickTop="1" thickBot="1" x14ac:dyDescent="0.25">
      <c r="A52" s="119" t="s">
        <v>517</v>
      </c>
      <c r="B52" s="119" t="s">
        <v>518</v>
      </c>
      <c r="C52" s="119" t="s">
        <v>43</v>
      </c>
      <c r="D52" s="119" t="s">
        <v>519</v>
      </c>
      <c r="E52" s="614" t="s">
        <v>1421</v>
      </c>
      <c r="F52" s="360" t="s">
        <v>1422</v>
      </c>
      <c r="G52" s="360">
        <f t="shared" si="4"/>
        <v>500000</v>
      </c>
      <c r="H52" s="360">
        <f>(300000)+200000</f>
        <v>500000</v>
      </c>
      <c r="I52" s="360">
        <v>0</v>
      </c>
      <c r="J52" s="360">
        <v>0</v>
      </c>
      <c r="K52" s="271"/>
      <c r="L52" s="278"/>
      <c r="M52" s="279"/>
    </row>
    <row r="53" spans="1:13" ht="230.25" thickTop="1" thickBot="1" x14ac:dyDescent="0.25">
      <c r="A53" s="119" t="s">
        <v>517</v>
      </c>
      <c r="B53" s="119" t="s">
        <v>518</v>
      </c>
      <c r="C53" s="119" t="s">
        <v>43</v>
      </c>
      <c r="D53" s="119" t="s">
        <v>519</v>
      </c>
      <c r="E53" s="360" t="s">
        <v>1362</v>
      </c>
      <c r="F53" s="360" t="s">
        <v>963</v>
      </c>
      <c r="G53" s="360">
        <f t="shared" si="4"/>
        <v>1593230</v>
      </c>
      <c r="H53" s="360">
        <f>(((415230)+150000)+410000-410000)+450000</f>
        <v>1015230</v>
      </c>
      <c r="I53" s="360">
        <f>(0)+578000</f>
        <v>578000</v>
      </c>
      <c r="J53" s="360">
        <f>(0)+578000</f>
        <v>578000</v>
      </c>
      <c r="K53" s="271"/>
      <c r="L53" s="278"/>
      <c r="M53" s="279"/>
    </row>
    <row r="54" spans="1:13" ht="230.25" thickTop="1" thickBot="1" x14ac:dyDescent="0.25">
      <c r="A54" s="119" t="s">
        <v>517</v>
      </c>
      <c r="B54" s="119" t="s">
        <v>518</v>
      </c>
      <c r="C54" s="119" t="s">
        <v>43</v>
      </c>
      <c r="D54" s="119" t="s">
        <v>519</v>
      </c>
      <c r="E54" s="360" t="s">
        <v>1550</v>
      </c>
      <c r="F54" s="360" t="s">
        <v>1551</v>
      </c>
      <c r="G54" s="360">
        <f t="shared" si="4"/>
        <v>250000</v>
      </c>
      <c r="H54" s="360">
        <v>77000</v>
      </c>
      <c r="I54" s="360">
        <v>173000</v>
      </c>
      <c r="J54" s="360">
        <v>173000</v>
      </c>
      <c r="K54" s="271"/>
      <c r="L54" s="278"/>
      <c r="M54" s="279"/>
    </row>
    <row r="55" spans="1:13" ht="136.5" thickTop="1" thickBot="1" x14ac:dyDescent="0.25">
      <c r="A55" s="403" t="s">
        <v>152</v>
      </c>
      <c r="B55" s="403"/>
      <c r="C55" s="403"/>
      <c r="D55" s="404" t="s">
        <v>0</v>
      </c>
      <c r="E55" s="403"/>
      <c r="F55" s="403"/>
      <c r="G55" s="405">
        <f>G56</f>
        <v>2372553445.8999996</v>
      </c>
      <c r="H55" s="405">
        <f t="shared" ref="H55:J55" si="5">H56</f>
        <v>2001067069.77</v>
      </c>
      <c r="I55" s="405">
        <f t="shared" si="5"/>
        <v>371486376.13</v>
      </c>
      <c r="J55" s="405">
        <f t="shared" si="5"/>
        <v>193553707.13000003</v>
      </c>
      <c r="K55" s="106" t="b">
        <f>H55='d3'!E46</f>
        <v>1</v>
      </c>
      <c r="L55" s="107" t="b">
        <f>I55='d3'!J46</f>
        <v>1</v>
      </c>
      <c r="M55" s="108" t="b">
        <f>J55='d3'!K45</f>
        <v>1</v>
      </c>
    </row>
    <row r="56" spans="1:13" ht="172.5" customHeight="1" thickTop="1" thickBot="1" x14ac:dyDescent="0.25">
      <c r="A56" s="407" t="s">
        <v>153</v>
      </c>
      <c r="B56" s="407"/>
      <c r="C56" s="407"/>
      <c r="D56" s="408" t="s">
        <v>1</v>
      </c>
      <c r="E56" s="409"/>
      <c r="F56" s="409"/>
      <c r="G56" s="409">
        <f>SUM(G57:G100)</f>
        <v>2372553445.8999996</v>
      </c>
      <c r="H56" s="409">
        <f>SUM(H57:H100)</f>
        <v>2001067069.77</v>
      </c>
      <c r="I56" s="409">
        <f>SUM(I57:I100)</f>
        <v>371486376.13</v>
      </c>
      <c r="J56" s="409">
        <f>SUM(J57:J100)</f>
        <v>193553707.13000003</v>
      </c>
      <c r="K56" s="155"/>
      <c r="L56" s="155"/>
      <c r="M56" s="155"/>
    </row>
    <row r="57" spans="1:13" ht="138.75" thickTop="1" thickBot="1" x14ac:dyDescent="0.25">
      <c r="A57" s="119" t="s">
        <v>202</v>
      </c>
      <c r="B57" s="119" t="s">
        <v>203</v>
      </c>
      <c r="C57" s="119" t="s">
        <v>205</v>
      </c>
      <c r="D57" s="119" t="s">
        <v>206</v>
      </c>
      <c r="E57" s="363" t="s">
        <v>1492</v>
      </c>
      <c r="F57" s="360" t="s">
        <v>1191</v>
      </c>
      <c r="G57" s="360">
        <f t="shared" ref="G57:G74" si="6">H57+I57</f>
        <v>648185236.41999984</v>
      </c>
      <c r="H57" s="360">
        <f>'d3'!E48-H58-H59</f>
        <v>554005327.41999984</v>
      </c>
      <c r="I57" s="360">
        <f>'d3'!J48-I58-I59</f>
        <v>94179909</v>
      </c>
      <c r="J57" s="360">
        <f>'d3'!K48-J58-J59</f>
        <v>6470499</v>
      </c>
      <c r="K57" s="106" t="b">
        <f>H57+H58+H59='d3'!E48</f>
        <v>1</v>
      </c>
      <c r="L57" s="107" t="b">
        <f>I57+I58+I59='d3'!J48</f>
        <v>1</v>
      </c>
      <c r="M57" s="107" t="b">
        <f>J57+J58+J59='d3'!K48</f>
        <v>1</v>
      </c>
    </row>
    <row r="58" spans="1:13" ht="184.5" hidden="1" thickTop="1" thickBot="1" x14ac:dyDescent="0.25">
      <c r="A58" s="396" t="s">
        <v>202</v>
      </c>
      <c r="B58" s="396" t="s">
        <v>203</v>
      </c>
      <c r="C58" s="396" t="s">
        <v>205</v>
      </c>
      <c r="D58" s="396" t="s">
        <v>206</v>
      </c>
      <c r="E58" s="397" t="s">
        <v>453</v>
      </c>
      <c r="F58" s="433" t="s">
        <v>454</v>
      </c>
      <c r="G58" s="398">
        <f>H58+I58</f>
        <v>0</v>
      </c>
      <c r="H58" s="398">
        <v>0</v>
      </c>
      <c r="I58" s="398">
        <f>(30333+15000)-45333</f>
        <v>0</v>
      </c>
      <c r="J58" s="398">
        <f>(30333+15000)-45333</f>
        <v>0</v>
      </c>
      <c r="K58" s="155"/>
      <c r="L58" s="155"/>
      <c r="M58" s="155"/>
    </row>
    <row r="59" spans="1:13" ht="367.5" thickTop="1" thickBot="1" x14ac:dyDescent="0.25">
      <c r="A59" s="119" t="s">
        <v>202</v>
      </c>
      <c r="B59" s="119" t="s">
        <v>203</v>
      </c>
      <c r="C59" s="119" t="s">
        <v>205</v>
      </c>
      <c r="D59" s="119" t="s">
        <v>206</v>
      </c>
      <c r="E59" s="360" t="s">
        <v>1482</v>
      </c>
      <c r="F59" s="360" t="s">
        <v>866</v>
      </c>
      <c r="G59" s="360">
        <f t="shared" si="6"/>
        <v>500000</v>
      </c>
      <c r="H59" s="360">
        <v>500000</v>
      </c>
      <c r="I59" s="360"/>
      <c r="J59" s="360"/>
      <c r="K59" s="155"/>
      <c r="L59" s="155"/>
      <c r="M59" s="155"/>
    </row>
    <row r="60" spans="1:13" ht="138.75" thickTop="1" thickBot="1" x14ac:dyDescent="0.25">
      <c r="A60" s="119" t="s">
        <v>647</v>
      </c>
      <c r="B60" s="119" t="s">
        <v>648</v>
      </c>
      <c r="C60" s="119" t="s">
        <v>208</v>
      </c>
      <c r="D60" s="119" t="s">
        <v>1336</v>
      </c>
      <c r="E60" s="363" t="s">
        <v>1492</v>
      </c>
      <c r="F60" s="360" t="s">
        <v>1191</v>
      </c>
      <c r="G60" s="360">
        <f t="shared" si="6"/>
        <v>657134039.91999996</v>
      </c>
      <c r="H60" s="360">
        <f>'d3'!E50-H61-H62-H63</f>
        <v>528761171.21999991</v>
      </c>
      <c r="I60" s="360">
        <f>'d3'!J50-I61-I62-I63</f>
        <v>128372868.70000002</v>
      </c>
      <c r="J60" s="360">
        <f>'d3'!K50-J61-J62-J63</f>
        <v>73093648.700000018</v>
      </c>
      <c r="K60" s="106" t="b">
        <f>H60+H61+H62+H63='d3'!E50</f>
        <v>1</v>
      </c>
      <c r="L60" s="107" t="b">
        <f>I60+I61+I62+I63='d3'!J50</f>
        <v>1</v>
      </c>
      <c r="M60" s="107" t="b">
        <f>J60+J61+J62='d3'!K50</f>
        <v>1</v>
      </c>
    </row>
    <row r="61" spans="1:13" ht="184.5" thickTop="1" thickBot="1" x14ac:dyDescent="0.25">
      <c r="A61" s="119" t="s">
        <v>647</v>
      </c>
      <c r="B61" s="119" t="s">
        <v>648</v>
      </c>
      <c r="C61" s="119" t="s">
        <v>208</v>
      </c>
      <c r="D61" s="119" t="s">
        <v>1336</v>
      </c>
      <c r="E61" s="363" t="s">
        <v>1478</v>
      </c>
      <c r="F61" s="360" t="s">
        <v>454</v>
      </c>
      <c r="G61" s="360">
        <f t="shared" si="6"/>
        <v>693495</v>
      </c>
      <c r="H61" s="360">
        <f>23946+66470+79400+122699</f>
        <v>292515</v>
      </c>
      <c r="I61" s="360">
        <f>121900+125620+83060+70400</f>
        <v>400980</v>
      </c>
      <c r="J61" s="360">
        <f>121900+125620+83060+70400</f>
        <v>400980</v>
      </c>
      <c r="K61" s="275"/>
      <c r="L61" s="155"/>
      <c r="M61" s="155"/>
    </row>
    <row r="62" spans="1:13" ht="138.75" hidden="1" thickTop="1" thickBot="1" x14ac:dyDescent="0.25">
      <c r="A62" s="41" t="s">
        <v>647</v>
      </c>
      <c r="B62" s="41" t="s">
        <v>648</v>
      </c>
      <c r="C62" s="41" t="s">
        <v>208</v>
      </c>
      <c r="D62" s="119" t="s">
        <v>1336</v>
      </c>
      <c r="E62" s="272" t="s">
        <v>1190</v>
      </c>
      <c r="F62" s="213" t="s">
        <v>1191</v>
      </c>
      <c r="G62" s="73">
        <f>H62+I62</f>
        <v>0</v>
      </c>
      <c r="H62" s="73">
        <v>0</v>
      </c>
      <c r="I62" s="73">
        <v>0</v>
      </c>
      <c r="J62" s="73">
        <v>0</v>
      </c>
      <c r="K62" s="155"/>
      <c r="L62" s="155"/>
      <c r="M62" s="155"/>
    </row>
    <row r="63" spans="1:13" ht="367.5" thickTop="1" thickBot="1" x14ac:dyDescent="0.25">
      <c r="A63" s="119" t="s">
        <v>647</v>
      </c>
      <c r="B63" s="119" t="s">
        <v>648</v>
      </c>
      <c r="C63" s="119" t="s">
        <v>208</v>
      </c>
      <c r="D63" s="119" t="s">
        <v>1336</v>
      </c>
      <c r="E63" s="360" t="s">
        <v>1482</v>
      </c>
      <c r="F63" s="360" t="s">
        <v>866</v>
      </c>
      <c r="G63" s="360">
        <f t="shared" si="6"/>
        <v>1300000</v>
      </c>
      <c r="H63" s="360">
        <v>1300000</v>
      </c>
      <c r="I63" s="360"/>
      <c r="J63" s="360"/>
      <c r="K63" s="155"/>
      <c r="L63" s="155"/>
      <c r="M63" s="155"/>
    </row>
    <row r="64" spans="1:13" ht="276" thickTop="1" thickBot="1" x14ac:dyDescent="0.25">
      <c r="A64" s="119" t="s">
        <v>656</v>
      </c>
      <c r="B64" s="119" t="s">
        <v>657</v>
      </c>
      <c r="C64" s="119" t="s">
        <v>211</v>
      </c>
      <c r="D64" s="119" t="s">
        <v>1337</v>
      </c>
      <c r="E64" s="363" t="s">
        <v>1492</v>
      </c>
      <c r="F64" s="360" t="s">
        <v>1191</v>
      </c>
      <c r="G64" s="360">
        <f t="shared" si="6"/>
        <v>27417781</v>
      </c>
      <c r="H64" s="360">
        <f>'d3'!E51-H65</f>
        <v>26943141</v>
      </c>
      <c r="I64" s="360">
        <f>'d3'!J51-I65</f>
        <v>474640</v>
      </c>
      <c r="J64" s="360">
        <f>'d3'!K51-J65</f>
        <v>319640</v>
      </c>
      <c r="K64" s="106" t="b">
        <f>H64+H65='d3'!E51</f>
        <v>1</v>
      </c>
      <c r="L64" s="106" t="b">
        <f>I64+I65='d3'!J51</f>
        <v>1</v>
      </c>
      <c r="M64" s="106" t="b">
        <f>J64+J65='d3'!K51</f>
        <v>1</v>
      </c>
    </row>
    <row r="65" spans="1:13" ht="230.25" hidden="1" thickTop="1" thickBot="1" x14ac:dyDescent="0.25">
      <c r="A65" s="396" t="s">
        <v>656</v>
      </c>
      <c r="B65" s="396" t="s">
        <v>657</v>
      </c>
      <c r="C65" s="396" t="s">
        <v>211</v>
      </c>
      <c r="D65" s="396" t="s">
        <v>501</v>
      </c>
      <c r="E65" s="397" t="s">
        <v>588</v>
      </c>
      <c r="F65" s="398" t="s">
        <v>411</v>
      </c>
      <c r="G65" s="398">
        <f t="shared" si="6"/>
        <v>0</v>
      </c>
      <c r="H65" s="398">
        <v>0</v>
      </c>
      <c r="I65" s="398"/>
      <c r="J65" s="398"/>
      <c r="K65" s="275" t="s">
        <v>568</v>
      </c>
      <c r="L65" s="155"/>
      <c r="M65" s="155"/>
    </row>
    <row r="66" spans="1:13" ht="184.5" thickTop="1" thickBot="1" x14ac:dyDescent="0.25">
      <c r="A66" s="119" t="s">
        <v>1010</v>
      </c>
      <c r="B66" s="119" t="s">
        <v>1011</v>
      </c>
      <c r="C66" s="119" t="s">
        <v>211</v>
      </c>
      <c r="D66" s="119" t="s">
        <v>1338</v>
      </c>
      <c r="E66" s="363" t="s">
        <v>1492</v>
      </c>
      <c r="F66" s="360" t="s">
        <v>1191</v>
      </c>
      <c r="G66" s="360">
        <f t="shared" si="6"/>
        <v>23841711.190000001</v>
      </c>
      <c r="H66" s="360">
        <f>'d3'!E52</f>
        <v>23526625.5</v>
      </c>
      <c r="I66" s="360">
        <f>'d3'!J52</f>
        <v>315085.69</v>
      </c>
      <c r="J66" s="360">
        <f>'d3'!K52</f>
        <v>315085.69</v>
      </c>
      <c r="K66" s="281"/>
      <c r="L66" s="155"/>
      <c r="M66" s="155"/>
    </row>
    <row r="67" spans="1:13" ht="138.75" thickTop="1" thickBot="1" x14ac:dyDescent="0.25">
      <c r="A67" s="119" t="s">
        <v>665</v>
      </c>
      <c r="B67" s="119" t="s">
        <v>666</v>
      </c>
      <c r="C67" s="119" t="s">
        <v>208</v>
      </c>
      <c r="D67" s="119" t="s">
        <v>1339</v>
      </c>
      <c r="E67" s="363" t="s">
        <v>1492</v>
      </c>
      <c r="F67" s="360" t="s">
        <v>1191</v>
      </c>
      <c r="G67" s="360">
        <f t="shared" si="6"/>
        <v>603316886</v>
      </c>
      <c r="H67" s="360">
        <f>'d3'!E54</f>
        <v>603316886</v>
      </c>
      <c r="I67" s="360">
        <f>'d3'!J54</f>
        <v>0</v>
      </c>
      <c r="J67" s="360">
        <f>'d3'!K54</f>
        <v>0</v>
      </c>
      <c r="K67" s="281"/>
      <c r="L67" s="155"/>
      <c r="M67" s="155"/>
    </row>
    <row r="68" spans="1:13" ht="184.5" thickTop="1" thickBot="1" x14ac:dyDescent="0.25">
      <c r="A68" s="119" t="s">
        <v>1151</v>
      </c>
      <c r="B68" s="119" t="s">
        <v>1152</v>
      </c>
      <c r="C68" s="119" t="s">
        <v>211</v>
      </c>
      <c r="D68" s="119" t="s">
        <v>1340</v>
      </c>
      <c r="E68" s="363" t="s">
        <v>1492</v>
      </c>
      <c r="F68" s="360" t="s">
        <v>1191</v>
      </c>
      <c r="G68" s="360">
        <f t="shared" ref="G68" si="7">H68+I68</f>
        <v>3039700</v>
      </c>
      <c r="H68" s="360">
        <f>'d3'!E55</f>
        <v>3039700</v>
      </c>
      <c r="I68" s="360">
        <f>'d3'!J55</f>
        <v>0</v>
      </c>
      <c r="J68" s="360">
        <f>'d3'!K55</f>
        <v>0</v>
      </c>
      <c r="K68" s="281"/>
      <c r="L68" s="155"/>
      <c r="M68" s="155"/>
    </row>
    <row r="69" spans="1:13" ht="138.75" hidden="1" thickTop="1" thickBot="1" x14ac:dyDescent="0.25">
      <c r="A69" s="144" t="s">
        <v>940</v>
      </c>
      <c r="B69" s="144" t="s">
        <v>941</v>
      </c>
      <c r="C69" s="144" t="s">
        <v>208</v>
      </c>
      <c r="D69" s="144" t="s">
        <v>944</v>
      </c>
      <c r="E69" s="282" t="s">
        <v>1181</v>
      </c>
      <c r="F69" s="283"/>
      <c r="G69" s="213">
        <f t="shared" si="6"/>
        <v>0</v>
      </c>
      <c r="H69" s="213">
        <f>'d3'!E58</f>
        <v>0</v>
      </c>
      <c r="I69" s="213">
        <f>'d3'!J58</f>
        <v>0</v>
      </c>
      <c r="J69" s="213">
        <f>'d3'!K58</f>
        <v>0</v>
      </c>
      <c r="K69" s="284"/>
      <c r="L69" s="155"/>
      <c r="M69" s="155"/>
    </row>
    <row r="70" spans="1:13" ht="138.75" thickTop="1" thickBot="1" x14ac:dyDescent="0.25">
      <c r="A70" s="119" t="s">
        <v>667</v>
      </c>
      <c r="B70" s="119" t="s">
        <v>210</v>
      </c>
      <c r="C70" s="119" t="s">
        <v>185</v>
      </c>
      <c r="D70" s="119" t="s">
        <v>503</v>
      </c>
      <c r="E70" s="363" t="s">
        <v>1492</v>
      </c>
      <c r="F70" s="360" t="s">
        <v>1191</v>
      </c>
      <c r="G70" s="360">
        <f t="shared" si="6"/>
        <v>45147756.050000004</v>
      </c>
      <c r="H70" s="360">
        <f>'d3'!E59-H71</f>
        <v>33380973.450000003</v>
      </c>
      <c r="I70" s="360">
        <f>'d3'!J59-I71</f>
        <v>11766782.6</v>
      </c>
      <c r="J70" s="360">
        <f>'d3'!K59-J71</f>
        <v>10674352.6</v>
      </c>
      <c r="K70" s="106" t="b">
        <f>H70+H71='d3'!E59</f>
        <v>1</v>
      </c>
      <c r="L70" s="106" t="b">
        <f>I70+I71='d3'!J59</f>
        <v>1</v>
      </c>
      <c r="M70" s="106" t="b">
        <f>J70+J71='d3'!K59</f>
        <v>1</v>
      </c>
    </row>
    <row r="71" spans="1:13" ht="367.5" thickTop="1" thickBot="1" x14ac:dyDescent="0.25">
      <c r="A71" s="119" t="s">
        <v>667</v>
      </c>
      <c r="B71" s="119" t="s">
        <v>210</v>
      </c>
      <c r="C71" s="119" t="s">
        <v>185</v>
      </c>
      <c r="D71" s="119" t="s">
        <v>503</v>
      </c>
      <c r="E71" s="360" t="s">
        <v>1482</v>
      </c>
      <c r="F71" s="360" t="s">
        <v>866</v>
      </c>
      <c r="G71" s="360">
        <f t="shared" si="6"/>
        <v>250000</v>
      </c>
      <c r="H71" s="360">
        <v>250000</v>
      </c>
      <c r="I71" s="360"/>
      <c r="J71" s="360"/>
      <c r="K71" s="155"/>
      <c r="L71" s="155"/>
      <c r="M71" s="155"/>
    </row>
    <row r="72" spans="1:13" ht="184.5" thickTop="1" thickBot="1" x14ac:dyDescent="0.25">
      <c r="A72" s="119" t="s">
        <v>668</v>
      </c>
      <c r="B72" s="119" t="s">
        <v>669</v>
      </c>
      <c r="C72" s="119" t="s">
        <v>213</v>
      </c>
      <c r="D72" s="119" t="s">
        <v>670</v>
      </c>
      <c r="E72" s="363" t="s">
        <v>1492</v>
      </c>
      <c r="F72" s="360" t="s">
        <v>1191</v>
      </c>
      <c r="G72" s="360">
        <f t="shared" si="6"/>
        <v>202475767.50999999</v>
      </c>
      <c r="H72" s="360">
        <f>'d3'!E61-H73</f>
        <v>155364062.68000001</v>
      </c>
      <c r="I72" s="360">
        <f>'d3'!J61-I73</f>
        <v>47111704.829999998</v>
      </c>
      <c r="J72" s="360">
        <f>'d3'!K61-J73</f>
        <v>16721704.83</v>
      </c>
      <c r="K72" s="106" t="b">
        <f>H72+H73='d3'!E61</f>
        <v>1</v>
      </c>
      <c r="L72" s="106" t="b">
        <f>I72+I73='d3'!J61</f>
        <v>1</v>
      </c>
      <c r="M72" s="106" t="b">
        <f>J72+J73='d3'!K61</f>
        <v>1</v>
      </c>
    </row>
    <row r="73" spans="1:13" ht="367.5" thickTop="1" thickBot="1" x14ac:dyDescent="0.25">
      <c r="A73" s="119" t="s">
        <v>668</v>
      </c>
      <c r="B73" s="119" t="s">
        <v>669</v>
      </c>
      <c r="C73" s="119" t="s">
        <v>213</v>
      </c>
      <c r="D73" s="119" t="s">
        <v>670</v>
      </c>
      <c r="E73" s="360" t="s">
        <v>1482</v>
      </c>
      <c r="F73" s="360" t="s">
        <v>866</v>
      </c>
      <c r="G73" s="360">
        <f t="shared" si="6"/>
        <v>250000</v>
      </c>
      <c r="H73" s="360">
        <v>250000</v>
      </c>
      <c r="I73" s="360"/>
      <c r="J73" s="360"/>
      <c r="K73" s="155"/>
      <c r="L73" s="155"/>
      <c r="M73" s="155"/>
    </row>
    <row r="74" spans="1:13" ht="184.5" thickTop="1" thickBot="1" x14ac:dyDescent="0.25">
      <c r="A74" s="119" t="s">
        <v>672</v>
      </c>
      <c r="B74" s="119" t="s">
        <v>671</v>
      </c>
      <c r="C74" s="119" t="s">
        <v>213</v>
      </c>
      <c r="D74" s="119" t="s">
        <v>673</v>
      </c>
      <c r="E74" s="363" t="s">
        <v>1492</v>
      </c>
      <c r="F74" s="360" t="s">
        <v>1191</v>
      </c>
      <c r="G74" s="360">
        <f t="shared" si="6"/>
        <v>20622600</v>
      </c>
      <c r="H74" s="360">
        <f>'d3'!E62</f>
        <v>20622600</v>
      </c>
      <c r="I74" s="360">
        <f>'d3'!J62</f>
        <v>0</v>
      </c>
      <c r="J74" s="360">
        <f>'d3'!K62</f>
        <v>0</v>
      </c>
      <c r="K74" s="155"/>
      <c r="L74" s="155"/>
      <c r="M74" s="155"/>
    </row>
    <row r="75" spans="1:13" ht="138.75" thickTop="1" thickBot="1" x14ac:dyDescent="0.25">
      <c r="A75" s="119" t="s">
        <v>677</v>
      </c>
      <c r="B75" s="119" t="s">
        <v>678</v>
      </c>
      <c r="C75" s="119" t="s">
        <v>214</v>
      </c>
      <c r="D75" s="119" t="s">
        <v>505</v>
      </c>
      <c r="E75" s="363" t="s">
        <v>1492</v>
      </c>
      <c r="F75" s="360" t="s">
        <v>1191</v>
      </c>
      <c r="G75" s="360">
        <f t="shared" ref="G75" si="8">H75+I75</f>
        <v>36692751.899999999</v>
      </c>
      <c r="H75" s="360">
        <f>'d3'!E64</f>
        <v>30229311</v>
      </c>
      <c r="I75" s="360">
        <f>'d3'!J64</f>
        <v>6463440.9000000004</v>
      </c>
      <c r="J75" s="360">
        <f>'d3'!K64</f>
        <v>5958740.9000000004</v>
      </c>
      <c r="K75" s="155"/>
      <c r="L75" s="155"/>
      <c r="M75" s="155"/>
    </row>
    <row r="76" spans="1:13" ht="138.75" thickTop="1" thickBot="1" x14ac:dyDescent="0.25">
      <c r="A76" s="119" t="s">
        <v>679</v>
      </c>
      <c r="B76" s="119" t="s">
        <v>680</v>
      </c>
      <c r="C76" s="119" t="s">
        <v>214</v>
      </c>
      <c r="D76" s="119" t="s">
        <v>341</v>
      </c>
      <c r="E76" s="363" t="s">
        <v>1492</v>
      </c>
      <c r="F76" s="360" t="s">
        <v>1191</v>
      </c>
      <c r="G76" s="360">
        <f>H76+I76</f>
        <v>519820</v>
      </c>
      <c r="H76" s="360">
        <f>'d3'!E65-H77</f>
        <v>519820</v>
      </c>
      <c r="I76" s="360">
        <f>'d3'!J65-I77</f>
        <v>0</v>
      </c>
      <c r="J76" s="360">
        <f>'d3'!K65-J77</f>
        <v>0</v>
      </c>
      <c r="K76" s="434" t="b">
        <f>H76+H77='d3'!E65</f>
        <v>1</v>
      </c>
      <c r="L76" s="435" t="b">
        <f>I76+I77='d3'!J65</f>
        <v>1</v>
      </c>
      <c r="M76" s="435" t="b">
        <f>J76+J77='d3'!K65</f>
        <v>1</v>
      </c>
    </row>
    <row r="77" spans="1:13" ht="230.25" hidden="1" customHeight="1" thickTop="1" thickBot="1" x14ac:dyDescent="0.25">
      <c r="A77" s="396" t="s">
        <v>679</v>
      </c>
      <c r="B77" s="396" t="s">
        <v>680</v>
      </c>
      <c r="C77" s="396" t="s">
        <v>214</v>
      </c>
      <c r="D77" s="396" t="s">
        <v>341</v>
      </c>
      <c r="E77" s="363" t="s">
        <v>1190</v>
      </c>
      <c r="F77" s="360" t="s">
        <v>1191</v>
      </c>
      <c r="G77" s="398">
        <f>H77+I77</f>
        <v>0</v>
      </c>
      <c r="H77" s="398"/>
      <c r="I77" s="398"/>
      <c r="J77" s="398"/>
      <c r="K77" s="275" t="s">
        <v>569</v>
      </c>
      <c r="L77" s="155"/>
      <c r="M77" s="155"/>
    </row>
    <row r="78" spans="1:13" ht="138.75" thickTop="1" thickBot="1" x14ac:dyDescent="0.25">
      <c r="A78" s="119" t="s">
        <v>683</v>
      </c>
      <c r="B78" s="119" t="s">
        <v>684</v>
      </c>
      <c r="C78" s="119" t="s">
        <v>214</v>
      </c>
      <c r="D78" s="119" t="s">
        <v>685</v>
      </c>
      <c r="E78" s="363" t="s">
        <v>1492</v>
      </c>
      <c r="F78" s="360" t="s">
        <v>1191</v>
      </c>
      <c r="G78" s="360">
        <f t="shared" ref="G78:G79" si="9">H78+I78</f>
        <v>1269421.5</v>
      </c>
      <c r="H78" s="360">
        <f>'d3'!E67</f>
        <v>1050121.5</v>
      </c>
      <c r="I78" s="360">
        <f>'d3'!J67</f>
        <v>219300</v>
      </c>
      <c r="J78" s="360">
        <f>'d3'!K67</f>
        <v>219300</v>
      </c>
      <c r="K78" s="155"/>
      <c r="L78" s="155"/>
      <c r="M78" s="155"/>
    </row>
    <row r="79" spans="1:13" ht="138.75" thickTop="1" thickBot="1" x14ac:dyDescent="0.25">
      <c r="A79" s="119" t="s">
        <v>686</v>
      </c>
      <c r="B79" s="119" t="s">
        <v>687</v>
      </c>
      <c r="C79" s="119" t="s">
        <v>214</v>
      </c>
      <c r="D79" s="119" t="s">
        <v>688</v>
      </c>
      <c r="E79" s="363" t="s">
        <v>1492</v>
      </c>
      <c r="F79" s="360" t="s">
        <v>1191</v>
      </c>
      <c r="G79" s="360">
        <f t="shared" si="9"/>
        <v>3715400</v>
      </c>
      <c r="H79" s="360">
        <f>'d3'!E68</f>
        <v>3715400</v>
      </c>
      <c r="I79" s="360">
        <f>'d3'!J68</f>
        <v>0</v>
      </c>
      <c r="J79" s="360">
        <f>'d3'!K68</f>
        <v>0</v>
      </c>
      <c r="K79" s="155"/>
      <c r="L79" s="155"/>
      <c r="M79" s="155"/>
    </row>
    <row r="80" spans="1:13" ht="138.75" thickTop="1" thickBot="1" x14ac:dyDescent="0.25">
      <c r="A80" s="119" t="s">
        <v>653</v>
      </c>
      <c r="B80" s="119" t="s">
        <v>654</v>
      </c>
      <c r="C80" s="119" t="s">
        <v>214</v>
      </c>
      <c r="D80" s="119" t="s">
        <v>655</v>
      </c>
      <c r="E80" s="363" t="s">
        <v>1492</v>
      </c>
      <c r="F80" s="360" t="s">
        <v>1191</v>
      </c>
      <c r="G80" s="360">
        <f t="shared" ref="G80:G81" si="10">H80+I80</f>
        <v>3926880</v>
      </c>
      <c r="H80" s="360">
        <f>'d3'!E69</f>
        <v>3526880</v>
      </c>
      <c r="I80" s="360">
        <f>'d3'!J69</f>
        <v>400000</v>
      </c>
      <c r="J80" s="360">
        <f>'d3'!K69</f>
        <v>400000</v>
      </c>
      <c r="K80" s="155"/>
      <c r="L80" s="155"/>
      <c r="M80" s="155"/>
    </row>
    <row r="81" spans="1:13" ht="367.5" hidden="1" customHeight="1" thickTop="1" thickBot="1" x14ac:dyDescent="0.25">
      <c r="A81" s="41" t="s">
        <v>661</v>
      </c>
      <c r="B81" s="41" t="s">
        <v>662</v>
      </c>
      <c r="C81" s="41" t="s">
        <v>214</v>
      </c>
      <c r="D81" s="41" t="s">
        <v>663</v>
      </c>
      <c r="E81" s="272" t="s">
        <v>1190</v>
      </c>
      <c r="F81" s="213" t="s">
        <v>1191</v>
      </c>
      <c r="G81" s="73">
        <f t="shared" si="10"/>
        <v>0</v>
      </c>
      <c r="H81" s="73">
        <f>'d3'!E71</f>
        <v>0</v>
      </c>
      <c r="I81" s="73">
        <f>'d3'!J71</f>
        <v>0</v>
      </c>
      <c r="J81" s="73">
        <f>'d3'!K71</f>
        <v>0</v>
      </c>
      <c r="K81" s="155"/>
      <c r="L81" s="155"/>
      <c r="M81" s="155"/>
    </row>
    <row r="82" spans="1:13" ht="321.75" hidden="1" customHeight="1" thickTop="1" thickBot="1" x14ac:dyDescent="0.25">
      <c r="A82" s="41" t="s">
        <v>993</v>
      </c>
      <c r="B82" s="41" t="s">
        <v>994</v>
      </c>
      <c r="C82" s="41" t="s">
        <v>214</v>
      </c>
      <c r="D82" s="41" t="s">
        <v>995</v>
      </c>
      <c r="E82" s="272" t="s">
        <v>1190</v>
      </c>
      <c r="F82" s="213" t="s">
        <v>1191</v>
      </c>
      <c r="G82" s="73">
        <f t="shared" ref="G82" si="11">H82+I82</f>
        <v>0</v>
      </c>
      <c r="H82" s="73">
        <f>'d3'!E72</f>
        <v>0</v>
      </c>
      <c r="I82" s="73">
        <f>'d3'!J72</f>
        <v>0</v>
      </c>
      <c r="J82" s="73">
        <f>'d3'!K72</f>
        <v>0</v>
      </c>
      <c r="K82" s="155"/>
      <c r="L82" s="155"/>
      <c r="M82" s="155"/>
    </row>
    <row r="83" spans="1:13" ht="409.6" hidden="1" customHeight="1" thickTop="1" thickBot="1" x14ac:dyDescent="0.25">
      <c r="A83" s="41" t="s">
        <v>1013</v>
      </c>
      <c r="B83" s="41" t="s">
        <v>1015</v>
      </c>
      <c r="C83" s="41" t="s">
        <v>214</v>
      </c>
      <c r="D83" s="41" t="s">
        <v>1017</v>
      </c>
      <c r="E83" s="272" t="s">
        <v>1190</v>
      </c>
      <c r="F83" s="213" t="s">
        <v>1191</v>
      </c>
      <c r="G83" s="73">
        <f>H83+I83</f>
        <v>0</v>
      </c>
      <c r="H83" s="73">
        <f>'d3'!E74</f>
        <v>0</v>
      </c>
      <c r="I83" s="73">
        <f>'d3'!J74</f>
        <v>0</v>
      </c>
      <c r="J83" s="73">
        <f>'d3'!K74</f>
        <v>0</v>
      </c>
      <c r="K83" s="155"/>
      <c r="L83" s="155"/>
      <c r="M83" s="155"/>
    </row>
    <row r="84" spans="1:13" ht="409.6" hidden="1" customHeight="1" thickTop="1" x14ac:dyDescent="0.2">
      <c r="A84" s="815" t="s">
        <v>1032</v>
      </c>
      <c r="B84" s="815" t="s">
        <v>1033</v>
      </c>
      <c r="C84" s="815" t="s">
        <v>214</v>
      </c>
      <c r="D84" s="815" t="s">
        <v>1034</v>
      </c>
      <c r="E84" s="272" t="s">
        <v>1190</v>
      </c>
      <c r="F84" s="213" t="s">
        <v>1191</v>
      </c>
      <c r="G84" s="813">
        <f>H84+I84</f>
        <v>0</v>
      </c>
      <c r="H84" s="813">
        <f>'d3'!E75</f>
        <v>0</v>
      </c>
      <c r="I84" s="813">
        <f>'d3'!J75</f>
        <v>0</v>
      </c>
      <c r="J84" s="813">
        <f>'d3'!K75</f>
        <v>0</v>
      </c>
      <c r="K84" s="155"/>
      <c r="L84" s="155"/>
      <c r="M84" s="155"/>
    </row>
    <row r="85" spans="1:13" ht="122.25" hidden="1" customHeight="1" thickBot="1" x14ac:dyDescent="0.25">
      <c r="A85" s="814"/>
      <c r="B85" s="814"/>
      <c r="C85" s="814"/>
      <c r="D85" s="814"/>
      <c r="E85" s="272" t="s">
        <v>1190</v>
      </c>
      <c r="F85" s="213" t="s">
        <v>1191</v>
      </c>
      <c r="G85" s="814"/>
      <c r="H85" s="814"/>
      <c r="I85" s="814">
        <f>'d3'!J76</f>
        <v>0</v>
      </c>
      <c r="J85" s="814">
        <f>'d3'!K76</f>
        <v>0</v>
      </c>
      <c r="K85" s="155"/>
      <c r="L85" s="155"/>
      <c r="M85" s="155"/>
    </row>
    <row r="86" spans="1:13" ht="230.25" thickTop="1" thickBot="1" x14ac:dyDescent="0.25">
      <c r="A86" s="119" t="s">
        <v>650</v>
      </c>
      <c r="B86" s="119" t="s">
        <v>651</v>
      </c>
      <c r="C86" s="119" t="s">
        <v>214</v>
      </c>
      <c r="D86" s="119" t="s">
        <v>652</v>
      </c>
      <c r="E86" s="363" t="s">
        <v>1492</v>
      </c>
      <c r="F86" s="360" t="s">
        <v>1191</v>
      </c>
      <c r="G86" s="360">
        <f t="shared" ref="G86:G100" si="12">H86+I86</f>
        <v>4309689</v>
      </c>
      <c r="H86" s="360">
        <f>'d3'!E77</f>
        <v>4309689</v>
      </c>
      <c r="I86" s="360">
        <f>'d3'!J77</f>
        <v>0</v>
      </c>
      <c r="J86" s="360">
        <f>'d3'!K77</f>
        <v>0</v>
      </c>
      <c r="K86" s="155"/>
      <c r="L86" s="155"/>
      <c r="M86" s="155"/>
    </row>
    <row r="87" spans="1:13" ht="276" thickTop="1" thickBot="1" x14ac:dyDescent="0.25">
      <c r="A87" s="119" t="s">
        <v>953</v>
      </c>
      <c r="B87" s="119" t="s">
        <v>954</v>
      </c>
      <c r="C87" s="119" t="s">
        <v>214</v>
      </c>
      <c r="D87" s="119" t="s">
        <v>1552</v>
      </c>
      <c r="E87" s="363" t="s">
        <v>1492</v>
      </c>
      <c r="F87" s="360" t="s">
        <v>1191</v>
      </c>
      <c r="G87" s="360">
        <f t="shared" si="12"/>
        <v>2413596</v>
      </c>
      <c r="H87" s="360">
        <f>'d3'!E78</f>
        <v>2413596</v>
      </c>
      <c r="I87" s="360">
        <f>'d3'!J78</f>
        <v>0</v>
      </c>
      <c r="J87" s="360">
        <f>'d3'!K78</f>
        <v>0</v>
      </c>
      <c r="K87" s="155"/>
      <c r="L87" s="155"/>
      <c r="M87" s="155"/>
    </row>
    <row r="88" spans="1:13" ht="276" thickTop="1" thickBot="1" x14ac:dyDescent="0.25">
      <c r="A88" s="119" t="s">
        <v>1019</v>
      </c>
      <c r="B88" s="119" t="s">
        <v>1021</v>
      </c>
      <c r="C88" s="119" t="s">
        <v>214</v>
      </c>
      <c r="D88" s="119" t="s">
        <v>1022</v>
      </c>
      <c r="E88" s="363" t="s">
        <v>1492</v>
      </c>
      <c r="F88" s="360" t="s">
        <v>1191</v>
      </c>
      <c r="G88" s="360">
        <f t="shared" si="12"/>
        <v>1780336.07</v>
      </c>
      <c r="H88" s="360">
        <f>'d3'!E80</f>
        <v>0</v>
      </c>
      <c r="I88" s="360">
        <f>'d3'!J80</f>
        <v>1780336.07</v>
      </c>
      <c r="J88" s="360">
        <f>'d3'!K80</f>
        <v>1780336.07</v>
      </c>
      <c r="K88" s="155"/>
      <c r="L88" s="155"/>
      <c r="M88" s="155"/>
    </row>
    <row r="89" spans="1:13" ht="230.25" hidden="1" thickTop="1" thickBot="1" x14ac:dyDescent="0.25">
      <c r="A89" s="41" t="s">
        <v>1068</v>
      </c>
      <c r="B89" s="41" t="s">
        <v>1069</v>
      </c>
      <c r="C89" s="41" t="s">
        <v>214</v>
      </c>
      <c r="D89" s="41" t="s">
        <v>1067</v>
      </c>
      <c r="E89" s="275" t="s">
        <v>587</v>
      </c>
      <c r="F89" s="73" t="s">
        <v>415</v>
      </c>
      <c r="G89" s="73">
        <f t="shared" si="12"/>
        <v>0</v>
      </c>
      <c r="H89" s="73">
        <f>'d3'!E81</f>
        <v>0</v>
      </c>
      <c r="I89" s="73">
        <f>'d3'!J81</f>
        <v>0</v>
      </c>
      <c r="J89" s="73">
        <f>'d3'!K81</f>
        <v>0</v>
      </c>
      <c r="K89" s="155"/>
      <c r="L89" s="155"/>
      <c r="M89" s="155"/>
    </row>
    <row r="90" spans="1:13" ht="367.5" thickTop="1" thickBot="1" x14ac:dyDescent="0.25">
      <c r="A90" s="119" t="s">
        <v>1486</v>
      </c>
      <c r="B90" s="119" t="s">
        <v>1487</v>
      </c>
      <c r="C90" s="119" t="s">
        <v>214</v>
      </c>
      <c r="D90" s="119" t="s">
        <v>1488</v>
      </c>
      <c r="E90" s="360" t="s">
        <v>1482</v>
      </c>
      <c r="F90" s="360" t="s">
        <v>866</v>
      </c>
      <c r="G90" s="360">
        <f t="shared" si="12"/>
        <v>8000000</v>
      </c>
      <c r="H90" s="360">
        <f>'d3'!E83</f>
        <v>0</v>
      </c>
      <c r="I90" s="360">
        <f>'d3'!J83</f>
        <v>8000000</v>
      </c>
      <c r="J90" s="360">
        <f>'d3'!K83</f>
        <v>8000000</v>
      </c>
      <c r="K90" s="155"/>
      <c r="L90" s="155"/>
      <c r="M90" s="155"/>
    </row>
    <row r="91" spans="1:13" ht="367.5" thickTop="1" thickBot="1" x14ac:dyDescent="0.25">
      <c r="A91" s="119" t="s">
        <v>1489</v>
      </c>
      <c r="B91" s="119" t="s">
        <v>1490</v>
      </c>
      <c r="C91" s="119" t="s">
        <v>214</v>
      </c>
      <c r="D91" s="119" t="s">
        <v>1491</v>
      </c>
      <c r="E91" s="360" t="s">
        <v>1482</v>
      </c>
      <c r="F91" s="360" t="s">
        <v>866</v>
      </c>
      <c r="G91" s="360">
        <f t="shared" si="12"/>
        <v>7200000</v>
      </c>
      <c r="H91" s="360">
        <f>'d3'!E84</f>
        <v>0</v>
      </c>
      <c r="I91" s="360">
        <f>'d3'!J84</f>
        <v>7200000</v>
      </c>
      <c r="J91" s="360">
        <f>'d3'!K84</f>
        <v>7200000</v>
      </c>
      <c r="K91" s="155"/>
      <c r="L91" s="155"/>
      <c r="M91" s="155"/>
    </row>
    <row r="92" spans="1:13" ht="230.25" thickTop="1" thickBot="1" x14ac:dyDescent="0.25">
      <c r="A92" s="119" t="s">
        <v>1570</v>
      </c>
      <c r="B92" s="119" t="s">
        <v>1571</v>
      </c>
      <c r="C92" s="119" t="s">
        <v>214</v>
      </c>
      <c r="D92" s="119" t="s">
        <v>1575</v>
      </c>
      <c r="E92" s="363" t="s">
        <v>1492</v>
      </c>
      <c r="F92" s="360" t="s">
        <v>1191</v>
      </c>
      <c r="G92" s="360">
        <f t="shared" si="12"/>
        <v>1019191</v>
      </c>
      <c r="H92" s="360">
        <f>'d3'!E86</f>
        <v>670100</v>
      </c>
      <c r="I92" s="360">
        <f>'d3'!J86</f>
        <v>349091</v>
      </c>
      <c r="J92" s="360">
        <f>'d3'!K86</f>
        <v>349091</v>
      </c>
      <c r="K92" s="155"/>
      <c r="L92" s="155"/>
      <c r="M92" s="155"/>
    </row>
    <row r="93" spans="1:13" ht="230.25" thickTop="1" thickBot="1" x14ac:dyDescent="0.25">
      <c r="A93" s="119" t="s">
        <v>1572</v>
      </c>
      <c r="B93" s="119" t="s">
        <v>1573</v>
      </c>
      <c r="C93" s="119" t="s">
        <v>214</v>
      </c>
      <c r="D93" s="119" t="s">
        <v>1574</v>
      </c>
      <c r="E93" s="363" t="s">
        <v>1492</v>
      </c>
      <c r="F93" s="360" t="s">
        <v>1191</v>
      </c>
      <c r="G93" s="360">
        <f t="shared" si="12"/>
        <v>2801909</v>
      </c>
      <c r="H93" s="360">
        <f>'d3'!E87</f>
        <v>0</v>
      </c>
      <c r="I93" s="360">
        <f>'d3'!J87</f>
        <v>2801909</v>
      </c>
      <c r="J93" s="360">
        <f>'d3'!K87</f>
        <v>0</v>
      </c>
      <c r="K93" s="155"/>
      <c r="L93" s="155"/>
      <c r="M93" s="155"/>
    </row>
    <row r="94" spans="1:13" ht="230.25" thickTop="1" thickBot="1" x14ac:dyDescent="0.25">
      <c r="A94" s="119" t="s">
        <v>435</v>
      </c>
      <c r="B94" s="119" t="s">
        <v>436</v>
      </c>
      <c r="C94" s="119" t="s">
        <v>189</v>
      </c>
      <c r="D94" s="119" t="s">
        <v>434</v>
      </c>
      <c r="E94" s="363" t="s">
        <v>1492</v>
      </c>
      <c r="F94" s="360" t="s">
        <v>1191</v>
      </c>
      <c r="G94" s="360">
        <f t="shared" si="12"/>
        <v>715000</v>
      </c>
      <c r="H94" s="360">
        <f>'d3'!E89</f>
        <v>715000</v>
      </c>
      <c r="I94" s="360">
        <f>'d3'!J89</f>
        <v>0</v>
      </c>
      <c r="J94" s="360">
        <f>'d3'!K89</f>
        <v>0</v>
      </c>
      <c r="K94" s="155"/>
      <c r="L94" s="155"/>
      <c r="M94" s="155"/>
    </row>
    <row r="95" spans="1:13" ht="184.5" thickTop="1" thickBot="1" x14ac:dyDescent="0.25">
      <c r="A95" s="119" t="s">
        <v>1259</v>
      </c>
      <c r="B95" s="119" t="s">
        <v>1225</v>
      </c>
      <c r="C95" s="119" t="s">
        <v>210</v>
      </c>
      <c r="D95" s="413" t="s">
        <v>1226</v>
      </c>
      <c r="E95" s="363" t="s">
        <v>1217</v>
      </c>
      <c r="F95" s="360" t="s">
        <v>1189</v>
      </c>
      <c r="G95" s="360">
        <f t="shared" si="12"/>
        <v>2364150</v>
      </c>
      <c r="H95" s="360">
        <f>'d3'!E90</f>
        <v>2364150</v>
      </c>
      <c r="I95" s="360">
        <f>'d3'!J90</f>
        <v>0</v>
      </c>
      <c r="J95" s="360">
        <f>'d3'!K90</f>
        <v>0</v>
      </c>
      <c r="K95" s="155"/>
      <c r="L95" s="155"/>
      <c r="M95" s="155"/>
    </row>
    <row r="96" spans="1:13" ht="162.75" customHeight="1" thickTop="1" thickBot="1" x14ac:dyDescent="0.25">
      <c r="A96" s="119" t="s">
        <v>1121</v>
      </c>
      <c r="B96" s="119" t="s">
        <v>315</v>
      </c>
      <c r="C96" s="119" t="s">
        <v>308</v>
      </c>
      <c r="D96" s="119" t="s">
        <v>1293</v>
      </c>
      <c r="E96" s="363" t="s">
        <v>1492</v>
      </c>
      <c r="F96" s="360" t="s">
        <v>1191</v>
      </c>
      <c r="G96" s="360">
        <f t="shared" si="12"/>
        <v>13977306.66</v>
      </c>
      <c r="H96" s="360">
        <v>0</v>
      </c>
      <c r="I96" s="360">
        <f>(((200000+2597000)+4561740+1666801+5550.6)+2983231+1000000+420000)-109094.83-347671.11+999750</f>
        <v>13977306.66</v>
      </c>
      <c r="J96" s="360">
        <f>(((200000+2597000)+4561740+1666801+5550.6)+2983231+1000000+420000)-109094.83-347671.11+999750</f>
        <v>13977306.66</v>
      </c>
      <c r="K96" s="106" t="b">
        <f>H96+H97='d3'!E94</f>
        <v>1</v>
      </c>
      <c r="L96" s="107" t="b">
        <f>I96+I97='d3'!J94</f>
        <v>1</v>
      </c>
      <c r="M96" s="107" t="b">
        <f>J96+J97='d3'!K94</f>
        <v>1</v>
      </c>
    </row>
    <row r="97" spans="1:13" ht="367.5" thickTop="1" thickBot="1" x14ac:dyDescent="0.25">
      <c r="A97" s="119" t="s">
        <v>1121</v>
      </c>
      <c r="B97" s="119" t="s">
        <v>315</v>
      </c>
      <c r="C97" s="119" t="s">
        <v>308</v>
      </c>
      <c r="D97" s="119" t="s">
        <v>1293</v>
      </c>
      <c r="E97" s="360" t="s">
        <v>1482</v>
      </c>
      <c r="F97" s="360" t="s">
        <v>866</v>
      </c>
      <c r="G97" s="360">
        <f t="shared" si="12"/>
        <v>17521089</v>
      </c>
      <c r="H97" s="360">
        <v>0</v>
      </c>
      <c r="I97" s="360">
        <f>((((10000000)+54000000)-7000000)-19978911-18500000)-1000000</f>
        <v>17521089</v>
      </c>
      <c r="J97" s="360">
        <f>((((10000000)+54000000)-7000000)-19978911-18500000)-1000000</f>
        <v>17521089</v>
      </c>
      <c r="K97" s="155"/>
      <c r="L97" s="155"/>
      <c r="M97" s="155"/>
    </row>
    <row r="98" spans="1:13" ht="138.75" thickTop="1" thickBot="1" x14ac:dyDescent="0.25">
      <c r="A98" s="119" t="s">
        <v>1111</v>
      </c>
      <c r="B98" s="119" t="s">
        <v>216</v>
      </c>
      <c r="C98" s="119" t="s">
        <v>217</v>
      </c>
      <c r="D98" s="119" t="s">
        <v>41</v>
      </c>
      <c r="E98" s="363" t="s">
        <v>1492</v>
      </c>
      <c r="F98" s="360" t="s">
        <v>1191</v>
      </c>
      <c r="G98" s="360">
        <f t="shared" si="12"/>
        <v>26381932.68</v>
      </c>
      <c r="H98" s="360">
        <f>'d3'!E96</f>
        <v>0</v>
      </c>
      <c r="I98" s="360">
        <f>'d3'!J96</f>
        <v>26381932.68</v>
      </c>
      <c r="J98" s="360">
        <f>'d3'!K96</f>
        <v>26381932.68</v>
      </c>
      <c r="K98" s="155"/>
      <c r="L98" s="155"/>
      <c r="M98" s="155"/>
    </row>
    <row r="99" spans="1:13" ht="184.5" thickTop="1" thickBot="1" x14ac:dyDescent="0.25">
      <c r="A99" s="119" t="s">
        <v>1251</v>
      </c>
      <c r="B99" s="119" t="s">
        <v>1214</v>
      </c>
      <c r="C99" s="119" t="s">
        <v>1212</v>
      </c>
      <c r="D99" s="119" t="s">
        <v>1211</v>
      </c>
      <c r="E99" s="119" t="s">
        <v>1476</v>
      </c>
      <c r="F99" s="360" t="s">
        <v>1346</v>
      </c>
      <c r="G99" s="360">
        <f t="shared" si="12"/>
        <v>3770000</v>
      </c>
      <c r="H99" s="360">
        <f>'d3'!E99</f>
        <v>0</v>
      </c>
      <c r="I99" s="360">
        <f>'d3'!J99</f>
        <v>3770000</v>
      </c>
      <c r="J99" s="360">
        <f>'d3'!K99</f>
        <v>3770000</v>
      </c>
      <c r="K99" s="155"/>
      <c r="L99" s="155"/>
      <c r="M99" s="155"/>
    </row>
    <row r="100" spans="1:13" ht="138.75" hidden="1" thickTop="1" thickBot="1" x14ac:dyDescent="0.25">
      <c r="A100" s="41" t="s">
        <v>1046</v>
      </c>
      <c r="B100" s="41" t="s">
        <v>367</v>
      </c>
      <c r="C100" s="41" t="s">
        <v>43</v>
      </c>
      <c r="D100" s="41" t="s">
        <v>368</v>
      </c>
      <c r="E100" s="275" t="s">
        <v>587</v>
      </c>
      <c r="F100" s="73" t="s">
        <v>415</v>
      </c>
      <c r="G100" s="73">
        <f t="shared" si="12"/>
        <v>0</v>
      </c>
      <c r="H100" s="73">
        <f>'d3'!E102</f>
        <v>0</v>
      </c>
      <c r="I100" s="73">
        <f>'d3'!J102</f>
        <v>0</v>
      </c>
      <c r="J100" s="73">
        <f>'d3'!K102</f>
        <v>0</v>
      </c>
      <c r="K100" s="155"/>
      <c r="L100" s="155"/>
      <c r="M100" s="155"/>
    </row>
    <row r="101" spans="1:13" ht="136.5" thickTop="1" thickBot="1" x14ac:dyDescent="0.25">
      <c r="A101" s="403" t="s">
        <v>154</v>
      </c>
      <c r="B101" s="403"/>
      <c r="C101" s="403"/>
      <c r="D101" s="404" t="s">
        <v>18</v>
      </c>
      <c r="E101" s="403"/>
      <c r="F101" s="403"/>
      <c r="G101" s="405">
        <f>G102</f>
        <v>279883727.24000001</v>
      </c>
      <c r="H101" s="405">
        <f t="shared" ref="H101:J101" si="13">H102</f>
        <v>158312612</v>
      </c>
      <c r="I101" s="405">
        <f t="shared" si="13"/>
        <v>121571115.23999999</v>
      </c>
      <c r="J101" s="405">
        <f t="shared" si="13"/>
        <v>121571115.23999999</v>
      </c>
      <c r="K101" s="106" t="b">
        <f>H101='d3'!E104-'d3'!E106+H103+H104</f>
        <v>1</v>
      </c>
      <c r="L101" s="106" t="b">
        <f>I101='d3'!J104-'d3'!J106+'d7'!I103+I104</f>
        <v>1</v>
      </c>
      <c r="M101" s="106" t="b">
        <f>J101='d3'!K104-'d3'!K106+'d7'!J103+J104</f>
        <v>1</v>
      </c>
    </row>
    <row r="102" spans="1:13" ht="172.5" customHeight="1" thickTop="1" thickBot="1" x14ac:dyDescent="0.25">
      <c r="A102" s="407" t="s">
        <v>155</v>
      </c>
      <c r="B102" s="407"/>
      <c r="C102" s="407"/>
      <c r="D102" s="408" t="s">
        <v>36</v>
      </c>
      <c r="E102" s="409"/>
      <c r="F102" s="409"/>
      <c r="G102" s="409">
        <f>SUM(G103:G125)</f>
        <v>279883727.24000001</v>
      </c>
      <c r="H102" s="409">
        <f>SUM(H103:H125)</f>
        <v>158312612</v>
      </c>
      <c r="I102" s="409">
        <f>SUM(I103:I125)</f>
        <v>121571115.23999999</v>
      </c>
      <c r="J102" s="409">
        <f>SUM(J103:J125)</f>
        <v>121571115.23999999</v>
      </c>
      <c r="K102" s="155"/>
      <c r="L102" s="155"/>
      <c r="M102" s="155"/>
    </row>
    <row r="103" spans="1:13" ht="172.5" customHeight="1" thickTop="1" thickBot="1" x14ac:dyDescent="0.25">
      <c r="A103" s="119" t="s">
        <v>420</v>
      </c>
      <c r="B103" s="119" t="s">
        <v>240</v>
      </c>
      <c r="C103" s="119" t="s">
        <v>238</v>
      </c>
      <c r="D103" s="119" t="s">
        <v>239</v>
      </c>
      <c r="E103" s="363" t="s">
        <v>1342</v>
      </c>
      <c r="F103" s="360" t="s">
        <v>1343</v>
      </c>
      <c r="G103" s="391">
        <f>H103+I103</f>
        <v>80000</v>
      </c>
      <c r="H103" s="391"/>
      <c r="I103" s="391">
        <f>(60000)+1386951-1386951+20000</f>
        <v>80000</v>
      </c>
      <c r="J103" s="391">
        <f>(60000)+1386951-1386951+20000</f>
        <v>80000</v>
      </c>
      <c r="K103" s="155"/>
      <c r="L103" s="155"/>
      <c r="M103" s="155"/>
    </row>
    <row r="104" spans="1:13" ht="172.5" customHeight="1" thickTop="1" thickBot="1" x14ac:dyDescent="0.25">
      <c r="A104" s="119" t="s">
        <v>420</v>
      </c>
      <c r="B104" s="119" t="s">
        <v>240</v>
      </c>
      <c r="C104" s="119" t="s">
        <v>238</v>
      </c>
      <c r="D104" s="119" t="s">
        <v>239</v>
      </c>
      <c r="E104" s="363" t="s">
        <v>1055</v>
      </c>
      <c r="F104" s="360" t="s">
        <v>864</v>
      </c>
      <c r="G104" s="391">
        <f>H104+I104</f>
        <v>100000</v>
      </c>
      <c r="H104" s="391"/>
      <c r="I104" s="391">
        <v>100000</v>
      </c>
      <c r="J104" s="391">
        <v>100000</v>
      </c>
      <c r="K104" s="155"/>
      <c r="L104" s="155"/>
      <c r="M104" s="155"/>
    </row>
    <row r="105" spans="1:13" ht="367.5" thickTop="1" thickBot="1" x14ac:dyDescent="0.25">
      <c r="A105" s="119" t="s">
        <v>1305</v>
      </c>
      <c r="B105" s="119" t="s">
        <v>366</v>
      </c>
      <c r="C105" s="119" t="s">
        <v>631</v>
      </c>
      <c r="D105" s="119" t="s">
        <v>632</v>
      </c>
      <c r="E105" s="363" t="s">
        <v>1359</v>
      </c>
      <c r="F105" s="360" t="s">
        <v>1360</v>
      </c>
      <c r="G105" s="391">
        <f>H105+I105</f>
        <v>7000</v>
      </c>
      <c r="H105" s="391">
        <f>'d3'!E107</f>
        <v>7000</v>
      </c>
      <c r="I105" s="391">
        <f>'d3'!J107</f>
        <v>0</v>
      </c>
      <c r="J105" s="391">
        <f>'d3'!K107</f>
        <v>0</v>
      </c>
      <c r="K105" s="155"/>
      <c r="L105" s="155"/>
      <c r="M105" s="155"/>
    </row>
    <row r="106" spans="1:13" ht="386.25" thickTop="1" thickBot="1" x14ac:dyDescent="0.25">
      <c r="A106" s="119" t="s">
        <v>218</v>
      </c>
      <c r="B106" s="119" t="s">
        <v>215</v>
      </c>
      <c r="C106" s="119" t="s">
        <v>219</v>
      </c>
      <c r="D106" s="119" t="s">
        <v>19</v>
      </c>
      <c r="E106" s="482" t="s">
        <v>1227</v>
      </c>
      <c r="F106" s="360" t="s">
        <v>878</v>
      </c>
      <c r="G106" s="391">
        <f>H106+I106</f>
        <v>125852138</v>
      </c>
      <c r="H106" s="391">
        <f>'d3'!E109-H107</f>
        <v>70298235</v>
      </c>
      <c r="I106" s="391">
        <f>'d3'!J109-I107</f>
        <v>55553903</v>
      </c>
      <c r="J106" s="391">
        <f>'d3'!K109-J107</f>
        <v>55553903</v>
      </c>
      <c r="K106" s="155"/>
      <c r="L106" s="155"/>
      <c r="M106" s="155"/>
    </row>
    <row r="107" spans="1:13" ht="184.5" thickTop="1" thickBot="1" x14ac:dyDescent="0.25">
      <c r="A107" s="119" t="s">
        <v>218</v>
      </c>
      <c r="B107" s="119" t="s">
        <v>215</v>
      </c>
      <c r="C107" s="119" t="s">
        <v>219</v>
      </c>
      <c r="D107" s="119" t="s">
        <v>19</v>
      </c>
      <c r="E107" s="363" t="s">
        <v>1478</v>
      </c>
      <c r="F107" s="360" t="s">
        <v>454</v>
      </c>
      <c r="G107" s="360">
        <f t="shared" ref="G107" si="14">H107+I107</f>
        <v>300000</v>
      </c>
      <c r="H107" s="360">
        <f>(61200)+6000</f>
        <v>67200</v>
      </c>
      <c r="I107" s="360">
        <f>(150000+88800)-6000</f>
        <v>232800</v>
      </c>
      <c r="J107" s="360">
        <f>(150000+88800)-6000</f>
        <v>232800</v>
      </c>
      <c r="K107" s="155"/>
      <c r="L107" s="155"/>
      <c r="M107" s="155"/>
    </row>
    <row r="108" spans="1:13" ht="386.25" thickTop="1" thickBot="1" x14ac:dyDescent="0.25">
      <c r="A108" s="119" t="s">
        <v>509</v>
      </c>
      <c r="B108" s="119" t="s">
        <v>512</v>
      </c>
      <c r="C108" s="119" t="s">
        <v>511</v>
      </c>
      <c r="D108" s="119" t="s">
        <v>510</v>
      </c>
      <c r="E108" s="482" t="s">
        <v>1227</v>
      </c>
      <c r="F108" s="360" t="s">
        <v>878</v>
      </c>
      <c r="G108" s="391">
        <f>H108+I108</f>
        <v>18020999</v>
      </c>
      <c r="H108" s="391">
        <f>'d3'!E110</f>
        <v>18020999</v>
      </c>
      <c r="I108" s="391">
        <f>'d3'!J110</f>
        <v>0</v>
      </c>
      <c r="J108" s="391">
        <f>'d3'!K110</f>
        <v>0</v>
      </c>
      <c r="K108" s="155"/>
      <c r="L108" s="155"/>
      <c r="M108" s="155"/>
    </row>
    <row r="109" spans="1:13" ht="386.25" thickTop="1" thickBot="1" x14ac:dyDescent="0.25">
      <c r="A109" s="119" t="s">
        <v>220</v>
      </c>
      <c r="B109" s="119" t="s">
        <v>221</v>
      </c>
      <c r="C109" s="119" t="s">
        <v>222</v>
      </c>
      <c r="D109" s="119" t="s">
        <v>223</v>
      </c>
      <c r="E109" s="482" t="s">
        <v>1227</v>
      </c>
      <c r="F109" s="360" t="s">
        <v>878</v>
      </c>
      <c r="G109" s="391">
        <f t="shared" ref="G109:G116" si="15">H109+I109</f>
        <v>29494716</v>
      </c>
      <c r="H109" s="391">
        <f>'d3'!E111</f>
        <v>17507732</v>
      </c>
      <c r="I109" s="391">
        <f>'d3'!J111</f>
        <v>11986984</v>
      </c>
      <c r="J109" s="391">
        <f>'d3'!K111</f>
        <v>11986984</v>
      </c>
      <c r="K109" s="155"/>
      <c r="L109" s="155"/>
      <c r="M109" s="155"/>
    </row>
    <row r="110" spans="1:13" ht="386.25" thickTop="1" thickBot="1" x14ac:dyDescent="0.25">
      <c r="A110" s="119" t="s">
        <v>224</v>
      </c>
      <c r="B110" s="119" t="s">
        <v>225</v>
      </c>
      <c r="C110" s="119" t="s">
        <v>226</v>
      </c>
      <c r="D110" s="119" t="s">
        <v>349</v>
      </c>
      <c r="E110" s="482" t="s">
        <v>1227</v>
      </c>
      <c r="F110" s="360" t="s">
        <v>878</v>
      </c>
      <c r="G110" s="391">
        <f t="shared" si="15"/>
        <v>25697962</v>
      </c>
      <c r="H110" s="391">
        <f>'d3'!E112-H111</f>
        <v>24245995</v>
      </c>
      <c r="I110" s="391">
        <f>'d3'!J112-I111</f>
        <v>1451967</v>
      </c>
      <c r="J110" s="391">
        <f>'d3'!K112-J111</f>
        <v>1451967</v>
      </c>
      <c r="K110" s="155"/>
      <c r="L110" s="155"/>
      <c r="M110" s="155"/>
    </row>
    <row r="111" spans="1:13" ht="184.5" thickTop="1" thickBot="1" x14ac:dyDescent="0.25">
      <c r="A111" s="119" t="s">
        <v>224</v>
      </c>
      <c r="B111" s="119" t="s">
        <v>225</v>
      </c>
      <c r="C111" s="119" t="s">
        <v>226</v>
      </c>
      <c r="D111" s="119" t="s">
        <v>349</v>
      </c>
      <c r="E111" s="363" t="s">
        <v>1478</v>
      </c>
      <c r="F111" s="360" t="s">
        <v>454</v>
      </c>
      <c r="G111" s="360">
        <f t="shared" si="15"/>
        <v>146200</v>
      </c>
      <c r="H111" s="360">
        <v>51900</v>
      </c>
      <c r="I111" s="360">
        <v>94300</v>
      </c>
      <c r="J111" s="360">
        <v>94300</v>
      </c>
      <c r="K111" s="155"/>
      <c r="L111" s="155"/>
      <c r="M111" s="155"/>
    </row>
    <row r="112" spans="1:13" ht="386.25" hidden="1" thickTop="1" thickBot="1" x14ac:dyDescent="0.25">
      <c r="A112" s="144" t="s">
        <v>227</v>
      </c>
      <c r="B112" s="144" t="s">
        <v>228</v>
      </c>
      <c r="C112" s="144" t="s">
        <v>229</v>
      </c>
      <c r="D112" s="144" t="s">
        <v>230</v>
      </c>
      <c r="E112" s="285" t="s">
        <v>1227</v>
      </c>
      <c r="F112" s="213" t="s">
        <v>878</v>
      </c>
      <c r="G112" s="286"/>
      <c r="H112" s="286"/>
      <c r="I112" s="286"/>
      <c r="J112" s="286"/>
      <c r="K112" s="155"/>
      <c r="L112" s="155"/>
      <c r="M112" s="155"/>
    </row>
    <row r="113" spans="1:13" ht="230.25" hidden="1" thickTop="1" thickBot="1" x14ac:dyDescent="0.25">
      <c r="A113" s="144" t="s">
        <v>227</v>
      </c>
      <c r="B113" s="144" t="s">
        <v>228</v>
      </c>
      <c r="C113" s="144" t="s">
        <v>229</v>
      </c>
      <c r="D113" s="144" t="s">
        <v>230</v>
      </c>
      <c r="E113" s="272" t="s">
        <v>1253</v>
      </c>
      <c r="F113" s="213" t="s">
        <v>876</v>
      </c>
      <c r="G113" s="213"/>
      <c r="H113" s="213"/>
      <c r="I113" s="213"/>
      <c r="J113" s="213"/>
      <c r="K113" s="155"/>
      <c r="L113" s="155"/>
      <c r="M113" s="155"/>
    </row>
    <row r="114" spans="1:13" ht="386.25" thickTop="1" thickBot="1" x14ac:dyDescent="0.25">
      <c r="A114" s="119" t="s">
        <v>231</v>
      </c>
      <c r="B114" s="119" t="s">
        <v>232</v>
      </c>
      <c r="C114" s="119" t="s">
        <v>350</v>
      </c>
      <c r="D114" s="119" t="s">
        <v>233</v>
      </c>
      <c r="E114" s="482" t="s">
        <v>1227</v>
      </c>
      <c r="F114" s="360" t="s">
        <v>878</v>
      </c>
      <c r="G114" s="391">
        <f t="shared" si="15"/>
        <v>20571325</v>
      </c>
      <c r="H114" s="391">
        <f>'d3'!E115</f>
        <v>17571325</v>
      </c>
      <c r="I114" s="391">
        <f>'d3'!J115</f>
        <v>3000000</v>
      </c>
      <c r="J114" s="391">
        <f>'d3'!K115</f>
        <v>3000000</v>
      </c>
      <c r="K114" s="155"/>
      <c r="L114" s="155"/>
      <c r="M114" s="155"/>
    </row>
    <row r="115" spans="1:13" ht="386.25" hidden="1" thickTop="1" thickBot="1" x14ac:dyDescent="0.25">
      <c r="A115" s="41" t="s">
        <v>479</v>
      </c>
      <c r="B115" s="41" t="s">
        <v>480</v>
      </c>
      <c r="C115" s="41" t="s">
        <v>234</v>
      </c>
      <c r="D115" s="41" t="s">
        <v>481</v>
      </c>
      <c r="E115" s="287" t="s">
        <v>877</v>
      </c>
      <c r="F115" s="73" t="s">
        <v>878</v>
      </c>
      <c r="G115" s="288">
        <f t="shared" si="15"/>
        <v>0</v>
      </c>
      <c r="H115" s="288">
        <f>'d3'!E117</f>
        <v>0</v>
      </c>
      <c r="I115" s="288">
        <f>'d3'!J117</f>
        <v>0</v>
      </c>
      <c r="J115" s="288">
        <f>'d3'!K117</f>
        <v>0</v>
      </c>
      <c r="K115" s="155"/>
      <c r="L115" s="155"/>
      <c r="M115" s="155"/>
    </row>
    <row r="116" spans="1:13" s="5" customFormat="1" ht="409.6" customHeight="1" thickTop="1" thickBot="1" x14ac:dyDescent="0.25">
      <c r="A116" s="119" t="s">
        <v>325</v>
      </c>
      <c r="B116" s="119" t="s">
        <v>327</v>
      </c>
      <c r="C116" s="119" t="s">
        <v>234</v>
      </c>
      <c r="D116" s="413" t="s">
        <v>323</v>
      </c>
      <c r="E116" s="482" t="s">
        <v>1227</v>
      </c>
      <c r="F116" s="360" t="s">
        <v>878</v>
      </c>
      <c r="G116" s="391">
        <f t="shared" si="15"/>
        <v>3648776</v>
      </c>
      <c r="H116" s="391">
        <f>'d3'!E119</f>
        <v>3648776</v>
      </c>
      <c r="I116" s="391">
        <f>'d3'!J119</f>
        <v>0</v>
      </c>
      <c r="J116" s="391">
        <f>'d3'!K119</f>
        <v>0</v>
      </c>
      <c r="K116" s="154"/>
      <c r="L116" s="154"/>
      <c r="M116" s="154"/>
    </row>
    <row r="117" spans="1:13" s="5" customFormat="1" ht="386.25" thickTop="1" thickBot="1" x14ac:dyDescent="0.25">
      <c r="A117" s="119" t="s">
        <v>326</v>
      </c>
      <c r="B117" s="119" t="s">
        <v>328</v>
      </c>
      <c r="C117" s="119" t="s">
        <v>234</v>
      </c>
      <c r="D117" s="413" t="s">
        <v>324</v>
      </c>
      <c r="E117" s="482" t="s">
        <v>1227</v>
      </c>
      <c r="F117" s="360" t="s">
        <v>878</v>
      </c>
      <c r="G117" s="391">
        <f t="shared" ref="G117:G122" si="16">H117+I117</f>
        <v>6793450</v>
      </c>
      <c r="H117" s="391">
        <f>'d3'!E120</f>
        <v>6793450</v>
      </c>
      <c r="I117" s="391">
        <f>'d3'!J120</f>
        <v>0</v>
      </c>
      <c r="J117" s="391">
        <f>'d3'!K120</f>
        <v>0</v>
      </c>
      <c r="K117" s="154"/>
      <c r="L117" s="154"/>
      <c r="M117" s="154"/>
    </row>
    <row r="118" spans="1:13" s="5" customFormat="1" ht="386.25" thickTop="1" thickBot="1" x14ac:dyDescent="0.25">
      <c r="A118" s="119" t="s">
        <v>1224</v>
      </c>
      <c r="B118" s="119" t="s">
        <v>1225</v>
      </c>
      <c r="C118" s="119" t="s">
        <v>210</v>
      </c>
      <c r="D118" s="413" t="s">
        <v>1226</v>
      </c>
      <c r="E118" s="482" t="s">
        <v>1227</v>
      </c>
      <c r="F118" s="360" t="s">
        <v>878</v>
      </c>
      <c r="G118" s="391">
        <f t="shared" si="16"/>
        <v>100000</v>
      </c>
      <c r="H118" s="391">
        <f>'d3'!E122</f>
        <v>100000</v>
      </c>
      <c r="I118" s="391">
        <f>'d3'!J122</f>
        <v>0</v>
      </c>
      <c r="J118" s="391">
        <f>'d3'!K122</f>
        <v>0</v>
      </c>
      <c r="K118" s="154"/>
      <c r="L118" s="154"/>
      <c r="M118" s="154"/>
    </row>
    <row r="119" spans="1:13" s="5" customFormat="1" ht="386.25" thickTop="1" thickBot="1" x14ac:dyDescent="0.25">
      <c r="A119" s="119" t="s">
        <v>1203</v>
      </c>
      <c r="B119" s="119" t="s">
        <v>1205</v>
      </c>
      <c r="C119" s="119" t="s">
        <v>308</v>
      </c>
      <c r="D119" s="119" t="s">
        <v>1307</v>
      </c>
      <c r="E119" s="482" t="s">
        <v>1227</v>
      </c>
      <c r="F119" s="360" t="s">
        <v>878</v>
      </c>
      <c r="G119" s="360">
        <f t="shared" si="16"/>
        <v>24670053</v>
      </c>
      <c r="H119" s="360">
        <f>'d3'!E126</f>
        <v>0</v>
      </c>
      <c r="I119" s="360">
        <f>'d3'!J126</f>
        <v>24670053</v>
      </c>
      <c r="J119" s="360">
        <f>'d3'!K126</f>
        <v>24670053</v>
      </c>
      <c r="K119" s="154"/>
      <c r="L119" s="154"/>
      <c r="M119" s="154"/>
    </row>
    <row r="120" spans="1:13" s="5" customFormat="1" ht="386.25" hidden="1" thickTop="1" thickBot="1" x14ac:dyDescent="0.25">
      <c r="A120" s="41" t="s">
        <v>1074</v>
      </c>
      <c r="B120" s="41" t="s">
        <v>1075</v>
      </c>
      <c r="C120" s="41" t="s">
        <v>170</v>
      </c>
      <c r="D120" s="41" t="s">
        <v>1076</v>
      </c>
      <c r="E120" s="287" t="s">
        <v>877</v>
      </c>
      <c r="F120" s="73" t="s">
        <v>878</v>
      </c>
      <c r="G120" s="73">
        <f t="shared" si="16"/>
        <v>0</v>
      </c>
      <c r="H120" s="73">
        <f>'d3'!E128</f>
        <v>0</v>
      </c>
      <c r="I120" s="73">
        <f>'d3'!J128</f>
        <v>0</v>
      </c>
      <c r="J120" s="73">
        <f>'d3'!K128</f>
        <v>0</v>
      </c>
      <c r="K120" s="154"/>
      <c r="L120" s="154"/>
      <c r="M120" s="154"/>
    </row>
    <row r="121" spans="1:13" s="5" customFormat="1" ht="386.25" thickTop="1" thickBot="1" x14ac:dyDescent="0.25">
      <c r="A121" s="119" t="s">
        <v>1303</v>
      </c>
      <c r="B121" s="119" t="s">
        <v>216</v>
      </c>
      <c r="C121" s="119" t="s">
        <v>217</v>
      </c>
      <c r="D121" s="119" t="s">
        <v>41</v>
      </c>
      <c r="E121" s="482" t="s">
        <v>1227</v>
      </c>
      <c r="F121" s="360" t="s">
        <v>878</v>
      </c>
      <c r="G121" s="360">
        <f t="shared" si="16"/>
        <v>24401108.239999998</v>
      </c>
      <c r="H121" s="360">
        <f>'d3'!E130</f>
        <v>0</v>
      </c>
      <c r="I121" s="360">
        <f>'d3'!J130</f>
        <v>24401108.239999998</v>
      </c>
      <c r="J121" s="360">
        <f>'d3'!K130</f>
        <v>24401108.239999998</v>
      </c>
      <c r="K121" s="154"/>
      <c r="L121" s="154"/>
      <c r="M121" s="154"/>
    </row>
    <row r="122" spans="1:13" s="5" customFormat="1" ht="138.75" hidden="1" thickTop="1" thickBot="1" x14ac:dyDescent="0.25">
      <c r="A122" s="41" t="s">
        <v>439</v>
      </c>
      <c r="B122" s="41" t="s">
        <v>201</v>
      </c>
      <c r="C122" s="41" t="s">
        <v>170</v>
      </c>
      <c r="D122" s="41" t="s">
        <v>34</v>
      </c>
      <c r="E122" s="73" t="s">
        <v>440</v>
      </c>
      <c r="F122" s="73" t="s">
        <v>414</v>
      </c>
      <c r="G122" s="813">
        <f t="shared" si="16"/>
        <v>0</v>
      </c>
      <c r="H122" s="813">
        <v>0</v>
      </c>
      <c r="I122" s="813">
        <f>'d3'!J131-I124</f>
        <v>0</v>
      </c>
      <c r="J122" s="813">
        <f>'d3'!K131-J124</f>
        <v>0</v>
      </c>
      <c r="K122" s="154"/>
      <c r="L122" s="154"/>
      <c r="M122" s="154"/>
    </row>
    <row r="123" spans="1:13" s="5" customFormat="1" ht="386.25" hidden="1" thickTop="1" thickBot="1" x14ac:dyDescent="0.25">
      <c r="A123" s="41" t="s">
        <v>439</v>
      </c>
      <c r="B123" s="41" t="s">
        <v>201</v>
      </c>
      <c r="C123" s="41" t="s">
        <v>170</v>
      </c>
      <c r="D123" s="41" t="s">
        <v>34</v>
      </c>
      <c r="E123" s="287" t="s">
        <v>877</v>
      </c>
      <c r="F123" s="73" t="s">
        <v>878</v>
      </c>
      <c r="G123" s="816"/>
      <c r="H123" s="816"/>
      <c r="I123" s="816"/>
      <c r="J123" s="816"/>
      <c r="K123" s="154"/>
      <c r="L123" s="154"/>
      <c r="M123" s="154"/>
    </row>
    <row r="124" spans="1:13" s="5" customFormat="1" ht="184.5" hidden="1" thickTop="1" thickBot="1" x14ac:dyDescent="0.25">
      <c r="A124" s="41" t="s">
        <v>439</v>
      </c>
      <c r="B124" s="41" t="s">
        <v>201</v>
      </c>
      <c r="C124" s="41" t="s">
        <v>170</v>
      </c>
      <c r="D124" s="41" t="s">
        <v>34</v>
      </c>
      <c r="E124" s="275" t="s">
        <v>453</v>
      </c>
      <c r="F124" s="280" t="s">
        <v>454</v>
      </c>
      <c r="G124" s="73">
        <f>H124+I124</f>
        <v>0</v>
      </c>
      <c r="H124" s="73">
        <v>0</v>
      </c>
      <c r="I124" s="73"/>
      <c r="J124" s="73"/>
      <c r="K124" s="154"/>
      <c r="L124" s="154"/>
      <c r="M124" s="154"/>
    </row>
    <row r="125" spans="1:13" s="5" customFormat="1" ht="138.75" hidden="1" thickTop="1" thickBot="1" x14ac:dyDescent="0.25">
      <c r="A125" s="41" t="s">
        <v>513</v>
      </c>
      <c r="B125" s="41" t="s">
        <v>367</v>
      </c>
      <c r="C125" s="41" t="s">
        <v>43</v>
      </c>
      <c r="D125" s="41" t="s">
        <v>368</v>
      </c>
      <c r="E125" s="73" t="s">
        <v>440</v>
      </c>
      <c r="F125" s="73" t="s">
        <v>414</v>
      </c>
      <c r="G125" s="73">
        <f>H125+I125</f>
        <v>0</v>
      </c>
      <c r="H125" s="73">
        <f>'d3'!F132</f>
        <v>0</v>
      </c>
      <c r="I125" s="73">
        <f>'d3'!J132</f>
        <v>0</v>
      </c>
      <c r="J125" s="73">
        <f>'d3'!K132</f>
        <v>0</v>
      </c>
      <c r="K125" s="154"/>
      <c r="L125" s="154"/>
      <c r="M125" s="154"/>
    </row>
    <row r="126" spans="1:13" ht="241.5" customHeight="1" thickTop="1" thickBot="1" x14ac:dyDescent="0.25">
      <c r="A126" s="403" t="s">
        <v>156</v>
      </c>
      <c r="B126" s="403"/>
      <c r="C126" s="403"/>
      <c r="D126" s="404" t="s">
        <v>37</v>
      </c>
      <c r="E126" s="403"/>
      <c r="F126" s="403"/>
      <c r="G126" s="405">
        <f>G127</f>
        <v>341393663.87</v>
      </c>
      <c r="H126" s="405">
        <f t="shared" ref="H126:J126" si="17">H127</f>
        <v>227950883.87</v>
      </c>
      <c r="I126" s="405">
        <f t="shared" si="17"/>
        <v>113442780</v>
      </c>
      <c r="J126" s="405">
        <f t="shared" si="17"/>
        <v>105151251</v>
      </c>
      <c r="K126" s="106" t="b">
        <f>H126='d3'!E134-'d3'!E136+H128+H129</f>
        <v>1</v>
      </c>
      <c r="L126" s="107" t="b">
        <f>I126='d3'!J134-'d3'!J136-'d3'!J161+'d7'!I128+I129</f>
        <v>1</v>
      </c>
      <c r="M126" s="107" t="b">
        <f>J126='d3'!K134-'d3'!K136-'d3'!K161+'d7'!J128+J129</f>
        <v>1</v>
      </c>
    </row>
    <row r="127" spans="1:13" ht="181.5" thickTop="1" thickBot="1" x14ac:dyDescent="0.25">
      <c r="A127" s="407" t="s">
        <v>157</v>
      </c>
      <c r="B127" s="407"/>
      <c r="C127" s="407"/>
      <c r="D127" s="408" t="s">
        <v>38</v>
      </c>
      <c r="E127" s="409"/>
      <c r="F127" s="409"/>
      <c r="G127" s="409">
        <f>SUM(G128:G167)</f>
        <v>341393663.87</v>
      </c>
      <c r="H127" s="409">
        <f>SUM(H128:H167)</f>
        <v>227950883.87</v>
      </c>
      <c r="I127" s="409">
        <f>SUM(I128:I167)</f>
        <v>113442780</v>
      </c>
      <c r="J127" s="409">
        <f>SUM(J128:J167)</f>
        <v>105151251</v>
      </c>
      <c r="K127" s="155"/>
      <c r="L127" s="47"/>
      <c r="M127" s="155"/>
    </row>
    <row r="128" spans="1:13" ht="184.5" thickTop="1" thickBot="1" x14ac:dyDescent="0.25">
      <c r="A128" s="119" t="s">
        <v>419</v>
      </c>
      <c r="B128" s="119" t="s">
        <v>240</v>
      </c>
      <c r="C128" s="119" t="s">
        <v>238</v>
      </c>
      <c r="D128" s="119" t="s">
        <v>239</v>
      </c>
      <c r="E128" s="363" t="s">
        <v>1055</v>
      </c>
      <c r="F128" s="360" t="s">
        <v>864</v>
      </c>
      <c r="G128" s="360">
        <f t="shared" ref="G128:G165" si="18">H128+I128</f>
        <v>1019000</v>
      </c>
      <c r="H128" s="360">
        <v>0</v>
      </c>
      <c r="I128" s="360">
        <v>1019000</v>
      </c>
      <c r="J128" s="360">
        <v>1019000</v>
      </c>
      <c r="K128" s="155"/>
      <c r="L128" s="47"/>
      <c r="M128" s="155"/>
    </row>
    <row r="129" spans="1:13" ht="184.5" thickTop="1" thickBot="1" x14ac:dyDescent="0.25">
      <c r="A129" s="119" t="s">
        <v>419</v>
      </c>
      <c r="B129" s="119" t="s">
        <v>240</v>
      </c>
      <c r="C129" s="119" t="s">
        <v>238</v>
      </c>
      <c r="D129" s="119" t="s">
        <v>239</v>
      </c>
      <c r="E129" s="363" t="s">
        <v>1342</v>
      </c>
      <c r="F129" s="360" t="s">
        <v>1343</v>
      </c>
      <c r="G129" s="360">
        <f t="shared" si="18"/>
        <v>300000</v>
      </c>
      <c r="H129" s="360">
        <v>0</v>
      </c>
      <c r="I129" s="360">
        <v>300000</v>
      </c>
      <c r="J129" s="360">
        <v>300000</v>
      </c>
      <c r="K129" s="155"/>
      <c r="L129" s="47"/>
      <c r="M129" s="155"/>
    </row>
    <row r="130" spans="1:13" ht="367.5" thickTop="1" thickBot="1" x14ac:dyDescent="0.25">
      <c r="A130" s="119" t="s">
        <v>634</v>
      </c>
      <c r="B130" s="119" t="s">
        <v>366</v>
      </c>
      <c r="C130" s="119" t="s">
        <v>631</v>
      </c>
      <c r="D130" s="119" t="s">
        <v>632</v>
      </c>
      <c r="E130" s="363" t="s">
        <v>1359</v>
      </c>
      <c r="F130" s="360" t="s">
        <v>1360</v>
      </c>
      <c r="G130" s="360">
        <f t="shared" si="18"/>
        <v>57000</v>
      </c>
      <c r="H130" s="360">
        <f>'d3'!E137</f>
        <v>57000</v>
      </c>
      <c r="I130" s="360">
        <f>'d3'!J137</f>
        <v>0</v>
      </c>
      <c r="J130" s="360">
        <f>'d3'!K137</f>
        <v>0</v>
      </c>
      <c r="K130" s="155"/>
      <c r="L130" s="47"/>
      <c r="M130" s="155"/>
    </row>
    <row r="131" spans="1:13" ht="138.75" thickTop="1" thickBot="1" x14ac:dyDescent="0.25">
      <c r="A131" s="119" t="s">
        <v>928</v>
      </c>
      <c r="B131" s="119" t="s">
        <v>43</v>
      </c>
      <c r="C131" s="119" t="s">
        <v>42</v>
      </c>
      <c r="D131" s="119" t="s">
        <v>252</v>
      </c>
      <c r="E131" s="363" t="s">
        <v>969</v>
      </c>
      <c r="F131" s="360" t="s">
        <v>964</v>
      </c>
      <c r="G131" s="360">
        <f t="shared" si="18"/>
        <v>30000</v>
      </c>
      <c r="H131" s="360">
        <f>'d3'!E138</f>
        <v>30000</v>
      </c>
      <c r="I131" s="360">
        <f>'d3'!J138</f>
        <v>0</v>
      </c>
      <c r="J131" s="360">
        <f>'d3'!K138</f>
        <v>0</v>
      </c>
      <c r="K131" s="155"/>
      <c r="L131" s="47"/>
      <c r="M131" s="155"/>
    </row>
    <row r="132" spans="1:13" s="5" customFormat="1" ht="138.75" thickTop="1" thickBot="1" x14ac:dyDescent="0.25">
      <c r="A132" s="119" t="s">
        <v>273</v>
      </c>
      <c r="B132" s="119" t="s">
        <v>274</v>
      </c>
      <c r="C132" s="119" t="s">
        <v>209</v>
      </c>
      <c r="D132" s="401" t="s">
        <v>275</v>
      </c>
      <c r="E132" s="363" t="s">
        <v>1217</v>
      </c>
      <c r="F132" s="360" t="s">
        <v>1189</v>
      </c>
      <c r="G132" s="360">
        <f t="shared" si="18"/>
        <v>905000</v>
      </c>
      <c r="H132" s="360">
        <f>'d3'!E141</f>
        <v>755000</v>
      </c>
      <c r="I132" s="360">
        <f>'d3'!J141</f>
        <v>150000</v>
      </c>
      <c r="J132" s="360">
        <f>'d3'!K141</f>
        <v>150000</v>
      </c>
      <c r="K132" s="154"/>
      <c r="L132" s="154"/>
      <c r="M132" s="154"/>
    </row>
    <row r="133" spans="1:13" s="5" customFormat="1" ht="138.75" thickTop="1" thickBot="1" x14ac:dyDescent="0.25">
      <c r="A133" s="119" t="s">
        <v>276</v>
      </c>
      <c r="B133" s="119" t="s">
        <v>277</v>
      </c>
      <c r="C133" s="119" t="s">
        <v>210</v>
      </c>
      <c r="D133" s="119" t="s">
        <v>6</v>
      </c>
      <c r="E133" s="363" t="s">
        <v>1217</v>
      </c>
      <c r="F133" s="360" t="s">
        <v>1189</v>
      </c>
      <c r="G133" s="360">
        <f t="shared" si="18"/>
        <v>700000</v>
      </c>
      <c r="H133" s="360">
        <f>'d3'!E142</f>
        <v>700000</v>
      </c>
      <c r="I133" s="360">
        <f>'d3'!J142</f>
        <v>0</v>
      </c>
      <c r="J133" s="360">
        <f>'d3'!K142</f>
        <v>0</v>
      </c>
      <c r="K133" s="154"/>
      <c r="L133" s="154"/>
      <c r="M133" s="154"/>
    </row>
    <row r="134" spans="1:13" s="5" customFormat="1" ht="138.75" thickTop="1" thickBot="1" x14ac:dyDescent="0.25">
      <c r="A134" s="119" t="s">
        <v>279</v>
      </c>
      <c r="B134" s="119" t="s">
        <v>280</v>
      </c>
      <c r="C134" s="119" t="s">
        <v>210</v>
      </c>
      <c r="D134" s="119" t="s">
        <v>7</v>
      </c>
      <c r="E134" s="363" t="s">
        <v>1217</v>
      </c>
      <c r="F134" s="360" t="s">
        <v>1189</v>
      </c>
      <c r="G134" s="360">
        <f t="shared" si="18"/>
        <v>19200000</v>
      </c>
      <c r="H134" s="360">
        <f>'d3'!E143</f>
        <v>19200000</v>
      </c>
      <c r="I134" s="360">
        <f>'d3'!J143</f>
        <v>0</v>
      </c>
      <c r="J134" s="360">
        <f>'d3'!K143</f>
        <v>0</v>
      </c>
      <c r="K134" s="154"/>
      <c r="L134" s="154"/>
      <c r="M134" s="154"/>
    </row>
    <row r="135" spans="1:13" s="5" customFormat="1" ht="138.75" thickTop="1" thickBot="1" x14ac:dyDescent="0.25">
      <c r="A135" s="119" t="s">
        <v>281</v>
      </c>
      <c r="B135" s="119" t="s">
        <v>278</v>
      </c>
      <c r="C135" s="119" t="s">
        <v>210</v>
      </c>
      <c r="D135" s="119" t="s">
        <v>8</v>
      </c>
      <c r="E135" s="363" t="s">
        <v>1217</v>
      </c>
      <c r="F135" s="360" t="s">
        <v>1189</v>
      </c>
      <c r="G135" s="360">
        <f t="shared" si="18"/>
        <v>700000</v>
      </c>
      <c r="H135" s="360">
        <f>'d3'!E144</f>
        <v>700000</v>
      </c>
      <c r="I135" s="360">
        <f>'d3'!J144</f>
        <v>0</v>
      </c>
      <c r="J135" s="360">
        <f>'d3'!K144</f>
        <v>0</v>
      </c>
      <c r="K135" s="154"/>
      <c r="L135" s="154"/>
      <c r="M135" s="154"/>
    </row>
    <row r="136" spans="1:13" s="5" customFormat="1" ht="138.75" thickTop="1" thickBot="1" x14ac:dyDescent="0.25">
      <c r="A136" s="119" t="s">
        <v>282</v>
      </c>
      <c r="B136" s="119" t="s">
        <v>283</v>
      </c>
      <c r="C136" s="119" t="s">
        <v>210</v>
      </c>
      <c r="D136" s="119" t="s">
        <v>9</v>
      </c>
      <c r="E136" s="363" t="s">
        <v>1217</v>
      </c>
      <c r="F136" s="360" t="s">
        <v>1189</v>
      </c>
      <c r="G136" s="360">
        <f t="shared" si="18"/>
        <v>45000000</v>
      </c>
      <c r="H136" s="360">
        <f>'d3'!E145</f>
        <v>45000000</v>
      </c>
      <c r="I136" s="360">
        <f>'d3'!J145</f>
        <v>0</v>
      </c>
      <c r="J136" s="360">
        <f>'d3'!K145</f>
        <v>0</v>
      </c>
      <c r="K136" s="154"/>
      <c r="L136" s="154"/>
      <c r="M136" s="154"/>
    </row>
    <row r="137" spans="1:13" s="5" customFormat="1" ht="138.75" thickTop="1" thickBot="1" x14ac:dyDescent="0.25">
      <c r="A137" s="119" t="s">
        <v>482</v>
      </c>
      <c r="B137" s="119" t="s">
        <v>483</v>
      </c>
      <c r="C137" s="119" t="s">
        <v>210</v>
      </c>
      <c r="D137" s="119" t="s">
        <v>484</v>
      </c>
      <c r="E137" s="363" t="s">
        <v>1217</v>
      </c>
      <c r="F137" s="360" t="s">
        <v>1189</v>
      </c>
      <c r="G137" s="360">
        <f t="shared" si="18"/>
        <v>272462</v>
      </c>
      <c r="H137" s="360">
        <f>'d3'!E146</f>
        <v>272462</v>
      </c>
      <c r="I137" s="360">
        <f>'d3'!J146</f>
        <v>0</v>
      </c>
      <c r="J137" s="360">
        <f>'d3'!K146</f>
        <v>0</v>
      </c>
      <c r="K137" s="154"/>
      <c r="L137" s="154"/>
      <c r="M137" s="154"/>
    </row>
    <row r="138" spans="1:13" s="5" customFormat="1" ht="138.75" thickTop="1" thickBot="1" x14ac:dyDescent="0.25">
      <c r="A138" s="119" t="s">
        <v>929</v>
      </c>
      <c r="B138" s="119" t="s">
        <v>930</v>
      </c>
      <c r="C138" s="119" t="s">
        <v>210</v>
      </c>
      <c r="D138" s="119" t="s">
        <v>931</v>
      </c>
      <c r="E138" s="363" t="s">
        <v>1217</v>
      </c>
      <c r="F138" s="360" t="s">
        <v>1189</v>
      </c>
      <c r="G138" s="360">
        <f t="shared" ref="G138" si="19">H138+I138</f>
        <v>2213890</v>
      </c>
      <c r="H138" s="360">
        <f>'d3'!E147</f>
        <v>2213890</v>
      </c>
      <c r="I138" s="360">
        <f>'d3'!J147</f>
        <v>0</v>
      </c>
      <c r="J138" s="360">
        <f>'d3'!K147</f>
        <v>0</v>
      </c>
      <c r="K138" s="154"/>
      <c r="L138" s="154"/>
      <c r="M138" s="154"/>
    </row>
    <row r="139" spans="1:13" s="5" customFormat="1" ht="138.75" thickTop="1" thickBot="1" x14ac:dyDescent="0.25">
      <c r="A139" s="119" t="s">
        <v>485</v>
      </c>
      <c r="B139" s="119" t="s">
        <v>486</v>
      </c>
      <c r="C139" s="119" t="s">
        <v>209</v>
      </c>
      <c r="D139" s="119" t="s">
        <v>487</v>
      </c>
      <c r="E139" s="363" t="s">
        <v>1217</v>
      </c>
      <c r="F139" s="360" t="s">
        <v>1189</v>
      </c>
      <c r="G139" s="360">
        <f t="shared" si="18"/>
        <v>546559</v>
      </c>
      <c r="H139" s="360">
        <f>'d3'!E148</f>
        <v>546559</v>
      </c>
      <c r="I139" s="360">
        <f>'d3'!J148</f>
        <v>0</v>
      </c>
      <c r="J139" s="360">
        <f>'d3'!K148</f>
        <v>0</v>
      </c>
      <c r="K139" s="154"/>
      <c r="L139" s="154"/>
      <c r="M139" s="154"/>
    </row>
    <row r="140" spans="1:13" ht="184.5" thickTop="1" thickBot="1" x14ac:dyDescent="0.25">
      <c r="A140" s="119" t="s">
        <v>271</v>
      </c>
      <c r="B140" s="119" t="s">
        <v>269</v>
      </c>
      <c r="C140" s="119" t="s">
        <v>204</v>
      </c>
      <c r="D140" s="119" t="s">
        <v>17</v>
      </c>
      <c r="E140" s="363" t="s">
        <v>1217</v>
      </c>
      <c r="F140" s="360" t="s">
        <v>1189</v>
      </c>
      <c r="G140" s="360">
        <f t="shared" si="18"/>
        <v>50606682.700000003</v>
      </c>
      <c r="H140" s="360">
        <f>'d3'!E150</f>
        <v>49732482.700000003</v>
      </c>
      <c r="I140" s="360">
        <f>'d3'!J150</f>
        <v>874200</v>
      </c>
      <c r="J140" s="360">
        <f>'d3'!K150</f>
        <v>144200</v>
      </c>
      <c r="K140" s="155"/>
      <c r="L140" s="155"/>
      <c r="M140" s="155"/>
    </row>
    <row r="141" spans="1:13" ht="138.75" thickTop="1" thickBot="1" x14ac:dyDescent="0.25">
      <c r="A141" s="119" t="s">
        <v>272</v>
      </c>
      <c r="B141" s="119" t="s">
        <v>270</v>
      </c>
      <c r="C141" s="119" t="s">
        <v>203</v>
      </c>
      <c r="D141" s="119" t="s">
        <v>459</v>
      </c>
      <c r="E141" s="363" t="s">
        <v>1217</v>
      </c>
      <c r="F141" s="360" t="s">
        <v>1189</v>
      </c>
      <c r="G141" s="360">
        <f t="shared" si="18"/>
        <v>9995445</v>
      </c>
      <c r="H141" s="360">
        <f>'d3'!E151-H142</f>
        <v>9565846</v>
      </c>
      <c r="I141" s="360">
        <f>'d3'!J151-I142</f>
        <v>429599</v>
      </c>
      <c r="J141" s="360">
        <f>'d3'!K151-J142</f>
        <v>429599</v>
      </c>
      <c r="K141" s="155"/>
      <c r="L141" s="155"/>
      <c r="M141" s="155"/>
    </row>
    <row r="142" spans="1:13" ht="184.5" thickTop="1" thickBot="1" x14ac:dyDescent="0.25">
      <c r="A142" s="119" t="s">
        <v>272</v>
      </c>
      <c r="B142" s="119" t="s">
        <v>270</v>
      </c>
      <c r="C142" s="119" t="s">
        <v>203</v>
      </c>
      <c r="D142" s="119" t="s">
        <v>459</v>
      </c>
      <c r="E142" s="363" t="s">
        <v>1478</v>
      </c>
      <c r="F142" s="360" t="s">
        <v>454</v>
      </c>
      <c r="G142" s="360">
        <f t="shared" si="18"/>
        <v>157546</v>
      </c>
      <c r="H142" s="360">
        <v>62546</v>
      </c>
      <c r="I142" s="360">
        <v>95000</v>
      </c>
      <c r="J142" s="360">
        <v>95000</v>
      </c>
      <c r="K142" s="155"/>
      <c r="L142" s="155"/>
      <c r="M142" s="155"/>
    </row>
    <row r="143" spans="1:13" ht="138.75" thickTop="1" thickBot="1" x14ac:dyDescent="0.25">
      <c r="A143" s="119" t="s">
        <v>1240</v>
      </c>
      <c r="B143" s="119" t="s">
        <v>188</v>
      </c>
      <c r="C143" s="119" t="s">
        <v>189</v>
      </c>
      <c r="D143" s="119" t="s">
        <v>644</v>
      </c>
      <c r="E143" s="363" t="s">
        <v>1217</v>
      </c>
      <c r="F143" s="360" t="s">
        <v>1189</v>
      </c>
      <c r="G143" s="360">
        <f>H143+I143</f>
        <v>9275054.1699999999</v>
      </c>
      <c r="H143" s="360">
        <f>'d3'!E153-H144</f>
        <v>9235254.1699999999</v>
      </c>
      <c r="I143" s="360">
        <f>'d3'!J153-I144</f>
        <v>39800</v>
      </c>
      <c r="J143" s="360">
        <f>'d3'!K153-J144</f>
        <v>39800</v>
      </c>
      <c r="K143" s="155"/>
      <c r="L143" s="155"/>
      <c r="M143" s="155"/>
    </row>
    <row r="144" spans="1:13" ht="184.5" thickTop="1" thickBot="1" x14ac:dyDescent="0.25">
      <c r="A144" s="119" t="s">
        <v>1240</v>
      </c>
      <c r="B144" s="119" t="s">
        <v>188</v>
      </c>
      <c r="C144" s="119" t="s">
        <v>189</v>
      </c>
      <c r="D144" s="119" t="s">
        <v>644</v>
      </c>
      <c r="E144" s="363" t="s">
        <v>1478</v>
      </c>
      <c r="F144" s="360" t="s">
        <v>454</v>
      </c>
      <c r="G144" s="360">
        <f>H144+I144</f>
        <v>140170</v>
      </c>
      <c r="H144" s="360">
        <v>115170</v>
      </c>
      <c r="I144" s="360">
        <v>25000</v>
      </c>
      <c r="J144" s="360">
        <v>25000</v>
      </c>
      <c r="K144" s="155"/>
      <c r="L144" s="155"/>
      <c r="M144" s="155"/>
    </row>
    <row r="145" spans="1:14" ht="258" hidden="1" customHeight="1" thickTop="1" thickBot="1" x14ac:dyDescent="0.25">
      <c r="A145" s="41" t="s">
        <v>1036</v>
      </c>
      <c r="B145" s="41" t="s">
        <v>1037</v>
      </c>
      <c r="C145" s="41" t="s">
        <v>189</v>
      </c>
      <c r="D145" s="41" t="s">
        <v>1038</v>
      </c>
      <c r="E145" s="275" t="s">
        <v>588</v>
      </c>
      <c r="F145" s="73" t="s">
        <v>411</v>
      </c>
      <c r="G145" s="73">
        <f t="shared" si="18"/>
        <v>0</v>
      </c>
      <c r="H145" s="73"/>
      <c r="I145" s="73"/>
      <c r="J145" s="73"/>
      <c r="K145" s="155"/>
      <c r="L145" s="155"/>
      <c r="M145" s="155"/>
    </row>
    <row r="146" spans="1:14" ht="321.75" thickTop="1" thickBot="1" x14ac:dyDescent="0.25">
      <c r="A146" s="119" t="s">
        <v>267</v>
      </c>
      <c r="B146" s="119" t="s">
        <v>268</v>
      </c>
      <c r="C146" s="119" t="s">
        <v>203</v>
      </c>
      <c r="D146" s="119" t="s">
        <v>457</v>
      </c>
      <c r="E146" s="363" t="s">
        <v>1217</v>
      </c>
      <c r="F146" s="360" t="s">
        <v>1189</v>
      </c>
      <c r="G146" s="360">
        <f t="shared" si="18"/>
        <v>4173200</v>
      </c>
      <c r="H146" s="360">
        <f>'d3'!E154</f>
        <v>4173200</v>
      </c>
      <c r="I146" s="360">
        <f>'d3'!J154</f>
        <v>0</v>
      </c>
      <c r="J146" s="360">
        <f>'d3'!K154</f>
        <v>0</v>
      </c>
      <c r="K146" s="155"/>
      <c r="L146" s="155"/>
      <c r="M146" s="155"/>
    </row>
    <row r="147" spans="1:14" ht="230.25" thickTop="1" thickBot="1" x14ac:dyDescent="0.25">
      <c r="A147" s="119" t="s">
        <v>488</v>
      </c>
      <c r="B147" s="119" t="s">
        <v>489</v>
      </c>
      <c r="C147" s="119" t="s">
        <v>203</v>
      </c>
      <c r="D147" s="119" t="s">
        <v>490</v>
      </c>
      <c r="E147" s="363" t="s">
        <v>1217</v>
      </c>
      <c r="F147" s="360" t="s">
        <v>1189</v>
      </c>
      <c r="G147" s="360">
        <f t="shared" si="18"/>
        <v>142618</v>
      </c>
      <c r="H147" s="360">
        <f>'d3'!E156</f>
        <v>142618</v>
      </c>
      <c r="I147" s="360">
        <f>'d3'!J156</f>
        <v>0</v>
      </c>
      <c r="J147" s="360">
        <f>'d3'!K156</f>
        <v>0</v>
      </c>
      <c r="K147" s="155"/>
      <c r="L147" s="155"/>
      <c r="M147" s="155"/>
    </row>
    <row r="148" spans="1:14" ht="276" thickTop="1" thickBot="1" x14ac:dyDescent="0.25">
      <c r="A148" s="119" t="s">
        <v>352</v>
      </c>
      <c r="B148" s="119" t="s">
        <v>351</v>
      </c>
      <c r="C148" s="119" t="s">
        <v>50</v>
      </c>
      <c r="D148" s="119" t="s">
        <v>458</v>
      </c>
      <c r="E148" s="363" t="s">
        <v>1217</v>
      </c>
      <c r="F148" s="360" t="s">
        <v>1189</v>
      </c>
      <c r="G148" s="360">
        <f t="shared" si="18"/>
        <v>1145980</v>
      </c>
      <c r="H148" s="360">
        <f>645980+500000</f>
        <v>1145980</v>
      </c>
      <c r="I148" s="360">
        <f>'d3'!J157-I149-I150</f>
        <v>0</v>
      </c>
      <c r="J148" s="360">
        <f>'d3'!K157-J149-J150</f>
        <v>0</v>
      </c>
      <c r="K148" s="106" t="b">
        <f>H148+H149+H150='d3'!E157</f>
        <v>1</v>
      </c>
      <c r="L148" s="106" t="b">
        <f>I148+I149+I150='d3'!J157</f>
        <v>1</v>
      </c>
      <c r="M148" s="106" t="b">
        <f>J148+J149+J150='d3'!K157</f>
        <v>1</v>
      </c>
    </row>
    <row r="149" spans="1:14" ht="276" thickTop="1" thickBot="1" x14ac:dyDescent="0.25">
      <c r="A149" s="119" t="s">
        <v>352</v>
      </c>
      <c r="B149" s="119" t="s">
        <v>351</v>
      </c>
      <c r="C149" s="119" t="s">
        <v>50</v>
      </c>
      <c r="D149" s="119" t="s">
        <v>458</v>
      </c>
      <c r="E149" s="363" t="s">
        <v>1253</v>
      </c>
      <c r="F149" s="360" t="s">
        <v>876</v>
      </c>
      <c r="G149" s="360">
        <f t="shared" si="18"/>
        <v>1013850</v>
      </c>
      <c r="H149" s="360">
        <f>(1513850+562670-562670-500000)-300000+300000</f>
        <v>1013850</v>
      </c>
      <c r="I149" s="360">
        <v>0</v>
      </c>
      <c r="J149" s="360">
        <v>0</v>
      </c>
      <c r="K149" s="155"/>
      <c r="L149" s="155"/>
      <c r="M149" s="155"/>
    </row>
    <row r="150" spans="1:14" ht="321.75" thickTop="1" thickBot="1" x14ac:dyDescent="0.25">
      <c r="A150" s="119" t="s">
        <v>352</v>
      </c>
      <c r="B150" s="119" t="s">
        <v>351</v>
      </c>
      <c r="C150" s="119" t="s">
        <v>50</v>
      </c>
      <c r="D150" s="119" t="s">
        <v>458</v>
      </c>
      <c r="E150" s="363" t="s">
        <v>1477</v>
      </c>
      <c r="F150" s="360" t="s">
        <v>1437</v>
      </c>
      <c r="G150" s="360">
        <f t="shared" si="18"/>
        <v>562670</v>
      </c>
      <c r="H150" s="360">
        <f>562670</f>
        <v>562670</v>
      </c>
      <c r="I150" s="360">
        <v>0</v>
      </c>
      <c r="J150" s="360">
        <v>0</v>
      </c>
      <c r="K150" s="155"/>
      <c r="L150" s="155"/>
      <c r="M150" s="155"/>
    </row>
    <row r="151" spans="1:14" ht="184.5" thickTop="1" thickBot="1" x14ac:dyDescent="0.25">
      <c r="A151" s="119" t="s">
        <v>329</v>
      </c>
      <c r="B151" s="119" t="s">
        <v>330</v>
      </c>
      <c r="C151" s="119" t="s">
        <v>209</v>
      </c>
      <c r="D151" s="119" t="s">
        <v>641</v>
      </c>
      <c r="E151" s="363" t="s">
        <v>1217</v>
      </c>
      <c r="F151" s="360" t="s">
        <v>1189</v>
      </c>
      <c r="G151" s="360">
        <f t="shared" si="18"/>
        <v>1110000</v>
      </c>
      <c r="H151" s="360">
        <f>'d3'!E159</f>
        <v>1110000</v>
      </c>
      <c r="I151" s="360">
        <f>'d3'!J159</f>
        <v>0</v>
      </c>
      <c r="J151" s="360">
        <f>'d3'!K159</f>
        <v>0</v>
      </c>
      <c r="K151" s="155"/>
      <c r="L151" s="155"/>
      <c r="M151" s="155"/>
    </row>
    <row r="152" spans="1:14" ht="138.75" thickTop="1" thickBot="1" x14ac:dyDescent="0.25">
      <c r="A152" s="119" t="s">
        <v>432</v>
      </c>
      <c r="B152" s="119" t="s">
        <v>376</v>
      </c>
      <c r="C152" s="119" t="s">
        <v>377</v>
      </c>
      <c r="D152" s="119" t="s">
        <v>375</v>
      </c>
      <c r="E152" s="363" t="s">
        <v>1175</v>
      </c>
      <c r="F152" s="360" t="s">
        <v>965</v>
      </c>
      <c r="G152" s="360">
        <f t="shared" si="18"/>
        <v>117000</v>
      </c>
      <c r="H152" s="360">
        <f>'d3'!E160</f>
        <v>117000</v>
      </c>
      <c r="I152" s="360">
        <f>'d3'!J160</f>
        <v>0</v>
      </c>
      <c r="J152" s="360">
        <f>'d3'!K160</f>
        <v>0</v>
      </c>
      <c r="K152" s="155"/>
      <c r="L152" s="155"/>
      <c r="M152" s="155"/>
    </row>
    <row r="153" spans="1:14" ht="184.5" thickTop="1" thickBot="1" x14ac:dyDescent="0.25">
      <c r="A153" s="119" t="s">
        <v>1228</v>
      </c>
      <c r="B153" s="119" t="s">
        <v>1225</v>
      </c>
      <c r="C153" s="119" t="s">
        <v>210</v>
      </c>
      <c r="D153" s="413" t="s">
        <v>1226</v>
      </c>
      <c r="E153" s="363" t="s">
        <v>1217</v>
      </c>
      <c r="F153" s="360" t="s">
        <v>1189</v>
      </c>
      <c r="G153" s="360">
        <f>H153+I153</f>
        <v>72909592</v>
      </c>
      <c r="H153" s="364">
        <f>'d3'!E176</f>
        <v>9322150</v>
      </c>
      <c r="I153" s="360">
        <f>'d3'!J176</f>
        <v>63587442</v>
      </c>
      <c r="J153" s="360">
        <f>'d3'!K176</f>
        <v>63587442</v>
      </c>
      <c r="K153" s="155"/>
      <c r="L153" s="155"/>
      <c r="M153" s="155"/>
    </row>
    <row r="154" spans="1:14" ht="312.75" customHeight="1" thickTop="1" thickBot="1" x14ac:dyDescent="0.25">
      <c r="A154" s="119" t="s">
        <v>331</v>
      </c>
      <c r="B154" s="119" t="s">
        <v>333</v>
      </c>
      <c r="C154" s="119" t="s">
        <v>195</v>
      </c>
      <c r="D154" s="413" t="s">
        <v>335</v>
      </c>
      <c r="E154" s="363" t="s">
        <v>1217</v>
      </c>
      <c r="F154" s="360" t="s">
        <v>1189</v>
      </c>
      <c r="G154" s="360">
        <f t="shared" si="18"/>
        <v>37431216</v>
      </c>
      <c r="H154" s="364">
        <f>'d3'!E178-H155</f>
        <v>24895477</v>
      </c>
      <c r="I154" s="360">
        <f>'d3'!J178-I155</f>
        <v>12535739</v>
      </c>
      <c r="J154" s="360">
        <f>'d3'!K178-J155</f>
        <v>4974210</v>
      </c>
      <c r="L154" s="155"/>
      <c r="M154" s="155"/>
    </row>
    <row r="155" spans="1:14" ht="207" hidden="1" customHeight="1" thickTop="1" thickBot="1" x14ac:dyDescent="0.25">
      <c r="A155" s="41" t="s">
        <v>331</v>
      </c>
      <c r="B155" s="41" t="s">
        <v>333</v>
      </c>
      <c r="C155" s="41" t="s">
        <v>195</v>
      </c>
      <c r="D155" s="170" t="s">
        <v>335</v>
      </c>
      <c r="E155" s="275" t="s">
        <v>453</v>
      </c>
      <c r="F155" s="280" t="s">
        <v>454</v>
      </c>
      <c r="G155" s="73">
        <f>H155+I155</f>
        <v>0</v>
      </c>
      <c r="H155" s="276">
        <v>0</v>
      </c>
      <c r="I155" s="73">
        <v>0</v>
      </c>
      <c r="J155" s="73">
        <v>0</v>
      </c>
      <c r="K155" s="155"/>
      <c r="L155" s="155"/>
      <c r="M155" s="155"/>
    </row>
    <row r="156" spans="1:14" ht="138.75" thickTop="1" thickBot="1" x14ac:dyDescent="0.25">
      <c r="A156" s="119" t="s">
        <v>332</v>
      </c>
      <c r="B156" s="119" t="s">
        <v>334</v>
      </c>
      <c r="C156" s="119" t="s">
        <v>195</v>
      </c>
      <c r="D156" s="413" t="s">
        <v>336</v>
      </c>
      <c r="E156" s="363" t="s">
        <v>1217</v>
      </c>
      <c r="F156" s="360" t="s">
        <v>1189</v>
      </c>
      <c r="G156" s="360">
        <f>H156+I156</f>
        <v>33128339</v>
      </c>
      <c r="H156" s="360">
        <f>'d3'!E179-H158-H159-H160-H161-H157</f>
        <v>32366339</v>
      </c>
      <c r="I156" s="360">
        <f>'d3'!J179-I158-I159-I160-I161-I157</f>
        <v>762000</v>
      </c>
      <c r="J156" s="360">
        <f>'d3'!K179-J158-J159-J160-J161-J157</f>
        <v>762000</v>
      </c>
      <c r="K156" s="793" t="b">
        <f>H156+H158+H159+H160+H161+H157='d3'!E179</f>
        <v>1</v>
      </c>
      <c r="L156" s="793" t="b">
        <f>I156+I158+I159+I160+I161+I157='d3'!J179</f>
        <v>1</v>
      </c>
      <c r="M156" s="793" t="b">
        <f>J156+J158+J159+J160+J161+J157='d3'!K179</f>
        <v>1</v>
      </c>
    </row>
    <row r="157" spans="1:14" ht="367.5" thickTop="1" thickBot="1" x14ac:dyDescent="0.25">
      <c r="A157" s="119" t="s">
        <v>332</v>
      </c>
      <c r="B157" s="119" t="s">
        <v>334</v>
      </c>
      <c r="C157" s="119" t="s">
        <v>195</v>
      </c>
      <c r="D157" s="413" t="s">
        <v>336</v>
      </c>
      <c r="E157" s="360" t="s">
        <v>1482</v>
      </c>
      <c r="F157" s="360" t="s">
        <v>866</v>
      </c>
      <c r="G157" s="360">
        <f t="shared" si="18"/>
        <v>2500000</v>
      </c>
      <c r="H157" s="360">
        <f>(6000000)-3500000</f>
        <v>2500000</v>
      </c>
      <c r="I157" s="360">
        <v>0</v>
      </c>
      <c r="J157" s="360">
        <v>0</v>
      </c>
      <c r="K157" s="793"/>
      <c r="L157" s="793"/>
      <c r="M157" s="793"/>
    </row>
    <row r="158" spans="1:14" ht="230.25" thickTop="1" thickBot="1" x14ac:dyDescent="0.25">
      <c r="A158" s="119" t="s">
        <v>332</v>
      </c>
      <c r="B158" s="119" t="s">
        <v>334</v>
      </c>
      <c r="C158" s="119" t="s">
        <v>195</v>
      </c>
      <c r="D158" s="413" t="s">
        <v>336</v>
      </c>
      <c r="E158" s="360" t="s">
        <v>1309</v>
      </c>
      <c r="F158" s="360" t="s">
        <v>875</v>
      </c>
      <c r="G158" s="360">
        <f t="shared" si="18"/>
        <v>491500</v>
      </c>
      <c r="H158" s="360">
        <f>140000+311500+40000</f>
        <v>491500</v>
      </c>
      <c r="I158" s="360">
        <v>0</v>
      </c>
      <c r="J158" s="360">
        <v>0</v>
      </c>
      <c r="K158" s="794"/>
      <c r="L158" s="794"/>
      <c r="M158" s="794"/>
      <c r="N158" s="106" t="s">
        <v>1457</v>
      </c>
    </row>
    <row r="159" spans="1:14" ht="251.25" customHeight="1" thickTop="1" thickBot="1" x14ac:dyDescent="0.25">
      <c r="A159" s="119" t="s">
        <v>332</v>
      </c>
      <c r="B159" s="119" t="s">
        <v>334</v>
      </c>
      <c r="C159" s="119" t="s">
        <v>195</v>
      </c>
      <c r="D159" s="413" t="s">
        <v>336</v>
      </c>
      <c r="E159" s="363" t="s">
        <v>1253</v>
      </c>
      <c r="F159" s="360" t="s">
        <v>876</v>
      </c>
      <c r="G159" s="360">
        <f t="shared" si="18"/>
        <v>7263890</v>
      </c>
      <c r="H159" s="360">
        <f>((4800000+200000+600690+500000+420000+98000)+200+186000+115000+265000+200000+200000-420000)+99000</f>
        <v>7263890</v>
      </c>
      <c r="I159" s="360">
        <v>0</v>
      </c>
      <c r="J159" s="360">
        <v>0</v>
      </c>
      <c r="K159" s="794"/>
      <c r="L159" s="794"/>
      <c r="M159" s="794"/>
    </row>
    <row r="160" spans="1:14" ht="184.5" thickTop="1" thickBot="1" x14ac:dyDescent="0.25">
      <c r="A160" s="119" t="s">
        <v>332</v>
      </c>
      <c r="B160" s="119" t="s">
        <v>334</v>
      </c>
      <c r="C160" s="119" t="s">
        <v>195</v>
      </c>
      <c r="D160" s="413" t="s">
        <v>336</v>
      </c>
      <c r="E160" s="363" t="s">
        <v>1576</v>
      </c>
      <c r="F160" s="360" t="s">
        <v>1577</v>
      </c>
      <c r="G160" s="360">
        <f t="shared" si="18"/>
        <v>1150000</v>
      </c>
      <c r="H160" s="360">
        <f>(500000+200000)+450000</f>
        <v>1150000</v>
      </c>
      <c r="I160" s="360">
        <v>0</v>
      </c>
      <c r="J160" s="360">
        <v>0</v>
      </c>
      <c r="K160" s="90"/>
      <c r="L160" s="90"/>
      <c r="M160" s="90"/>
    </row>
    <row r="161" spans="1:13" ht="321.75" thickTop="1" thickBot="1" x14ac:dyDescent="0.25">
      <c r="A161" s="119" t="s">
        <v>332</v>
      </c>
      <c r="B161" s="119" t="s">
        <v>334</v>
      </c>
      <c r="C161" s="119" t="s">
        <v>195</v>
      </c>
      <c r="D161" s="413" t="s">
        <v>336</v>
      </c>
      <c r="E161" s="363" t="s">
        <v>1477</v>
      </c>
      <c r="F161" s="360" t="s">
        <v>1437</v>
      </c>
      <c r="G161" s="360">
        <f t="shared" si="18"/>
        <v>18286000</v>
      </c>
      <c r="H161" s="360">
        <f>3000000+186000+265000+39000</f>
        <v>3490000</v>
      </c>
      <c r="I161" s="360">
        <f>(17892000)-3096000</f>
        <v>14796000</v>
      </c>
      <c r="J161" s="360">
        <f>(17892000)-3096000</f>
        <v>14796000</v>
      </c>
      <c r="K161" s="90"/>
      <c r="L161" s="90"/>
      <c r="M161" s="90"/>
    </row>
    <row r="162" spans="1:13" ht="230.25" thickTop="1" thickBot="1" x14ac:dyDescent="0.25">
      <c r="A162" s="119" t="s">
        <v>371</v>
      </c>
      <c r="B162" s="119" t="s">
        <v>369</v>
      </c>
      <c r="C162" s="119" t="s">
        <v>344</v>
      </c>
      <c r="D162" s="413" t="s">
        <v>370</v>
      </c>
      <c r="E162" s="363" t="s">
        <v>1253</v>
      </c>
      <c r="F162" s="360" t="s">
        <v>876</v>
      </c>
      <c r="G162" s="360">
        <f t="shared" si="18"/>
        <v>10000000</v>
      </c>
      <c r="H162" s="360">
        <f>'d3'!E182</f>
        <v>0</v>
      </c>
      <c r="I162" s="360">
        <f>'d3'!J182</f>
        <v>10000000</v>
      </c>
      <c r="J162" s="360">
        <f>'d3'!K182</f>
        <v>10000000</v>
      </c>
      <c r="K162" s="155"/>
      <c r="L162" s="155"/>
      <c r="M162" s="155"/>
    </row>
    <row r="163" spans="1:13" ht="321.75" hidden="1" thickTop="1" thickBot="1" x14ac:dyDescent="0.25">
      <c r="A163" s="41" t="s">
        <v>1093</v>
      </c>
      <c r="B163" s="41" t="s">
        <v>1094</v>
      </c>
      <c r="C163" s="41" t="s">
        <v>344</v>
      </c>
      <c r="D163" s="170" t="s">
        <v>1095</v>
      </c>
      <c r="E163" s="73" t="s">
        <v>874</v>
      </c>
      <c r="F163" s="73" t="s">
        <v>875</v>
      </c>
      <c r="G163" s="73">
        <f t="shared" si="18"/>
        <v>0</v>
      </c>
      <c r="H163" s="288">
        <f>'d3'!E183</f>
        <v>0</v>
      </c>
      <c r="I163" s="288">
        <f>'d3'!J183</f>
        <v>0</v>
      </c>
      <c r="J163" s="288">
        <f>'d3'!K183</f>
        <v>0</v>
      </c>
      <c r="K163" s="155"/>
      <c r="L163" s="155"/>
      <c r="M163" s="155"/>
    </row>
    <row r="164" spans="1:13" ht="138.75" thickTop="1" thickBot="1" x14ac:dyDescent="0.25">
      <c r="A164" s="119" t="s">
        <v>933</v>
      </c>
      <c r="B164" s="119" t="s">
        <v>934</v>
      </c>
      <c r="C164" s="119" t="s">
        <v>308</v>
      </c>
      <c r="D164" s="119" t="s">
        <v>1561</v>
      </c>
      <c r="E164" s="363" t="s">
        <v>1217</v>
      </c>
      <c r="F164" s="360" t="s">
        <v>1189</v>
      </c>
      <c r="G164" s="360">
        <f t="shared" si="18"/>
        <v>29000</v>
      </c>
      <c r="H164" s="391">
        <f>'d3'!E187</f>
        <v>0</v>
      </c>
      <c r="I164" s="391">
        <f>'d3'!J187</f>
        <v>29000</v>
      </c>
      <c r="J164" s="391">
        <f>'d3'!K187</f>
        <v>29000</v>
      </c>
      <c r="K164" s="155"/>
      <c r="L164" s="155"/>
      <c r="M164" s="155"/>
    </row>
    <row r="165" spans="1:13" ht="138.75" thickTop="1" thickBot="1" x14ac:dyDescent="0.25">
      <c r="A165" s="119" t="s">
        <v>1386</v>
      </c>
      <c r="B165" s="119" t="s">
        <v>216</v>
      </c>
      <c r="C165" s="119" t="s">
        <v>217</v>
      </c>
      <c r="D165" s="119" t="s">
        <v>41</v>
      </c>
      <c r="E165" s="363" t="s">
        <v>1217</v>
      </c>
      <c r="F165" s="360" t="s">
        <v>1189</v>
      </c>
      <c r="G165" s="360">
        <f t="shared" si="18"/>
        <v>8820000</v>
      </c>
      <c r="H165" s="391">
        <f>'d3'!E189</f>
        <v>20000</v>
      </c>
      <c r="I165" s="391">
        <f>'d3'!J189</f>
        <v>8800000</v>
      </c>
      <c r="J165" s="391">
        <f>'d3'!K189</f>
        <v>8800000</v>
      </c>
      <c r="K165" s="155"/>
      <c r="L165" s="155"/>
      <c r="M165" s="155"/>
    </row>
    <row r="166" spans="1:13" ht="321.75" hidden="1" thickTop="1" thickBot="1" x14ac:dyDescent="0.7">
      <c r="A166" s="713" t="s">
        <v>427</v>
      </c>
      <c r="B166" s="713" t="s">
        <v>342</v>
      </c>
      <c r="C166" s="713" t="s">
        <v>170</v>
      </c>
      <c r="D166" s="171" t="s">
        <v>444</v>
      </c>
      <c r="E166" s="713" t="s">
        <v>1184</v>
      </c>
      <c r="F166" s="713" t="s">
        <v>1185</v>
      </c>
      <c r="G166" s="796">
        <f>H166+I166</f>
        <v>0</v>
      </c>
      <c r="H166" s="796">
        <f>'d3'!E191</f>
        <v>0</v>
      </c>
      <c r="I166" s="796">
        <f>'d3'!J191</f>
        <v>0</v>
      </c>
      <c r="J166" s="796">
        <f>'d3'!K191</f>
        <v>0</v>
      </c>
      <c r="K166" s="155"/>
      <c r="L166" s="155"/>
      <c r="M166" s="155"/>
    </row>
    <row r="167" spans="1:13" ht="138.75" hidden="1" thickTop="1" thickBot="1" x14ac:dyDescent="0.25">
      <c r="A167" s="714"/>
      <c r="B167" s="714"/>
      <c r="C167" s="714"/>
      <c r="D167" s="172" t="s">
        <v>445</v>
      </c>
      <c r="E167" s="714"/>
      <c r="F167" s="714"/>
      <c r="G167" s="797"/>
      <c r="H167" s="817"/>
      <c r="I167" s="797"/>
      <c r="J167" s="797"/>
      <c r="K167" s="271"/>
      <c r="L167" s="278"/>
      <c r="M167" s="278"/>
    </row>
    <row r="168" spans="1:13" ht="136.5" thickTop="1" thickBot="1" x14ac:dyDescent="0.25">
      <c r="A168" s="403">
        <v>1000000</v>
      </c>
      <c r="B168" s="403"/>
      <c r="C168" s="403"/>
      <c r="D168" s="404" t="s">
        <v>24</v>
      </c>
      <c r="E168" s="403"/>
      <c r="F168" s="403"/>
      <c r="G168" s="405">
        <f>G169</f>
        <v>173736701</v>
      </c>
      <c r="H168" s="405">
        <f t="shared" ref="H168:J168" si="20">H169</f>
        <v>157013279</v>
      </c>
      <c r="I168" s="405">
        <f t="shared" si="20"/>
        <v>16723422</v>
      </c>
      <c r="J168" s="405">
        <f t="shared" si="20"/>
        <v>7411967</v>
      </c>
      <c r="K168" s="106" t="b">
        <f>H168='d3'!E194</f>
        <v>1</v>
      </c>
      <c r="L168" s="107" t="b">
        <f>I168='d3'!J194</f>
        <v>1</v>
      </c>
      <c r="M168" s="107" t="b">
        <f>J168='d3'!K194</f>
        <v>1</v>
      </c>
    </row>
    <row r="169" spans="1:13" ht="136.5" thickTop="1" thickBot="1" x14ac:dyDescent="0.25">
      <c r="A169" s="407">
        <v>1010000</v>
      </c>
      <c r="B169" s="407"/>
      <c r="C169" s="407"/>
      <c r="D169" s="408" t="s">
        <v>39</v>
      </c>
      <c r="E169" s="409"/>
      <c r="F169" s="409"/>
      <c r="G169" s="409">
        <f>SUM(G170:G189)</f>
        <v>173736701</v>
      </c>
      <c r="H169" s="409">
        <f>SUM(H170:H189)</f>
        <v>157013279</v>
      </c>
      <c r="I169" s="409">
        <f>SUM(I170:I189)</f>
        <v>16723422</v>
      </c>
      <c r="J169" s="409">
        <f>SUM(J170:J189)</f>
        <v>7411967</v>
      </c>
      <c r="K169" s="155"/>
      <c r="L169" s="155"/>
      <c r="M169" s="155"/>
    </row>
    <row r="170" spans="1:13" ht="184.5" thickTop="1" thickBot="1" x14ac:dyDescent="0.25">
      <c r="A170" s="119" t="s">
        <v>642</v>
      </c>
      <c r="B170" s="119" t="s">
        <v>643</v>
      </c>
      <c r="C170" s="119" t="s">
        <v>185</v>
      </c>
      <c r="D170" s="119" t="s">
        <v>1140</v>
      </c>
      <c r="E170" s="360" t="s">
        <v>872</v>
      </c>
      <c r="F170" s="360" t="s">
        <v>873</v>
      </c>
      <c r="G170" s="360">
        <f>H170+I170</f>
        <v>94697689</v>
      </c>
      <c r="H170" s="360">
        <f>'d3'!E196-H171</f>
        <v>84627233</v>
      </c>
      <c r="I170" s="360">
        <f>'d3'!J196-I171</f>
        <v>10070456</v>
      </c>
      <c r="J170" s="360">
        <f>'d3'!K196-J171</f>
        <v>1689601</v>
      </c>
      <c r="K170" s="155"/>
      <c r="L170" s="155"/>
      <c r="M170" s="155"/>
    </row>
    <row r="171" spans="1:13" ht="184.5" thickTop="1" thickBot="1" x14ac:dyDescent="0.25">
      <c r="A171" s="119" t="s">
        <v>642</v>
      </c>
      <c r="B171" s="119" t="s">
        <v>643</v>
      </c>
      <c r="C171" s="119" t="s">
        <v>185</v>
      </c>
      <c r="D171" s="119" t="s">
        <v>1140</v>
      </c>
      <c r="E171" s="363" t="s">
        <v>1478</v>
      </c>
      <c r="F171" s="360" t="s">
        <v>454</v>
      </c>
      <c r="G171" s="360">
        <f t="shared" ref="G171" si="21">H171+I171</f>
        <v>140088</v>
      </c>
      <c r="H171" s="360">
        <v>12927</v>
      </c>
      <c r="I171" s="360">
        <v>127161</v>
      </c>
      <c r="J171" s="360">
        <v>127161</v>
      </c>
      <c r="K171" s="155"/>
      <c r="L171" s="155"/>
      <c r="M171" s="155"/>
    </row>
    <row r="172" spans="1:13" ht="243" customHeight="1" thickTop="1" thickBot="1" x14ac:dyDescent="0.25">
      <c r="A172" s="119" t="s">
        <v>171</v>
      </c>
      <c r="B172" s="119" t="s">
        <v>172</v>
      </c>
      <c r="C172" s="119" t="s">
        <v>174</v>
      </c>
      <c r="D172" s="119" t="s">
        <v>175</v>
      </c>
      <c r="E172" s="360" t="s">
        <v>872</v>
      </c>
      <c r="F172" s="360" t="s">
        <v>873</v>
      </c>
      <c r="G172" s="360">
        <f t="shared" ref="G172:G189" si="22">H172+I172</f>
        <v>522229.91000000003</v>
      </c>
      <c r="H172" s="360">
        <f>'d3'!E198</f>
        <v>522229.91000000003</v>
      </c>
      <c r="I172" s="360">
        <f>'d3'!J198</f>
        <v>0</v>
      </c>
      <c r="J172" s="360">
        <f>'d3'!K198</f>
        <v>0</v>
      </c>
      <c r="K172" s="155"/>
      <c r="L172" s="155"/>
      <c r="M172" s="155"/>
    </row>
    <row r="173" spans="1:13" ht="184.5" thickTop="1" thickBot="1" x14ac:dyDescent="0.25">
      <c r="A173" s="119" t="s">
        <v>176</v>
      </c>
      <c r="B173" s="119" t="s">
        <v>177</v>
      </c>
      <c r="C173" s="119" t="s">
        <v>178</v>
      </c>
      <c r="D173" s="119" t="s">
        <v>179</v>
      </c>
      <c r="E173" s="360" t="s">
        <v>872</v>
      </c>
      <c r="F173" s="360" t="s">
        <v>873</v>
      </c>
      <c r="G173" s="360">
        <f t="shared" si="22"/>
        <v>17161872</v>
      </c>
      <c r="H173" s="360">
        <f>'d3'!E199-H174-H175</f>
        <v>16592119</v>
      </c>
      <c r="I173" s="360">
        <f>'d3'!J199-I174-I175</f>
        <v>569753</v>
      </c>
      <c r="J173" s="360">
        <f>'d3'!K199-J174-J175</f>
        <v>435753</v>
      </c>
      <c r="K173" s="155"/>
      <c r="L173" s="155"/>
      <c r="M173" s="155"/>
    </row>
    <row r="174" spans="1:13" ht="184.5" hidden="1" thickTop="1" thickBot="1" x14ac:dyDescent="0.25">
      <c r="A174" s="119" t="s">
        <v>176</v>
      </c>
      <c r="B174" s="119" t="s">
        <v>177</v>
      </c>
      <c r="C174" s="119" t="s">
        <v>178</v>
      </c>
      <c r="D174" s="119" t="s">
        <v>179</v>
      </c>
      <c r="E174" s="363" t="s">
        <v>453</v>
      </c>
      <c r="F174" s="401" t="s">
        <v>454</v>
      </c>
      <c r="G174" s="360">
        <f>H174+I174</f>
        <v>0</v>
      </c>
      <c r="H174" s="364">
        <v>0</v>
      </c>
      <c r="I174" s="360">
        <v>0</v>
      </c>
      <c r="J174" s="360">
        <v>0</v>
      </c>
      <c r="K174" s="155"/>
      <c r="L174" s="155"/>
      <c r="M174" s="155"/>
    </row>
    <row r="175" spans="1:13" ht="184.5" hidden="1" thickTop="1" thickBot="1" x14ac:dyDescent="0.25">
      <c r="A175" s="119" t="s">
        <v>176</v>
      </c>
      <c r="B175" s="119" t="s">
        <v>177</v>
      </c>
      <c r="C175" s="119" t="s">
        <v>178</v>
      </c>
      <c r="D175" s="119" t="s">
        <v>179</v>
      </c>
      <c r="E175" s="360" t="s">
        <v>870</v>
      </c>
      <c r="F175" s="360" t="s">
        <v>871</v>
      </c>
      <c r="G175" s="360">
        <f>H175+I175</f>
        <v>0</v>
      </c>
      <c r="H175" s="364">
        <v>0</v>
      </c>
      <c r="I175" s="360">
        <v>0</v>
      </c>
      <c r="J175" s="360">
        <v>0</v>
      </c>
      <c r="K175" s="155"/>
      <c r="L175" s="155"/>
      <c r="M175" s="155"/>
    </row>
    <row r="176" spans="1:13" ht="184.5" thickTop="1" thickBot="1" x14ac:dyDescent="0.25">
      <c r="A176" s="119" t="s">
        <v>180</v>
      </c>
      <c r="B176" s="119" t="s">
        <v>181</v>
      </c>
      <c r="C176" s="119" t="s">
        <v>178</v>
      </c>
      <c r="D176" s="119" t="s">
        <v>467</v>
      </c>
      <c r="E176" s="360" t="s">
        <v>872</v>
      </c>
      <c r="F176" s="360" t="s">
        <v>873</v>
      </c>
      <c r="G176" s="360">
        <f t="shared" si="22"/>
        <v>2603558</v>
      </c>
      <c r="H176" s="360">
        <f>'d3'!E200-H177</f>
        <v>2481126</v>
      </c>
      <c r="I176" s="360">
        <f>'d3'!J200-I177</f>
        <v>122432</v>
      </c>
      <c r="J176" s="360">
        <f>'d3'!K200-J177</f>
        <v>20832</v>
      </c>
      <c r="K176" s="155"/>
      <c r="L176" s="155"/>
      <c r="M176" s="155"/>
    </row>
    <row r="177" spans="1:13" ht="184.5" thickTop="1" thickBot="1" x14ac:dyDescent="0.25">
      <c r="A177" s="119" t="s">
        <v>180</v>
      </c>
      <c r="B177" s="119" t="s">
        <v>181</v>
      </c>
      <c r="C177" s="119" t="s">
        <v>178</v>
      </c>
      <c r="D177" s="119" t="s">
        <v>467</v>
      </c>
      <c r="E177" s="363" t="s">
        <v>1478</v>
      </c>
      <c r="F177" s="360" t="s">
        <v>454</v>
      </c>
      <c r="G177" s="360">
        <f t="shared" si="22"/>
        <v>150000</v>
      </c>
      <c r="H177" s="360">
        <v>50420</v>
      </c>
      <c r="I177" s="360">
        <v>99580</v>
      </c>
      <c r="J177" s="360">
        <v>99580</v>
      </c>
      <c r="K177" s="155"/>
      <c r="L177" s="155"/>
      <c r="M177" s="155"/>
    </row>
    <row r="178" spans="1:13" ht="184.5" thickTop="1" thickBot="1" x14ac:dyDescent="0.25">
      <c r="A178" s="119" t="s">
        <v>182</v>
      </c>
      <c r="B178" s="119" t="s">
        <v>173</v>
      </c>
      <c r="C178" s="119" t="s">
        <v>183</v>
      </c>
      <c r="D178" s="119" t="s">
        <v>184</v>
      </c>
      <c r="E178" s="360" t="s">
        <v>872</v>
      </c>
      <c r="F178" s="360" t="s">
        <v>873</v>
      </c>
      <c r="G178" s="360">
        <f t="shared" si="22"/>
        <v>23214937.09</v>
      </c>
      <c r="H178" s="360">
        <f>'d3'!E201-H179</f>
        <v>20553932.09</v>
      </c>
      <c r="I178" s="360">
        <f>'d3'!J201-I179</f>
        <v>2661005</v>
      </c>
      <c r="J178" s="360">
        <f>'d3'!K201-J179</f>
        <v>2113005</v>
      </c>
      <c r="K178" s="155"/>
      <c r="L178" s="155"/>
      <c r="M178" s="155"/>
    </row>
    <row r="179" spans="1:13" ht="184.5" hidden="1" thickTop="1" thickBot="1" x14ac:dyDescent="0.25">
      <c r="A179" s="41" t="s">
        <v>182</v>
      </c>
      <c r="B179" s="41" t="s">
        <v>173</v>
      </c>
      <c r="C179" s="41" t="s">
        <v>183</v>
      </c>
      <c r="D179" s="41" t="s">
        <v>184</v>
      </c>
      <c r="E179" s="275" t="s">
        <v>453</v>
      </c>
      <c r="F179" s="280" t="s">
        <v>454</v>
      </c>
      <c r="G179" s="73">
        <f>H179+I179</f>
        <v>0</v>
      </c>
      <c r="H179" s="276">
        <v>0</v>
      </c>
      <c r="I179" s="73">
        <v>0</v>
      </c>
      <c r="J179" s="73">
        <v>0</v>
      </c>
      <c r="K179" s="155"/>
      <c r="L179" s="155"/>
      <c r="M179" s="155"/>
    </row>
    <row r="180" spans="1:13" ht="184.5" thickTop="1" thickBot="1" x14ac:dyDescent="0.25">
      <c r="A180" s="119" t="s">
        <v>1219</v>
      </c>
      <c r="B180" s="119" t="s">
        <v>1220</v>
      </c>
      <c r="C180" s="119" t="s">
        <v>1222</v>
      </c>
      <c r="D180" s="119" t="s">
        <v>1221</v>
      </c>
      <c r="E180" s="360" t="s">
        <v>872</v>
      </c>
      <c r="F180" s="360" t="s">
        <v>873</v>
      </c>
      <c r="G180" s="360">
        <f>H180+I180</f>
        <v>197759</v>
      </c>
      <c r="H180" s="364">
        <f>'d3'!E202</f>
        <v>197759</v>
      </c>
      <c r="I180" s="360">
        <f>'d3'!J202</f>
        <v>0</v>
      </c>
      <c r="J180" s="360">
        <f>'d3'!K202</f>
        <v>0</v>
      </c>
      <c r="K180" s="155"/>
      <c r="L180" s="155"/>
      <c r="M180" s="155"/>
    </row>
    <row r="181" spans="1:13" ht="184.5" thickTop="1" thickBot="1" x14ac:dyDescent="0.25">
      <c r="A181" s="119" t="s">
        <v>337</v>
      </c>
      <c r="B181" s="119" t="s">
        <v>338</v>
      </c>
      <c r="C181" s="119" t="s">
        <v>186</v>
      </c>
      <c r="D181" s="119" t="s">
        <v>468</v>
      </c>
      <c r="E181" s="360" t="s">
        <v>872</v>
      </c>
      <c r="F181" s="360" t="s">
        <v>873</v>
      </c>
      <c r="G181" s="360">
        <f>H181+I181</f>
        <v>24437387</v>
      </c>
      <c r="H181" s="360">
        <f>'d3'!E204-H182</f>
        <v>24248887</v>
      </c>
      <c r="I181" s="360">
        <f>'d3'!J204-I182</f>
        <v>188500</v>
      </c>
      <c r="J181" s="360">
        <f>'d3'!K204-J182</f>
        <v>41500</v>
      </c>
      <c r="K181" s="155"/>
      <c r="L181" s="155"/>
      <c r="M181" s="155"/>
    </row>
    <row r="182" spans="1:13" ht="199.5" customHeight="1" thickTop="1" thickBot="1" x14ac:dyDescent="0.25">
      <c r="A182" s="119" t="s">
        <v>337</v>
      </c>
      <c r="B182" s="119" t="s">
        <v>338</v>
      </c>
      <c r="C182" s="119" t="s">
        <v>186</v>
      </c>
      <c r="D182" s="119" t="s">
        <v>468</v>
      </c>
      <c r="E182" s="360" t="s">
        <v>1311</v>
      </c>
      <c r="F182" s="360" t="s">
        <v>410</v>
      </c>
      <c r="G182" s="360">
        <f t="shared" si="22"/>
        <v>1172500</v>
      </c>
      <c r="H182" s="360">
        <f>804000+368500</f>
        <v>1172500</v>
      </c>
      <c r="I182" s="360">
        <v>0</v>
      </c>
      <c r="J182" s="360">
        <v>0</v>
      </c>
      <c r="K182" s="155"/>
      <c r="L182" s="155"/>
      <c r="M182" s="155"/>
    </row>
    <row r="183" spans="1:13" ht="246" customHeight="1" thickTop="1" thickBot="1" x14ac:dyDescent="0.25">
      <c r="A183" s="119" t="s">
        <v>339</v>
      </c>
      <c r="B183" s="119" t="s">
        <v>340</v>
      </c>
      <c r="C183" s="119" t="s">
        <v>186</v>
      </c>
      <c r="D183" s="119" t="s">
        <v>469</v>
      </c>
      <c r="E183" s="360" t="s">
        <v>872</v>
      </c>
      <c r="F183" s="360" t="s">
        <v>873</v>
      </c>
      <c r="G183" s="360">
        <f t="shared" si="22"/>
        <v>4772481</v>
      </c>
      <c r="H183" s="360">
        <f>'d3'!E205-H184-H185</f>
        <v>4772481</v>
      </c>
      <c r="I183" s="360">
        <f>'d3'!J205-I184-I185</f>
        <v>0</v>
      </c>
      <c r="J183" s="360">
        <f>'d3'!K205-J184-J185</f>
        <v>0</v>
      </c>
      <c r="K183" s="155"/>
      <c r="L183" s="155"/>
      <c r="M183" s="155"/>
    </row>
    <row r="184" spans="1:13" ht="178.5" customHeight="1" thickTop="1" thickBot="1" x14ac:dyDescent="0.25">
      <c r="A184" s="119" t="s">
        <v>339</v>
      </c>
      <c r="B184" s="119" t="s">
        <v>340</v>
      </c>
      <c r="C184" s="119" t="s">
        <v>186</v>
      </c>
      <c r="D184" s="119" t="s">
        <v>469</v>
      </c>
      <c r="E184" s="360" t="s">
        <v>1311</v>
      </c>
      <c r="F184" s="360" t="s">
        <v>410</v>
      </c>
      <c r="G184" s="360">
        <f t="shared" si="22"/>
        <v>544040</v>
      </c>
      <c r="H184" s="360">
        <f>337680+206360</f>
        <v>544040</v>
      </c>
      <c r="I184" s="360">
        <v>0</v>
      </c>
      <c r="J184" s="360">
        <v>0</v>
      </c>
      <c r="K184" s="155"/>
      <c r="L184" s="155"/>
      <c r="M184" s="155"/>
    </row>
    <row r="185" spans="1:13" ht="310.7" customHeight="1" thickTop="1" thickBot="1" x14ac:dyDescent="0.25">
      <c r="A185" s="119" t="s">
        <v>339</v>
      </c>
      <c r="B185" s="119" t="s">
        <v>340</v>
      </c>
      <c r="C185" s="119" t="s">
        <v>186</v>
      </c>
      <c r="D185" s="119" t="s">
        <v>469</v>
      </c>
      <c r="E185" s="360" t="s">
        <v>870</v>
      </c>
      <c r="F185" s="360" t="s">
        <v>871</v>
      </c>
      <c r="G185" s="360">
        <f t="shared" si="22"/>
        <v>175000</v>
      </c>
      <c r="H185" s="360">
        <v>175000</v>
      </c>
      <c r="I185" s="360">
        <v>0</v>
      </c>
      <c r="J185" s="360">
        <v>0</v>
      </c>
      <c r="K185" s="155"/>
      <c r="L185" s="155"/>
      <c r="M185" s="155"/>
    </row>
    <row r="186" spans="1:13" ht="138.75" thickTop="1" thickBot="1" x14ac:dyDescent="0.25">
      <c r="A186" s="119" t="s">
        <v>1051</v>
      </c>
      <c r="B186" s="119" t="s">
        <v>1052</v>
      </c>
      <c r="C186" s="119" t="s">
        <v>217</v>
      </c>
      <c r="D186" s="119" t="s">
        <v>1050</v>
      </c>
      <c r="E186" s="360" t="s">
        <v>1054</v>
      </c>
      <c r="F186" s="360" t="s">
        <v>1053</v>
      </c>
      <c r="G186" s="360">
        <f t="shared" si="22"/>
        <v>1062625</v>
      </c>
      <c r="H186" s="360">
        <f>'d3'!E209</f>
        <v>1062625</v>
      </c>
      <c r="I186" s="360">
        <f>'d3'!J209</f>
        <v>0</v>
      </c>
      <c r="J186" s="360">
        <f>'d3'!K209</f>
        <v>0</v>
      </c>
      <c r="K186" s="289"/>
      <c r="L186" s="289"/>
      <c r="M186" s="155"/>
    </row>
    <row r="187" spans="1:13" ht="184.5" thickTop="1" thickBot="1" x14ac:dyDescent="0.25">
      <c r="A187" s="119" t="s">
        <v>1319</v>
      </c>
      <c r="B187" s="119" t="s">
        <v>216</v>
      </c>
      <c r="C187" s="119" t="s">
        <v>217</v>
      </c>
      <c r="D187" s="119" t="s">
        <v>41</v>
      </c>
      <c r="E187" s="360" t="s">
        <v>872</v>
      </c>
      <c r="F187" s="360" t="s">
        <v>873</v>
      </c>
      <c r="G187" s="360">
        <f t="shared" si="22"/>
        <v>2884535</v>
      </c>
      <c r="H187" s="360">
        <f>'d3'!E210</f>
        <v>0</v>
      </c>
      <c r="I187" s="360">
        <f>'d3'!J210</f>
        <v>2884535</v>
      </c>
      <c r="J187" s="360">
        <f>'d3'!K210</f>
        <v>2884535</v>
      </c>
      <c r="K187" s="289"/>
      <c r="L187" s="289"/>
      <c r="M187" s="155"/>
    </row>
    <row r="188" spans="1:13" ht="184.5" hidden="1" thickTop="1" thickBot="1" x14ac:dyDescent="0.25">
      <c r="A188" s="119" t="s">
        <v>926</v>
      </c>
      <c r="B188" s="119" t="s">
        <v>201</v>
      </c>
      <c r="C188" s="119" t="s">
        <v>170</v>
      </c>
      <c r="D188" s="119" t="s">
        <v>34</v>
      </c>
      <c r="E188" s="360" t="s">
        <v>872</v>
      </c>
      <c r="F188" s="360" t="s">
        <v>873</v>
      </c>
      <c r="G188" s="360">
        <f t="shared" si="22"/>
        <v>0</v>
      </c>
      <c r="H188" s="360">
        <f>'d3'!E211</f>
        <v>0</v>
      </c>
      <c r="I188" s="360">
        <f>'d3'!J211</f>
        <v>0</v>
      </c>
      <c r="J188" s="360">
        <f>'d3'!K211</f>
        <v>0</v>
      </c>
      <c r="K188" s="289"/>
      <c r="L188" s="289"/>
      <c r="M188" s="155"/>
    </row>
    <row r="189" spans="1:13" ht="138.75" hidden="1" thickTop="1" thickBot="1" x14ac:dyDescent="0.25">
      <c r="A189" s="41" t="s">
        <v>591</v>
      </c>
      <c r="B189" s="41" t="s">
        <v>367</v>
      </c>
      <c r="C189" s="41" t="s">
        <v>43</v>
      </c>
      <c r="D189" s="41" t="s">
        <v>368</v>
      </c>
      <c r="E189" s="275" t="s">
        <v>867</v>
      </c>
      <c r="F189" s="73" t="s">
        <v>868</v>
      </c>
      <c r="G189" s="73">
        <f t="shared" si="22"/>
        <v>0</v>
      </c>
      <c r="H189" s="73">
        <f>'d3'!E214</f>
        <v>0</v>
      </c>
      <c r="I189" s="73">
        <f>'d3'!J214</f>
        <v>0</v>
      </c>
      <c r="J189" s="73">
        <f>'d3'!K214</f>
        <v>0</v>
      </c>
      <c r="K189" s="289"/>
      <c r="L189" s="289"/>
      <c r="M189" s="155"/>
    </row>
    <row r="190" spans="1:13" ht="136.5" thickTop="1" thickBot="1" x14ac:dyDescent="0.25">
      <c r="A190" s="403" t="s">
        <v>22</v>
      </c>
      <c r="B190" s="403"/>
      <c r="C190" s="403"/>
      <c r="D190" s="404" t="s">
        <v>23</v>
      </c>
      <c r="E190" s="403"/>
      <c r="F190" s="403"/>
      <c r="G190" s="405">
        <f>G191</f>
        <v>143589963.47999999</v>
      </c>
      <c r="H190" s="405">
        <f t="shared" ref="H190:J190" si="23">H191</f>
        <v>112177538</v>
      </c>
      <c r="I190" s="405">
        <f t="shared" si="23"/>
        <v>31412425.479999997</v>
      </c>
      <c r="J190" s="405">
        <f t="shared" si="23"/>
        <v>28911403.479999997</v>
      </c>
      <c r="K190" s="106" t="b">
        <f>H190='d3'!E216+'d4'!F12</f>
        <v>1</v>
      </c>
      <c r="L190" s="107" t="b">
        <f>I190='d3'!J215+'d4'!G12</f>
        <v>1</v>
      </c>
      <c r="M190" s="107" t="b">
        <f>J190='d3'!K215+'d4'!H12</f>
        <v>1</v>
      </c>
    </row>
    <row r="191" spans="1:13" ht="175.7" customHeight="1" thickTop="1" thickBot="1" x14ac:dyDescent="0.25">
      <c r="A191" s="407" t="s">
        <v>21</v>
      </c>
      <c r="B191" s="407"/>
      <c r="C191" s="407"/>
      <c r="D191" s="408" t="s">
        <v>35</v>
      </c>
      <c r="E191" s="409"/>
      <c r="F191" s="409"/>
      <c r="G191" s="409">
        <f>SUM(G192:G211)</f>
        <v>143589963.47999999</v>
      </c>
      <c r="H191" s="409">
        <f>SUM(H192:H211)</f>
        <v>112177538</v>
      </c>
      <c r="I191" s="409">
        <f>SUM(I192:I211)</f>
        <v>31412425.479999997</v>
      </c>
      <c r="J191" s="409">
        <f>SUM(J192:J211)</f>
        <v>28911403.479999997</v>
      </c>
      <c r="K191" s="155"/>
      <c r="L191" s="155"/>
      <c r="M191" s="155"/>
    </row>
    <row r="192" spans="1:13" ht="184.5" hidden="1" thickTop="1" thickBot="1" x14ac:dyDescent="0.25">
      <c r="A192" s="144" t="s">
        <v>187</v>
      </c>
      <c r="B192" s="144" t="s">
        <v>188</v>
      </c>
      <c r="C192" s="144" t="s">
        <v>189</v>
      </c>
      <c r="D192" s="144" t="s">
        <v>644</v>
      </c>
      <c r="E192" s="272" t="s">
        <v>1187</v>
      </c>
      <c r="F192" s="213" t="s">
        <v>1188</v>
      </c>
      <c r="G192" s="213">
        <f t="shared" ref="G192:G194" si="24">H192+I192</f>
        <v>0</v>
      </c>
      <c r="H192" s="273">
        <f>'d3'!E219</f>
        <v>0</v>
      </c>
      <c r="I192" s="290">
        <f>'d3'!J219</f>
        <v>0</v>
      </c>
      <c r="J192" s="213">
        <f>'d3'!K219</f>
        <v>0</v>
      </c>
      <c r="K192" s="155"/>
      <c r="L192" s="155"/>
      <c r="M192" s="155"/>
    </row>
    <row r="193" spans="1:13" ht="230.25" thickTop="1" thickBot="1" x14ac:dyDescent="0.25">
      <c r="A193" s="119" t="s">
        <v>193</v>
      </c>
      <c r="B193" s="119" t="s">
        <v>194</v>
      </c>
      <c r="C193" s="119" t="s">
        <v>189</v>
      </c>
      <c r="D193" s="119" t="s">
        <v>10</v>
      </c>
      <c r="E193" s="363" t="s">
        <v>1299</v>
      </c>
      <c r="F193" s="360" t="s">
        <v>1188</v>
      </c>
      <c r="G193" s="360">
        <f t="shared" si="24"/>
        <v>7477569.4000000004</v>
      </c>
      <c r="H193" s="364">
        <f>'d3'!E221-H194</f>
        <v>5451323</v>
      </c>
      <c r="I193" s="478">
        <f>'d3'!J221-I194</f>
        <v>2026246.4</v>
      </c>
      <c r="J193" s="360">
        <f>'d3'!K221-J194</f>
        <v>1628846.4</v>
      </c>
      <c r="K193" s="155"/>
      <c r="L193" s="155"/>
      <c r="M193" s="155"/>
    </row>
    <row r="194" spans="1:13" ht="184.5" thickTop="1" thickBot="1" x14ac:dyDescent="0.25">
      <c r="A194" s="119" t="s">
        <v>193</v>
      </c>
      <c r="B194" s="119" t="s">
        <v>194</v>
      </c>
      <c r="C194" s="119" t="s">
        <v>189</v>
      </c>
      <c r="D194" s="119" t="s">
        <v>10</v>
      </c>
      <c r="E194" s="363" t="s">
        <v>1478</v>
      </c>
      <c r="F194" s="360" t="s">
        <v>454</v>
      </c>
      <c r="G194" s="360">
        <f t="shared" si="24"/>
        <v>149845</v>
      </c>
      <c r="H194" s="364">
        <v>75845</v>
      </c>
      <c r="I194" s="478">
        <v>74000</v>
      </c>
      <c r="J194" s="360">
        <v>74000</v>
      </c>
      <c r="K194" s="155"/>
      <c r="L194" s="155"/>
      <c r="M194" s="155"/>
    </row>
    <row r="195" spans="1:13" ht="230.25" thickTop="1" thickBot="1" x14ac:dyDescent="0.25">
      <c r="A195" s="119" t="s">
        <v>355</v>
      </c>
      <c r="B195" s="119" t="s">
        <v>356</v>
      </c>
      <c r="C195" s="119" t="s">
        <v>189</v>
      </c>
      <c r="D195" s="119" t="s">
        <v>357</v>
      </c>
      <c r="E195" s="363" t="s">
        <v>1299</v>
      </c>
      <c r="F195" s="360" t="s">
        <v>1188</v>
      </c>
      <c r="G195" s="360">
        <f t="shared" ref="G195:G199" si="25">H195+I195</f>
        <v>6709980</v>
      </c>
      <c r="H195" s="364">
        <f>'d3'!E222</f>
        <v>6654354</v>
      </c>
      <c r="I195" s="478">
        <f>'d3'!J222</f>
        <v>55626</v>
      </c>
      <c r="J195" s="360">
        <f>'d3'!K222</f>
        <v>55626</v>
      </c>
      <c r="K195" s="155"/>
      <c r="L195" s="155"/>
      <c r="M195" s="155"/>
    </row>
    <row r="196" spans="1:13" ht="230.25" thickTop="1" thickBot="1" x14ac:dyDescent="0.25">
      <c r="A196" s="119" t="s">
        <v>44</v>
      </c>
      <c r="B196" s="119" t="s">
        <v>190</v>
      </c>
      <c r="C196" s="119" t="s">
        <v>199</v>
      </c>
      <c r="D196" s="119" t="s">
        <v>45</v>
      </c>
      <c r="E196" s="363" t="s">
        <v>1299</v>
      </c>
      <c r="F196" s="360" t="s">
        <v>1188</v>
      </c>
      <c r="G196" s="360">
        <f t="shared" si="25"/>
        <v>21532670</v>
      </c>
      <c r="H196" s="360">
        <f>'d3'!E225</f>
        <v>21532670</v>
      </c>
      <c r="I196" s="478">
        <f>'d3'!J225</f>
        <v>0</v>
      </c>
      <c r="J196" s="360">
        <f>'d3'!K225</f>
        <v>0</v>
      </c>
      <c r="K196" s="155"/>
      <c r="L196" s="155"/>
      <c r="M196" s="155"/>
    </row>
    <row r="197" spans="1:13" ht="230.25" thickTop="1" thickBot="1" x14ac:dyDescent="0.25">
      <c r="A197" s="119" t="s">
        <v>46</v>
      </c>
      <c r="B197" s="119" t="s">
        <v>191</v>
      </c>
      <c r="C197" s="119" t="s">
        <v>199</v>
      </c>
      <c r="D197" s="119" t="s">
        <v>4</v>
      </c>
      <c r="E197" s="363" t="s">
        <v>1299</v>
      </c>
      <c r="F197" s="360" t="s">
        <v>1188</v>
      </c>
      <c r="G197" s="360">
        <f t="shared" si="25"/>
        <v>3101072</v>
      </c>
      <c r="H197" s="360">
        <f>'d3'!E226</f>
        <v>3101072</v>
      </c>
      <c r="I197" s="478">
        <f>'d3'!J226</f>
        <v>0</v>
      </c>
      <c r="J197" s="360">
        <f>'d3'!K226</f>
        <v>0</v>
      </c>
      <c r="K197" s="155"/>
      <c r="L197" s="155"/>
      <c r="M197" s="155"/>
    </row>
    <row r="198" spans="1:13" ht="230.25" thickTop="1" thickBot="1" x14ac:dyDescent="0.25">
      <c r="A198" s="119" t="s">
        <v>47</v>
      </c>
      <c r="B198" s="119" t="s">
        <v>192</v>
      </c>
      <c r="C198" s="119" t="s">
        <v>199</v>
      </c>
      <c r="D198" s="119" t="s">
        <v>353</v>
      </c>
      <c r="E198" s="363" t="s">
        <v>1299</v>
      </c>
      <c r="F198" s="360" t="s">
        <v>1188</v>
      </c>
      <c r="G198" s="360">
        <f t="shared" si="25"/>
        <v>53300</v>
      </c>
      <c r="H198" s="360">
        <f>'d3'!E228</f>
        <v>53300</v>
      </c>
      <c r="I198" s="478">
        <f>'d3'!J228</f>
        <v>0</v>
      </c>
      <c r="J198" s="360">
        <f>'d3'!K228</f>
        <v>0</v>
      </c>
      <c r="K198" s="155"/>
      <c r="L198" s="155"/>
      <c r="M198" s="155"/>
    </row>
    <row r="199" spans="1:13" ht="230.25" thickTop="1" thickBot="1" x14ac:dyDescent="0.25">
      <c r="A199" s="119" t="s">
        <v>28</v>
      </c>
      <c r="B199" s="119" t="s">
        <v>196</v>
      </c>
      <c r="C199" s="119" t="s">
        <v>199</v>
      </c>
      <c r="D199" s="119" t="s">
        <v>48</v>
      </c>
      <c r="E199" s="363" t="s">
        <v>1299</v>
      </c>
      <c r="F199" s="360" t="s">
        <v>1188</v>
      </c>
      <c r="G199" s="360">
        <f t="shared" si="25"/>
        <v>89802519.079999998</v>
      </c>
      <c r="H199" s="360">
        <f>'d3'!E230-H200</f>
        <v>61686605</v>
      </c>
      <c r="I199" s="478">
        <f>'d3'!J230-I200</f>
        <v>28115914.079999998</v>
      </c>
      <c r="J199" s="360">
        <f>'d3'!K230-J200</f>
        <v>26322292.079999998</v>
      </c>
      <c r="K199" s="155"/>
      <c r="L199" s="155"/>
      <c r="M199" s="155"/>
    </row>
    <row r="200" spans="1:13" ht="184.5" hidden="1" thickTop="1" thickBot="1" x14ac:dyDescent="0.25">
      <c r="A200" s="144" t="s">
        <v>28</v>
      </c>
      <c r="B200" s="144" t="s">
        <v>196</v>
      </c>
      <c r="C200" s="144" t="s">
        <v>199</v>
      </c>
      <c r="D200" s="144" t="s">
        <v>48</v>
      </c>
      <c r="E200" s="272" t="s">
        <v>453</v>
      </c>
      <c r="F200" s="167" t="s">
        <v>454</v>
      </c>
      <c r="G200" s="213">
        <f>H200+I200</f>
        <v>0</v>
      </c>
      <c r="H200" s="273">
        <v>0</v>
      </c>
      <c r="I200" s="213">
        <v>0</v>
      </c>
      <c r="J200" s="213">
        <v>0</v>
      </c>
      <c r="K200" s="155"/>
      <c r="L200" s="155"/>
      <c r="M200" s="155"/>
    </row>
    <row r="201" spans="1:13" ht="230.25" thickTop="1" thickBot="1" x14ac:dyDescent="0.25">
      <c r="A201" s="119" t="s">
        <v>29</v>
      </c>
      <c r="B201" s="119" t="s">
        <v>197</v>
      </c>
      <c r="C201" s="119" t="s">
        <v>199</v>
      </c>
      <c r="D201" s="119" t="s">
        <v>49</v>
      </c>
      <c r="E201" s="363" t="s">
        <v>1299</v>
      </c>
      <c r="F201" s="360" t="s">
        <v>1188</v>
      </c>
      <c r="G201" s="360">
        <f t="shared" ref="G201:G211" si="26">H201+I201</f>
        <v>6255339</v>
      </c>
      <c r="H201" s="360">
        <f>'d3'!E231</f>
        <v>6255339</v>
      </c>
      <c r="I201" s="478">
        <f>'d3'!J231</f>
        <v>0</v>
      </c>
      <c r="J201" s="360">
        <f>'d3'!K231</f>
        <v>0</v>
      </c>
      <c r="K201" s="155"/>
      <c r="L201" s="155"/>
      <c r="M201" s="155"/>
    </row>
    <row r="202" spans="1:13" ht="230.25" thickTop="1" thickBot="1" x14ac:dyDescent="0.25">
      <c r="A202" s="119" t="s">
        <v>1470</v>
      </c>
      <c r="B202" s="119" t="s">
        <v>1471</v>
      </c>
      <c r="C202" s="119" t="s">
        <v>199</v>
      </c>
      <c r="D202" s="119" t="s">
        <v>1472</v>
      </c>
      <c r="E202" s="363" t="s">
        <v>1299</v>
      </c>
      <c r="F202" s="360" t="s">
        <v>1188</v>
      </c>
      <c r="G202" s="360">
        <f t="shared" si="26"/>
        <v>147135</v>
      </c>
      <c r="H202" s="360">
        <f>'d3'!E233</f>
        <v>147135</v>
      </c>
      <c r="I202" s="478">
        <f>'d3'!J233</f>
        <v>0</v>
      </c>
      <c r="J202" s="478">
        <f>'d3'!K233</f>
        <v>0</v>
      </c>
      <c r="K202" s="155"/>
      <c r="L202" s="155"/>
      <c r="M202" s="155"/>
    </row>
    <row r="203" spans="1:13" ht="230.25" thickTop="1" thickBot="1" x14ac:dyDescent="0.25">
      <c r="A203" s="445" t="s">
        <v>30</v>
      </c>
      <c r="B203" s="445" t="s">
        <v>198</v>
      </c>
      <c r="C203" s="445" t="s">
        <v>199</v>
      </c>
      <c r="D203" s="119" t="s">
        <v>31</v>
      </c>
      <c r="E203" s="363" t="s">
        <v>1299</v>
      </c>
      <c r="F203" s="360" t="s">
        <v>1188</v>
      </c>
      <c r="G203" s="360">
        <f t="shared" si="26"/>
        <v>570057</v>
      </c>
      <c r="H203" s="360">
        <f>'d3'!E235</f>
        <v>570057</v>
      </c>
      <c r="I203" s="478">
        <f>'d3'!J235</f>
        <v>0</v>
      </c>
      <c r="J203" s="360">
        <f>'d3'!K235</f>
        <v>0</v>
      </c>
      <c r="K203" s="155"/>
      <c r="L203" s="155"/>
      <c r="M203" s="155"/>
    </row>
    <row r="204" spans="1:13" ht="230.25" thickTop="1" thickBot="1" x14ac:dyDescent="0.25">
      <c r="A204" s="445" t="s">
        <v>516</v>
      </c>
      <c r="B204" s="445" t="s">
        <v>514</v>
      </c>
      <c r="C204" s="445" t="s">
        <v>199</v>
      </c>
      <c r="D204" s="119" t="s">
        <v>515</v>
      </c>
      <c r="E204" s="363" t="s">
        <v>1299</v>
      </c>
      <c r="F204" s="360" t="s">
        <v>1188</v>
      </c>
      <c r="G204" s="360">
        <f t="shared" si="26"/>
        <v>3791300</v>
      </c>
      <c r="H204" s="360">
        <f>'d3'!E236</f>
        <v>3791300</v>
      </c>
      <c r="I204" s="478">
        <f>'d3'!J236</f>
        <v>0</v>
      </c>
      <c r="J204" s="478">
        <f>'d3'!K236</f>
        <v>0</v>
      </c>
      <c r="K204" s="155"/>
      <c r="L204" s="155"/>
      <c r="M204" s="155"/>
    </row>
    <row r="205" spans="1:13" ht="230.25" thickTop="1" thickBot="1" x14ac:dyDescent="0.25">
      <c r="A205" s="445" t="s">
        <v>32</v>
      </c>
      <c r="B205" s="445" t="s">
        <v>200</v>
      </c>
      <c r="C205" s="445" t="s">
        <v>199</v>
      </c>
      <c r="D205" s="119" t="s">
        <v>33</v>
      </c>
      <c r="E205" s="363" t="s">
        <v>1299</v>
      </c>
      <c r="F205" s="360" t="s">
        <v>1188</v>
      </c>
      <c r="G205" s="360">
        <f t="shared" si="26"/>
        <v>2078216</v>
      </c>
      <c r="H205" s="360">
        <f>'d3'!E237</f>
        <v>2005538</v>
      </c>
      <c r="I205" s="478">
        <f>'d3'!J237</f>
        <v>72678</v>
      </c>
      <c r="J205" s="360">
        <f>'d3'!K237</f>
        <v>22678</v>
      </c>
      <c r="K205" s="155"/>
      <c r="L205" s="155"/>
      <c r="M205" s="155"/>
    </row>
    <row r="206" spans="1:13" ht="276" thickTop="1" thickBot="1" x14ac:dyDescent="0.25">
      <c r="A206" s="445" t="s">
        <v>346</v>
      </c>
      <c r="B206" s="445" t="s">
        <v>345</v>
      </c>
      <c r="C206" s="445" t="s">
        <v>344</v>
      </c>
      <c r="D206" s="119" t="s">
        <v>645</v>
      </c>
      <c r="E206" s="363" t="s">
        <v>1299</v>
      </c>
      <c r="F206" s="360" t="s">
        <v>1188</v>
      </c>
      <c r="G206" s="360">
        <f t="shared" si="26"/>
        <v>63000</v>
      </c>
      <c r="H206" s="360">
        <f>'d3'!E240</f>
        <v>63000</v>
      </c>
      <c r="I206" s="478">
        <f>'d3'!J240</f>
        <v>0</v>
      </c>
      <c r="J206" s="478">
        <f>'d3'!K240</f>
        <v>0</v>
      </c>
      <c r="K206" s="155"/>
      <c r="L206" s="155"/>
      <c r="M206" s="155"/>
    </row>
    <row r="207" spans="1:13" ht="230.25" thickTop="1" thickBot="1" x14ac:dyDescent="0.25">
      <c r="A207" s="119" t="s">
        <v>1120</v>
      </c>
      <c r="B207" s="119" t="s">
        <v>317</v>
      </c>
      <c r="C207" s="119" t="s">
        <v>308</v>
      </c>
      <c r="D207" s="119" t="s">
        <v>1300</v>
      </c>
      <c r="E207" s="363" t="s">
        <v>1299</v>
      </c>
      <c r="F207" s="360" t="s">
        <v>1188</v>
      </c>
      <c r="G207" s="360">
        <f t="shared" si="26"/>
        <v>0</v>
      </c>
      <c r="H207" s="360">
        <f>'d3'!E244</f>
        <v>0</v>
      </c>
      <c r="I207" s="478">
        <f>'d3'!J244</f>
        <v>0</v>
      </c>
      <c r="J207" s="478">
        <f>'d3'!K244</f>
        <v>0</v>
      </c>
      <c r="K207" s="155"/>
      <c r="L207" s="155"/>
      <c r="M207" s="155"/>
    </row>
    <row r="208" spans="1:13" ht="230.25" thickTop="1" thickBot="1" x14ac:dyDescent="0.25">
      <c r="A208" s="119" t="s">
        <v>1425</v>
      </c>
      <c r="B208" s="119" t="s">
        <v>216</v>
      </c>
      <c r="C208" s="119" t="s">
        <v>217</v>
      </c>
      <c r="D208" s="119" t="s">
        <v>41</v>
      </c>
      <c r="E208" s="363" t="s">
        <v>1299</v>
      </c>
      <c r="F208" s="360" t="s">
        <v>1188</v>
      </c>
      <c r="G208" s="360">
        <f t="shared" si="26"/>
        <v>200870</v>
      </c>
      <c r="H208" s="360">
        <f>'d3'!E246</f>
        <v>0</v>
      </c>
      <c r="I208" s="478">
        <f>'d3'!J246</f>
        <v>200870</v>
      </c>
      <c r="J208" s="478">
        <f>'d3'!K246</f>
        <v>200870</v>
      </c>
      <c r="K208" s="155"/>
      <c r="L208" s="155"/>
      <c r="M208" s="155"/>
    </row>
    <row r="209" spans="1:13" ht="230.25" thickTop="1" thickBot="1" x14ac:dyDescent="0.25">
      <c r="A209" s="119" t="s">
        <v>613</v>
      </c>
      <c r="B209" s="119" t="s">
        <v>201</v>
      </c>
      <c r="C209" s="119" t="s">
        <v>170</v>
      </c>
      <c r="D209" s="119" t="s">
        <v>34</v>
      </c>
      <c r="E209" s="363" t="s">
        <v>1299</v>
      </c>
      <c r="F209" s="360" t="s">
        <v>1188</v>
      </c>
      <c r="G209" s="360">
        <f t="shared" ref="G209" si="27">H209+I209</f>
        <v>607091</v>
      </c>
      <c r="H209" s="360">
        <f>'d3'!E247</f>
        <v>0</v>
      </c>
      <c r="I209" s="478">
        <f>'d3'!J247</f>
        <v>607091</v>
      </c>
      <c r="J209" s="478">
        <f>'d3'!K247</f>
        <v>607091</v>
      </c>
      <c r="K209" s="155"/>
      <c r="L209" s="155"/>
      <c r="M209" s="155"/>
    </row>
    <row r="210" spans="1:13" ht="230.25" thickTop="1" thickBot="1" x14ac:dyDescent="0.25">
      <c r="A210" s="445" t="s">
        <v>461</v>
      </c>
      <c r="B210" s="445" t="s">
        <v>463</v>
      </c>
      <c r="C210" s="445" t="s">
        <v>50</v>
      </c>
      <c r="D210" s="119" t="s">
        <v>460</v>
      </c>
      <c r="E210" s="363" t="s">
        <v>1299</v>
      </c>
      <c r="F210" s="360" t="s">
        <v>1188</v>
      </c>
      <c r="G210" s="360">
        <f t="shared" si="26"/>
        <v>1050000</v>
      </c>
      <c r="H210" s="360">
        <f>'d4'!F17</f>
        <v>790000</v>
      </c>
      <c r="I210" s="478">
        <f>'d4'!G17</f>
        <v>260000</v>
      </c>
      <c r="J210" s="478">
        <f>'d4'!H17</f>
        <v>0</v>
      </c>
      <c r="K210" s="366"/>
      <c r="L210" s="366"/>
      <c r="M210" s="366"/>
    </row>
    <row r="211" spans="1:13" ht="276" hidden="1" thickTop="1" thickBot="1" x14ac:dyDescent="0.25">
      <c r="A211" s="41" t="s">
        <v>1129</v>
      </c>
      <c r="B211" s="41" t="s">
        <v>367</v>
      </c>
      <c r="C211" s="41" t="s">
        <v>43</v>
      </c>
      <c r="D211" s="41" t="s">
        <v>368</v>
      </c>
      <c r="E211" s="275" t="s">
        <v>592</v>
      </c>
      <c r="F211" s="73" t="s">
        <v>412</v>
      </c>
      <c r="G211" s="73">
        <f t="shared" si="26"/>
        <v>0</v>
      </c>
      <c r="H211" s="73">
        <f>'d3'!E250</f>
        <v>0</v>
      </c>
      <c r="I211" s="291">
        <f>'d3'!J250</f>
        <v>0</v>
      </c>
      <c r="J211" s="291">
        <f>'d3'!K250</f>
        <v>0</v>
      </c>
      <c r="K211" s="366"/>
      <c r="L211" s="366"/>
      <c r="M211" s="366"/>
    </row>
    <row r="212" spans="1:13" ht="136.5" thickTop="1" thickBot="1" x14ac:dyDescent="0.25">
      <c r="A212" s="403" t="s">
        <v>158</v>
      </c>
      <c r="B212" s="403"/>
      <c r="C212" s="403"/>
      <c r="D212" s="404" t="s">
        <v>566</v>
      </c>
      <c r="E212" s="403"/>
      <c r="F212" s="403"/>
      <c r="G212" s="405">
        <f>G213</f>
        <v>75310168.870000005</v>
      </c>
      <c r="H212" s="405">
        <f t="shared" ref="H212:J212" si="28">H213</f>
        <v>40180070</v>
      </c>
      <c r="I212" s="405">
        <f t="shared" si="28"/>
        <v>35130098.869999997</v>
      </c>
      <c r="J212" s="405">
        <f t="shared" si="28"/>
        <v>34650373</v>
      </c>
      <c r="K212" s="106" t="b">
        <f>H212='d3'!E251-'d3'!E254+'d7'!H214</f>
        <v>1</v>
      </c>
      <c r="L212" s="106" t="b">
        <f>I212='d3'!J251-'d3'!J254+I214</f>
        <v>1</v>
      </c>
      <c r="M212" s="106" t="b">
        <f>J212='d3'!K251-'d3'!K254+J214</f>
        <v>1</v>
      </c>
    </row>
    <row r="213" spans="1:13" ht="136.5" thickTop="1" thickBot="1" x14ac:dyDescent="0.25">
      <c r="A213" s="407" t="s">
        <v>159</v>
      </c>
      <c r="B213" s="407"/>
      <c r="C213" s="407"/>
      <c r="D213" s="408" t="s">
        <v>567</v>
      </c>
      <c r="E213" s="409"/>
      <c r="F213" s="409"/>
      <c r="G213" s="409">
        <f>SUM(G214:G235)</f>
        <v>75310168.870000005</v>
      </c>
      <c r="H213" s="409">
        <f>SUM(H214:H235)</f>
        <v>40180070</v>
      </c>
      <c r="I213" s="409">
        <f>SUM(I214:I235)</f>
        <v>35130098.869999997</v>
      </c>
      <c r="J213" s="409">
        <f>SUM(J214:J235)</f>
        <v>34650373</v>
      </c>
      <c r="K213" s="155"/>
      <c r="L213" s="155"/>
      <c r="M213" s="155"/>
    </row>
    <row r="214" spans="1:13" ht="184.5" thickTop="1" thickBot="1" x14ac:dyDescent="0.25">
      <c r="A214" s="119" t="s">
        <v>425</v>
      </c>
      <c r="B214" s="119" t="s">
        <v>240</v>
      </c>
      <c r="C214" s="119" t="s">
        <v>238</v>
      </c>
      <c r="D214" s="119" t="s">
        <v>239</v>
      </c>
      <c r="E214" s="363" t="s">
        <v>1055</v>
      </c>
      <c r="F214" s="360" t="s">
        <v>864</v>
      </c>
      <c r="G214" s="360">
        <f t="shared" ref="G214:G276" si="29">H214+I214</f>
        <v>25000</v>
      </c>
      <c r="H214" s="364">
        <v>0</v>
      </c>
      <c r="I214" s="478">
        <v>25000</v>
      </c>
      <c r="J214" s="478">
        <v>25000</v>
      </c>
      <c r="K214" s="155"/>
      <c r="L214" s="155"/>
      <c r="M214" s="155"/>
    </row>
    <row r="215" spans="1:13" ht="367.5" thickTop="1" thickBot="1" x14ac:dyDescent="0.25">
      <c r="A215" s="119" t="s">
        <v>633</v>
      </c>
      <c r="B215" s="119" t="s">
        <v>366</v>
      </c>
      <c r="C215" s="119" t="s">
        <v>631</v>
      </c>
      <c r="D215" s="119" t="s">
        <v>632</v>
      </c>
      <c r="E215" s="363" t="s">
        <v>1359</v>
      </c>
      <c r="F215" s="360" t="s">
        <v>1360</v>
      </c>
      <c r="G215" s="360">
        <f t="shared" si="29"/>
        <v>12000</v>
      </c>
      <c r="H215" s="364">
        <f>'d3'!E255</f>
        <v>12000</v>
      </c>
      <c r="I215" s="478">
        <v>0</v>
      </c>
      <c r="J215" s="478">
        <v>0</v>
      </c>
      <c r="K215" s="155"/>
      <c r="L215" s="155"/>
      <c r="M215" s="155"/>
    </row>
    <row r="216" spans="1:13" ht="184.5" thickTop="1" thickBot="1" x14ac:dyDescent="0.25">
      <c r="A216" s="427" t="s">
        <v>284</v>
      </c>
      <c r="B216" s="427" t="s">
        <v>285</v>
      </c>
      <c r="C216" s="427" t="s">
        <v>344</v>
      </c>
      <c r="D216" s="427" t="s">
        <v>286</v>
      </c>
      <c r="E216" s="363" t="s">
        <v>1260</v>
      </c>
      <c r="F216" s="360" t="s">
        <v>1193</v>
      </c>
      <c r="G216" s="391">
        <f t="shared" si="29"/>
        <v>3026541.37</v>
      </c>
      <c r="H216" s="391">
        <f>((0+150000)+1216900)-632900</f>
        <v>734000</v>
      </c>
      <c r="I216" s="391">
        <f>(745000)+3224055-1676513.63</f>
        <v>2292541.37</v>
      </c>
      <c r="J216" s="391">
        <f>(745000)+3224055-1676513.63</f>
        <v>2292541.37</v>
      </c>
      <c r="K216" s="106" t="b">
        <f>H216+H217+H218='d3'!E259</f>
        <v>1</v>
      </c>
      <c r="L216" s="107" t="b">
        <f>I216+I217+I218='d3'!J259</f>
        <v>1</v>
      </c>
      <c r="M216" s="107" t="b">
        <f>J216+J217+J218='d3'!K259</f>
        <v>1</v>
      </c>
    </row>
    <row r="217" spans="1:13" ht="276" customHeight="1" thickTop="1" thickBot="1" x14ac:dyDescent="0.25">
      <c r="A217" s="427" t="s">
        <v>284</v>
      </c>
      <c r="B217" s="427" t="s">
        <v>285</v>
      </c>
      <c r="C217" s="427" t="s">
        <v>344</v>
      </c>
      <c r="D217" s="427" t="s">
        <v>286</v>
      </c>
      <c r="E217" s="401" t="s">
        <v>1314</v>
      </c>
      <c r="F217" s="401" t="s">
        <v>590</v>
      </c>
      <c r="G217" s="391">
        <f t="shared" si="29"/>
        <v>10568739.629999999</v>
      </c>
      <c r="H217" s="364">
        <f>(((1833100)+2000000)+200000+2038600)+632900</f>
        <v>6704600</v>
      </c>
      <c r="I217" s="478">
        <f>((0+2529226)+627900)-969500-138666.37+1815180</f>
        <v>3864139.63</v>
      </c>
      <c r="J217" s="478">
        <f>((0+2529226)+627900)-969500-138666.37+1815180</f>
        <v>3864139.63</v>
      </c>
      <c r="K217" s="155"/>
      <c r="L217" s="155"/>
      <c r="M217" s="155"/>
    </row>
    <row r="218" spans="1:13" ht="367.5" thickTop="1" thickBot="1" x14ac:dyDescent="0.25">
      <c r="A218" s="427" t="s">
        <v>284</v>
      </c>
      <c r="B218" s="427" t="s">
        <v>285</v>
      </c>
      <c r="C218" s="427" t="s">
        <v>344</v>
      </c>
      <c r="D218" s="427" t="s">
        <v>286</v>
      </c>
      <c r="E218" s="360" t="s">
        <v>1482</v>
      </c>
      <c r="F218" s="360" t="s">
        <v>866</v>
      </c>
      <c r="G218" s="360">
        <f t="shared" si="29"/>
        <v>1500000</v>
      </c>
      <c r="H218" s="364">
        <v>1500000</v>
      </c>
      <c r="I218" s="478">
        <v>0</v>
      </c>
      <c r="J218" s="478">
        <v>0</v>
      </c>
      <c r="K218" s="155"/>
      <c r="L218" s="155"/>
      <c r="M218" s="155"/>
    </row>
    <row r="219" spans="1:13" ht="184.5" thickTop="1" thickBot="1" x14ac:dyDescent="0.25">
      <c r="A219" s="119" t="s">
        <v>305</v>
      </c>
      <c r="B219" s="119" t="s">
        <v>306</v>
      </c>
      <c r="C219" s="119" t="s">
        <v>287</v>
      </c>
      <c r="D219" s="119" t="s">
        <v>307</v>
      </c>
      <c r="E219" s="363" t="s">
        <v>1260</v>
      </c>
      <c r="F219" s="360" t="s">
        <v>1193</v>
      </c>
      <c r="G219" s="360">
        <f t="shared" si="29"/>
        <v>11237500</v>
      </c>
      <c r="H219" s="364">
        <f>'d3'!E260</f>
        <v>0</v>
      </c>
      <c r="I219" s="478">
        <f>'d3'!J260</f>
        <v>11237500</v>
      </c>
      <c r="J219" s="478">
        <f>'d3'!K260</f>
        <v>11237500</v>
      </c>
      <c r="K219" s="155"/>
      <c r="L219" s="155"/>
      <c r="M219" s="155"/>
    </row>
    <row r="220" spans="1:13" ht="184.5" hidden="1" thickTop="1" thickBot="1" x14ac:dyDescent="0.25">
      <c r="A220" s="427" t="s">
        <v>288</v>
      </c>
      <c r="B220" s="427" t="s">
        <v>289</v>
      </c>
      <c r="C220" s="427" t="s">
        <v>287</v>
      </c>
      <c r="D220" s="427" t="s">
        <v>470</v>
      </c>
      <c r="E220" s="363" t="s">
        <v>1260</v>
      </c>
      <c r="F220" s="360" t="s">
        <v>1193</v>
      </c>
      <c r="G220" s="360">
        <f t="shared" si="29"/>
        <v>0</v>
      </c>
      <c r="H220" s="626">
        <f>2500000-2500000</f>
        <v>0</v>
      </c>
      <c r="I220" s="478">
        <f>2800000-2800000</f>
        <v>0</v>
      </c>
      <c r="J220" s="478">
        <f>2800000-2800000</f>
        <v>0</v>
      </c>
      <c r="K220" s="155"/>
      <c r="L220" s="155"/>
      <c r="M220" s="155"/>
    </row>
    <row r="221" spans="1:13" ht="184.5" thickTop="1" thickBot="1" x14ac:dyDescent="0.25">
      <c r="A221" s="427" t="s">
        <v>288</v>
      </c>
      <c r="B221" s="427" t="s">
        <v>289</v>
      </c>
      <c r="C221" s="427" t="s">
        <v>287</v>
      </c>
      <c r="D221" s="427" t="s">
        <v>470</v>
      </c>
      <c r="E221" s="363" t="s">
        <v>1478</v>
      </c>
      <c r="F221" s="360" t="s">
        <v>454</v>
      </c>
      <c r="G221" s="360">
        <f t="shared" si="29"/>
        <v>378492</v>
      </c>
      <c r="H221" s="626">
        <f>'d3'!E261-H220</f>
        <v>0</v>
      </c>
      <c r="I221" s="478">
        <f>'d3'!J261-I220</f>
        <v>378492</v>
      </c>
      <c r="J221" s="478">
        <f>'d3'!K261-J220</f>
        <v>378492</v>
      </c>
      <c r="K221" s="155"/>
      <c r="L221" s="155"/>
      <c r="M221" s="155"/>
    </row>
    <row r="222" spans="1:13" ht="184.5" thickTop="1" thickBot="1" x14ac:dyDescent="0.25">
      <c r="A222" s="119" t="s">
        <v>938</v>
      </c>
      <c r="B222" s="119" t="s">
        <v>301</v>
      </c>
      <c r="C222" s="119" t="s">
        <v>287</v>
      </c>
      <c r="D222" s="119" t="s">
        <v>302</v>
      </c>
      <c r="E222" s="363" t="s">
        <v>1505</v>
      </c>
      <c r="F222" s="360" t="s">
        <v>1439</v>
      </c>
      <c r="G222" s="360">
        <f t="shared" ref="G222:G226" si="30">H222+I222</f>
        <v>1178100</v>
      </c>
      <c r="H222" s="364">
        <f>'d3'!E262-H223</f>
        <v>1178100</v>
      </c>
      <c r="I222" s="478">
        <f>'d3'!J262-I223</f>
        <v>0</v>
      </c>
      <c r="J222" s="478">
        <f>'d3'!K262-J223</f>
        <v>0</v>
      </c>
      <c r="K222" s="155"/>
      <c r="L222" s="155"/>
      <c r="M222" s="155"/>
    </row>
    <row r="223" spans="1:13" ht="367.5" thickTop="1" thickBot="1" x14ac:dyDescent="0.25">
      <c r="A223" s="119" t="s">
        <v>938</v>
      </c>
      <c r="B223" s="119" t="s">
        <v>301</v>
      </c>
      <c r="C223" s="119" t="s">
        <v>287</v>
      </c>
      <c r="D223" s="119" t="s">
        <v>302</v>
      </c>
      <c r="E223" s="360" t="s">
        <v>1482</v>
      </c>
      <c r="F223" s="360" t="s">
        <v>866</v>
      </c>
      <c r="G223" s="360">
        <f t="shared" si="30"/>
        <v>5000000</v>
      </c>
      <c r="H223" s="364">
        <v>5000000</v>
      </c>
      <c r="I223" s="478">
        <v>0</v>
      </c>
      <c r="J223" s="478">
        <v>0</v>
      </c>
      <c r="K223" s="155"/>
      <c r="L223" s="155"/>
      <c r="M223" s="155"/>
    </row>
    <row r="224" spans="1:13" ht="184.5" thickTop="1" thickBot="1" x14ac:dyDescent="0.25">
      <c r="A224" s="119" t="s">
        <v>292</v>
      </c>
      <c r="B224" s="119" t="s">
        <v>293</v>
      </c>
      <c r="C224" s="119" t="s">
        <v>287</v>
      </c>
      <c r="D224" s="119" t="s">
        <v>294</v>
      </c>
      <c r="E224" s="363" t="s">
        <v>1260</v>
      </c>
      <c r="F224" s="360" t="s">
        <v>1193</v>
      </c>
      <c r="G224" s="360">
        <f t="shared" si="29"/>
        <v>12805138</v>
      </c>
      <c r="H224" s="364">
        <f>'d3'!E263</f>
        <v>8500000</v>
      </c>
      <c r="I224" s="478">
        <f>'d3'!J263</f>
        <v>4305138</v>
      </c>
      <c r="J224" s="478">
        <f>'d3'!K263</f>
        <v>4305138</v>
      </c>
      <c r="K224" s="155"/>
      <c r="L224" s="155"/>
      <c r="M224" s="155"/>
    </row>
    <row r="225" spans="1:13" ht="276" thickTop="1" thickBot="1" x14ac:dyDescent="0.25">
      <c r="A225" s="119" t="s">
        <v>1313</v>
      </c>
      <c r="B225" s="119" t="s">
        <v>1170</v>
      </c>
      <c r="C225" s="119" t="s">
        <v>1171</v>
      </c>
      <c r="D225" s="119" t="s">
        <v>1168</v>
      </c>
      <c r="E225" s="363" t="s">
        <v>1347</v>
      </c>
      <c r="F225" s="360" t="s">
        <v>1348</v>
      </c>
      <c r="G225" s="360">
        <f t="shared" si="30"/>
        <v>2000000</v>
      </c>
      <c r="H225" s="488">
        <f>'d3'!E264-H226</f>
        <v>2000000</v>
      </c>
      <c r="I225" s="489">
        <f>'d3'!J264-I226</f>
        <v>0</v>
      </c>
      <c r="J225" s="489">
        <f>'d3'!K264-J226</f>
        <v>0</v>
      </c>
      <c r="K225" s="155"/>
      <c r="L225" s="155"/>
      <c r="M225" s="155"/>
    </row>
    <row r="226" spans="1:13" ht="276" thickTop="1" thickBot="1" x14ac:dyDescent="0.25">
      <c r="A226" s="119" t="s">
        <v>1313</v>
      </c>
      <c r="B226" s="119" t="s">
        <v>1170</v>
      </c>
      <c r="C226" s="119" t="s">
        <v>1171</v>
      </c>
      <c r="D226" s="119" t="s">
        <v>1168</v>
      </c>
      <c r="E226" s="363" t="s">
        <v>1558</v>
      </c>
      <c r="F226" s="360" t="s">
        <v>1559</v>
      </c>
      <c r="G226" s="360">
        <f t="shared" si="30"/>
        <v>1100000</v>
      </c>
      <c r="H226" s="488">
        <f>(3000000)-1900000</f>
        <v>1100000</v>
      </c>
      <c r="I226" s="489">
        <v>0</v>
      </c>
      <c r="J226" s="489">
        <v>0</v>
      </c>
      <c r="K226" s="155"/>
      <c r="L226" s="155"/>
      <c r="M226" s="155"/>
    </row>
    <row r="227" spans="1:13" ht="230.25" thickTop="1" thickBot="1" x14ac:dyDescent="0.25">
      <c r="A227" s="119" t="s">
        <v>1167</v>
      </c>
      <c r="B227" s="119" t="s">
        <v>309</v>
      </c>
      <c r="C227" s="119" t="s">
        <v>308</v>
      </c>
      <c r="D227" s="119" t="s">
        <v>1315</v>
      </c>
      <c r="E227" s="363" t="s">
        <v>1440</v>
      </c>
      <c r="F227" s="360" t="s">
        <v>1441</v>
      </c>
      <c r="G227" s="360">
        <f t="shared" si="29"/>
        <v>3856835</v>
      </c>
      <c r="H227" s="488">
        <f>'d3'!E267-H228</f>
        <v>0</v>
      </c>
      <c r="I227" s="489">
        <f>'d3'!J267-I228</f>
        <v>3856835</v>
      </c>
      <c r="J227" s="489">
        <f>'d3'!K267-J228</f>
        <v>3856835</v>
      </c>
      <c r="K227" s="155"/>
      <c r="L227" s="155"/>
      <c r="M227" s="155"/>
    </row>
    <row r="228" spans="1:13" ht="184.5" thickTop="1" thickBot="1" x14ac:dyDescent="0.25">
      <c r="A228" s="119" t="s">
        <v>1167</v>
      </c>
      <c r="B228" s="119" t="s">
        <v>309</v>
      </c>
      <c r="C228" s="119" t="s">
        <v>308</v>
      </c>
      <c r="D228" s="119" t="s">
        <v>1315</v>
      </c>
      <c r="E228" s="363" t="s">
        <v>1260</v>
      </c>
      <c r="F228" s="360" t="s">
        <v>1193</v>
      </c>
      <c r="G228" s="360">
        <f t="shared" si="29"/>
        <v>200000</v>
      </c>
      <c r="H228" s="488">
        <v>0</v>
      </c>
      <c r="I228" s="489">
        <v>200000</v>
      </c>
      <c r="J228" s="489">
        <v>200000</v>
      </c>
      <c r="K228" s="155"/>
      <c r="L228" s="155"/>
      <c r="M228" s="155"/>
    </row>
    <row r="229" spans="1:13" ht="138.75" thickTop="1" thickBot="1" x14ac:dyDescent="0.25">
      <c r="A229" s="119" t="s">
        <v>300</v>
      </c>
      <c r="B229" s="119" t="s">
        <v>216</v>
      </c>
      <c r="C229" s="119" t="s">
        <v>217</v>
      </c>
      <c r="D229" s="119" t="s">
        <v>41</v>
      </c>
      <c r="E229" s="363" t="s">
        <v>1601</v>
      </c>
      <c r="F229" s="360" t="s">
        <v>1602</v>
      </c>
      <c r="G229" s="391">
        <f>H229+I229</f>
        <v>4900000</v>
      </c>
      <c r="H229" s="391">
        <v>4900000</v>
      </c>
      <c r="I229" s="391">
        <v>0</v>
      </c>
      <c r="J229" s="391">
        <v>0</v>
      </c>
      <c r="K229" s="106" t="b">
        <f>H229+H230='d3'!E269</f>
        <v>1</v>
      </c>
      <c r="L229" s="107" t="b">
        <f>I229+I230='d3'!J269</f>
        <v>1</v>
      </c>
      <c r="M229" s="107" t="b">
        <f>J229+J230='d3'!K269</f>
        <v>1</v>
      </c>
    </row>
    <row r="230" spans="1:13" ht="138.75" thickTop="1" thickBot="1" x14ac:dyDescent="0.25">
      <c r="A230" s="427" t="s">
        <v>300</v>
      </c>
      <c r="B230" s="427" t="s">
        <v>216</v>
      </c>
      <c r="C230" s="427" t="s">
        <v>217</v>
      </c>
      <c r="D230" s="427" t="s">
        <v>41</v>
      </c>
      <c r="E230" s="363" t="s">
        <v>1043</v>
      </c>
      <c r="F230" s="360" t="s">
        <v>593</v>
      </c>
      <c r="G230" s="391">
        <f>H230+I230</f>
        <v>8551370</v>
      </c>
      <c r="H230" s="488">
        <f>(5844220)+2707150</f>
        <v>8551370</v>
      </c>
      <c r="I230" s="489">
        <v>0</v>
      </c>
      <c r="J230" s="489">
        <v>0</v>
      </c>
      <c r="K230" s="155"/>
      <c r="L230" s="155"/>
      <c r="M230" s="155"/>
    </row>
    <row r="231" spans="1:13" ht="184.5" thickTop="1" thickBot="1" x14ac:dyDescent="0.25">
      <c r="A231" s="119" t="s">
        <v>927</v>
      </c>
      <c r="B231" s="119" t="s">
        <v>201</v>
      </c>
      <c r="C231" s="119" t="s">
        <v>170</v>
      </c>
      <c r="D231" s="119" t="s">
        <v>34</v>
      </c>
      <c r="E231" s="363" t="s">
        <v>1260</v>
      </c>
      <c r="F231" s="360" t="s">
        <v>1193</v>
      </c>
      <c r="G231" s="360">
        <f t="shared" si="29"/>
        <v>7808636</v>
      </c>
      <c r="H231" s="364">
        <f>'d3'!E270-H232</f>
        <v>0</v>
      </c>
      <c r="I231" s="478">
        <f>'d3'!J270-I232</f>
        <v>7808636</v>
      </c>
      <c r="J231" s="478">
        <f>'d3'!K270-J232</f>
        <v>7808636</v>
      </c>
      <c r="K231" s="155"/>
      <c r="L231" s="155"/>
      <c r="M231" s="155"/>
    </row>
    <row r="232" spans="1:13" ht="184.5" thickTop="1" thickBot="1" x14ac:dyDescent="0.25">
      <c r="A232" s="119" t="s">
        <v>927</v>
      </c>
      <c r="B232" s="119" t="s">
        <v>201</v>
      </c>
      <c r="C232" s="119" t="s">
        <v>170</v>
      </c>
      <c r="D232" s="119" t="s">
        <v>34</v>
      </c>
      <c r="E232" s="628" t="s">
        <v>1505</v>
      </c>
      <c r="F232" s="360" t="s">
        <v>1439</v>
      </c>
      <c r="G232" s="360">
        <f t="shared" si="29"/>
        <v>682091</v>
      </c>
      <c r="H232" s="488">
        <v>0</v>
      </c>
      <c r="I232" s="489">
        <v>682091</v>
      </c>
      <c r="J232" s="489">
        <v>682091</v>
      </c>
      <c r="K232" s="155"/>
      <c r="L232" s="155"/>
      <c r="M232" s="155"/>
    </row>
    <row r="233" spans="1:13" ht="282.75" customHeight="1" thickTop="1" thickBot="1" x14ac:dyDescent="0.7">
      <c r="A233" s="702" t="s">
        <v>428</v>
      </c>
      <c r="B233" s="702" t="s">
        <v>342</v>
      </c>
      <c r="C233" s="702" t="s">
        <v>170</v>
      </c>
      <c r="D233" s="81" t="s">
        <v>444</v>
      </c>
      <c r="E233" s="798" t="s">
        <v>1342</v>
      </c>
      <c r="F233" s="798" t="s">
        <v>1343</v>
      </c>
      <c r="G233" s="708">
        <f t="shared" si="29"/>
        <v>479725.87</v>
      </c>
      <c r="H233" s="708">
        <f>'d3'!E272</f>
        <v>0</v>
      </c>
      <c r="I233" s="708">
        <f>'d3'!J272</f>
        <v>479725.87</v>
      </c>
      <c r="J233" s="708">
        <f>'d3'!K272</f>
        <v>0</v>
      </c>
      <c r="K233" s="155"/>
      <c r="L233" s="155"/>
      <c r="M233" s="155"/>
    </row>
    <row r="234" spans="1:13" ht="138.75" thickTop="1" thickBot="1" x14ac:dyDescent="0.25">
      <c r="A234" s="710"/>
      <c r="B234" s="710"/>
      <c r="C234" s="710"/>
      <c r="D234" s="82" t="s">
        <v>445</v>
      </c>
      <c r="E234" s="684"/>
      <c r="F234" s="684"/>
      <c r="G234" s="795"/>
      <c r="H234" s="795"/>
      <c r="I234" s="795"/>
      <c r="J234" s="795"/>
      <c r="K234" s="155"/>
      <c r="L234" s="155"/>
      <c r="M234" s="155"/>
    </row>
    <row r="235" spans="1:13" ht="367.5" hidden="1" thickTop="1" thickBot="1" x14ac:dyDescent="0.25">
      <c r="A235" s="144" t="s">
        <v>1258</v>
      </c>
      <c r="B235" s="144" t="s">
        <v>1238</v>
      </c>
      <c r="C235" s="144" t="s">
        <v>1212</v>
      </c>
      <c r="D235" s="144" t="s">
        <v>1239</v>
      </c>
      <c r="E235" s="213" t="s">
        <v>1236</v>
      </c>
      <c r="F235" s="213" t="s">
        <v>866</v>
      </c>
      <c r="G235" s="286">
        <f>H235+I235</f>
        <v>0</v>
      </c>
      <c r="H235" s="292">
        <f>'d3'!E276</f>
        <v>0</v>
      </c>
      <c r="I235" s="293">
        <f>'d3'!J276</f>
        <v>0</v>
      </c>
      <c r="J235" s="293">
        <f>'d3'!K276</f>
        <v>0</v>
      </c>
      <c r="K235" s="155"/>
      <c r="L235" s="155"/>
      <c r="M235" s="155"/>
    </row>
    <row r="236" spans="1:13" ht="136.5" thickTop="1" thickBot="1" x14ac:dyDescent="0.25">
      <c r="A236" s="403" t="s">
        <v>545</v>
      </c>
      <c r="B236" s="403"/>
      <c r="C236" s="403"/>
      <c r="D236" s="404" t="s">
        <v>564</v>
      </c>
      <c r="E236" s="403"/>
      <c r="F236" s="403"/>
      <c r="G236" s="405">
        <f>H236+I236</f>
        <v>968029249.60000002</v>
      </c>
      <c r="H236" s="405">
        <f>H237</f>
        <v>550439941</v>
      </c>
      <c r="I236" s="405">
        <f>I237</f>
        <v>417589308.60000002</v>
      </c>
      <c r="J236" s="405">
        <f>J237</f>
        <v>416736366.60000002</v>
      </c>
      <c r="K236" s="106" t="b">
        <f>H236='d3'!E278-'d3'!E280+'d7'!H238</f>
        <v>1</v>
      </c>
      <c r="L236" s="106" t="b">
        <f>I236='d3'!J278-'d3'!J280+'d7'!I238</f>
        <v>1</v>
      </c>
      <c r="M236" s="106" t="b">
        <f>J236='d3'!K278-'d3'!K280+'d7'!J238</f>
        <v>1</v>
      </c>
    </row>
    <row r="237" spans="1:13" ht="207.75" customHeight="1" thickTop="1" thickBot="1" x14ac:dyDescent="0.25">
      <c r="A237" s="407" t="s">
        <v>546</v>
      </c>
      <c r="B237" s="407"/>
      <c r="C237" s="407"/>
      <c r="D237" s="408" t="s">
        <v>565</v>
      </c>
      <c r="E237" s="409"/>
      <c r="F237" s="409"/>
      <c r="G237" s="409">
        <f>SUM(G238:G276)</f>
        <v>968029249.60000002</v>
      </c>
      <c r="H237" s="409">
        <f>SUM(H238:H276)</f>
        <v>550439941</v>
      </c>
      <c r="I237" s="409">
        <f>SUM(I238:I276)</f>
        <v>417589308.60000002</v>
      </c>
      <c r="J237" s="409">
        <f>SUM(J238:J276)</f>
        <v>416736366.60000002</v>
      </c>
      <c r="K237" s="294"/>
      <c r="L237" s="155"/>
      <c r="M237" s="155"/>
    </row>
    <row r="238" spans="1:13" ht="184.5" thickTop="1" thickBot="1" x14ac:dyDescent="0.25">
      <c r="A238" s="119" t="s">
        <v>547</v>
      </c>
      <c r="B238" s="119" t="s">
        <v>240</v>
      </c>
      <c r="C238" s="119" t="s">
        <v>238</v>
      </c>
      <c r="D238" s="119" t="s">
        <v>239</v>
      </c>
      <c r="E238" s="363" t="s">
        <v>1055</v>
      </c>
      <c r="F238" s="360" t="s">
        <v>864</v>
      </c>
      <c r="G238" s="360">
        <f t="shared" si="29"/>
        <v>36120</v>
      </c>
      <c r="H238" s="360">
        <v>0</v>
      </c>
      <c r="I238" s="360">
        <v>36120</v>
      </c>
      <c r="J238" s="360">
        <v>36120</v>
      </c>
      <c r="K238" s="155"/>
      <c r="L238" s="155"/>
      <c r="M238" s="155"/>
    </row>
    <row r="239" spans="1:13" ht="367.5" hidden="1" thickTop="1" thickBot="1" x14ac:dyDescent="0.25">
      <c r="A239" s="144" t="s">
        <v>635</v>
      </c>
      <c r="B239" s="144" t="s">
        <v>366</v>
      </c>
      <c r="C239" s="144" t="s">
        <v>631</v>
      </c>
      <c r="D239" s="144" t="s">
        <v>632</v>
      </c>
      <c r="E239" s="272" t="s">
        <v>1200</v>
      </c>
      <c r="F239" s="213" t="s">
        <v>1201</v>
      </c>
      <c r="G239" s="213">
        <f t="shared" ref="G239" si="31">H239+I239</f>
        <v>0</v>
      </c>
      <c r="H239" s="273">
        <f>'d3'!E281</f>
        <v>0</v>
      </c>
      <c r="I239" s="290">
        <v>0</v>
      </c>
      <c r="J239" s="290">
        <v>0</v>
      </c>
      <c r="K239" s="155"/>
      <c r="L239" s="155"/>
      <c r="M239" s="155"/>
    </row>
    <row r="240" spans="1:13" ht="184.5" thickTop="1" thickBot="1" x14ac:dyDescent="0.25">
      <c r="A240" s="119" t="s">
        <v>548</v>
      </c>
      <c r="B240" s="119" t="s">
        <v>43</v>
      </c>
      <c r="C240" s="119" t="s">
        <v>42</v>
      </c>
      <c r="D240" s="119" t="s">
        <v>252</v>
      </c>
      <c r="E240" s="363" t="s">
        <v>1260</v>
      </c>
      <c r="F240" s="360" t="s">
        <v>1193</v>
      </c>
      <c r="G240" s="360">
        <f t="shared" si="29"/>
        <v>37065</v>
      </c>
      <c r="H240" s="360">
        <f>'d3'!E282</f>
        <v>37065</v>
      </c>
      <c r="I240" s="360">
        <f>'d3'!J282</f>
        <v>0</v>
      </c>
      <c r="J240" s="360">
        <f>'d3'!K282</f>
        <v>0</v>
      </c>
      <c r="K240" s="155"/>
      <c r="L240" s="155"/>
      <c r="M240" s="155"/>
    </row>
    <row r="241" spans="1:13" ht="205.5" customHeight="1" thickTop="1" thickBot="1" x14ac:dyDescent="0.25">
      <c r="A241" s="119" t="s">
        <v>549</v>
      </c>
      <c r="B241" s="119" t="s">
        <v>380</v>
      </c>
      <c r="C241" s="119" t="s">
        <v>287</v>
      </c>
      <c r="D241" s="119" t="s">
        <v>381</v>
      </c>
      <c r="E241" s="363" t="s">
        <v>1442</v>
      </c>
      <c r="F241" s="360" t="s">
        <v>1443</v>
      </c>
      <c r="G241" s="360">
        <f t="shared" si="29"/>
        <v>134000000</v>
      </c>
      <c r="H241" s="364">
        <f>'d3'!E285</f>
        <v>134000000</v>
      </c>
      <c r="I241" s="478">
        <f>'d3'!J285</f>
        <v>0</v>
      </c>
      <c r="J241" s="478">
        <f>'d3'!K285</f>
        <v>0</v>
      </c>
      <c r="K241" s="155"/>
      <c r="L241" s="155"/>
      <c r="M241" s="155"/>
    </row>
    <row r="242" spans="1:13" ht="184.5" thickTop="1" thickBot="1" x14ac:dyDescent="0.25">
      <c r="A242" s="119" t="s">
        <v>550</v>
      </c>
      <c r="B242" s="119" t="s">
        <v>290</v>
      </c>
      <c r="C242" s="119" t="s">
        <v>287</v>
      </c>
      <c r="D242" s="119" t="s">
        <v>291</v>
      </c>
      <c r="E242" s="363" t="s">
        <v>1260</v>
      </c>
      <c r="F242" s="360" t="s">
        <v>1193</v>
      </c>
      <c r="G242" s="360">
        <f t="shared" si="29"/>
        <v>2322604</v>
      </c>
      <c r="H242" s="364">
        <v>0</v>
      </c>
      <c r="I242" s="478">
        <f>'d3'!J286</f>
        <v>2322604</v>
      </c>
      <c r="J242" s="478">
        <f>'d3'!K286</f>
        <v>2322604</v>
      </c>
      <c r="K242" s="106" t="b">
        <f>'d3'!E286='d7'!H242+'d7'!H243</f>
        <v>1</v>
      </c>
      <c r="L242" s="106" t="b">
        <f>'d3'!J286='d7'!I242+'d7'!I243</f>
        <v>1</v>
      </c>
      <c r="M242" s="106" t="b">
        <f>'d3'!K286='d7'!J242+'d7'!J243</f>
        <v>1</v>
      </c>
    </row>
    <row r="243" spans="1:13" ht="184.5" thickTop="1" thickBot="1" x14ac:dyDescent="0.25">
      <c r="A243" s="119" t="s">
        <v>550</v>
      </c>
      <c r="B243" s="119" t="s">
        <v>290</v>
      </c>
      <c r="C243" s="119" t="s">
        <v>287</v>
      </c>
      <c r="D243" s="119" t="s">
        <v>291</v>
      </c>
      <c r="E243" s="363" t="s">
        <v>1506</v>
      </c>
      <c r="F243" s="360" t="s">
        <v>1444</v>
      </c>
      <c r="G243" s="360">
        <f t="shared" si="29"/>
        <v>31630000</v>
      </c>
      <c r="H243" s="364">
        <f>((25050000)+7209100)-629100</f>
        <v>31630000</v>
      </c>
      <c r="I243" s="478">
        <v>0</v>
      </c>
      <c r="J243" s="478">
        <v>0</v>
      </c>
      <c r="K243" s="155"/>
      <c r="L243" s="155"/>
      <c r="M243" s="155"/>
    </row>
    <row r="244" spans="1:13" ht="184.5" thickTop="1" thickBot="1" x14ac:dyDescent="0.25">
      <c r="A244" s="119" t="s">
        <v>1507</v>
      </c>
      <c r="B244" s="119" t="s">
        <v>1508</v>
      </c>
      <c r="C244" s="119" t="s">
        <v>287</v>
      </c>
      <c r="D244" s="119" t="s">
        <v>1509</v>
      </c>
      <c r="E244" s="363" t="s">
        <v>1506</v>
      </c>
      <c r="F244" s="360" t="s">
        <v>1444</v>
      </c>
      <c r="G244" s="360">
        <f t="shared" si="29"/>
        <v>3651408</v>
      </c>
      <c r="H244" s="364">
        <f>'d3'!E287</f>
        <v>3651408</v>
      </c>
      <c r="I244" s="478">
        <v>0</v>
      </c>
      <c r="J244" s="478">
        <v>0</v>
      </c>
      <c r="K244" s="155"/>
      <c r="L244" s="155"/>
      <c r="M244" s="155"/>
    </row>
    <row r="245" spans="1:13" ht="184.5" thickTop="1" thickBot="1" x14ac:dyDescent="0.25">
      <c r="A245" s="119" t="s">
        <v>551</v>
      </c>
      <c r="B245" s="119" t="s">
        <v>301</v>
      </c>
      <c r="C245" s="119" t="s">
        <v>287</v>
      </c>
      <c r="D245" s="119" t="s">
        <v>302</v>
      </c>
      <c r="E245" s="363" t="s">
        <v>1557</v>
      </c>
      <c r="F245" s="360" t="s">
        <v>1447</v>
      </c>
      <c r="G245" s="360">
        <f t="shared" si="29"/>
        <v>1784600</v>
      </c>
      <c r="H245" s="364">
        <f>(1300000)+484600</f>
        <v>1784600</v>
      </c>
      <c r="I245" s="478">
        <f>'d3'!J288</f>
        <v>0</v>
      </c>
      <c r="J245" s="478">
        <f>'d3'!K288</f>
        <v>0</v>
      </c>
      <c r="K245" s="106" t="b">
        <f>'d3'!E288='d7'!H245+'d7'!H246</f>
        <v>1</v>
      </c>
      <c r="L245" s="106" t="b">
        <f>'d3'!J288='d7'!I245+'d7'!I246</f>
        <v>1</v>
      </c>
      <c r="M245" s="106" t="b">
        <f>'d3'!K288='d7'!J245+'d7'!J246</f>
        <v>1</v>
      </c>
    </row>
    <row r="246" spans="1:13" ht="184.5" thickTop="1" thickBot="1" x14ac:dyDescent="0.25">
      <c r="A246" s="119" t="s">
        <v>551</v>
      </c>
      <c r="B246" s="119" t="s">
        <v>301</v>
      </c>
      <c r="C246" s="119" t="s">
        <v>287</v>
      </c>
      <c r="D246" s="119" t="s">
        <v>302</v>
      </c>
      <c r="E246" s="363" t="s">
        <v>1514</v>
      </c>
      <c r="F246" s="360" t="s">
        <v>1450</v>
      </c>
      <c r="G246" s="360">
        <f t="shared" si="29"/>
        <v>4099000</v>
      </c>
      <c r="H246" s="364">
        <f>(2299000)+1800000</f>
        <v>4099000</v>
      </c>
      <c r="I246" s="478">
        <v>0</v>
      </c>
      <c r="J246" s="478">
        <v>0</v>
      </c>
      <c r="K246" s="155"/>
      <c r="L246" s="155"/>
      <c r="M246" s="155"/>
    </row>
    <row r="247" spans="1:13" ht="138.75" hidden="1" thickTop="1" thickBot="1" x14ac:dyDescent="0.25">
      <c r="A247" s="144"/>
      <c r="B247" s="144"/>
      <c r="C247" s="144"/>
      <c r="D247" s="144"/>
      <c r="E247" s="273" t="s">
        <v>884</v>
      </c>
      <c r="F247" s="213" t="s">
        <v>882</v>
      </c>
      <c r="G247" s="73"/>
      <c r="H247" s="276"/>
      <c r="I247" s="291"/>
      <c r="J247" s="291"/>
      <c r="K247" s="155"/>
      <c r="L247" s="155"/>
      <c r="M247" s="155"/>
    </row>
    <row r="248" spans="1:13" ht="184.5" thickTop="1" thickBot="1" x14ac:dyDescent="0.25">
      <c r="A248" s="427" t="s">
        <v>552</v>
      </c>
      <c r="B248" s="427">
        <v>6030</v>
      </c>
      <c r="C248" s="427" t="s">
        <v>287</v>
      </c>
      <c r="D248" s="427" t="s">
        <v>294</v>
      </c>
      <c r="E248" s="364" t="s">
        <v>1316</v>
      </c>
      <c r="F248" s="401" t="s">
        <v>881</v>
      </c>
      <c r="G248" s="360">
        <f t="shared" si="29"/>
        <v>50000</v>
      </c>
      <c r="H248" s="364">
        <v>50000</v>
      </c>
      <c r="I248" s="478">
        <v>0</v>
      </c>
      <c r="J248" s="478">
        <v>0</v>
      </c>
      <c r="K248" s="155"/>
      <c r="L248" s="155"/>
      <c r="M248" s="155"/>
    </row>
    <row r="249" spans="1:13" ht="184.5" thickTop="1" thickBot="1" x14ac:dyDescent="0.25">
      <c r="A249" s="119" t="s">
        <v>552</v>
      </c>
      <c r="B249" s="119">
        <v>6030</v>
      </c>
      <c r="C249" s="119" t="s">
        <v>287</v>
      </c>
      <c r="D249" s="119" t="s">
        <v>294</v>
      </c>
      <c r="E249" s="363" t="s">
        <v>1260</v>
      </c>
      <c r="F249" s="360" t="s">
        <v>1193</v>
      </c>
      <c r="G249" s="360">
        <f t="shared" si="29"/>
        <v>324860898</v>
      </c>
      <c r="H249" s="364">
        <f>((((316010087)-23469000-1000000+15000000)+3494000+4624058+77967+1048200+20355700)-4775838+1730600)-11700000</f>
        <v>321395774</v>
      </c>
      <c r="I249" s="478">
        <f>(((250000)+1000000+1000000+1343000)+1890000-890000)-1127876</f>
        <v>3465124</v>
      </c>
      <c r="J249" s="478">
        <f>(((250000)+1000000+1000000+1343000)+1890000-890000)-1127876</f>
        <v>3465124</v>
      </c>
      <c r="K249" s="106" t="b">
        <f>H248+H250+H249='d3'!E289</f>
        <v>1</v>
      </c>
      <c r="L249" s="106" t="b">
        <f>I248+I250+I249='d3'!J289</f>
        <v>1</v>
      </c>
      <c r="M249" s="106" t="b">
        <f>J248+J250+J249='d3'!K289</f>
        <v>1</v>
      </c>
    </row>
    <row r="250" spans="1:13" ht="230.25" thickTop="1" thickBot="1" x14ac:dyDescent="0.25">
      <c r="A250" s="119" t="s">
        <v>552</v>
      </c>
      <c r="B250" s="119">
        <v>6030</v>
      </c>
      <c r="C250" s="119" t="s">
        <v>287</v>
      </c>
      <c r="D250" s="119" t="s">
        <v>294</v>
      </c>
      <c r="E250" s="364" t="s">
        <v>1349</v>
      </c>
      <c r="F250" s="360" t="s">
        <v>1350</v>
      </c>
      <c r="G250" s="360">
        <f>H250+I250</f>
        <v>5615443</v>
      </c>
      <c r="H250" s="478">
        <f>((8787843)-1441800)-1730600</f>
        <v>5615443</v>
      </c>
      <c r="I250" s="478">
        <v>0</v>
      </c>
      <c r="J250" s="478">
        <v>0</v>
      </c>
      <c r="K250" s="155"/>
      <c r="L250" s="155"/>
      <c r="M250" s="155"/>
    </row>
    <row r="251" spans="1:13" ht="184.5" thickTop="1" thickBot="1" x14ac:dyDescent="0.25">
      <c r="A251" s="119" t="s">
        <v>1169</v>
      </c>
      <c r="B251" s="119" t="s">
        <v>1170</v>
      </c>
      <c r="C251" s="119" t="s">
        <v>1171</v>
      </c>
      <c r="D251" s="119" t="s">
        <v>1168</v>
      </c>
      <c r="E251" s="363" t="s">
        <v>1260</v>
      </c>
      <c r="F251" s="360" t="s">
        <v>1193</v>
      </c>
      <c r="G251" s="360">
        <f>H251+I251</f>
        <v>4049585</v>
      </c>
      <c r="H251" s="478">
        <f>'d3'!E290</f>
        <v>4049585</v>
      </c>
      <c r="I251" s="478">
        <f>'d3'!J290</f>
        <v>0</v>
      </c>
      <c r="J251" s="478">
        <f>'d3'!K290</f>
        <v>0</v>
      </c>
      <c r="K251" s="155"/>
      <c r="L251" s="155"/>
      <c r="M251" s="155"/>
    </row>
    <row r="252" spans="1:13" ht="184.5" thickTop="1" thickBot="1" x14ac:dyDescent="0.25">
      <c r="A252" s="119" t="s">
        <v>553</v>
      </c>
      <c r="B252" s="119" t="s">
        <v>309</v>
      </c>
      <c r="C252" s="119" t="s">
        <v>308</v>
      </c>
      <c r="D252" s="119" t="s">
        <v>473</v>
      </c>
      <c r="E252" s="363" t="s">
        <v>1260</v>
      </c>
      <c r="F252" s="360" t="s">
        <v>1193</v>
      </c>
      <c r="G252" s="360">
        <f t="shared" si="29"/>
        <v>2130164</v>
      </c>
      <c r="H252" s="364">
        <f>'d3'!E293</f>
        <v>0</v>
      </c>
      <c r="I252" s="478">
        <f>'d3'!J293</f>
        <v>2130164</v>
      </c>
      <c r="J252" s="478">
        <f>'d3'!K293</f>
        <v>2130164</v>
      </c>
      <c r="K252" s="155"/>
      <c r="L252" s="155"/>
      <c r="M252" s="155"/>
    </row>
    <row r="253" spans="1:13" ht="184.5" thickTop="1" thickBot="1" x14ac:dyDescent="0.25">
      <c r="A253" s="119" t="s">
        <v>554</v>
      </c>
      <c r="B253" s="119" t="s">
        <v>297</v>
      </c>
      <c r="C253" s="119" t="s">
        <v>299</v>
      </c>
      <c r="D253" s="694" t="s">
        <v>298</v>
      </c>
      <c r="E253" s="363" t="s">
        <v>1260</v>
      </c>
      <c r="F253" s="360" t="s">
        <v>1193</v>
      </c>
      <c r="G253" s="360">
        <f>H253+I253</f>
        <v>96710262</v>
      </c>
      <c r="H253" s="364">
        <f>'d3'!E296</f>
        <v>37535382</v>
      </c>
      <c r="I253" s="478">
        <f>'d3'!J296</f>
        <v>59174880</v>
      </c>
      <c r="J253" s="478">
        <f>'d3'!K296</f>
        <v>59174880</v>
      </c>
      <c r="K253" s="155"/>
      <c r="L253" s="155"/>
      <c r="M253" s="155"/>
    </row>
    <row r="254" spans="1:13" ht="138.75" hidden="1" customHeight="1" thickTop="1" thickBot="1" x14ac:dyDescent="0.25">
      <c r="A254" s="119" t="s">
        <v>554</v>
      </c>
      <c r="B254" s="119" t="s">
        <v>297</v>
      </c>
      <c r="C254" s="119" t="s">
        <v>299</v>
      </c>
      <c r="D254" s="800"/>
      <c r="E254" s="364" t="s">
        <v>883</v>
      </c>
      <c r="F254" s="364" t="s">
        <v>899</v>
      </c>
      <c r="G254" s="360">
        <f t="shared" si="29"/>
        <v>0</v>
      </c>
      <c r="H254" s="364"/>
      <c r="I254" s="290"/>
      <c r="J254" s="290"/>
      <c r="K254" s="155"/>
      <c r="L254" s="155"/>
      <c r="M254" s="155"/>
    </row>
    <row r="255" spans="1:13" ht="184.5" thickTop="1" thickBot="1" x14ac:dyDescent="0.25">
      <c r="A255" s="119" t="s">
        <v>555</v>
      </c>
      <c r="B255" s="119" t="s">
        <v>216</v>
      </c>
      <c r="C255" s="119" t="s">
        <v>217</v>
      </c>
      <c r="D255" s="119" t="s">
        <v>41</v>
      </c>
      <c r="E255" s="363" t="s">
        <v>1192</v>
      </c>
      <c r="F255" s="360" t="s">
        <v>1193</v>
      </c>
      <c r="G255" s="364">
        <f t="shared" si="29"/>
        <v>16434368</v>
      </c>
      <c r="H255" s="364">
        <f>'d3'!E298</f>
        <v>0</v>
      </c>
      <c r="I255" s="364">
        <f>'d3'!J298</f>
        <v>16434368</v>
      </c>
      <c r="J255" s="364">
        <f>'d3'!K298</f>
        <v>16434368</v>
      </c>
      <c r="K255" s="155"/>
      <c r="L255" s="155"/>
      <c r="M255" s="155"/>
    </row>
    <row r="256" spans="1:13" ht="184.5" thickTop="1" thickBot="1" x14ac:dyDescent="0.25">
      <c r="A256" s="119" t="s">
        <v>556</v>
      </c>
      <c r="B256" s="119" t="s">
        <v>201</v>
      </c>
      <c r="C256" s="119" t="s">
        <v>170</v>
      </c>
      <c r="D256" s="119" t="s">
        <v>34</v>
      </c>
      <c r="E256" s="363" t="s">
        <v>1192</v>
      </c>
      <c r="F256" s="360" t="s">
        <v>1193</v>
      </c>
      <c r="G256" s="364">
        <f t="shared" ref="G256:G258" si="32">H256+I256</f>
        <v>438523</v>
      </c>
      <c r="H256" s="364">
        <v>0</v>
      </c>
      <c r="I256" s="364">
        <f>(108523+1888075+6007800)+3150300+20460880-20355700-596000+330000-6112980-4442375</f>
        <v>438523</v>
      </c>
      <c r="J256" s="364">
        <f>(108523+1888075+6007800)+3150300+20460880-20355700-596000+330000-6112980-4442375</f>
        <v>438523</v>
      </c>
      <c r="K256" s="106" t="s">
        <v>1452</v>
      </c>
      <c r="L256" s="106" t="s">
        <v>1451</v>
      </c>
      <c r="M256" s="155"/>
    </row>
    <row r="257" spans="1:13" ht="184.5" thickTop="1" thickBot="1" x14ac:dyDescent="0.25">
      <c r="A257" s="119" t="s">
        <v>556</v>
      </c>
      <c r="B257" s="119" t="s">
        <v>201</v>
      </c>
      <c r="C257" s="119" t="s">
        <v>170</v>
      </c>
      <c r="D257" s="119" t="s">
        <v>34</v>
      </c>
      <c r="E257" s="363" t="s">
        <v>1554</v>
      </c>
      <c r="F257" s="360" t="s">
        <v>1553</v>
      </c>
      <c r="G257" s="364">
        <f t="shared" si="32"/>
        <v>6112980</v>
      </c>
      <c r="H257" s="364">
        <v>0</v>
      </c>
      <c r="I257" s="364">
        <v>6112980</v>
      </c>
      <c r="J257" s="364">
        <v>6112980</v>
      </c>
      <c r="K257" s="106"/>
      <c r="L257" s="106"/>
      <c r="M257" s="155"/>
    </row>
    <row r="258" spans="1:13" ht="184.5" thickTop="1" thickBot="1" x14ac:dyDescent="0.25">
      <c r="A258" s="119" t="s">
        <v>556</v>
      </c>
      <c r="B258" s="119" t="s">
        <v>201</v>
      </c>
      <c r="C258" s="119" t="s">
        <v>170</v>
      </c>
      <c r="D258" s="119" t="s">
        <v>34</v>
      </c>
      <c r="E258" s="363" t="s">
        <v>1555</v>
      </c>
      <c r="F258" s="360" t="s">
        <v>1556</v>
      </c>
      <c r="G258" s="364">
        <f t="shared" si="32"/>
        <v>4442375</v>
      </c>
      <c r="H258" s="364">
        <v>0</v>
      </c>
      <c r="I258" s="364">
        <v>4442375</v>
      </c>
      <c r="J258" s="364">
        <v>4442375</v>
      </c>
      <c r="K258" s="106"/>
      <c r="L258" s="106"/>
      <c r="M258" s="155"/>
    </row>
    <row r="259" spans="1:13" ht="184.5" thickTop="1" thickBot="1" x14ac:dyDescent="0.25">
      <c r="A259" s="119" t="s">
        <v>556</v>
      </c>
      <c r="B259" s="119" t="s">
        <v>201</v>
      </c>
      <c r="C259" s="119" t="s">
        <v>170</v>
      </c>
      <c r="D259" s="119" t="s">
        <v>34</v>
      </c>
      <c r="E259" s="363" t="s">
        <v>1510</v>
      </c>
      <c r="F259" s="360" t="s">
        <v>1443</v>
      </c>
      <c r="G259" s="364">
        <f t="shared" si="29"/>
        <v>81260262</v>
      </c>
      <c r="H259" s="364">
        <v>0</v>
      </c>
      <c r="I259" s="364">
        <f>((54600602+10000000-3198000)+24388565)-4530905</f>
        <v>81260262</v>
      </c>
      <c r="J259" s="364">
        <f>((54600602+10000000-3198000)+24388565)-4530905</f>
        <v>81260262</v>
      </c>
      <c r="K259" s="106" t="b">
        <f>'d3'!E299='d7'!H259+'d7'!H260+'d7'!H261+'d7'!H262+'d7'!H263+'d7'!H264+'d7'!H265+'d7'!H267+'d7'!H268+H256+H266+H257+H258</f>
        <v>1</v>
      </c>
      <c r="L259" s="106" t="b">
        <f>'d3'!J299='d7'!I259+'d7'!I260+'d7'!I261+'d7'!I262+'d7'!I263+'d7'!I264+'d7'!I265+'d7'!I267+'d7'!I268+I256+I266+I257+I258</f>
        <v>1</v>
      </c>
      <c r="M259" s="106" t="b">
        <f>'d3'!K299='d7'!J259+'d7'!J260+'d7'!J261+'d7'!J262+'d7'!J263+'d7'!J264+'d7'!J265+'d7'!J267+'d7'!J268+J256+J266+J257+J258</f>
        <v>1</v>
      </c>
    </row>
    <row r="260" spans="1:13" ht="184.5" thickTop="1" thickBot="1" x14ac:dyDescent="0.25">
      <c r="A260" s="119" t="s">
        <v>556</v>
      </c>
      <c r="B260" s="119" t="s">
        <v>201</v>
      </c>
      <c r="C260" s="119" t="s">
        <v>170</v>
      </c>
      <c r="D260" s="119" t="s">
        <v>34</v>
      </c>
      <c r="E260" s="363" t="s">
        <v>1506</v>
      </c>
      <c r="F260" s="360" t="s">
        <v>1444</v>
      </c>
      <c r="G260" s="364">
        <f t="shared" si="29"/>
        <v>122361973.59999999</v>
      </c>
      <c r="H260" s="364">
        <v>0</v>
      </c>
      <c r="I260" s="364">
        <f>((94960282.6+23987000+5891152)+9258203)-11944664+210000</f>
        <v>122361973.59999999</v>
      </c>
      <c r="J260" s="364">
        <f>((94960282.6+23987000+5891152)+9258203)-11944664+210000</f>
        <v>122361973.59999999</v>
      </c>
      <c r="K260" s="155"/>
      <c r="L260" s="155"/>
      <c r="M260" s="155"/>
    </row>
    <row r="261" spans="1:13" ht="276" thickTop="1" thickBot="1" x14ac:dyDescent="0.25">
      <c r="A261" s="119" t="s">
        <v>556</v>
      </c>
      <c r="B261" s="119" t="s">
        <v>201</v>
      </c>
      <c r="C261" s="119" t="s">
        <v>170</v>
      </c>
      <c r="D261" s="119" t="s">
        <v>34</v>
      </c>
      <c r="E261" s="363" t="s">
        <v>1512</v>
      </c>
      <c r="F261" s="360" t="s">
        <v>1446</v>
      </c>
      <c r="G261" s="364">
        <f t="shared" si="29"/>
        <v>64340805</v>
      </c>
      <c r="H261" s="364">
        <v>0</v>
      </c>
      <c r="I261" s="364">
        <f>((64481200+2092500)+5106530-330000)-7009425</f>
        <v>64340805</v>
      </c>
      <c r="J261" s="364">
        <f>((64481200+2092500)+5106530-330000)-7009425</f>
        <v>64340805</v>
      </c>
      <c r="K261" s="155"/>
      <c r="L261" s="155"/>
      <c r="M261" s="155"/>
    </row>
    <row r="262" spans="1:13" ht="276" thickTop="1" thickBot="1" x14ac:dyDescent="0.25">
      <c r="A262" s="119" t="s">
        <v>556</v>
      </c>
      <c r="B262" s="119" t="s">
        <v>201</v>
      </c>
      <c r="C262" s="119" t="s">
        <v>170</v>
      </c>
      <c r="D262" s="119" t="s">
        <v>34</v>
      </c>
      <c r="E262" s="363" t="s">
        <v>1511</v>
      </c>
      <c r="F262" s="360" t="s">
        <v>1445</v>
      </c>
      <c r="G262" s="364">
        <f t="shared" si="29"/>
        <v>11355280</v>
      </c>
      <c r="H262" s="364">
        <v>0</v>
      </c>
      <c r="I262" s="364">
        <f>((6525500)+5994830-970000)-195050</f>
        <v>11355280</v>
      </c>
      <c r="J262" s="364">
        <f>((6525500)+5994830-970000)-195050</f>
        <v>11355280</v>
      </c>
      <c r="K262" s="155"/>
      <c r="L262" s="155"/>
      <c r="M262" s="155"/>
    </row>
    <row r="263" spans="1:13" ht="184.5" hidden="1" thickTop="1" thickBot="1" x14ac:dyDescent="0.25">
      <c r="A263" s="119" t="s">
        <v>556</v>
      </c>
      <c r="B263" s="119" t="s">
        <v>201</v>
      </c>
      <c r="C263" s="119" t="s">
        <v>170</v>
      </c>
      <c r="D263" s="119" t="s">
        <v>34</v>
      </c>
      <c r="E263" s="620" t="s">
        <v>1419</v>
      </c>
      <c r="F263" s="621"/>
      <c r="G263" s="364">
        <f t="shared" si="29"/>
        <v>0</v>
      </c>
      <c r="H263" s="364">
        <v>0</v>
      </c>
      <c r="I263" s="364">
        <f>1888075-1888075</f>
        <v>0</v>
      </c>
      <c r="J263" s="364">
        <f>1258075+630000-1888075</f>
        <v>0</v>
      </c>
      <c r="K263" s="155"/>
      <c r="L263" s="155"/>
      <c r="M263" s="155"/>
    </row>
    <row r="264" spans="1:13" ht="184.5" thickTop="1" thickBot="1" x14ac:dyDescent="0.25">
      <c r="A264" s="119" t="s">
        <v>556</v>
      </c>
      <c r="B264" s="119" t="s">
        <v>201</v>
      </c>
      <c r="C264" s="119" t="s">
        <v>170</v>
      </c>
      <c r="D264" s="119" t="s">
        <v>34</v>
      </c>
      <c r="E264" s="363" t="s">
        <v>1513</v>
      </c>
      <c r="F264" s="360" t="s">
        <v>1447</v>
      </c>
      <c r="G264" s="364">
        <f t="shared" si="29"/>
        <v>2365985</v>
      </c>
      <c r="H264" s="364">
        <v>0</v>
      </c>
      <c r="I264" s="364">
        <f>(2323485)+42500</f>
        <v>2365985</v>
      </c>
      <c r="J264" s="364">
        <f>(2323485)+42500</f>
        <v>2365985</v>
      </c>
      <c r="K264" s="155"/>
      <c r="L264" s="155"/>
      <c r="M264" s="155"/>
    </row>
    <row r="265" spans="1:13" ht="184.5" thickTop="1" thickBot="1" x14ac:dyDescent="0.25">
      <c r="A265" s="119" t="s">
        <v>556</v>
      </c>
      <c r="B265" s="119" t="s">
        <v>201</v>
      </c>
      <c r="C265" s="119" t="s">
        <v>170</v>
      </c>
      <c r="D265" s="119" t="s">
        <v>34</v>
      </c>
      <c r="E265" s="363" t="s">
        <v>1448</v>
      </c>
      <c r="F265" s="360" t="s">
        <v>1449</v>
      </c>
      <c r="G265" s="364">
        <f t="shared" si="29"/>
        <v>3256678</v>
      </c>
      <c r="H265" s="364">
        <v>0</v>
      </c>
      <c r="I265" s="364">
        <f>(3271678)+380000-395000</f>
        <v>3256678</v>
      </c>
      <c r="J265" s="364">
        <f>(3271678)+380000-395000</f>
        <v>3256678</v>
      </c>
      <c r="K265" s="155"/>
      <c r="L265" s="155"/>
      <c r="M265" s="155"/>
    </row>
    <row r="266" spans="1:13" ht="184.5" thickTop="1" thickBot="1" x14ac:dyDescent="0.25">
      <c r="A266" s="119" t="s">
        <v>556</v>
      </c>
      <c r="B266" s="119" t="s">
        <v>201</v>
      </c>
      <c r="C266" s="119" t="s">
        <v>170</v>
      </c>
      <c r="D266" s="119" t="s">
        <v>34</v>
      </c>
      <c r="E266" s="628" t="s">
        <v>1505</v>
      </c>
      <c r="F266" s="360" t="s">
        <v>1439</v>
      </c>
      <c r="G266" s="364">
        <f t="shared" si="29"/>
        <v>481000</v>
      </c>
      <c r="H266" s="364">
        <v>0</v>
      </c>
      <c r="I266" s="364">
        <v>481000</v>
      </c>
      <c r="J266" s="364">
        <v>481000</v>
      </c>
      <c r="K266" s="155"/>
      <c r="L266" s="155"/>
      <c r="M266" s="155"/>
    </row>
    <row r="267" spans="1:13" ht="184.5" thickTop="1" thickBot="1" x14ac:dyDescent="0.25">
      <c r="A267" s="119" t="s">
        <v>556</v>
      </c>
      <c r="B267" s="119" t="s">
        <v>201</v>
      </c>
      <c r="C267" s="119" t="s">
        <v>170</v>
      </c>
      <c r="D267" s="119" t="s">
        <v>34</v>
      </c>
      <c r="E267" s="363" t="s">
        <v>1514</v>
      </c>
      <c r="F267" s="360" t="s">
        <v>1450</v>
      </c>
      <c r="G267" s="364">
        <f t="shared" si="29"/>
        <v>25157745</v>
      </c>
      <c r="H267" s="364">
        <v>0</v>
      </c>
      <c r="I267" s="364">
        <f>(((6100000)+24621120-6000000)-463375)+900000</f>
        <v>25157745</v>
      </c>
      <c r="J267" s="364">
        <f>(((6100000)+24621120-6000000)-463375)+900000</f>
        <v>25157745</v>
      </c>
      <c r="K267" s="155"/>
      <c r="L267" s="155"/>
      <c r="M267" s="155"/>
    </row>
    <row r="268" spans="1:13" ht="184.5" hidden="1" thickTop="1" thickBot="1" x14ac:dyDescent="0.25">
      <c r="A268" s="119" t="s">
        <v>556</v>
      </c>
      <c r="B268" s="119" t="s">
        <v>201</v>
      </c>
      <c r="C268" s="119" t="s">
        <v>170</v>
      </c>
      <c r="D268" s="119" t="s">
        <v>34</v>
      </c>
      <c r="E268" s="620" t="s">
        <v>1420</v>
      </c>
      <c r="F268" s="621"/>
      <c r="G268" s="364">
        <f t="shared" si="29"/>
        <v>0</v>
      </c>
      <c r="H268" s="364">
        <v>0</v>
      </c>
      <c r="I268" s="364">
        <f>6007800-6007800</f>
        <v>0</v>
      </c>
      <c r="J268" s="364">
        <f>6007800-6007800</f>
        <v>0</v>
      </c>
      <c r="K268" s="155"/>
      <c r="L268" s="155"/>
      <c r="M268" s="155"/>
    </row>
    <row r="269" spans="1:13" ht="138.75" hidden="1" thickTop="1" thickBot="1" x14ac:dyDescent="0.25">
      <c r="A269" s="144" t="s">
        <v>556</v>
      </c>
      <c r="B269" s="144" t="s">
        <v>201</v>
      </c>
      <c r="C269" s="144" t="s">
        <v>170</v>
      </c>
      <c r="D269" s="144" t="s">
        <v>34</v>
      </c>
      <c r="E269" s="273" t="s">
        <v>884</v>
      </c>
      <c r="F269" s="213" t="s">
        <v>882</v>
      </c>
      <c r="G269" s="290">
        <f t="shared" si="29"/>
        <v>0</v>
      </c>
      <c r="H269" s="273">
        <v>0</v>
      </c>
      <c r="I269" s="290"/>
      <c r="J269" s="290"/>
      <c r="K269" s="155"/>
      <c r="L269" s="155"/>
      <c r="M269" s="155"/>
    </row>
    <row r="270" spans="1:13" ht="321.75" thickTop="1" thickBot="1" x14ac:dyDescent="0.7">
      <c r="A270" s="702" t="s">
        <v>557</v>
      </c>
      <c r="B270" s="702" t="s">
        <v>342</v>
      </c>
      <c r="C270" s="702" t="s">
        <v>170</v>
      </c>
      <c r="D270" s="81" t="s">
        <v>444</v>
      </c>
      <c r="E270" s="798" t="s">
        <v>1342</v>
      </c>
      <c r="F270" s="708" t="s">
        <v>1343</v>
      </c>
      <c r="G270" s="685">
        <f t="shared" si="29"/>
        <v>852942</v>
      </c>
      <c r="H270" s="685">
        <f>'d3'!E301</f>
        <v>0</v>
      </c>
      <c r="I270" s="685">
        <f>'d3'!J301</f>
        <v>852942</v>
      </c>
      <c r="J270" s="685">
        <f>'d3'!K301</f>
        <v>0</v>
      </c>
      <c r="K270" s="155"/>
      <c r="L270" s="155"/>
      <c r="M270" s="155"/>
    </row>
    <row r="271" spans="1:13" ht="138.75" customHeight="1" thickTop="1" thickBot="1" x14ac:dyDescent="0.25">
      <c r="A271" s="710"/>
      <c r="B271" s="710"/>
      <c r="C271" s="710"/>
      <c r="D271" s="82" t="s">
        <v>445</v>
      </c>
      <c r="E271" s="799"/>
      <c r="F271" s="709"/>
      <c r="G271" s="710">
        <f t="shared" si="29"/>
        <v>0</v>
      </c>
      <c r="H271" s="710"/>
      <c r="I271" s="710"/>
      <c r="J271" s="710"/>
      <c r="K271" s="155"/>
      <c r="L271" s="155"/>
      <c r="M271" s="155"/>
    </row>
    <row r="272" spans="1:13" ht="184.5" hidden="1" thickTop="1" thickBot="1" x14ac:dyDescent="0.25">
      <c r="A272" s="144" t="s">
        <v>1207</v>
      </c>
      <c r="B272" s="144" t="s">
        <v>261</v>
      </c>
      <c r="C272" s="144" t="s">
        <v>170</v>
      </c>
      <c r="D272" s="144" t="s">
        <v>259</v>
      </c>
      <c r="E272" s="272" t="s">
        <v>1260</v>
      </c>
      <c r="F272" s="213" t="s">
        <v>1193</v>
      </c>
      <c r="G272" s="290">
        <f t="shared" ref="G272" si="33">H272+I272</f>
        <v>0</v>
      </c>
      <c r="H272" s="273"/>
      <c r="I272" s="290"/>
      <c r="J272" s="290"/>
      <c r="K272" s="155"/>
      <c r="L272" s="155"/>
      <c r="M272" s="155"/>
    </row>
    <row r="273" spans="1:13" ht="367.5" thickTop="1" thickBot="1" x14ac:dyDescent="0.25">
      <c r="A273" s="119" t="s">
        <v>558</v>
      </c>
      <c r="B273" s="119" t="s">
        <v>522</v>
      </c>
      <c r="C273" s="119" t="s">
        <v>255</v>
      </c>
      <c r="D273" s="413" t="s">
        <v>523</v>
      </c>
      <c r="E273" s="364" t="s">
        <v>1241</v>
      </c>
      <c r="F273" s="360" t="s">
        <v>866</v>
      </c>
      <c r="G273" s="360">
        <f t="shared" si="29"/>
        <v>5911250</v>
      </c>
      <c r="H273" s="364">
        <f>'d3'!E306</f>
        <v>4361250</v>
      </c>
      <c r="I273" s="478">
        <f>'d3'!J306</f>
        <v>1550000</v>
      </c>
      <c r="J273" s="478">
        <f>'d3'!K306</f>
        <v>1550000</v>
      </c>
      <c r="K273" s="155"/>
      <c r="L273" s="155"/>
      <c r="M273" s="155"/>
    </row>
    <row r="274" spans="1:13" ht="367.5" thickTop="1" thickBot="1" x14ac:dyDescent="0.25">
      <c r="A274" s="119" t="s">
        <v>559</v>
      </c>
      <c r="B274" s="119" t="s">
        <v>254</v>
      </c>
      <c r="C274" s="119" t="s">
        <v>255</v>
      </c>
      <c r="D274" s="119" t="s">
        <v>253</v>
      </c>
      <c r="E274" s="364" t="s">
        <v>1241</v>
      </c>
      <c r="F274" s="360" t="s">
        <v>866</v>
      </c>
      <c r="G274" s="360">
        <f t="shared" si="29"/>
        <v>2279934</v>
      </c>
      <c r="H274" s="364">
        <f>'d3'!E307</f>
        <v>2230434</v>
      </c>
      <c r="I274" s="478">
        <f>'d3'!J307</f>
        <v>49500</v>
      </c>
      <c r="J274" s="478">
        <f>'d3'!K307</f>
        <v>49500</v>
      </c>
      <c r="K274" s="155"/>
      <c r="L274" s="155"/>
      <c r="M274" s="155"/>
    </row>
    <row r="275" spans="1:13" ht="367.5" hidden="1" thickTop="1" thickBot="1" x14ac:dyDescent="0.25">
      <c r="A275" s="41" t="s">
        <v>560</v>
      </c>
      <c r="B275" s="41" t="s">
        <v>561</v>
      </c>
      <c r="C275" s="41" t="s">
        <v>255</v>
      </c>
      <c r="D275" s="41" t="s">
        <v>562</v>
      </c>
      <c r="E275" s="276" t="s">
        <v>865</v>
      </c>
      <c r="F275" s="73" t="s">
        <v>866</v>
      </c>
      <c r="G275" s="73">
        <f t="shared" si="29"/>
        <v>0</v>
      </c>
      <c r="H275" s="276">
        <f>'d3'!E308</f>
        <v>0</v>
      </c>
      <c r="I275" s="291">
        <f>'d3'!J308</f>
        <v>0</v>
      </c>
      <c r="J275" s="291">
        <f>'d3'!K308</f>
        <v>0</v>
      </c>
      <c r="K275" s="155"/>
      <c r="L275" s="155"/>
      <c r="M275" s="155"/>
    </row>
    <row r="276" spans="1:13" ht="138.75" thickTop="1" thickBot="1" x14ac:dyDescent="0.25">
      <c r="A276" s="119" t="s">
        <v>1591</v>
      </c>
      <c r="B276" s="119" t="s">
        <v>367</v>
      </c>
      <c r="C276" s="119" t="s">
        <v>43</v>
      </c>
      <c r="D276" s="119" t="s">
        <v>368</v>
      </c>
      <c r="E276" s="363" t="s">
        <v>1342</v>
      </c>
      <c r="F276" s="360" t="s">
        <v>1343</v>
      </c>
      <c r="G276" s="360">
        <f t="shared" si="29"/>
        <v>10000000</v>
      </c>
      <c r="H276" s="364">
        <v>0</v>
      </c>
      <c r="I276" s="478">
        <v>10000000</v>
      </c>
      <c r="J276" s="478">
        <v>10000000</v>
      </c>
      <c r="K276" s="155"/>
      <c r="L276" s="155"/>
      <c r="M276" s="155"/>
    </row>
    <row r="277" spans="1:13" ht="136.5" thickTop="1" thickBot="1" x14ac:dyDescent="0.25">
      <c r="A277" s="403" t="s">
        <v>25</v>
      </c>
      <c r="B277" s="403"/>
      <c r="C277" s="403"/>
      <c r="D277" s="404" t="s">
        <v>900</v>
      </c>
      <c r="E277" s="403"/>
      <c r="F277" s="403"/>
      <c r="G277" s="405">
        <f>G278</f>
        <v>102148335</v>
      </c>
      <c r="H277" s="405">
        <f>H278</f>
        <v>21000</v>
      </c>
      <c r="I277" s="405">
        <f>I278</f>
        <v>102127335</v>
      </c>
      <c r="J277" s="405">
        <f>J278</f>
        <v>102127335</v>
      </c>
      <c r="K277" s="155"/>
      <c r="L277" s="155"/>
      <c r="M277" s="155"/>
    </row>
    <row r="278" spans="1:13" ht="136.5" thickTop="1" thickBot="1" x14ac:dyDescent="0.25">
      <c r="A278" s="407" t="s">
        <v>26</v>
      </c>
      <c r="B278" s="407"/>
      <c r="C278" s="407"/>
      <c r="D278" s="408" t="s">
        <v>901</v>
      </c>
      <c r="E278" s="409"/>
      <c r="F278" s="409"/>
      <c r="G278" s="409">
        <f>SUM(G279:G297)</f>
        <v>102148335</v>
      </c>
      <c r="H278" s="409">
        <f>SUM(H279:H297)</f>
        <v>21000</v>
      </c>
      <c r="I278" s="409">
        <f>SUM(I279:I297)</f>
        <v>102127335</v>
      </c>
      <c r="J278" s="409">
        <f>SUM(J279:J297)</f>
        <v>102127335</v>
      </c>
      <c r="K278" s="106" t="b">
        <f>H278='d3'!E313-'d3'!E315+H279</f>
        <v>1</v>
      </c>
      <c r="L278" s="107" t="b">
        <f>I278='d3'!J313+I279</f>
        <v>1</v>
      </c>
      <c r="M278" s="107" t="b">
        <f>J278='d3'!K313+J279</f>
        <v>1</v>
      </c>
    </row>
    <row r="279" spans="1:13" ht="184.5" thickTop="1" thickBot="1" x14ac:dyDescent="0.25">
      <c r="A279" s="119" t="s">
        <v>421</v>
      </c>
      <c r="B279" s="119" t="s">
        <v>240</v>
      </c>
      <c r="C279" s="119" t="s">
        <v>238</v>
      </c>
      <c r="D279" s="119" t="s">
        <v>239</v>
      </c>
      <c r="E279" s="363" t="s">
        <v>1055</v>
      </c>
      <c r="F279" s="360" t="s">
        <v>864</v>
      </c>
      <c r="G279" s="360">
        <f t="shared" ref="G279" si="34">H279+I279</f>
        <v>11000</v>
      </c>
      <c r="H279" s="360">
        <v>11000</v>
      </c>
      <c r="I279" s="360">
        <v>0</v>
      </c>
      <c r="J279" s="360">
        <v>0</v>
      </c>
      <c r="K279" s="642"/>
      <c r="L279" s="642"/>
      <c r="M279" s="642"/>
    </row>
    <row r="280" spans="1:13" ht="367.5" thickTop="1" thickBot="1" x14ac:dyDescent="0.25">
      <c r="A280" s="119" t="s">
        <v>636</v>
      </c>
      <c r="B280" s="119" t="s">
        <v>366</v>
      </c>
      <c r="C280" s="119" t="s">
        <v>631</v>
      </c>
      <c r="D280" s="119" t="s">
        <v>632</v>
      </c>
      <c r="E280" s="363" t="s">
        <v>1359</v>
      </c>
      <c r="F280" s="360" t="s">
        <v>1360</v>
      </c>
      <c r="G280" s="360">
        <f t="shared" ref="G280:G282" si="35">H280+I280</f>
        <v>10000</v>
      </c>
      <c r="H280" s="364">
        <f>'d3'!E316</f>
        <v>10000</v>
      </c>
      <c r="I280" s="478">
        <v>0</v>
      </c>
      <c r="J280" s="478">
        <v>0</v>
      </c>
      <c r="K280" s="274"/>
      <c r="L280" s="274"/>
      <c r="M280" s="274"/>
    </row>
    <row r="281" spans="1:13" ht="184.5" hidden="1" thickTop="1" thickBot="1" x14ac:dyDescent="0.25">
      <c r="A281" s="144" t="s">
        <v>937</v>
      </c>
      <c r="B281" s="144" t="s">
        <v>43</v>
      </c>
      <c r="C281" s="144" t="s">
        <v>42</v>
      </c>
      <c r="D281" s="144" t="s">
        <v>252</v>
      </c>
      <c r="E281" s="272" t="s">
        <v>1165</v>
      </c>
      <c r="F281" s="213"/>
      <c r="G281" s="213">
        <f t="shared" si="35"/>
        <v>0</v>
      </c>
      <c r="H281" s="273">
        <f>'d3'!E317</f>
        <v>0</v>
      </c>
      <c r="I281" s="290">
        <f>'d3'!J317</f>
        <v>0</v>
      </c>
      <c r="J281" s="290">
        <f>'d3'!K317</f>
        <v>0</v>
      </c>
      <c r="K281" s="274"/>
      <c r="L281" s="274"/>
      <c r="M281" s="274"/>
    </row>
    <row r="282" spans="1:13" ht="184.5" thickTop="1" thickBot="1" x14ac:dyDescent="0.25">
      <c r="A282" s="119" t="s">
        <v>1262</v>
      </c>
      <c r="B282" s="119" t="s">
        <v>1225</v>
      </c>
      <c r="C282" s="119" t="s">
        <v>210</v>
      </c>
      <c r="D282" s="413" t="s">
        <v>1226</v>
      </c>
      <c r="E282" s="363" t="s">
        <v>1342</v>
      </c>
      <c r="F282" s="360" t="s">
        <v>1343</v>
      </c>
      <c r="G282" s="360">
        <f t="shared" si="35"/>
        <v>3098000</v>
      </c>
      <c r="H282" s="364">
        <f>'d3'!E319</f>
        <v>0</v>
      </c>
      <c r="I282" s="478">
        <f>'d3'!J319</f>
        <v>3098000</v>
      </c>
      <c r="J282" s="478">
        <f>'d3'!K319</f>
        <v>3098000</v>
      </c>
      <c r="K282" s="274"/>
      <c r="L282" s="274"/>
      <c r="M282" s="274"/>
    </row>
    <row r="283" spans="1:13" ht="321.75" thickTop="1" thickBot="1" x14ac:dyDescent="0.25">
      <c r="A283" s="119" t="s">
        <v>437</v>
      </c>
      <c r="B283" s="119" t="s">
        <v>438</v>
      </c>
      <c r="C283" s="119" t="s">
        <v>199</v>
      </c>
      <c r="D283" s="119" t="s">
        <v>1202</v>
      </c>
      <c r="E283" s="363" t="s">
        <v>1342</v>
      </c>
      <c r="F283" s="360" t="s">
        <v>1343</v>
      </c>
      <c r="G283" s="360">
        <f>H283+I283</f>
        <v>2200000</v>
      </c>
      <c r="H283" s="360">
        <f>'d3'!E322</f>
        <v>0</v>
      </c>
      <c r="I283" s="360">
        <f>'d3'!J322</f>
        <v>2200000</v>
      </c>
      <c r="J283" s="360">
        <f>'d3'!K322</f>
        <v>2200000</v>
      </c>
      <c r="K283" s="155"/>
      <c r="L283" s="155"/>
      <c r="M283" s="155"/>
    </row>
    <row r="284" spans="1:13" ht="138.75" thickTop="1" thickBot="1" x14ac:dyDescent="0.25">
      <c r="A284" s="119" t="s">
        <v>936</v>
      </c>
      <c r="B284" s="119" t="s">
        <v>309</v>
      </c>
      <c r="C284" s="119" t="s">
        <v>308</v>
      </c>
      <c r="D284" s="119" t="s">
        <v>1315</v>
      </c>
      <c r="E284" s="363" t="s">
        <v>1342</v>
      </c>
      <c r="F284" s="360" t="s">
        <v>1343</v>
      </c>
      <c r="G284" s="360">
        <f t="shared" ref="G284:G297" si="36">H284+I284</f>
        <v>4500000</v>
      </c>
      <c r="H284" s="360">
        <f>'d3'!E325</f>
        <v>0</v>
      </c>
      <c r="I284" s="360">
        <f>'d3'!J325</f>
        <v>4500000</v>
      </c>
      <c r="J284" s="360">
        <f>'d3'!K325</f>
        <v>4500000</v>
      </c>
      <c r="K284" s="155"/>
      <c r="L284" s="155"/>
      <c r="M284" s="155"/>
    </row>
    <row r="285" spans="1:13" ht="138.75" thickTop="1" thickBot="1" x14ac:dyDescent="0.25">
      <c r="A285" s="119" t="s">
        <v>314</v>
      </c>
      <c r="B285" s="119" t="s">
        <v>315</v>
      </c>
      <c r="C285" s="119" t="s">
        <v>308</v>
      </c>
      <c r="D285" s="119" t="s">
        <v>1293</v>
      </c>
      <c r="E285" s="363" t="s">
        <v>1342</v>
      </c>
      <c r="F285" s="360" t="s">
        <v>1343</v>
      </c>
      <c r="G285" s="360">
        <f t="shared" si="36"/>
        <v>6433650</v>
      </c>
      <c r="H285" s="360">
        <f>'d3'!E327-H286-H287</f>
        <v>0</v>
      </c>
      <c r="I285" s="360">
        <f>'d3'!J327-I287-I286</f>
        <v>6433650</v>
      </c>
      <c r="J285" s="360">
        <f>'d3'!K327-J287-J286</f>
        <v>6433650</v>
      </c>
      <c r="K285" s="155"/>
      <c r="L285" s="155"/>
      <c r="M285" s="155"/>
    </row>
    <row r="286" spans="1:13" ht="367.5" thickTop="1" thickBot="1" x14ac:dyDescent="0.25">
      <c r="A286" s="119" t="s">
        <v>314</v>
      </c>
      <c r="B286" s="119" t="s">
        <v>315</v>
      </c>
      <c r="C286" s="119" t="s">
        <v>308</v>
      </c>
      <c r="D286" s="119" t="s">
        <v>1293</v>
      </c>
      <c r="E286" s="364" t="s">
        <v>1241</v>
      </c>
      <c r="F286" s="360" t="s">
        <v>866</v>
      </c>
      <c r="G286" s="360">
        <f t="shared" si="36"/>
        <v>40000000</v>
      </c>
      <c r="H286" s="360">
        <v>0</v>
      </c>
      <c r="I286" s="360">
        <v>40000000</v>
      </c>
      <c r="J286" s="360">
        <v>40000000</v>
      </c>
      <c r="K286" s="155"/>
      <c r="L286" s="155"/>
      <c r="M286" s="155"/>
    </row>
    <row r="287" spans="1:13" ht="138.75" thickTop="1" thickBot="1" x14ac:dyDescent="0.25">
      <c r="A287" s="119" t="s">
        <v>314</v>
      </c>
      <c r="B287" s="119" t="s">
        <v>315</v>
      </c>
      <c r="C287" s="119" t="s">
        <v>308</v>
      </c>
      <c r="D287" s="119" t="s">
        <v>1293</v>
      </c>
      <c r="E287" s="363" t="s">
        <v>1492</v>
      </c>
      <c r="F287" s="360" t="s">
        <v>1191</v>
      </c>
      <c r="G287" s="360">
        <f t="shared" si="36"/>
        <v>300000</v>
      </c>
      <c r="H287" s="360">
        <v>0</v>
      </c>
      <c r="I287" s="360">
        <f>(3000000+500000-3000000)-200000</f>
        <v>300000</v>
      </c>
      <c r="J287" s="360">
        <f>(3000000+500000-3000000)-200000</f>
        <v>300000</v>
      </c>
      <c r="K287" s="155"/>
      <c r="L287" s="155"/>
      <c r="M287" s="155"/>
    </row>
    <row r="288" spans="1:13" ht="138.75" thickTop="1" thickBot="1" x14ac:dyDescent="0.25">
      <c r="A288" s="119" t="s">
        <v>520</v>
      </c>
      <c r="B288" s="119" t="s">
        <v>521</v>
      </c>
      <c r="C288" s="119" t="s">
        <v>308</v>
      </c>
      <c r="D288" s="119" t="s">
        <v>1321</v>
      </c>
      <c r="E288" s="363" t="s">
        <v>1342</v>
      </c>
      <c r="F288" s="360" t="s">
        <v>1343</v>
      </c>
      <c r="G288" s="360">
        <f t="shared" si="36"/>
        <v>250000</v>
      </c>
      <c r="H288" s="360">
        <f>'d3'!E328</f>
        <v>0</v>
      </c>
      <c r="I288" s="360">
        <f>'d3'!J328</f>
        <v>250000</v>
      </c>
      <c r="J288" s="360">
        <f>I288</f>
        <v>250000</v>
      </c>
      <c r="K288" s="155"/>
      <c r="L288" s="155"/>
      <c r="M288" s="155"/>
    </row>
    <row r="289" spans="1:13" ht="138.75" hidden="1" thickTop="1" thickBot="1" x14ac:dyDescent="0.25">
      <c r="A289" s="144" t="s">
        <v>316</v>
      </c>
      <c r="B289" s="144" t="s">
        <v>317</v>
      </c>
      <c r="C289" s="144" t="s">
        <v>308</v>
      </c>
      <c r="D289" s="144" t="s">
        <v>1263</v>
      </c>
      <c r="E289" s="272" t="s">
        <v>1184</v>
      </c>
      <c r="F289" s="213" t="s">
        <v>1185</v>
      </c>
      <c r="G289" s="213">
        <f t="shared" si="36"/>
        <v>0</v>
      </c>
      <c r="H289" s="213">
        <f>'d3'!E329</f>
        <v>0</v>
      </c>
      <c r="I289" s="213">
        <f>'d3'!J329</f>
        <v>0</v>
      </c>
      <c r="J289" s="213">
        <f>I289</f>
        <v>0</v>
      </c>
      <c r="K289" s="155"/>
      <c r="L289" s="155"/>
      <c r="M289" s="155"/>
    </row>
    <row r="290" spans="1:13" ht="138.75" thickTop="1" thickBot="1" x14ac:dyDescent="0.25">
      <c r="A290" s="119" t="s">
        <v>318</v>
      </c>
      <c r="B290" s="119" t="s">
        <v>319</v>
      </c>
      <c r="C290" s="119" t="s">
        <v>308</v>
      </c>
      <c r="D290" s="119" t="s">
        <v>1322</v>
      </c>
      <c r="E290" s="363" t="s">
        <v>1342</v>
      </c>
      <c r="F290" s="360" t="s">
        <v>1343</v>
      </c>
      <c r="G290" s="360">
        <f t="shared" si="36"/>
        <v>20317229</v>
      </c>
      <c r="H290" s="360">
        <f>'d3'!I330-H293-H291-H292</f>
        <v>0</v>
      </c>
      <c r="I290" s="360">
        <f>'d3'!J330-I293-I291-I292</f>
        <v>20317229</v>
      </c>
      <c r="J290" s="360">
        <f>'d3'!K330-J293-J291-J292</f>
        <v>20317229</v>
      </c>
      <c r="K290" s="155"/>
      <c r="L290" s="155"/>
      <c r="M290" s="155"/>
    </row>
    <row r="291" spans="1:13" ht="184.5" thickTop="1" thickBot="1" x14ac:dyDescent="0.25">
      <c r="A291" s="119" t="s">
        <v>318</v>
      </c>
      <c r="B291" s="119" t="s">
        <v>319</v>
      </c>
      <c r="C291" s="119" t="s">
        <v>308</v>
      </c>
      <c r="D291" s="119" t="s">
        <v>1322</v>
      </c>
      <c r="E291" s="363" t="s">
        <v>1546</v>
      </c>
      <c r="F291" s="360" t="s">
        <v>1547</v>
      </c>
      <c r="G291" s="360">
        <f t="shared" si="36"/>
        <v>582840</v>
      </c>
      <c r="H291" s="360">
        <v>0</v>
      </c>
      <c r="I291" s="360">
        <f>(1860720+4362554)-5640434</f>
        <v>582840</v>
      </c>
      <c r="J291" s="360">
        <f>(1860720+4362554)-5640434</f>
        <v>582840</v>
      </c>
      <c r="K291" s="155"/>
      <c r="L291" s="155"/>
      <c r="M291" s="155"/>
    </row>
    <row r="292" spans="1:13" ht="367.5" thickTop="1" thickBot="1" x14ac:dyDescent="0.25">
      <c r="A292" s="119" t="s">
        <v>318</v>
      </c>
      <c r="B292" s="119" t="s">
        <v>319</v>
      </c>
      <c r="C292" s="119" t="s">
        <v>308</v>
      </c>
      <c r="D292" s="119" t="s">
        <v>1322</v>
      </c>
      <c r="E292" s="364" t="s">
        <v>1241</v>
      </c>
      <c r="F292" s="360" t="s">
        <v>866</v>
      </c>
      <c r="G292" s="360">
        <f t="shared" si="36"/>
        <v>200000</v>
      </c>
      <c r="H292" s="360">
        <v>0</v>
      </c>
      <c r="I292" s="360">
        <v>200000</v>
      </c>
      <c r="J292" s="360">
        <v>200000</v>
      </c>
      <c r="K292" s="155"/>
      <c r="L292" s="155"/>
      <c r="M292" s="155"/>
    </row>
    <row r="293" spans="1:13" ht="138.75" thickTop="1" thickBot="1" x14ac:dyDescent="0.25">
      <c r="A293" s="119" t="s">
        <v>318</v>
      </c>
      <c r="B293" s="119" t="s">
        <v>319</v>
      </c>
      <c r="C293" s="119" t="s">
        <v>308</v>
      </c>
      <c r="D293" s="119" t="s">
        <v>1322</v>
      </c>
      <c r="E293" s="363" t="s">
        <v>1493</v>
      </c>
      <c r="F293" s="401" t="s">
        <v>429</v>
      </c>
      <c r="G293" s="360">
        <f t="shared" si="36"/>
        <v>24245616</v>
      </c>
      <c r="H293" s="360">
        <v>0</v>
      </c>
      <c r="I293" s="360">
        <f>(3334326+10000000+165223+10000000+2000000+746067)+10000000-12000000</f>
        <v>24245616</v>
      </c>
      <c r="J293" s="360">
        <f>(3334326+10000000+165223+10000000+2000000+746067)+10000000-12000000</f>
        <v>24245616</v>
      </c>
      <c r="K293" s="155"/>
      <c r="L293" s="155"/>
      <c r="M293" s="155"/>
    </row>
    <row r="294" spans="1:13" ht="184.5" hidden="1" thickTop="1" thickBot="1" x14ac:dyDescent="0.25">
      <c r="A294" s="144" t="s">
        <v>441</v>
      </c>
      <c r="B294" s="144" t="s">
        <v>354</v>
      </c>
      <c r="C294" s="144" t="s">
        <v>170</v>
      </c>
      <c r="D294" s="144" t="s">
        <v>266</v>
      </c>
      <c r="E294" s="272" t="s">
        <v>1165</v>
      </c>
      <c r="F294" s="213"/>
      <c r="G294" s="213">
        <f t="shared" si="36"/>
        <v>0</v>
      </c>
      <c r="H294" s="213">
        <f>'d3'!E331</f>
        <v>0</v>
      </c>
      <c r="I294" s="213">
        <f>'d3'!J331</f>
        <v>0</v>
      </c>
      <c r="J294" s="213">
        <f>'d3'!K331</f>
        <v>0</v>
      </c>
      <c r="K294" s="155"/>
      <c r="L294" s="155"/>
      <c r="M294" s="155"/>
    </row>
    <row r="295" spans="1:13" ht="321.75" hidden="1" thickTop="1" thickBot="1" x14ac:dyDescent="0.7">
      <c r="A295" s="713" t="s">
        <v>1004</v>
      </c>
      <c r="B295" s="713" t="s">
        <v>342</v>
      </c>
      <c r="C295" s="713" t="s">
        <v>170</v>
      </c>
      <c r="D295" s="171" t="s">
        <v>444</v>
      </c>
      <c r="E295" s="713" t="s">
        <v>1165</v>
      </c>
      <c r="F295" s="713"/>
      <c r="G295" s="213">
        <f t="shared" si="36"/>
        <v>0</v>
      </c>
      <c r="H295" s="687">
        <f>'d3'!E334</f>
        <v>0</v>
      </c>
      <c r="I295" s="687">
        <f>'d3'!J334</f>
        <v>0</v>
      </c>
      <c r="J295" s="687">
        <f>'d3'!K334</f>
        <v>0</v>
      </c>
      <c r="K295" s="155"/>
      <c r="L295" s="155"/>
      <c r="M295" s="155"/>
    </row>
    <row r="296" spans="1:13" ht="138.75" hidden="1" thickTop="1" thickBot="1" x14ac:dyDescent="0.25">
      <c r="A296" s="713"/>
      <c r="B296" s="713"/>
      <c r="C296" s="713"/>
      <c r="D296" s="172" t="s">
        <v>445</v>
      </c>
      <c r="E296" s="713"/>
      <c r="F296" s="713"/>
      <c r="G296" s="213">
        <f t="shared" si="36"/>
        <v>0</v>
      </c>
      <c r="H296" s="714"/>
      <c r="I296" s="714"/>
      <c r="J296" s="714"/>
      <c r="K296" s="155"/>
      <c r="L296" s="155"/>
      <c r="M296" s="155"/>
    </row>
    <row r="297" spans="1:13" ht="138.75" hidden="1" thickTop="1" thickBot="1" x14ac:dyDescent="0.25">
      <c r="A297" s="144" t="s">
        <v>1218</v>
      </c>
      <c r="B297" s="144" t="s">
        <v>261</v>
      </c>
      <c r="C297" s="144" t="s">
        <v>170</v>
      </c>
      <c r="D297" s="172" t="s">
        <v>259</v>
      </c>
      <c r="E297" s="272" t="s">
        <v>1184</v>
      </c>
      <c r="F297" s="213" t="s">
        <v>1185</v>
      </c>
      <c r="G297" s="213">
        <f t="shared" si="36"/>
        <v>0</v>
      </c>
      <c r="H297" s="213"/>
      <c r="I297" s="213">
        <v>0</v>
      </c>
      <c r="J297" s="213">
        <v>0</v>
      </c>
      <c r="K297" s="155"/>
      <c r="L297" s="155"/>
      <c r="M297" s="155"/>
    </row>
    <row r="298" spans="1:13" ht="136.5" thickTop="1" thickBot="1" x14ac:dyDescent="0.25">
      <c r="A298" s="403" t="s">
        <v>160</v>
      </c>
      <c r="B298" s="403"/>
      <c r="C298" s="403"/>
      <c r="D298" s="404" t="s">
        <v>902</v>
      </c>
      <c r="E298" s="403"/>
      <c r="F298" s="403"/>
      <c r="G298" s="405">
        <f>G299</f>
        <v>1909996.81</v>
      </c>
      <c r="H298" s="405">
        <f t="shared" ref="H298:J298" si="37">H299</f>
        <v>379996.81000000006</v>
      </c>
      <c r="I298" s="405">
        <f t="shared" si="37"/>
        <v>1530000</v>
      </c>
      <c r="J298" s="405">
        <f t="shared" si="37"/>
        <v>1530000</v>
      </c>
      <c r="K298" s="107">
        <f>'d3'!E338-'d3'!E340+H300</f>
        <v>379996.81000000052</v>
      </c>
      <c r="L298" s="107" t="b">
        <f>I298='d3'!J338-'d3'!J340+'d7'!I300</f>
        <v>1</v>
      </c>
      <c r="M298" s="107" t="b">
        <f>J298='d3'!K338-'d3'!K340+'d7'!J300</f>
        <v>1</v>
      </c>
    </row>
    <row r="299" spans="1:13" ht="136.5" thickTop="1" thickBot="1" x14ac:dyDescent="0.25">
      <c r="A299" s="407" t="s">
        <v>161</v>
      </c>
      <c r="B299" s="407"/>
      <c r="C299" s="407"/>
      <c r="D299" s="408" t="s">
        <v>907</v>
      </c>
      <c r="E299" s="409"/>
      <c r="F299" s="409"/>
      <c r="G299" s="409">
        <f>SUM(G300:G303)</f>
        <v>1909996.81</v>
      </c>
      <c r="H299" s="409">
        <f>SUM(H300:H303)</f>
        <v>379996.81000000006</v>
      </c>
      <c r="I299" s="409">
        <f>SUM(I300:I303)</f>
        <v>1530000</v>
      </c>
      <c r="J299" s="409">
        <f>SUM(J300:J303)</f>
        <v>1530000</v>
      </c>
      <c r="K299" s="155"/>
      <c r="L299" s="155"/>
      <c r="M299" s="155"/>
    </row>
    <row r="300" spans="1:13" ht="184.5" thickTop="1" thickBot="1" x14ac:dyDescent="0.25">
      <c r="A300" s="119" t="s">
        <v>423</v>
      </c>
      <c r="B300" s="119" t="s">
        <v>240</v>
      </c>
      <c r="C300" s="119" t="s">
        <v>238</v>
      </c>
      <c r="D300" s="119" t="s">
        <v>239</v>
      </c>
      <c r="E300" s="363" t="s">
        <v>1055</v>
      </c>
      <c r="F300" s="360" t="s">
        <v>864</v>
      </c>
      <c r="G300" s="360">
        <f>H300+I300</f>
        <v>80000</v>
      </c>
      <c r="H300" s="360">
        <v>0</v>
      </c>
      <c r="I300" s="360">
        <f>(30000)+50000</f>
        <v>80000</v>
      </c>
      <c r="J300" s="360">
        <f>(30000)+50000</f>
        <v>80000</v>
      </c>
      <c r="K300" s="155"/>
      <c r="L300" s="155"/>
      <c r="M300" s="155"/>
    </row>
    <row r="301" spans="1:13" ht="367.5" thickTop="1" thickBot="1" x14ac:dyDescent="0.25">
      <c r="A301" s="119" t="s">
        <v>637</v>
      </c>
      <c r="B301" s="119" t="s">
        <v>366</v>
      </c>
      <c r="C301" s="119" t="s">
        <v>631</v>
      </c>
      <c r="D301" s="119" t="s">
        <v>632</v>
      </c>
      <c r="E301" s="363" t="s">
        <v>1359</v>
      </c>
      <c r="F301" s="360" t="s">
        <v>1360</v>
      </c>
      <c r="G301" s="360">
        <f t="shared" ref="G301:G303" si="38">H301+I301</f>
        <v>10000</v>
      </c>
      <c r="H301" s="364">
        <f>'d3'!E341</f>
        <v>10000</v>
      </c>
      <c r="I301" s="478">
        <v>0</v>
      </c>
      <c r="J301" s="478">
        <v>0</v>
      </c>
      <c r="K301" s="155"/>
      <c r="L301" s="155"/>
      <c r="M301" s="155"/>
    </row>
    <row r="302" spans="1:13" ht="138.75" thickTop="1" thickBot="1" x14ac:dyDescent="0.25">
      <c r="A302" s="119" t="s">
        <v>1312</v>
      </c>
      <c r="B302" s="119" t="s">
        <v>43</v>
      </c>
      <c r="C302" s="119" t="s">
        <v>42</v>
      </c>
      <c r="D302" s="119" t="s">
        <v>252</v>
      </c>
      <c r="E302" s="363" t="s">
        <v>1342</v>
      </c>
      <c r="F302" s="360" t="s">
        <v>1343</v>
      </c>
      <c r="G302" s="360">
        <f t="shared" si="38"/>
        <v>369996.81000000006</v>
      </c>
      <c r="H302" s="364">
        <f>'d3'!E342</f>
        <v>369996.81000000006</v>
      </c>
      <c r="I302" s="478">
        <f>'d3'!J342</f>
        <v>0</v>
      </c>
      <c r="J302" s="478">
        <f>'d3'!K342</f>
        <v>0</v>
      </c>
      <c r="K302" s="155"/>
      <c r="L302" s="155"/>
      <c r="M302" s="155"/>
    </row>
    <row r="303" spans="1:13" ht="138.75" thickTop="1" thickBot="1" x14ac:dyDescent="0.25">
      <c r="A303" s="119" t="s">
        <v>920</v>
      </c>
      <c r="B303" s="119" t="s">
        <v>921</v>
      </c>
      <c r="C303" s="119" t="s">
        <v>308</v>
      </c>
      <c r="D303" s="119" t="s">
        <v>922</v>
      </c>
      <c r="E303" s="363" t="s">
        <v>1342</v>
      </c>
      <c r="F303" s="360" t="s">
        <v>1343</v>
      </c>
      <c r="G303" s="360">
        <f t="shared" si="38"/>
        <v>1450000</v>
      </c>
      <c r="H303" s="364">
        <f>'d3'!E345</f>
        <v>0</v>
      </c>
      <c r="I303" s="478">
        <f>'d3'!J345</f>
        <v>1450000</v>
      </c>
      <c r="J303" s="478">
        <f>'d3'!K345</f>
        <v>1450000</v>
      </c>
      <c r="K303" s="155"/>
      <c r="L303" s="155"/>
      <c r="M303" s="155"/>
    </row>
    <row r="304" spans="1:13" ht="136.5" thickTop="1" thickBot="1" x14ac:dyDescent="0.25">
      <c r="A304" s="403" t="s">
        <v>448</v>
      </c>
      <c r="B304" s="403"/>
      <c r="C304" s="403"/>
      <c r="D304" s="404" t="s">
        <v>450</v>
      </c>
      <c r="E304" s="403"/>
      <c r="F304" s="403"/>
      <c r="G304" s="405">
        <f>G305</f>
        <v>189291012.16</v>
      </c>
      <c r="H304" s="405">
        <f t="shared" ref="H304:J304" si="39">H305</f>
        <v>146818096</v>
      </c>
      <c r="I304" s="405">
        <f t="shared" si="39"/>
        <v>42472916.159999996</v>
      </c>
      <c r="J304" s="405">
        <f t="shared" si="39"/>
        <v>42472916.159999996</v>
      </c>
      <c r="K304" s="155"/>
      <c r="L304" s="155"/>
      <c r="M304" s="155"/>
    </row>
    <row r="305" spans="1:13" ht="136.5" thickTop="1" thickBot="1" x14ac:dyDescent="0.25">
      <c r="A305" s="407" t="s">
        <v>449</v>
      </c>
      <c r="B305" s="407"/>
      <c r="C305" s="407"/>
      <c r="D305" s="408" t="s">
        <v>451</v>
      </c>
      <c r="E305" s="409"/>
      <c r="F305" s="409"/>
      <c r="G305" s="409">
        <f>SUM(G306:G315)</f>
        <v>189291012.16</v>
      </c>
      <c r="H305" s="409">
        <f t="shared" ref="H305" si="40">SUM(H306:H315)</f>
        <v>146818096</v>
      </c>
      <c r="I305" s="409">
        <f>SUM(I306:I315)</f>
        <v>42472916.159999996</v>
      </c>
      <c r="J305" s="409">
        <f>SUM(J306:J315)</f>
        <v>42472916.159999996</v>
      </c>
      <c r="K305" s="106" t="b">
        <f>H305='d3'!E347-'d3'!E349+'d7'!H306</f>
        <v>1</v>
      </c>
      <c r="L305" s="107" t="b">
        <f>I305='d3'!J347-'d3'!J349+'d7'!I306</f>
        <v>1</v>
      </c>
      <c r="M305" s="107" t="b">
        <f>J305='d3'!K347-'d3'!K349+'d7'!J306</f>
        <v>1</v>
      </c>
    </row>
    <row r="306" spans="1:13" ht="184.5" thickTop="1" thickBot="1" x14ac:dyDescent="0.25">
      <c r="A306" s="119" t="s">
        <v>452</v>
      </c>
      <c r="B306" s="119" t="s">
        <v>240</v>
      </c>
      <c r="C306" s="119" t="s">
        <v>238</v>
      </c>
      <c r="D306" s="119" t="s">
        <v>239</v>
      </c>
      <c r="E306" s="363" t="s">
        <v>1055</v>
      </c>
      <c r="F306" s="360" t="s">
        <v>864</v>
      </c>
      <c r="G306" s="360">
        <f>H306+I306</f>
        <v>151916.16</v>
      </c>
      <c r="H306" s="364">
        <v>0</v>
      </c>
      <c r="I306" s="360">
        <f>153760-1843.84</f>
        <v>151916.16</v>
      </c>
      <c r="J306" s="360">
        <f>153760-1843.84</f>
        <v>151916.16</v>
      </c>
      <c r="K306" s="155"/>
      <c r="L306" s="155"/>
      <c r="M306" s="155"/>
    </row>
    <row r="307" spans="1:13" ht="367.5" thickTop="1" thickBot="1" x14ac:dyDescent="0.25">
      <c r="A307" s="119" t="s">
        <v>638</v>
      </c>
      <c r="B307" s="119" t="s">
        <v>366</v>
      </c>
      <c r="C307" s="119" t="s">
        <v>631</v>
      </c>
      <c r="D307" s="119" t="s">
        <v>632</v>
      </c>
      <c r="E307" s="363" t="s">
        <v>1359</v>
      </c>
      <c r="F307" s="360" t="s">
        <v>1360</v>
      </c>
      <c r="G307" s="360">
        <f t="shared" ref="G307:G309" si="41">H307+I307</f>
        <v>5136</v>
      </c>
      <c r="H307" s="364">
        <f>'d3'!E350</f>
        <v>5136</v>
      </c>
      <c r="I307" s="478">
        <f>'d3'!J350</f>
        <v>0</v>
      </c>
      <c r="J307" s="478">
        <f>'d3'!K350</f>
        <v>0</v>
      </c>
      <c r="K307" s="155"/>
      <c r="L307" s="155"/>
      <c r="M307" s="155"/>
    </row>
    <row r="308" spans="1:13" ht="184.5" thickTop="1" thickBot="1" x14ac:dyDescent="0.25">
      <c r="A308" s="119" t="s">
        <v>471</v>
      </c>
      <c r="B308" s="119" t="s">
        <v>416</v>
      </c>
      <c r="C308" s="119" t="s">
        <v>417</v>
      </c>
      <c r="D308" s="119" t="s">
        <v>418</v>
      </c>
      <c r="E308" s="119" t="s">
        <v>1476</v>
      </c>
      <c r="F308" s="360" t="s">
        <v>1346</v>
      </c>
      <c r="G308" s="360">
        <f t="shared" si="41"/>
        <v>505540</v>
      </c>
      <c r="H308" s="364">
        <f>'d3'!E354</f>
        <v>505540</v>
      </c>
      <c r="I308" s="478">
        <f>'d3'!J354</f>
        <v>0</v>
      </c>
      <c r="J308" s="478">
        <f>'d3'!K354</f>
        <v>0</v>
      </c>
      <c r="K308" s="155"/>
      <c r="L308" s="155"/>
      <c r="M308" s="155"/>
    </row>
    <row r="309" spans="1:13" ht="184.5" thickTop="1" thickBot="1" x14ac:dyDescent="0.25">
      <c r="A309" s="119" t="s">
        <v>472</v>
      </c>
      <c r="B309" s="119" t="s">
        <v>295</v>
      </c>
      <c r="C309" s="119" t="s">
        <v>1458</v>
      </c>
      <c r="D309" s="119" t="s">
        <v>296</v>
      </c>
      <c r="E309" s="363" t="s">
        <v>1320</v>
      </c>
      <c r="F309" s="360" t="s">
        <v>947</v>
      </c>
      <c r="G309" s="360">
        <f t="shared" si="41"/>
        <v>141437420</v>
      </c>
      <c r="H309" s="364">
        <f>'d3'!E356</f>
        <v>141437420</v>
      </c>
      <c r="I309" s="478">
        <f>'d3'!J356</f>
        <v>0</v>
      </c>
      <c r="J309" s="478">
        <f>'d3'!K356</f>
        <v>0</v>
      </c>
      <c r="K309" s="155"/>
      <c r="L309" s="155"/>
      <c r="M309" s="155"/>
    </row>
    <row r="310" spans="1:13" ht="184.5" hidden="1" thickTop="1" thickBot="1" x14ac:dyDescent="0.25">
      <c r="A310" s="812" t="s">
        <v>1116</v>
      </c>
      <c r="B310" s="812" t="s">
        <v>1117</v>
      </c>
      <c r="C310" s="812" t="s">
        <v>299</v>
      </c>
      <c r="D310" s="812" t="s">
        <v>1115</v>
      </c>
      <c r="E310" s="272" t="s">
        <v>1031</v>
      </c>
      <c r="F310" s="213" t="s">
        <v>493</v>
      </c>
      <c r="G310" s="796">
        <f>H310+I310</f>
        <v>0</v>
      </c>
      <c r="H310" s="809"/>
      <c r="I310" s="811">
        <v>0</v>
      </c>
      <c r="J310" s="811">
        <v>0</v>
      </c>
      <c r="K310" s="155"/>
      <c r="L310" s="155"/>
      <c r="M310" s="155"/>
    </row>
    <row r="311" spans="1:13" ht="138.75" hidden="1" thickTop="1" thickBot="1" x14ac:dyDescent="0.25">
      <c r="A311" s="810"/>
      <c r="B311" s="810" t="s">
        <v>1117</v>
      </c>
      <c r="C311" s="810"/>
      <c r="D311" s="810"/>
      <c r="E311" s="272" t="s">
        <v>1184</v>
      </c>
      <c r="F311" s="213" t="s">
        <v>1185</v>
      </c>
      <c r="G311" s="810"/>
      <c r="H311" s="810"/>
      <c r="I311" s="810"/>
      <c r="J311" s="810"/>
      <c r="K311" s="155"/>
      <c r="L311" s="155"/>
      <c r="M311" s="155"/>
    </row>
    <row r="312" spans="1:13" ht="184.5" thickTop="1" thickBot="1" x14ac:dyDescent="0.25">
      <c r="A312" s="119" t="s">
        <v>1198</v>
      </c>
      <c r="B312" s="119" t="s">
        <v>201</v>
      </c>
      <c r="C312" s="119" t="s">
        <v>170</v>
      </c>
      <c r="D312" s="119" t="s">
        <v>1199</v>
      </c>
      <c r="E312" s="363" t="s">
        <v>1519</v>
      </c>
      <c r="F312" s="360" t="s">
        <v>493</v>
      </c>
      <c r="G312" s="360">
        <f t="shared" ref="G312:G313" si="42">H312+I312</f>
        <v>31000000</v>
      </c>
      <c r="H312" s="364">
        <f>'d3'!E359-H313</f>
        <v>0</v>
      </c>
      <c r="I312" s="478">
        <f>(31000000)+3703000-3703000</f>
        <v>31000000</v>
      </c>
      <c r="J312" s="478">
        <f>(31000000)+3703000-3703000</f>
        <v>31000000</v>
      </c>
      <c r="K312" s="106" t="b">
        <f>H312+H313='d3'!E359</f>
        <v>1</v>
      </c>
      <c r="L312" s="107" t="b">
        <f>I312+I313='d3'!J359</f>
        <v>1</v>
      </c>
      <c r="M312" s="107" t="b">
        <f>J312+J313='d3'!K359</f>
        <v>1</v>
      </c>
    </row>
    <row r="313" spans="1:13" ht="138.75" thickTop="1" thickBot="1" x14ac:dyDescent="0.25">
      <c r="A313" s="119" t="s">
        <v>1198</v>
      </c>
      <c r="B313" s="119" t="s">
        <v>201</v>
      </c>
      <c r="C313" s="119" t="s">
        <v>170</v>
      </c>
      <c r="D313" s="119" t="s">
        <v>1199</v>
      </c>
      <c r="E313" s="363" t="s">
        <v>1520</v>
      </c>
      <c r="F313" s="360" t="s">
        <v>947</v>
      </c>
      <c r="G313" s="360">
        <f t="shared" si="42"/>
        <v>11321000</v>
      </c>
      <c r="H313" s="364">
        <v>0</v>
      </c>
      <c r="I313" s="478">
        <f>(2260000+5800000)+3261000</f>
        <v>11321000</v>
      </c>
      <c r="J313" s="478">
        <f>(2260000+5800000)+3261000</f>
        <v>11321000</v>
      </c>
      <c r="K313" s="155"/>
      <c r="L313" s="155"/>
      <c r="M313" s="155"/>
    </row>
    <row r="314" spans="1:13" ht="184.5" thickTop="1" thickBot="1" x14ac:dyDescent="0.25">
      <c r="A314" s="119" t="s">
        <v>1246</v>
      </c>
      <c r="B314" s="119" t="s">
        <v>1247</v>
      </c>
      <c r="C314" s="119" t="s">
        <v>1212</v>
      </c>
      <c r="D314" s="119" t="s">
        <v>1248</v>
      </c>
      <c r="E314" s="119" t="s">
        <v>1476</v>
      </c>
      <c r="F314" s="360" t="s">
        <v>1346</v>
      </c>
      <c r="G314" s="360">
        <f>H314+I314</f>
        <v>4750000</v>
      </c>
      <c r="H314" s="364">
        <f>'d3'!E362</f>
        <v>4750000</v>
      </c>
      <c r="I314" s="478">
        <f>'d3'!J362</f>
        <v>0</v>
      </c>
      <c r="J314" s="478">
        <f>'d3'!K362</f>
        <v>0</v>
      </c>
      <c r="K314" s="155"/>
      <c r="L314" s="155"/>
      <c r="M314" s="155"/>
    </row>
    <row r="315" spans="1:13" ht="184.5" thickTop="1" thickBot="1" x14ac:dyDescent="0.25">
      <c r="A315" s="119" t="s">
        <v>1424</v>
      </c>
      <c r="B315" s="119" t="s">
        <v>518</v>
      </c>
      <c r="C315" s="119" t="s">
        <v>43</v>
      </c>
      <c r="D315" s="119" t="s">
        <v>519</v>
      </c>
      <c r="E315" s="119" t="s">
        <v>1453</v>
      </c>
      <c r="F315" s="360" t="s">
        <v>1454</v>
      </c>
      <c r="G315" s="360">
        <f>H315+I315</f>
        <v>120000</v>
      </c>
      <c r="H315" s="364">
        <v>120000</v>
      </c>
      <c r="I315" s="478">
        <v>0</v>
      </c>
      <c r="J315" s="478">
        <v>0</v>
      </c>
      <c r="K315" s="155"/>
      <c r="L315" s="155"/>
      <c r="M315" s="155"/>
    </row>
    <row r="316" spans="1:13" ht="160.5" customHeight="1" thickTop="1" thickBot="1" x14ac:dyDescent="0.25">
      <c r="A316" s="403" t="s">
        <v>166</v>
      </c>
      <c r="B316" s="403"/>
      <c r="C316" s="403"/>
      <c r="D316" s="404" t="s">
        <v>358</v>
      </c>
      <c r="E316" s="403"/>
      <c r="F316" s="403"/>
      <c r="G316" s="405">
        <f>G317</f>
        <v>8297970</v>
      </c>
      <c r="H316" s="405">
        <f t="shared" ref="H316:J316" si="43">H317</f>
        <v>7715238</v>
      </c>
      <c r="I316" s="405">
        <f t="shared" si="43"/>
        <v>582732</v>
      </c>
      <c r="J316" s="405">
        <f t="shared" si="43"/>
        <v>582732</v>
      </c>
      <c r="K316" s="106" t="b">
        <f>H316='d3'!E365</f>
        <v>1</v>
      </c>
      <c r="L316" s="107" t="b">
        <f>I316='d3'!J365</f>
        <v>1</v>
      </c>
      <c r="M316" s="107" t="b">
        <f>J316='d3'!K365</f>
        <v>1</v>
      </c>
    </row>
    <row r="317" spans="1:13" ht="136.5" thickTop="1" thickBot="1" x14ac:dyDescent="0.25">
      <c r="A317" s="407" t="s">
        <v>167</v>
      </c>
      <c r="B317" s="407"/>
      <c r="C317" s="407"/>
      <c r="D317" s="408" t="s">
        <v>359</v>
      </c>
      <c r="E317" s="409"/>
      <c r="F317" s="409"/>
      <c r="G317" s="409">
        <f>SUM(G318:G328)</f>
        <v>8297970</v>
      </c>
      <c r="H317" s="409">
        <f>SUM(H318:H328)</f>
        <v>7715238</v>
      </c>
      <c r="I317" s="409">
        <f>SUM(I318:I328)</f>
        <v>582732</v>
      </c>
      <c r="J317" s="409">
        <f>SUM(J318:J328)</f>
        <v>582732</v>
      </c>
      <c r="K317" s="155"/>
      <c r="L317" s="155"/>
      <c r="M317" s="155"/>
    </row>
    <row r="318" spans="1:13" ht="184.5" thickTop="1" thickBot="1" x14ac:dyDescent="0.25">
      <c r="A318" s="119" t="s">
        <v>1381</v>
      </c>
      <c r="B318" s="119" t="s">
        <v>1225</v>
      </c>
      <c r="C318" s="119" t="s">
        <v>210</v>
      </c>
      <c r="D318" s="413" t="s">
        <v>1226</v>
      </c>
      <c r="E318" s="360" t="s">
        <v>1178</v>
      </c>
      <c r="F318" s="360" t="s">
        <v>1376</v>
      </c>
      <c r="G318" s="364">
        <f>H318+I318</f>
        <v>951800</v>
      </c>
      <c r="H318" s="360">
        <f>'d3'!E368</f>
        <v>794919</v>
      </c>
      <c r="I318" s="360">
        <f>'d3'!J368</f>
        <v>156881</v>
      </c>
      <c r="J318" s="360">
        <f>'d3'!K368</f>
        <v>156881</v>
      </c>
      <c r="K318" s="155"/>
      <c r="L318" s="155"/>
      <c r="M318" s="155"/>
    </row>
    <row r="319" spans="1:13" ht="138.75" thickTop="1" thickBot="1" x14ac:dyDescent="0.25">
      <c r="A319" s="119" t="s">
        <v>1027</v>
      </c>
      <c r="B319" s="119" t="s">
        <v>354</v>
      </c>
      <c r="C319" s="119" t="s">
        <v>170</v>
      </c>
      <c r="D319" s="119" t="s">
        <v>266</v>
      </c>
      <c r="E319" s="363" t="s">
        <v>1342</v>
      </c>
      <c r="F319" s="360" t="s">
        <v>1343</v>
      </c>
      <c r="G319" s="364">
        <f>H319+I319</f>
        <v>50000</v>
      </c>
      <c r="H319" s="360">
        <v>50000</v>
      </c>
      <c r="I319" s="360">
        <v>0</v>
      </c>
      <c r="J319" s="360">
        <v>0</v>
      </c>
      <c r="K319" s="106" t="b">
        <f>H319='d3'!E371</f>
        <v>1</v>
      </c>
      <c r="L319" s="107" t="b">
        <f>I319='d3'!J371</f>
        <v>1</v>
      </c>
      <c r="M319" s="107" t="b">
        <f>J319='d3'!K371</f>
        <v>1</v>
      </c>
    </row>
    <row r="320" spans="1:13" ht="138.75" thickTop="1" thickBot="1" x14ac:dyDescent="0.25">
      <c r="A320" s="119" t="s">
        <v>264</v>
      </c>
      <c r="B320" s="119" t="s">
        <v>265</v>
      </c>
      <c r="C320" s="119" t="s">
        <v>263</v>
      </c>
      <c r="D320" s="119" t="s">
        <v>262</v>
      </c>
      <c r="E320" s="363" t="s">
        <v>1361</v>
      </c>
      <c r="F320" s="360" t="s">
        <v>1186</v>
      </c>
      <c r="G320" s="364">
        <f>H320+I320</f>
        <v>5465000</v>
      </c>
      <c r="H320" s="360">
        <f>((((2455000)+3000000)+650000)-340000+200000)-500000</f>
        <v>5465000</v>
      </c>
      <c r="I320" s="360">
        <v>0</v>
      </c>
      <c r="J320" s="360">
        <v>0</v>
      </c>
      <c r="K320" s="106" t="b">
        <f>H320+H321='d3'!E373</f>
        <v>1</v>
      </c>
      <c r="L320" s="107" t="b">
        <f>I320+I321='d3'!J373</f>
        <v>1</v>
      </c>
      <c r="M320" s="107" t="b">
        <f>J320+J321='d3'!K373</f>
        <v>1</v>
      </c>
    </row>
    <row r="321" spans="1:13" ht="138.75" thickTop="1" thickBot="1" x14ac:dyDescent="0.25">
      <c r="A321" s="119" t="s">
        <v>264</v>
      </c>
      <c r="B321" s="119" t="s">
        <v>265</v>
      </c>
      <c r="C321" s="119" t="s">
        <v>263</v>
      </c>
      <c r="D321" s="119" t="s">
        <v>262</v>
      </c>
      <c r="E321" s="363" t="s">
        <v>1493</v>
      </c>
      <c r="F321" s="401" t="s">
        <v>429</v>
      </c>
      <c r="G321" s="364">
        <f t="shared" ref="G321:G328" si="44">H321+I321</f>
        <v>50000</v>
      </c>
      <c r="H321" s="360">
        <f>(100000)-50000</f>
        <v>50000</v>
      </c>
      <c r="I321" s="360">
        <v>0</v>
      </c>
      <c r="J321" s="360">
        <v>0</v>
      </c>
      <c r="K321" s="155"/>
      <c r="L321" s="155"/>
      <c r="M321" s="278"/>
    </row>
    <row r="322" spans="1:13" ht="184.5" thickTop="1" thickBot="1" x14ac:dyDescent="0.25">
      <c r="A322" s="119" t="s">
        <v>256</v>
      </c>
      <c r="B322" s="119" t="s">
        <v>258</v>
      </c>
      <c r="C322" s="119" t="s">
        <v>217</v>
      </c>
      <c r="D322" s="119" t="s">
        <v>257</v>
      </c>
      <c r="E322" s="360" t="s">
        <v>1330</v>
      </c>
      <c r="F322" s="360" t="s">
        <v>869</v>
      </c>
      <c r="G322" s="364">
        <f t="shared" si="44"/>
        <v>755000</v>
      </c>
      <c r="H322" s="360">
        <f>(615000)+340000-200000</f>
        <v>755000</v>
      </c>
      <c r="I322" s="360">
        <v>0</v>
      </c>
      <c r="J322" s="360">
        <v>0</v>
      </c>
      <c r="K322" s="106" t="b">
        <f>H322='d3'!E374</f>
        <v>1</v>
      </c>
      <c r="L322" s="107" t="b">
        <f>I322='d3'!J374</f>
        <v>1</v>
      </c>
      <c r="M322" s="107" t="b">
        <f>J322='d3'!K374</f>
        <v>1</v>
      </c>
    </row>
    <row r="323" spans="1:13" ht="138.75" thickTop="1" thickBot="1" x14ac:dyDescent="0.25">
      <c r="A323" s="119" t="s">
        <v>1375</v>
      </c>
      <c r="B323" s="119" t="s">
        <v>216</v>
      </c>
      <c r="C323" s="119" t="s">
        <v>217</v>
      </c>
      <c r="D323" s="119" t="s">
        <v>41</v>
      </c>
      <c r="E323" s="360" t="s">
        <v>1178</v>
      </c>
      <c r="F323" s="360" t="s">
        <v>1376</v>
      </c>
      <c r="G323" s="364">
        <f t="shared" si="44"/>
        <v>237650</v>
      </c>
      <c r="H323" s="360">
        <f>'d3'!E375</f>
        <v>42254</v>
      </c>
      <c r="I323" s="360">
        <f>'d3'!J375</f>
        <v>195396</v>
      </c>
      <c r="J323" s="360">
        <f>'d3'!K375</f>
        <v>195396</v>
      </c>
      <c r="K323" s="106"/>
      <c r="L323" s="107"/>
      <c r="M323" s="107"/>
    </row>
    <row r="324" spans="1:13" ht="138.75" hidden="1" thickTop="1" thickBot="1" x14ac:dyDescent="0.25">
      <c r="A324" s="144" t="s">
        <v>260</v>
      </c>
      <c r="B324" s="144" t="s">
        <v>261</v>
      </c>
      <c r="C324" s="144" t="s">
        <v>170</v>
      </c>
      <c r="D324" s="144" t="s">
        <v>259</v>
      </c>
      <c r="E324" s="213" t="s">
        <v>1178</v>
      </c>
      <c r="F324" s="213" t="s">
        <v>594</v>
      </c>
      <c r="G324" s="273">
        <f t="shared" si="44"/>
        <v>0</v>
      </c>
      <c r="H324" s="213"/>
      <c r="I324" s="213"/>
      <c r="J324" s="213"/>
    </row>
    <row r="325" spans="1:13" ht="184.5" hidden="1" thickTop="1" thickBot="1" x14ac:dyDescent="0.25">
      <c r="A325" s="41" t="s">
        <v>260</v>
      </c>
      <c r="B325" s="41" t="s">
        <v>261</v>
      </c>
      <c r="C325" s="41" t="s">
        <v>170</v>
      </c>
      <c r="D325" s="41" t="s">
        <v>259</v>
      </c>
      <c r="E325" s="275" t="s">
        <v>967</v>
      </c>
      <c r="F325" s="73" t="s">
        <v>968</v>
      </c>
      <c r="G325" s="276">
        <f t="shared" si="44"/>
        <v>0</v>
      </c>
      <c r="H325" s="73">
        <v>0</v>
      </c>
      <c r="I325" s="73">
        <v>0</v>
      </c>
      <c r="J325" s="73">
        <v>0</v>
      </c>
      <c r="K325" s="271"/>
      <c r="L325" s="278"/>
      <c r="M325" s="279"/>
    </row>
    <row r="326" spans="1:13" ht="184.5" thickTop="1" thickBot="1" x14ac:dyDescent="0.25">
      <c r="A326" s="119" t="s">
        <v>260</v>
      </c>
      <c r="B326" s="119" t="s">
        <v>261</v>
      </c>
      <c r="C326" s="119" t="s">
        <v>170</v>
      </c>
      <c r="D326" s="119" t="s">
        <v>259</v>
      </c>
      <c r="E326" s="363" t="s">
        <v>1455</v>
      </c>
      <c r="F326" s="401" t="s">
        <v>1456</v>
      </c>
      <c r="G326" s="364">
        <f t="shared" si="44"/>
        <v>300000</v>
      </c>
      <c r="H326" s="360">
        <f>(300000)-80000</f>
        <v>220000</v>
      </c>
      <c r="I326" s="360">
        <f>0+80000</f>
        <v>80000</v>
      </c>
      <c r="J326" s="360">
        <f>0+80000</f>
        <v>80000</v>
      </c>
      <c r="K326" s="106" t="b">
        <f>'d3'!E377=H324+H325+H326</f>
        <v>1</v>
      </c>
      <c r="L326" s="107" t="b">
        <f>'d3'!J377=I324+I325+I326</f>
        <v>1</v>
      </c>
      <c r="M326" s="107" t="b">
        <f>'d3'!K377=J324+J325+J326</f>
        <v>1</v>
      </c>
    </row>
    <row r="327" spans="1:13" ht="138.75" thickTop="1" thickBot="1" x14ac:dyDescent="0.25">
      <c r="A327" s="119" t="s">
        <v>1379</v>
      </c>
      <c r="B327" s="119" t="s">
        <v>1214</v>
      </c>
      <c r="C327" s="119" t="s">
        <v>1212</v>
      </c>
      <c r="D327" s="119" t="s">
        <v>1211</v>
      </c>
      <c r="E327" s="360" t="s">
        <v>1178</v>
      </c>
      <c r="F327" s="360" t="s">
        <v>1376</v>
      </c>
      <c r="G327" s="364">
        <f t="shared" ref="G327" si="45">H327+I327</f>
        <v>336520</v>
      </c>
      <c r="H327" s="360">
        <f>'d3'!E380</f>
        <v>186065</v>
      </c>
      <c r="I327" s="360">
        <f>'d3'!J380</f>
        <v>150455</v>
      </c>
      <c r="J327" s="360">
        <f>'d3'!K380</f>
        <v>150455</v>
      </c>
      <c r="K327" s="271"/>
      <c r="L327" s="278"/>
      <c r="M327" s="279"/>
    </row>
    <row r="328" spans="1:13" ht="138.75" thickTop="1" thickBot="1" x14ac:dyDescent="0.25">
      <c r="A328" s="119" t="s">
        <v>917</v>
      </c>
      <c r="B328" s="119" t="s">
        <v>367</v>
      </c>
      <c r="C328" s="119" t="s">
        <v>43</v>
      </c>
      <c r="D328" s="119" t="s">
        <v>368</v>
      </c>
      <c r="E328" s="363" t="s">
        <v>1342</v>
      </c>
      <c r="F328" s="360" t="s">
        <v>1343</v>
      </c>
      <c r="G328" s="364">
        <f t="shared" si="44"/>
        <v>152000</v>
      </c>
      <c r="H328" s="360">
        <f>'d3'!E383</f>
        <v>152000</v>
      </c>
      <c r="I328" s="360">
        <f>'d3'!J383</f>
        <v>0</v>
      </c>
      <c r="J328" s="360">
        <f>'d3'!K383</f>
        <v>0</v>
      </c>
      <c r="K328" s="271"/>
      <c r="L328" s="278"/>
      <c r="M328" s="279"/>
    </row>
    <row r="329" spans="1:13" ht="181.5" thickTop="1" thickBot="1" x14ac:dyDescent="0.25">
      <c r="A329" s="403" t="s">
        <v>164</v>
      </c>
      <c r="B329" s="403"/>
      <c r="C329" s="403"/>
      <c r="D329" s="404" t="s">
        <v>896</v>
      </c>
      <c r="E329" s="403"/>
      <c r="F329" s="403"/>
      <c r="G329" s="405">
        <f>G330</f>
        <v>4145434</v>
      </c>
      <c r="H329" s="405">
        <f t="shared" ref="H329:J329" si="46">H330</f>
        <v>36131</v>
      </c>
      <c r="I329" s="405">
        <f t="shared" si="46"/>
        <v>4109303</v>
      </c>
      <c r="J329" s="405">
        <f t="shared" si="46"/>
        <v>152869</v>
      </c>
      <c r="K329" s="106" t="b">
        <f>H329='d3'!E385-'d3'!E387+H331</f>
        <v>1</v>
      </c>
      <c r="L329" s="107" t="b">
        <f>I329='d3'!J385-'d3'!J387+'d7'!I331</f>
        <v>1</v>
      </c>
      <c r="M329" s="107" t="b">
        <f>J329='d3'!K385-'d3'!K387+'d7'!J331</f>
        <v>1</v>
      </c>
    </row>
    <row r="330" spans="1:13" ht="181.5" thickTop="1" thickBot="1" x14ac:dyDescent="0.25">
      <c r="A330" s="407" t="s">
        <v>165</v>
      </c>
      <c r="B330" s="407"/>
      <c r="C330" s="407"/>
      <c r="D330" s="408" t="s">
        <v>897</v>
      </c>
      <c r="E330" s="409"/>
      <c r="F330" s="409"/>
      <c r="G330" s="409">
        <f>SUM(G331:G335)</f>
        <v>4145434</v>
      </c>
      <c r="H330" s="409">
        <f>SUM(H331:H335)</f>
        <v>36131</v>
      </c>
      <c r="I330" s="409">
        <f>SUM(I331:I335)</f>
        <v>4109303</v>
      </c>
      <c r="J330" s="409">
        <f>SUM(J331:J335)</f>
        <v>152869</v>
      </c>
      <c r="K330" s="155"/>
      <c r="L330" s="155"/>
      <c r="M330" s="155"/>
    </row>
    <row r="331" spans="1:13" ht="184.5" hidden="1" thickTop="1" thickBot="1" x14ac:dyDescent="0.25">
      <c r="A331" s="144" t="s">
        <v>426</v>
      </c>
      <c r="B331" s="144" t="s">
        <v>240</v>
      </c>
      <c r="C331" s="144" t="s">
        <v>238</v>
      </c>
      <c r="D331" s="144" t="s">
        <v>239</v>
      </c>
      <c r="E331" s="272" t="s">
        <v>1055</v>
      </c>
      <c r="F331" s="213" t="s">
        <v>864</v>
      </c>
      <c r="G331" s="213">
        <f>H331+I331</f>
        <v>0</v>
      </c>
      <c r="H331" s="273"/>
      <c r="I331" s="213"/>
      <c r="J331" s="213"/>
      <c r="K331" s="155"/>
      <c r="L331" s="155"/>
      <c r="M331" s="155"/>
    </row>
    <row r="332" spans="1:13" ht="391.7" hidden="1" customHeight="1" thickTop="1" thickBot="1" x14ac:dyDescent="0.25">
      <c r="A332" s="144" t="s">
        <v>639</v>
      </c>
      <c r="B332" s="144" t="s">
        <v>366</v>
      </c>
      <c r="C332" s="144" t="s">
        <v>631</v>
      </c>
      <c r="D332" s="144" t="s">
        <v>632</v>
      </c>
      <c r="E332" s="282" t="s">
        <v>892</v>
      </c>
      <c r="F332" s="283" t="s">
        <v>893</v>
      </c>
      <c r="G332" s="213">
        <f t="shared" ref="G332" si="47">H332+I332</f>
        <v>0</v>
      </c>
      <c r="H332" s="273">
        <f>'d3'!E388</f>
        <v>0</v>
      </c>
      <c r="I332" s="290"/>
      <c r="J332" s="290"/>
      <c r="K332" s="155"/>
      <c r="L332" s="155"/>
      <c r="M332" s="155"/>
    </row>
    <row r="333" spans="1:13" ht="138.75" thickTop="1" thickBot="1" x14ac:dyDescent="0.25">
      <c r="A333" s="119" t="s">
        <v>1147</v>
      </c>
      <c r="B333" s="119" t="s">
        <v>1148</v>
      </c>
      <c r="C333" s="119" t="s">
        <v>51</v>
      </c>
      <c r="D333" s="119" t="s">
        <v>1149</v>
      </c>
      <c r="E333" s="363" t="s">
        <v>1232</v>
      </c>
      <c r="F333" s="360" t="s">
        <v>966</v>
      </c>
      <c r="G333" s="364">
        <f t="shared" ref="G333:G335" si="48">H333+I333</f>
        <v>3178434</v>
      </c>
      <c r="H333" s="360">
        <f>'d3'!E391</f>
        <v>0</v>
      </c>
      <c r="I333" s="360">
        <f>(572000)+46434+40000+13000+520000+100000+420000+78000+1200000+189000</f>
        <v>3178434</v>
      </c>
      <c r="J333" s="360">
        <f>'d3'!K391</f>
        <v>0</v>
      </c>
      <c r="K333" s="106" t="b">
        <f>H333+H334='d3'!E391</f>
        <v>1</v>
      </c>
      <c r="L333" s="106" t="b">
        <f>I333+I334='d3'!J391</f>
        <v>1</v>
      </c>
      <c r="M333" s="106" t="b">
        <f>J333+J334='d3'!K391</f>
        <v>1</v>
      </c>
    </row>
    <row r="334" spans="1:13" ht="184.5" thickTop="1" thickBot="1" x14ac:dyDescent="0.25">
      <c r="A334" s="119" t="s">
        <v>1147</v>
      </c>
      <c r="B334" s="119" t="s">
        <v>1148</v>
      </c>
      <c r="C334" s="119" t="s">
        <v>51</v>
      </c>
      <c r="D334" s="119" t="s">
        <v>1149</v>
      </c>
      <c r="E334" s="363" t="s">
        <v>1335</v>
      </c>
      <c r="F334" s="360" t="s">
        <v>1283</v>
      </c>
      <c r="G334" s="364">
        <f t="shared" si="48"/>
        <v>778000</v>
      </c>
      <c r="H334" s="360">
        <v>0</v>
      </c>
      <c r="I334" s="360">
        <v>778000</v>
      </c>
      <c r="J334" s="360">
        <v>0</v>
      </c>
      <c r="K334" s="155"/>
      <c r="L334" s="155"/>
      <c r="M334" s="155"/>
    </row>
    <row r="335" spans="1:13" ht="184.5" thickTop="1" thickBot="1" x14ac:dyDescent="0.25">
      <c r="A335" s="119" t="s">
        <v>1279</v>
      </c>
      <c r="B335" s="119" t="s">
        <v>518</v>
      </c>
      <c r="C335" s="119" t="s">
        <v>43</v>
      </c>
      <c r="D335" s="119" t="s">
        <v>519</v>
      </c>
      <c r="E335" s="363" t="s">
        <v>1335</v>
      </c>
      <c r="F335" s="360" t="s">
        <v>1283</v>
      </c>
      <c r="G335" s="364">
        <f t="shared" si="48"/>
        <v>189000</v>
      </c>
      <c r="H335" s="360">
        <f>'d3'!E393</f>
        <v>36131</v>
      </c>
      <c r="I335" s="360">
        <f>'d3'!J393</f>
        <v>152869</v>
      </c>
      <c r="J335" s="360">
        <f>'d3'!K393</f>
        <v>152869</v>
      </c>
      <c r="K335" s="155"/>
      <c r="L335" s="155"/>
      <c r="M335" s="155"/>
    </row>
    <row r="336" spans="1:13" ht="136.5" thickTop="1" thickBot="1" x14ac:dyDescent="0.25">
      <c r="A336" s="403" t="s">
        <v>162</v>
      </c>
      <c r="B336" s="403"/>
      <c r="C336" s="403"/>
      <c r="D336" s="404" t="s">
        <v>908</v>
      </c>
      <c r="E336" s="403"/>
      <c r="F336" s="403"/>
      <c r="G336" s="405">
        <f>G337</f>
        <v>1600500</v>
      </c>
      <c r="H336" s="405">
        <f t="shared" ref="H336:J336" si="49">H337</f>
        <v>190000</v>
      </c>
      <c r="I336" s="405">
        <f t="shared" si="49"/>
        <v>1410500</v>
      </c>
      <c r="J336" s="405">
        <f t="shared" si="49"/>
        <v>410500</v>
      </c>
      <c r="K336" s="106" t="b">
        <f>H336='d3'!E395-'d3'!E397+H338</f>
        <v>1</v>
      </c>
      <c r="L336" s="107" t="b">
        <f>I336='d3'!J395-'d3'!J397+I338</f>
        <v>1</v>
      </c>
      <c r="M336" s="107" t="b">
        <f>J336='d3'!K395-'d3'!K397+J338</f>
        <v>1</v>
      </c>
    </row>
    <row r="337" spans="1:17" ht="181.5" thickTop="1" thickBot="1" x14ac:dyDescent="0.25">
      <c r="A337" s="407" t="s">
        <v>163</v>
      </c>
      <c r="B337" s="407"/>
      <c r="C337" s="407"/>
      <c r="D337" s="408" t="s">
        <v>909</v>
      </c>
      <c r="E337" s="409"/>
      <c r="F337" s="409"/>
      <c r="G337" s="409">
        <f>SUM(G338:G341)</f>
        <v>1600500</v>
      </c>
      <c r="H337" s="409">
        <f>SUM(H338:H341)</f>
        <v>190000</v>
      </c>
      <c r="I337" s="409">
        <f>SUM(I338:I341)</f>
        <v>1410500</v>
      </c>
      <c r="J337" s="409">
        <f>SUM(J338:J341)</f>
        <v>410500</v>
      </c>
      <c r="K337" s="155"/>
      <c r="L337" s="155"/>
      <c r="M337" s="155"/>
    </row>
    <row r="338" spans="1:17" ht="184.5" thickTop="1" thickBot="1" x14ac:dyDescent="0.25">
      <c r="A338" s="119" t="s">
        <v>422</v>
      </c>
      <c r="B338" s="119" t="s">
        <v>240</v>
      </c>
      <c r="C338" s="119" t="s">
        <v>238</v>
      </c>
      <c r="D338" s="119" t="s">
        <v>239</v>
      </c>
      <c r="E338" s="363" t="s">
        <v>1055</v>
      </c>
      <c r="F338" s="360" t="s">
        <v>864</v>
      </c>
      <c r="G338" s="360">
        <f>H338+I338</f>
        <v>88000</v>
      </c>
      <c r="H338" s="364">
        <v>0</v>
      </c>
      <c r="I338" s="360">
        <f>(85500)+2500</f>
        <v>88000</v>
      </c>
      <c r="J338" s="360">
        <f>(85500)+2500</f>
        <v>88000</v>
      </c>
      <c r="K338" s="155"/>
      <c r="L338" s="155"/>
      <c r="M338" s="155"/>
    </row>
    <row r="339" spans="1:17" ht="138.75" thickTop="1" thickBot="1" x14ac:dyDescent="0.25">
      <c r="A339" s="119" t="s">
        <v>310</v>
      </c>
      <c r="B339" s="119" t="s">
        <v>311</v>
      </c>
      <c r="C339" s="119" t="s">
        <v>312</v>
      </c>
      <c r="D339" s="119" t="s">
        <v>465</v>
      </c>
      <c r="E339" s="363" t="s">
        <v>1342</v>
      </c>
      <c r="F339" s="360" t="s">
        <v>1343</v>
      </c>
      <c r="G339" s="364">
        <f t="shared" ref="G339:G341" si="50">H339+I339</f>
        <v>1210000</v>
      </c>
      <c r="H339" s="360">
        <v>0</v>
      </c>
      <c r="I339" s="360">
        <f>'d3'!J400</f>
        <v>1210000</v>
      </c>
      <c r="J339" s="360">
        <f>'d3'!K400</f>
        <v>210000</v>
      </c>
      <c r="K339" s="155"/>
      <c r="L339" s="155"/>
      <c r="M339" s="155"/>
    </row>
    <row r="340" spans="1:17" ht="138.75" thickTop="1" thickBot="1" x14ac:dyDescent="0.25">
      <c r="A340" s="119" t="s">
        <v>310</v>
      </c>
      <c r="B340" s="119" t="s">
        <v>311</v>
      </c>
      <c r="C340" s="119" t="s">
        <v>312</v>
      </c>
      <c r="D340" s="119" t="s">
        <v>465</v>
      </c>
      <c r="E340" s="363" t="s">
        <v>1232</v>
      </c>
      <c r="F340" s="360" t="s">
        <v>966</v>
      </c>
      <c r="G340" s="364">
        <f t="shared" si="50"/>
        <v>190000</v>
      </c>
      <c r="H340" s="360">
        <v>190000</v>
      </c>
      <c r="I340" s="360">
        <v>0</v>
      </c>
      <c r="J340" s="360">
        <v>0</v>
      </c>
      <c r="K340" s="155"/>
      <c r="L340" s="155"/>
      <c r="M340" s="155"/>
    </row>
    <row r="341" spans="1:17" ht="138.75" thickTop="1" thickBot="1" x14ac:dyDescent="1.2">
      <c r="A341" s="119" t="s">
        <v>372</v>
      </c>
      <c r="B341" s="119" t="s">
        <v>373</v>
      </c>
      <c r="C341" s="119" t="s">
        <v>170</v>
      </c>
      <c r="D341" s="119" t="s">
        <v>374</v>
      </c>
      <c r="E341" s="363" t="s">
        <v>1342</v>
      </c>
      <c r="F341" s="360" t="s">
        <v>1343</v>
      </c>
      <c r="G341" s="364">
        <f t="shared" si="50"/>
        <v>112500</v>
      </c>
      <c r="H341" s="360">
        <f>'d3'!E402</f>
        <v>0</v>
      </c>
      <c r="I341" s="360">
        <f>'d3'!J402</f>
        <v>112500</v>
      </c>
      <c r="J341" s="360">
        <f>'d3'!K402</f>
        <v>112500</v>
      </c>
      <c r="K341" s="365" t="b">
        <f>G347=G341+G340+G339+G334+G333+G322+G321+G320+G319+G314+G309+G302+G301+G290+G288+G285+G284+G283+G282+G280+G274+G273+G255+G253+G250+G249+G248+G245+G242+G241+G240+G231+G230+G225+G219+G217+G216+G215+G210+G207+G206+G205+G204+G203+G201+G199+G198+G197+G196+G195+G193+G187+G186+G185+G184+G183+G182+G181+G178+G176+G173+G172+G170+G162+G159+G158+G156+G154+G153+G152+G151+G149+G148+G146+G143+G141+G140+G139+G138+G137+G136+G135+G134+G133+G132+G131+G130+G121+G119+G118+G117+G116+G114+G110+G109+G108+G106+G105+G99+G97+G96+G95+G88+G80+G78+G76+G75+G73+G72+G71+G70+G66+G64+G63+G60+G59+G57+G43+G42+G41+G40+G39+G38+G37+G35+G33+G32+G29+G26+G25+G24+G23+G22+G20+G17+G28+G103+G147+G74+G68+G67+G79+G86+G47+G46+G45+G44+G53+G338+G335+G327+G326+G323+G318+G313+G312+G303+G300+G268+G267+G265+G264+G263+G262+G261+G260+G259+G252+G243+G238+G233+G227+G224+G222+G180+G165+G129+G98+G51+G48+G315+G208+G160+G52+G251+G161+G150+G256+G202+G308+G221+G194+G177+G171+G157+G142+G111+G107+G61+G346+G306+G293+G291+G287+G286+G270+G266+G244+G232+G226+G223+G220+G214+G209+G188+G144+G128+G94+G91+G90+G50+G49+G31+G27+G21+G36+G54+G279+G307+G246+G87+G258+G257+G218+G328+G164+G93+G92+G292+G276+G228+G104+G229</f>
        <v>1</v>
      </c>
      <c r="L341" s="365" t="b">
        <f>H347=H341+H340+H339+H334+H333+H322+H321+H320+H319+H314+H309+H302+H301+H290+H288+H285+H284+H283+H282+H280+H274+H273+H255+H253+H250+H249+H248+H245+H242+H241+H240+H231+H230+H225+H219+H217+H216+H215+H210+H207+H206+H205+H204+H203+H201+H199+H198+H197+H196+H195+H193+H187+H186+H185+H184+H183+H182+H181+H178+H176+H173+H172+H170+H162+H159+H158+H156+H154+H153+H152+H151+H149+H148+H146+H143+H141+H140+H139+H138+H137+H136+H135+H134+H133+H132+H131+H130+H121+H119+H118+H117+H116+H114+H110+H109+H108+H106+H105+H99+H97+H96+H95+H88+H80+H78+H76+H75+H73+H72+H71+H70+H66+H64+H63+H60+H59+H57+H43+H42+H41+H40+H39+H38+H37+H35+H33+H32+H29+H26+H25+H24+H23+H22+H20+H17+H28+H103+H147+H74+H68+H67+H79+H86+H47+H46+H45+H44+H53+H338+H335+H327+H326+H323+H318+H313+H312+H303+H300+H268+H267+H265+H264+H263+H262+H261+H260+H259+H252+H243+H238+H233+H227+H224+H222+H180+H165+H129+H98+H51+H48+H315+H208+H160+H52+H251+H161+H150+H256+H202+H308+H221+H194+H177+H171+H157+H142+H111+H107+H61+H346+H306+H293+H291+H287+H286+H270+H266+H244+H232+H226+H223+H220+H214+H209+H188+H144+H128+H94+H91+H90+H50+H49+H31+H27+H21+H36+H54+H279+H307+H246+H87+H258+H257+H218+H328+H164+H93+H92+H292+H276+H228+H104+H229</f>
        <v>1</v>
      </c>
      <c r="M341" s="365" t="b">
        <f>I347=I341+I340+I339+I334+I333+I322+I321+I320+I319+I314+I309+I302+I301+I290+I288+I285+I284+I283+I282+I280+I274+I273+I255+I253+I250+I249+I248+I245+I242+I241+I240+I231+I230+I225+I219+I217+I216+I215+I210+I207+I206+I205+I204+I203+I201+I199+I198+I197+I196+I195+I193+I187+I186+I185+I184+I183+I182+I181+I178+I176+I173+I172+I170+I162+I159+I158+I156+I154+I153+I152+I151+I149+I148+I146+I143+I141+I140+I139+I138+I137+I136+I135+I134+I133+I132+I131+I130+I121+I119+I118+I117+I116+I114+I110+I109+I108+I106+I105+I99+I97+I96+I95+I88+I80+I78+I76+I75+I73+I72+I71+I70+I66+I64+I63+I60+I59+I57+I43+I42+I41+I40+I39+I38+I37+I35+I33+I32+I29+I26+I25+I24+I23+I22+I20+I17+I28+I103+I147+I74+I68+I67+I79+I86+I47+I46+I45+I44+I53+I338+I335+I327+I326+I323+I318+I313+I312+I303+I300+I268+I267+I265+I264+I263+I262+I261+I260+I259+I252+I243+I238+I233+I227+I224+I222+I180+I165+I129+I98+I51+I48+I315+I208+I160+I52+I251+I161+I150+I256+I202+I308+I221+I194+I177+I171+I157+I142+I111+I107+I61+I346+I306+I293+I291+I287+I286+I270+I266+I244+I232+I226+I223+I220+I214+I209+I188+I144+I128+I94+I91+I90+I50+I49+I31+I27+I21+I36+I54+I279+I307+I246+I87+I258+I257+I218+I328+I164+I93+I92+I292+I276+I228+I104+I229</f>
        <v>1</v>
      </c>
      <c r="N341" s="365" t="b">
        <f>J347=J341+J340+J339+J334+J333+J322+J321+J320+J319+J314+J309+J302+J301+J290+J288+J285+J284+J283+J282+J280+J274+J273+J255+J253+J250+J249+J248+J245+J242+J241+J240+J231+J230+J225+J219+J217+J216+J215+J210+J207+J206+J205+J204+J203+J201+J199+J198+J197+J196+J195+J193+J187+J186+J185+J184+J183+J182+J181+J178+J176+J173+J172+J170+J162+J159+J158+J156+J154+J153+J152+J151+J149+J148+J146+J143+J141+J140+J139+J138+J137+J136+J135+J134+J133+J132+J131+J130+J121+J119+J118+J117+J116+J114+J110+J109+J108+J106+J105+J99+J97+J96+J95+J88+J80+J78+J76+J75+J73+J72+J71+J70+J66+J64+J63+J60+J59+J57+J43+J42+J41+J40+J39+J38+J37+J35+J33+J32+J29+J26+J25+J24+J23+J22+J20+J17+J28+J103+J147+J74+J68+J67+J79+J86+J47+J46+J45+J44+J53+J338+J335+J327+J326+J323+J318+J313+J312+J303+J300+J268+J267+J265+J264+J263+J262+J261+J260+J259+J252+J243+J238+J233+J227+J224+J222+J180+J165+J129+J98+J51+J48+J315+J208+J160+J52+J251+J161+J150+J256+J202+J308+J221+J194+J177+J171+J157+J142+J111+J107+J61+J346+J306+J293+J291+J287+J286+J270+J266+J244+J232+J226+J223+J220+J214+J209+J188+J144+J128+J94+J91+J90+J50+J49+J31+J27+J21+J36+J54+J279+J307+J246+J87+J258+J257+J218+J328+J164+J93+J92+J292+J276+J228+J104+J229</f>
        <v>1</v>
      </c>
    </row>
    <row r="342" spans="1:17" ht="91.5" thickTop="1" thickBot="1" x14ac:dyDescent="0.25">
      <c r="A342" s="403" t="s">
        <v>168</v>
      </c>
      <c r="B342" s="403"/>
      <c r="C342" s="403"/>
      <c r="D342" s="404" t="s">
        <v>27</v>
      </c>
      <c r="E342" s="403"/>
      <c r="F342" s="403"/>
      <c r="G342" s="405">
        <f>G343</f>
        <v>8941082.5</v>
      </c>
      <c r="H342" s="405">
        <f t="shared" ref="H342:J342" si="51">H343</f>
        <v>0</v>
      </c>
      <c r="I342" s="405">
        <f t="shared" si="51"/>
        <v>8941082.5</v>
      </c>
      <c r="J342" s="405">
        <f t="shared" si="51"/>
        <v>8941082.5</v>
      </c>
      <c r="K342" s="155"/>
      <c r="L342" s="155"/>
      <c r="M342" s="155"/>
    </row>
    <row r="343" spans="1:17" ht="136.5" thickTop="1" thickBot="1" x14ac:dyDescent="0.25">
      <c r="A343" s="407" t="s">
        <v>169</v>
      </c>
      <c r="B343" s="407"/>
      <c r="C343" s="407"/>
      <c r="D343" s="408" t="s">
        <v>40</v>
      </c>
      <c r="E343" s="409"/>
      <c r="F343" s="409"/>
      <c r="G343" s="409">
        <f>SUM(G344:G346)</f>
        <v>8941082.5</v>
      </c>
      <c r="H343" s="409">
        <f t="shared" ref="H343:J343" si="52">SUM(H344:H346)</f>
        <v>0</v>
      </c>
      <c r="I343" s="409">
        <f t="shared" si="52"/>
        <v>8941082.5</v>
      </c>
      <c r="J343" s="409">
        <f t="shared" si="52"/>
        <v>8941082.5</v>
      </c>
      <c r="K343" s="155"/>
      <c r="L343" s="155"/>
      <c r="M343" s="155"/>
    </row>
    <row r="344" spans="1:17" ht="184.5" hidden="1" thickTop="1" thickBot="1" x14ac:dyDescent="0.25">
      <c r="A344" s="41" t="s">
        <v>424</v>
      </c>
      <c r="B344" s="41" t="s">
        <v>240</v>
      </c>
      <c r="C344" s="41" t="s">
        <v>238</v>
      </c>
      <c r="D344" s="41" t="s">
        <v>239</v>
      </c>
      <c r="E344" s="275" t="s">
        <v>1055</v>
      </c>
      <c r="F344" s="73" t="s">
        <v>864</v>
      </c>
      <c r="G344" s="73">
        <f t="shared" ref="G344:G346" si="53">H344+I344</f>
        <v>0</v>
      </c>
      <c r="H344" s="276">
        <f>0</f>
        <v>0</v>
      </c>
      <c r="I344" s="291">
        <v>0</v>
      </c>
      <c r="J344" s="291">
        <v>0</v>
      </c>
      <c r="K344" s="155"/>
      <c r="L344" s="155"/>
      <c r="M344" s="155"/>
    </row>
    <row r="345" spans="1:17" ht="367.5" hidden="1" thickTop="1" thickBot="1" x14ac:dyDescent="1.2">
      <c r="A345" s="144" t="s">
        <v>640</v>
      </c>
      <c r="B345" s="144" t="s">
        <v>366</v>
      </c>
      <c r="C345" s="144" t="s">
        <v>631</v>
      </c>
      <c r="D345" s="144" t="s">
        <v>632</v>
      </c>
      <c r="E345" s="272" t="s">
        <v>1200</v>
      </c>
      <c r="F345" s="213" t="s">
        <v>1201</v>
      </c>
      <c r="G345" s="213">
        <f t="shared" si="53"/>
        <v>0</v>
      </c>
      <c r="H345" s="273">
        <f>'d3'!E407</f>
        <v>0</v>
      </c>
      <c r="I345" s="290">
        <v>0</v>
      </c>
      <c r="J345" s="290">
        <v>0</v>
      </c>
      <c r="O345" s="295"/>
    </row>
    <row r="346" spans="1:17" ht="184.5" thickTop="1" thickBot="1" x14ac:dyDescent="1.2">
      <c r="A346" s="119" t="s">
        <v>1461</v>
      </c>
      <c r="B346" s="119" t="s">
        <v>1462</v>
      </c>
      <c r="C346" s="119" t="s">
        <v>170</v>
      </c>
      <c r="D346" s="119" t="s">
        <v>1177</v>
      </c>
      <c r="E346" s="363" t="s">
        <v>1342</v>
      </c>
      <c r="F346" s="360" t="s">
        <v>1343</v>
      </c>
      <c r="G346" s="360">
        <f t="shared" si="53"/>
        <v>8941082.5</v>
      </c>
      <c r="H346" s="364">
        <f>'d4'!F25</f>
        <v>0</v>
      </c>
      <c r="I346" s="478">
        <f>'d4'!G27</f>
        <v>8941082.5</v>
      </c>
      <c r="J346" s="478">
        <f>'d4'!H27</f>
        <v>8941082.5</v>
      </c>
      <c r="O346" s="295"/>
    </row>
    <row r="347" spans="1:17" ht="91.5" thickTop="1" thickBot="1" x14ac:dyDescent="1.2">
      <c r="A347" s="579" t="s">
        <v>385</v>
      </c>
      <c r="B347" s="579" t="s">
        <v>385</v>
      </c>
      <c r="C347" s="579" t="s">
        <v>385</v>
      </c>
      <c r="D347" s="580" t="s">
        <v>395</v>
      </c>
      <c r="E347" s="579" t="s">
        <v>385</v>
      </c>
      <c r="F347" s="579" t="s">
        <v>385</v>
      </c>
      <c r="G347" s="581">
        <f>G16+G56+G191+G102+G127+G169+G278+G317+G330+G337+G305+G299+G237+G213+G343</f>
        <v>5160424384.9499989</v>
      </c>
      <c r="H347" s="581">
        <f>H16+H56+H191+H102+H127+H169+H278+H317+H330+H337+H305+H299+H237+H213+H343</f>
        <v>3637166601.3999996</v>
      </c>
      <c r="I347" s="581">
        <f>I16+I56+I191+I102+I127+I169+I278+I317+I330+I337+I305+I299+I237+I213+I343</f>
        <v>1523257783.55</v>
      </c>
      <c r="J347" s="581">
        <f>J16+J56+J191+J102+J127+J169+J278+J317+J330+J337+J305+J299+J237+J213+J343</f>
        <v>1314177310.47</v>
      </c>
      <c r="K347" s="365" t="b">
        <f>G347=H347+I347</f>
        <v>1</v>
      </c>
      <c r="L347" s="366"/>
      <c r="M347" s="366"/>
      <c r="N347" s="90"/>
    </row>
    <row r="348" spans="1:17" ht="31.7" customHeight="1" thickTop="1" x14ac:dyDescent="0.2">
      <c r="A348" s="807" t="s">
        <v>1331</v>
      </c>
      <c r="B348" s="808"/>
      <c r="C348" s="808"/>
      <c r="D348" s="808"/>
      <c r="E348" s="808"/>
      <c r="F348" s="808"/>
      <c r="G348" s="808"/>
      <c r="H348" s="808"/>
      <c r="I348" s="808"/>
      <c r="J348" s="808"/>
    </row>
    <row r="349" spans="1:17" ht="4.5" customHeight="1" x14ac:dyDescent="0.2">
      <c r="A349" s="15"/>
      <c r="B349" s="16"/>
      <c r="C349" s="16"/>
      <c r="D349" s="16"/>
      <c r="E349" s="16"/>
      <c r="F349" s="16"/>
      <c r="G349" s="16"/>
      <c r="H349" s="16"/>
      <c r="I349" s="16"/>
      <c r="J349" s="16"/>
    </row>
    <row r="350" spans="1:17" ht="45.75" x14ac:dyDescent="0.65">
      <c r="A350" s="15"/>
      <c r="B350" s="16"/>
      <c r="C350" s="16"/>
      <c r="D350" s="769"/>
      <c r="E350" s="674"/>
      <c r="F350" s="617"/>
      <c r="G350" s="617"/>
      <c r="H350" s="17"/>
      <c r="I350" s="17"/>
      <c r="J350" s="17"/>
      <c r="K350" s="296"/>
      <c r="L350" s="218"/>
      <c r="M350" s="297"/>
      <c r="N350" s="298"/>
      <c r="O350" s="218"/>
      <c r="P350" s="218"/>
      <c r="Q350" s="299"/>
    </row>
    <row r="351" spans="1:17" ht="45.75" x14ac:dyDescent="0.65">
      <c r="A351" s="78"/>
      <c r="B351" s="78"/>
      <c r="C351" s="78"/>
      <c r="D351" s="769" t="s">
        <v>1586</v>
      </c>
      <c r="E351" s="674"/>
      <c r="F351" s="617"/>
      <c r="G351" s="617" t="s">
        <v>1587</v>
      </c>
      <c r="H351" s="2"/>
      <c r="I351" s="2"/>
      <c r="J351" s="2"/>
      <c r="K351" s="219"/>
      <c r="L351" s="218"/>
      <c r="M351" s="297"/>
      <c r="N351" s="298"/>
      <c r="O351" s="218"/>
      <c r="P351" s="218"/>
      <c r="Q351" s="299"/>
    </row>
    <row r="352" spans="1:17" ht="45.75" hidden="1" x14ac:dyDescent="0.65">
      <c r="A352" s="78"/>
      <c r="B352" s="78"/>
      <c r="C352" s="78"/>
      <c r="D352" s="3" t="s">
        <v>1588</v>
      </c>
      <c r="E352" s="361"/>
      <c r="F352" s="3"/>
      <c r="G352" s="3" t="s">
        <v>1549</v>
      </c>
      <c r="H352" s="2"/>
      <c r="I352" s="2"/>
      <c r="J352" s="2"/>
      <c r="K352" s="219"/>
      <c r="L352" s="218"/>
      <c r="M352" s="297"/>
      <c r="N352" s="298"/>
      <c r="O352" s="218"/>
      <c r="P352" s="218"/>
      <c r="Q352" s="299"/>
    </row>
    <row r="353" spans="1:17" ht="87.75" customHeight="1" x14ac:dyDescent="0.65">
      <c r="A353" s="77"/>
      <c r="B353" s="77"/>
      <c r="C353" s="77"/>
      <c r="D353" s="769" t="s">
        <v>528</v>
      </c>
      <c r="E353" s="674"/>
      <c r="F353" s="3"/>
      <c r="G353" s="3" t="s">
        <v>1435</v>
      </c>
      <c r="H353" s="523"/>
      <c r="I353" s="524"/>
      <c r="J353" s="525"/>
      <c r="K353" s="140"/>
      <c r="L353" s="140"/>
      <c r="M353" s="140"/>
      <c r="N353" s="6"/>
      <c r="O353" s="6"/>
      <c r="P353" s="6"/>
      <c r="Q353" s="6"/>
    </row>
    <row r="354" spans="1:17" ht="45.75" x14ac:dyDescent="0.65">
      <c r="D354" s="757"/>
      <c r="E354" s="757"/>
      <c r="F354" s="757"/>
      <c r="G354" s="757"/>
      <c r="H354" s="757"/>
      <c r="I354" s="757"/>
      <c r="J354" s="757"/>
      <c r="K354" s="140"/>
      <c r="L354" s="140"/>
      <c r="M354" s="140"/>
      <c r="N354" s="6"/>
      <c r="O354" s="6"/>
      <c r="P354" s="6"/>
      <c r="Q354" s="6"/>
    </row>
    <row r="355" spans="1:17" x14ac:dyDescent="0.2">
      <c r="E355" s="301"/>
      <c r="F355" s="302"/>
    </row>
    <row r="356" spans="1:17" x14ac:dyDescent="0.2">
      <c r="E356" s="301"/>
      <c r="F356" s="302"/>
    </row>
    <row r="357" spans="1:17" ht="62.25" x14ac:dyDescent="0.8">
      <c r="A357" s="13"/>
      <c r="B357" s="13"/>
      <c r="C357" s="13"/>
      <c r="D357" s="13"/>
      <c r="E357" s="299"/>
      <c r="F357" s="298"/>
      <c r="I357" s="13"/>
      <c r="J357" s="304"/>
    </row>
    <row r="358" spans="1:17" ht="45.75" x14ac:dyDescent="0.2">
      <c r="E358" s="305"/>
      <c r="F358" s="300"/>
    </row>
    <row r="359" spans="1:17" ht="45.75" x14ac:dyDescent="0.2">
      <c r="A359" s="13"/>
      <c r="B359" s="13"/>
      <c r="C359" s="13"/>
      <c r="D359" s="13"/>
      <c r="E359" s="299"/>
      <c r="F359" s="298"/>
      <c r="I359" s="13"/>
      <c r="J359" s="13"/>
    </row>
    <row r="360" spans="1:17" ht="45.75" x14ac:dyDescent="0.2">
      <c r="E360" s="305"/>
      <c r="F360" s="300"/>
    </row>
    <row r="361" spans="1:17" ht="45.75" x14ac:dyDescent="0.2">
      <c r="E361" s="305"/>
      <c r="F361" s="300"/>
    </row>
    <row r="362" spans="1:17" ht="45.75" x14ac:dyDescent="0.2">
      <c r="E362" s="305"/>
      <c r="F362" s="300"/>
    </row>
    <row r="363" spans="1:17" ht="45.75" x14ac:dyDescent="0.2">
      <c r="A363" s="13"/>
      <c r="B363" s="13"/>
      <c r="C363" s="13"/>
      <c r="D363" s="13"/>
      <c r="E363" s="305"/>
      <c r="F363" s="300"/>
      <c r="G363" s="13"/>
      <c r="H363" s="13"/>
      <c r="I363" s="13"/>
      <c r="J363" s="13"/>
    </row>
    <row r="364" spans="1:17" ht="45.75" x14ac:dyDescent="0.2">
      <c r="A364" s="13"/>
      <c r="B364" s="13"/>
      <c r="C364" s="13"/>
      <c r="D364" s="13"/>
      <c r="E364" s="305"/>
      <c r="F364" s="300"/>
      <c r="G364" s="13"/>
      <c r="H364" s="13"/>
      <c r="I364" s="13"/>
      <c r="J364" s="13"/>
    </row>
    <row r="365" spans="1:17" ht="45.75" x14ac:dyDescent="0.2">
      <c r="A365" s="13"/>
      <c r="B365" s="13"/>
      <c r="C365" s="13"/>
      <c r="D365" s="13"/>
      <c r="E365" s="305"/>
      <c r="F365" s="300"/>
      <c r="G365" s="13"/>
      <c r="H365" s="13"/>
      <c r="I365" s="13"/>
      <c r="J365" s="13"/>
    </row>
    <row r="366" spans="1:17" ht="45.75" x14ac:dyDescent="0.2">
      <c r="A366" s="13"/>
      <c r="B366" s="13"/>
      <c r="C366" s="13"/>
      <c r="D366" s="13"/>
      <c r="E366" s="305"/>
      <c r="F366" s="300"/>
      <c r="G366" s="13"/>
      <c r="H366" s="13"/>
      <c r="I366" s="13"/>
      <c r="J366" s="13"/>
    </row>
  </sheetData>
  <mergeCells count="94">
    <mergeCell ref="A233:A234"/>
    <mergeCell ref="J84:J85"/>
    <mergeCell ref="A84:A85"/>
    <mergeCell ref="B84:B85"/>
    <mergeCell ref="C84:C85"/>
    <mergeCell ref="D84:D85"/>
    <mergeCell ref="G84:G85"/>
    <mergeCell ref="H84:H85"/>
    <mergeCell ref="I84:I85"/>
    <mergeCell ref="B233:B234"/>
    <mergeCell ref="G122:G123"/>
    <mergeCell ref="H122:H123"/>
    <mergeCell ref="I122:I123"/>
    <mergeCell ref="J122:J123"/>
    <mergeCell ref="G166:G167"/>
    <mergeCell ref="H166:H167"/>
    <mergeCell ref="D354:J354"/>
    <mergeCell ref="A348:J348"/>
    <mergeCell ref="H310:H311"/>
    <mergeCell ref="I310:I311"/>
    <mergeCell ref="J310:J311"/>
    <mergeCell ref="D310:D311"/>
    <mergeCell ref="A310:A311"/>
    <mergeCell ref="B310:B311"/>
    <mergeCell ref="C310:C311"/>
    <mergeCell ref="G310:G311"/>
    <mergeCell ref="D353:E353"/>
    <mergeCell ref="D350:E350"/>
    <mergeCell ref="D351:E351"/>
    <mergeCell ref="C233:C234"/>
    <mergeCell ref="E233:E234"/>
    <mergeCell ref="F233:F234"/>
    <mergeCell ref="G233:G234"/>
    <mergeCell ref="H233:H234"/>
    <mergeCell ref="A166:A167"/>
    <mergeCell ref="B166:B167"/>
    <mergeCell ref="C166:C167"/>
    <mergeCell ref="E166:E167"/>
    <mergeCell ref="F166:F167"/>
    <mergeCell ref="A33:A34"/>
    <mergeCell ref="B33:B34"/>
    <mergeCell ref="C33:C34"/>
    <mergeCell ref="E33:E34"/>
    <mergeCell ref="F33:F34"/>
    <mergeCell ref="I1:J1"/>
    <mergeCell ref="I2:J2"/>
    <mergeCell ref="I3:J3"/>
    <mergeCell ref="A5:J5"/>
    <mergeCell ref="A8:J8"/>
    <mergeCell ref="L24:L26"/>
    <mergeCell ref="M24:M26"/>
    <mergeCell ref="A6:J6"/>
    <mergeCell ref="A9:J9"/>
    <mergeCell ref="A10:J10"/>
    <mergeCell ref="F12:F13"/>
    <mergeCell ref="G12:G13"/>
    <mergeCell ref="A12:A13"/>
    <mergeCell ref="B12:B13"/>
    <mergeCell ref="C12:C13"/>
    <mergeCell ref="D12:D13"/>
    <mergeCell ref="E12:E13"/>
    <mergeCell ref="H12:H13"/>
    <mergeCell ref="I12:J12"/>
    <mergeCell ref="A7:J7"/>
    <mergeCell ref="K24:K26"/>
    <mergeCell ref="D253:D254"/>
    <mergeCell ref="A295:A296"/>
    <mergeCell ref="B295:B296"/>
    <mergeCell ref="C295:C296"/>
    <mergeCell ref="E295:E296"/>
    <mergeCell ref="F295:F296"/>
    <mergeCell ref="A270:A271"/>
    <mergeCell ref="B270:B271"/>
    <mergeCell ref="C270:C271"/>
    <mergeCell ref="E270:E271"/>
    <mergeCell ref="F270:F271"/>
    <mergeCell ref="G270:G271"/>
    <mergeCell ref="K156:K159"/>
    <mergeCell ref="J33:J34"/>
    <mergeCell ref="G33:G34"/>
    <mergeCell ref="L156:L159"/>
    <mergeCell ref="I166:I167"/>
    <mergeCell ref="J166:J167"/>
    <mergeCell ref="I233:I234"/>
    <mergeCell ref="J233:J234"/>
    <mergeCell ref="H33:H34"/>
    <mergeCell ref="I33:I34"/>
    <mergeCell ref="M156:M159"/>
    <mergeCell ref="I295:I296"/>
    <mergeCell ref="J295:J296"/>
    <mergeCell ref="H270:H271"/>
    <mergeCell ref="I270:I271"/>
    <mergeCell ref="J270:J271"/>
    <mergeCell ref="H295:H296"/>
  </mergeCells>
  <pageMargins left="0.23622047244094491" right="0.27559055118110237" top="0.27559055118110237" bottom="0.15748031496062992" header="0.23622047244094491" footer="0.27559055118110237"/>
  <pageSetup paperSize="9" scale="18" fitToHeight="0" orientation="landscape" r:id="rId1"/>
  <headerFooter alignWithMargins="0">
    <oddFooter>&amp;C&amp;"Times New Roman Cyr,курсив"Сторінка &amp;P з &amp;N</oddFooter>
  </headerFooter>
  <rowBreaks count="3" manualBreakCount="3">
    <brk id="287" max="9" man="1"/>
    <brk id="322" max="9" man="1"/>
    <brk id="353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Аркуш6"/>
  <dimension ref="A1:J168"/>
  <sheetViews>
    <sheetView view="pageBreakPreview" topLeftCell="A27" zoomScale="85" zoomScaleNormal="85" zoomScaleSheetLayoutView="85" workbookViewId="0">
      <selection activeCell="A39" sqref="A39:XFD39"/>
    </sheetView>
  </sheetViews>
  <sheetFormatPr defaultColWidth="9.140625" defaultRowHeight="12.75" x14ac:dyDescent="0.2"/>
  <cols>
    <col min="1" max="1" width="18.140625" style="114" customWidth="1"/>
    <col min="2" max="2" width="108" style="114" customWidth="1"/>
    <col min="3" max="3" width="4" style="114" hidden="1" customWidth="1"/>
    <col min="4" max="4" width="17" style="114" customWidth="1"/>
    <col min="5" max="5" width="14.7109375" style="114" customWidth="1"/>
    <col min="6" max="6" width="21.85546875" style="114" bestFit="1" customWidth="1"/>
    <col min="7" max="7" width="18.85546875" style="114" bestFit="1" customWidth="1"/>
    <col min="8" max="9" width="9.140625" style="114"/>
    <col min="10" max="10" width="52.5703125" style="114" customWidth="1"/>
    <col min="11" max="16384" width="9.140625" style="114"/>
  </cols>
  <sheetData>
    <row r="1" spans="1:9" ht="16.5" customHeight="1" x14ac:dyDescent="0.2">
      <c r="A1" s="330"/>
      <c r="B1" s="330"/>
      <c r="C1" s="658" t="s">
        <v>598</v>
      </c>
      <c r="D1" s="658"/>
      <c r="E1" s="331"/>
      <c r="F1" s="331"/>
      <c r="G1" s="330"/>
      <c r="H1" s="330"/>
      <c r="I1" s="330"/>
    </row>
    <row r="2" spans="1:9" ht="16.5" customHeight="1" x14ac:dyDescent="0.2">
      <c r="A2" s="330"/>
      <c r="B2" s="330"/>
      <c r="C2" s="827" t="s">
        <v>974</v>
      </c>
      <c r="D2" s="828"/>
      <c r="E2" s="828"/>
      <c r="F2" s="828"/>
      <c r="G2" s="330"/>
      <c r="H2" s="330"/>
      <c r="I2" s="330"/>
    </row>
    <row r="3" spans="1:9" ht="12.75" customHeight="1" x14ac:dyDescent="0.2">
      <c r="A3" s="330"/>
      <c r="B3" s="330"/>
      <c r="C3" s="658" t="s">
        <v>1370</v>
      </c>
      <c r="D3" s="818"/>
      <c r="E3" s="330"/>
      <c r="F3" s="330"/>
      <c r="G3" s="330"/>
      <c r="H3" s="330"/>
      <c r="I3" s="330"/>
    </row>
    <row r="4" spans="1:9" ht="12.75" customHeight="1" x14ac:dyDescent="0.2">
      <c r="A4" s="330"/>
      <c r="B4" s="330"/>
      <c r="C4" s="658"/>
      <c r="D4" s="660"/>
      <c r="E4" s="330"/>
      <c r="F4" s="330"/>
      <c r="G4" s="330"/>
      <c r="H4" s="330"/>
      <c r="I4" s="330"/>
    </row>
    <row r="5" spans="1:9" ht="16.5" x14ac:dyDescent="0.25">
      <c r="A5" s="840" t="s">
        <v>573</v>
      </c>
      <c r="B5" s="840"/>
      <c r="C5" s="840"/>
      <c r="D5" s="660"/>
      <c r="E5" s="829"/>
      <c r="F5" s="830"/>
      <c r="G5" s="830"/>
      <c r="H5" s="830"/>
      <c r="I5" s="652"/>
    </row>
    <row r="6" spans="1:9" ht="16.5" x14ac:dyDescent="0.25">
      <c r="A6" s="840" t="s">
        <v>572</v>
      </c>
      <c r="B6" s="840"/>
      <c r="C6" s="840"/>
      <c r="D6" s="660"/>
      <c r="E6" s="116"/>
      <c r="F6" s="117"/>
      <c r="G6" s="117"/>
      <c r="H6" s="117"/>
      <c r="I6" s="332"/>
    </row>
    <row r="7" spans="1:9" ht="16.5" x14ac:dyDescent="0.25">
      <c r="A7" s="833" t="s">
        <v>126</v>
      </c>
      <c r="B7" s="833"/>
      <c r="C7" s="833"/>
      <c r="D7" s="834"/>
      <c r="E7" s="829"/>
      <c r="F7" s="829"/>
      <c r="G7" s="829"/>
      <c r="H7" s="829"/>
      <c r="I7" s="659"/>
    </row>
    <row r="8" spans="1:9" ht="16.5" x14ac:dyDescent="0.2">
      <c r="A8" s="833" t="s">
        <v>1267</v>
      </c>
      <c r="B8" s="833"/>
      <c r="C8" s="833"/>
      <c r="D8" s="834"/>
      <c r="E8" s="831"/>
      <c r="F8" s="831"/>
      <c r="G8" s="831"/>
      <c r="H8" s="831"/>
      <c r="I8" s="832"/>
    </row>
    <row r="9" spans="1:9" ht="16.5" x14ac:dyDescent="0.2">
      <c r="A9" s="113"/>
      <c r="B9" s="113"/>
      <c r="C9" s="113"/>
      <c r="D9" s="333"/>
      <c r="E9" s="118"/>
      <c r="F9" s="118"/>
      <c r="G9" s="118"/>
      <c r="H9" s="118"/>
      <c r="I9" s="334"/>
    </row>
    <row r="10" spans="1:9" ht="16.5" x14ac:dyDescent="0.2">
      <c r="A10" s="335">
        <v>2256400000</v>
      </c>
      <c r="B10" s="84"/>
      <c r="C10" s="85"/>
      <c r="D10" s="333"/>
      <c r="E10" s="74"/>
      <c r="F10" s="74"/>
      <c r="G10" s="74"/>
      <c r="H10" s="118"/>
      <c r="I10" s="334"/>
    </row>
    <row r="11" spans="1:9" ht="16.5" x14ac:dyDescent="0.2">
      <c r="A11" s="336" t="s">
        <v>494</v>
      </c>
      <c r="B11" s="115"/>
      <c r="C11" s="85"/>
      <c r="D11" s="333"/>
      <c r="E11" s="74"/>
      <c r="F11" s="74"/>
      <c r="G11" s="74"/>
      <c r="H11" s="118"/>
      <c r="I11" s="334"/>
    </row>
    <row r="12" spans="1:9" ht="17.25" thickBot="1" x14ac:dyDescent="0.25">
      <c r="A12" s="337"/>
      <c r="B12" s="337"/>
      <c r="C12" s="86"/>
      <c r="D12" s="86" t="s">
        <v>408</v>
      </c>
      <c r="E12" s="74"/>
      <c r="F12" s="74"/>
      <c r="G12" s="75"/>
      <c r="H12" s="330"/>
      <c r="I12" s="330"/>
    </row>
    <row r="13" spans="1:9" s="306" customFormat="1" ht="50.25" customHeight="1" thickTop="1" thickBot="1" x14ac:dyDescent="0.25">
      <c r="A13" s="587" t="s">
        <v>127</v>
      </c>
      <c r="B13" s="823" t="s">
        <v>128</v>
      </c>
      <c r="C13" s="824"/>
      <c r="D13" s="824"/>
      <c r="E13" s="76"/>
      <c r="F13" s="76"/>
      <c r="G13" s="76"/>
    </row>
    <row r="14" spans="1:9" s="306" customFormat="1" ht="39.75" customHeight="1" thickTop="1" thickBot="1" x14ac:dyDescent="0.25">
      <c r="A14" s="109" t="s">
        <v>129</v>
      </c>
      <c r="B14" s="819" t="s">
        <v>130</v>
      </c>
      <c r="C14" s="820"/>
      <c r="D14" s="83">
        <v>100</v>
      </c>
      <c r="E14" s="76"/>
      <c r="F14" s="76"/>
      <c r="G14" s="76"/>
    </row>
    <row r="15" spans="1:9" s="306" customFormat="1" ht="40.700000000000003" customHeight="1" thickTop="1" thickBot="1" x14ac:dyDescent="0.25">
      <c r="A15" s="109" t="s">
        <v>131</v>
      </c>
      <c r="B15" s="819" t="s">
        <v>132</v>
      </c>
      <c r="C15" s="820"/>
      <c r="D15" s="83">
        <f>(2200000)+1250000</f>
        <v>3450000</v>
      </c>
      <c r="E15" s="76"/>
      <c r="F15" s="76"/>
      <c r="G15" s="76"/>
    </row>
    <row r="16" spans="1:9" s="306" customFormat="1" ht="66" customHeight="1" thickTop="1" thickBot="1" x14ac:dyDescent="0.25">
      <c r="A16" s="109" t="s">
        <v>133</v>
      </c>
      <c r="B16" s="819" t="s">
        <v>1269</v>
      </c>
      <c r="C16" s="820"/>
      <c r="D16" s="83">
        <v>150000</v>
      </c>
      <c r="E16" s="76"/>
      <c r="F16" s="76"/>
      <c r="G16" s="76"/>
    </row>
    <row r="17" spans="1:7" s="306" customFormat="1" ht="41.25" customHeight="1" thickTop="1" thickBot="1" x14ac:dyDescent="0.25">
      <c r="A17" s="109" t="s">
        <v>1024</v>
      </c>
      <c r="B17" s="819" t="s">
        <v>1025</v>
      </c>
      <c r="C17" s="820"/>
      <c r="D17" s="83">
        <f>(200000)+300000+100000</f>
        <v>600000</v>
      </c>
      <c r="E17" s="76"/>
      <c r="F17" s="76"/>
      <c r="G17" s="76"/>
    </row>
    <row r="18" spans="1:7" s="306" customFormat="1" ht="41.25" customHeight="1" thickTop="1" thickBot="1" x14ac:dyDescent="0.25">
      <c r="A18" s="109" t="s">
        <v>134</v>
      </c>
      <c r="B18" s="819" t="s">
        <v>135</v>
      </c>
      <c r="C18" s="820"/>
      <c r="D18" s="83">
        <v>600</v>
      </c>
      <c r="E18" s="76"/>
      <c r="F18" s="76"/>
      <c r="G18" s="76"/>
    </row>
    <row r="19" spans="1:7" s="306" customFormat="1" ht="41.25" customHeight="1" thickTop="1" thickBot="1" x14ac:dyDescent="0.25">
      <c r="A19" s="109" t="s">
        <v>1270</v>
      </c>
      <c r="B19" s="819" t="s">
        <v>1271</v>
      </c>
      <c r="C19" s="820"/>
      <c r="D19" s="83">
        <f>(300000)+100000</f>
        <v>400000</v>
      </c>
      <c r="E19" s="76"/>
      <c r="F19" s="76"/>
      <c r="G19" s="76"/>
    </row>
    <row r="20" spans="1:7" s="306" customFormat="1" ht="41.25" customHeight="1" thickTop="1" thickBot="1" x14ac:dyDescent="0.25">
      <c r="A20" s="109" t="s">
        <v>1272</v>
      </c>
      <c r="B20" s="819" t="s">
        <v>1273</v>
      </c>
      <c r="C20" s="820"/>
      <c r="D20" s="83">
        <f>(100000)+100000</f>
        <v>200000</v>
      </c>
      <c r="E20" s="841" t="s">
        <v>1352</v>
      </c>
      <c r="F20" s="842"/>
      <c r="G20" s="76"/>
    </row>
    <row r="21" spans="1:7" s="306" customFormat="1" ht="18.75" thickTop="1" thickBot="1" x14ac:dyDescent="0.25">
      <c r="A21" s="307"/>
      <c r="B21" s="838" t="s">
        <v>136</v>
      </c>
      <c r="C21" s="820"/>
      <c r="D21" s="87">
        <f>SUM(D14:D20)</f>
        <v>4800700</v>
      </c>
      <c r="E21" s="76"/>
      <c r="F21" s="76"/>
      <c r="G21" s="76"/>
    </row>
    <row r="22" spans="1:7" s="306" customFormat="1" ht="18.75" hidden="1" thickTop="1" thickBot="1" x14ac:dyDescent="0.25">
      <c r="A22" s="307"/>
      <c r="B22" s="838" t="s">
        <v>443</v>
      </c>
      <c r="C22" s="820"/>
      <c r="D22" s="87"/>
      <c r="E22" s="76"/>
      <c r="F22" s="76"/>
      <c r="G22" s="76"/>
    </row>
    <row r="23" spans="1:7" s="306" customFormat="1" ht="18.75" thickTop="1" thickBot="1" x14ac:dyDescent="0.25">
      <c r="A23" s="307"/>
      <c r="B23" s="838" t="s">
        <v>1268</v>
      </c>
      <c r="C23" s="820"/>
      <c r="D23" s="87">
        <v>1286664.08</v>
      </c>
      <c r="E23" s="76"/>
      <c r="F23" s="76"/>
      <c r="G23" s="76"/>
    </row>
    <row r="24" spans="1:7" s="306" customFormat="1" ht="26.45" customHeight="1" thickTop="1" thickBot="1" x14ac:dyDescent="0.25">
      <c r="A24" s="582" t="s">
        <v>385</v>
      </c>
      <c r="B24" s="825" t="s">
        <v>498</v>
      </c>
      <c r="C24" s="826"/>
      <c r="D24" s="583">
        <f>D21+D23</f>
        <v>6087364.0800000001</v>
      </c>
      <c r="E24" s="88" t="b">
        <f>D24='d1'!E103+D23</f>
        <v>1</v>
      </c>
      <c r="G24" s="76"/>
    </row>
    <row r="25" spans="1:7" s="306" customFormat="1" ht="47.25" customHeight="1" thickTop="1" thickBot="1" x14ac:dyDescent="0.25">
      <c r="A25" s="587" t="s">
        <v>127</v>
      </c>
      <c r="B25" s="823" t="s">
        <v>137</v>
      </c>
      <c r="C25" s="824"/>
      <c r="D25" s="824"/>
      <c r="E25" s="76"/>
      <c r="F25" s="76"/>
      <c r="G25" s="76"/>
    </row>
    <row r="26" spans="1:7" s="306" customFormat="1" ht="43.5" customHeight="1" thickTop="1" thickBot="1" x14ac:dyDescent="0.25">
      <c r="A26" s="109" t="s">
        <v>138</v>
      </c>
      <c r="B26" s="819" t="s">
        <v>139</v>
      </c>
      <c r="C26" s="820"/>
      <c r="D26" s="83">
        <v>20000</v>
      </c>
      <c r="E26" s="76"/>
      <c r="F26" s="76"/>
      <c r="G26" s="76"/>
    </row>
    <row r="27" spans="1:7" s="306" customFormat="1" ht="44.45" customHeight="1" thickTop="1" thickBot="1" x14ac:dyDescent="0.25">
      <c r="A27" s="109" t="s">
        <v>140</v>
      </c>
      <c r="B27" s="819" t="s">
        <v>141</v>
      </c>
      <c r="C27" s="820"/>
      <c r="D27" s="83">
        <f>((153400)-30000)+6360</f>
        <v>129760</v>
      </c>
      <c r="E27" s="76"/>
      <c r="F27" s="76"/>
      <c r="G27" s="76"/>
    </row>
    <row r="28" spans="1:7" s="306" customFormat="1" ht="44.45" hidden="1" customHeight="1" thickTop="1" thickBot="1" x14ac:dyDescent="0.25">
      <c r="A28" s="307" t="s">
        <v>474</v>
      </c>
      <c r="B28" s="821" t="s">
        <v>413</v>
      </c>
      <c r="C28" s="822"/>
      <c r="D28" s="308">
        <v>0</v>
      </c>
      <c r="E28" s="76"/>
      <c r="F28" s="76"/>
      <c r="G28" s="76"/>
    </row>
    <row r="29" spans="1:7" s="306" customFormat="1" ht="32.25" customHeight="1" thickTop="1" thickBot="1" x14ac:dyDescent="0.25">
      <c r="A29" s="109" t="s">
        <v>142</v>
      </c>
      <c r="B29" s="819" t="s">
        <v>144</v>
      </c>
      <c r="C29" s="820"/>
      <c r="D29" s="83">
        <v>322000</v>
      </c>
      <c r="E29" s="76"/>
      <c r="F29" s="76"/>
      <c r="G29" s="76"/>
    </row>
    <row r="30" spans="1:7" s="306" customFormat="1" ht="55.5" customHeight="1" thickTop="1" thickBot="1" x14ac:dyDescent="0.25">
      <c r="A30" s="109" t="s">
        <v>143</v>
      </c>
      <c r="B30" s="819" t="s">
        <v>1593</v>
      </c>
      <c r="C30" s="820"/>
      <c r="D30" s="83">
        <f>((((1425300)+500578.21+300000)+397058)+600000)+800000</f>
        <v>4022936.21</v>
      </c>
      <c r="E30" s="76"/>
      <c r="F30" s="76"/>
      <c r="G30" s="76"/>
    </row>
    <row r="31" spans="1:7" s="306" customFormat="1" ht="104.25" customHeight="1" thickTop="1" thickBot="1" x14ac:dyDescent="0.25">
      <c r="A31" s="109" t="s">
        <v>145</v>
      </c>
      <c r="B31" s="819" t="s">
        <v>1235</v>
      </c>
      <c r="C31" s="820"/>
      <c r="D31" s="83">
        <f>(141725.87+338000)+852942</f>
        <v>1332667.8700000001</v>
      </c>
      <c r="E31" s="76"/>
      <c r="F31" s="76"/>
      <c r="G31" s="76"/>
    </row>
    <row r="32" spans="1:7" s="306" customFormat="1" ht="51" hidden="1" thickTop="1" thickBot="1" x14ac:dyDescent="0.25">
      <c r="A32" s="309" t="s">
        <v>1005</v>
      </c>
      <c r="B32" s="310" t="s">
        <v>1006</v>
      </c>
      <c r="C32" s="311"/>
      <c r="D32" s="312">
        <v>0</v>
      </c>
      <c r="E32" s="76"/>
      <c r="F32" s="76"/>
      <c r="G32" s="76"/>
    </row>
    <row r="33" spans="1:7" s="306" customFormat="1" ht="17.25" hidden="1" thickTop="1" thickBot="1" x14ac:dyDescent="0.25">
      <c r="A33" s="307" t="s">
        <v>475</v>
      </c>
      <c r="B33" s="821" t="s">
        <v>146</v>
      </c>
      <c r="C33" s="822"/>
      <c r="D33" s="308">
        <f>(20000)-20000</f>
        <v>0</v>
      </c>
      <c r="E33" s="76"/>
      <c r="F33" s="76"/>
      <c r="G33" s="76"/>
    </row>
    <row r="34" spans="1:7" s="306" customFormat="1" ht="17.25" hidden="1" thickTop="1" thickBot="1" x14ac:dyDescent="0.25">
      <c r="A34" s="109" t="s">
        <v>475</v>
      </c>
      <c r="B34" s="819" t="s">
        <v>146</v>
      </c>
      <c r="C34" s="820"/>
      <c r="D34" s="83"/>
      <c r="E34" s="76"/>
      <c r="F34" s="76"/>
      <c r="G34" s="76"/>
    </row>
    <row r="35" spans="1:7" s="306" customFormat="1" ht="157.5" customHeight="1" thickTop="1" thickBot="1" x14ac:dyDescent="0.25">
      <c r="A35" s="109" t="s">
        <v>476</v>
      </c>
      <c r="B35" s="839" t="s">
        <v>1274</v>
      </c>
      <c r="C35" s="660"/>
      <c r="D35" s="110">
        <f>(1060000)-800000</f>
        <v>260000</v>
      </c>
      <c r="E35" s="76"/>
      <c r="F35" s="76"/>
      <c r="G35" s="76"/>
    </row>
    <row r="36" spans="1:7" s="306" customFormat="1" ht="27.75" customHeight="1" thickTop="1" thickBot="1" x14ac:dyDescent="0.25">
      <c r="A36" s="582" t="s">
        <v>385</v>
      </c>
      <c r="B36" s="825" t="s">
        <v>498</v>
      </c>
      <c r="C36" s="826"/>
      <c r="D36" s="583">
        <f>SUM(D26:D35)</f>
        <v>6087364.0800000001</v>
      </c>
      <c r="E36" s="88" t="b">
        <f>D24=D36</f>
        <v>1</v>
      </c>
      <c r="F36" s="88" t="b">
        <f>D36='d3'!J30+'d3'!J191+'d3'!J272+'d3'!J301+'d3'!J334</f>
        <v>1</v>
      </c>
      <c r="G36" s="88" t="b">
        <f>D36='d7'!G270+'d7'!G233+'d7'!G166+'d7'!G33+'d7'!G295</f>
        <v>1</v>
      </c>
    </row>
    <row r="37" spans="1:7" s="317" customFormat="1" ht="27.75" customHeight="1" thickTop="1" x14ac:dyDescent="0.2">
      <c r="A37" s="313"/>
      <c r="B37" s="314"/>
      <c r="C37" s="315"/>
      <c r="D37" s="316"/>
      <c r="E37" s="10"/>
      <c r="F37" s="10"/>
    </row>
    <row r="38" spans="1:7" ht="15.75" x14ac:dyDescent="0.25">
      <c r="B38" s="744" t="s">
        <v>1586</v>
      </c>
      <c r="C38" s="788"/>
      <c r="D38" s="650" t="s">
        <v>1587</v>
      </c>
      <c r="E38" s="1"/>
      <c r="F38" s="650"/>
    </row>
    <row r="39" spans="1:7" ht="15.75" hidden="1" x14ac:dyDescent="0.25">
      <c r="B39" s="472" t="s">
        <v>1548</v>
      </c>
      <c r="C39" s="473"/>
      <c r="D39" s="472" t="s">
        <v>1549</v>
      </c>
      <c r="E39" s="1"/>
      <c r="F39" s="650"/>
    </row>
    <row r="40" spans="1:7" ht="15" x14ac:dyDescent="0.25">
      <c r="B40" s="472"/>
      <c r="C40" s="472"/>
      <c r="D40" s="472"/>
      <c r="E40" s="11"/>
    </row>
    <row r="41" spans="1:7" ht="22.5" customHeight="1" x14ac:dyDescent="0.65">
      <c r="A41" s="318" t="s">
        <v>530</v>
      </c>
      <c r="B41" s="744" t="s">
        <v>528</v>
      </c>
      <c r="C41" s="788"/>
      <c r="D41" s="472" t="s">
        <v>1435</v>
      </c>
      <c r="E41" s="3"/>
    </row>
    <row r="42" spans="1:7" ht="18.75" x14ac:dyDescent="0.2">
      <c r="A42" s="318"/>
      <c r="B42" s="318"/>
      <c r="C42" s="318"/>
    </row>
    <row r="43" spans="1:7" ht="18.75" x14ac:dyDescent="0.2">
      <c r="A43" s="837"/>
      <c r="B43" s="837"/>
      <c r="C43" s="319"/>
    </row>
    <row r="49" spans="1:4" ht="16.5" x14ac:dyDescent="0.2">
      <c r="A49" s="836"/>
      <c r="B49" s="320"/>
      <c r="C49" s="321"/>
      <c r="D49" s="322"/>
    </row>
    <row r="50" spans="1:4" ht="16.5" x14ac:dyDescent="0.2">
      <c r="A50" s="836"/>
      <c r="B50" s="323"/>
      <c r="C50" s="321"/>
      <c r="D50" s="322"/>
    </row>
    <row r="51" spans="1:4" ht="16.5" x14ac:dyDescent="0.2">
      <c r="A51" s="836"/>
      <c r="B51" s="324"/>
      <c r="C51" s="321"/>
      <c r="D51" s="322"/>
    </row>
    <row r="52" spans="1:4" ht="16.5" x14ac:dyDescent="0.2">
      <c r="A52" s="836"/>
      <c r="B52" s="320"/>
      <c r="C52" s="321"/>
      <c r="D52" s="322"/>
    </row>
    <row r="53" spans="1:4" ht="16.5" x14ac:dyDescent="0.2">
      <c r="A53" s="836"/>
      <c r="B53" s="320"/>
      <c r="C53" s="321"/>
      <c r="D53" s="322"/>
    </row>
    <row r="84" spans="6:6" x14ac:dyDescent="0.2">
      <c r="F84" s="835"/>
    </row>
    <row r="85" spans="6:6" x14ac:dyDescent="0.2">
      <c r="F85" s="751"/>
    </row>
    <row r="121" spans="4:6" x14ac:dyDescent="0.2">
      <c r="D121" s="114">
        <f>SUM(D122:D134)+D141</f>
        <v>88281</v>
      </c>
      <c r="F121" s="114">
        <f>G121+H121</f>
        <v>0</v>
      </c>
    </row>
    <row r="123" spans="4:6" x14ac:dyDescent="0.2">
      <c r="F123" s="114">
        <f t="shared" ref="F123:F133" si="0">G123+H123</f>
        <v>0</v>
      </c>
    </row>
    <row r="124" spans="4:6" x14ac:dyDescent="0.2">
      <c r="F124" s="114">
        <f t="shared" si="0"/>
        <v>0</v>
      </c>
    </row>
    <row r="125" spans="4:6" x14ac:dyDescent="0.2">
      <c r="F125" s="114">
        <f t="shared" si="0"/>
        <v>0</v>
      </c>
    </row>
    <row r="126" spans="4:6" x14ac:dyDescent="0.2">
      <c r="F126" s="114">
        <f t="shared" si="0"/>
        <v>0</v>
      </c>
    </row>
    <row r="127" spans="4:6" x14ac:dyDescent="0.2">
      <c r="F127" s="114">
        <f t="shared" si="0"/>
        <v>0</v>
      </c>
    </row>
    <row r="128" spans="4:6" x14ac:dyDescent="0.2">
      <c r="F128" s="114">
        <f t="shared" si="0"/>
        <v>0</v>
      </c>
    </row>
    <row r="129" spans="1:10" x14ac:dyDescent="0.2">
      <c r="F129" s="114">
        <f t="shared" si="0"/>
        <v>0</v>
      </c>
    </row>
    <row r="130" spans="1:10" x14ac:dyDescent="0.2">
      <c r="F130" s="114">
        <f t="shared" si="0"/>
        <v>0</v>
      </c>
    </row>
    <row r="131" spans="1:10" x14ac:dyDescent="0.2">
      <c r="F131" s="114">
        <f t="shared" si="0"/>
        <v>0</v>
      </c>
    </row>
    <row r="132" spans="1:10" x14ac:dyDescent="0.2">
      <c r="F132" s="114">
        <f t="shared" si="0"/>
        <v>0</v>
      </c>
    </row>
    <row r="133" spans="1:10" x14ac:dyDescent="0.2">
      <c r="F133" s="114">
        <f t="shared" si="0"/>
        <v>0</v>
      </c>
    </row>
    <row r="135" spans="1:10" x14ac:dyDescent="0.2">
      <c r="F135" s="114">
        <f>G136+H136</f>
        <v>0</v>
      </c>
    </row>
    <row r="136" spans="1:10" x14ac:dyDescent="0.2">
      <c r="F136" s="114">
        <f t="shared" ref="F136" si="1">G136+H136</f>
        <v>0</v>
      </c>
    </row>
    <row r="137" spans="1:10" x14ac:dyDescent="0.2">
      <c r="F137" s="114">
        <f>G137+H137</f>
        <v>0</v>
      </c>
    </row>
    <row r="138" spans="1:10" x14ac:dyDescent="0.2">
      <c r="F138" s="114">
        <f>G138+H138</f>
        <v>0</v>
      </c>
    </row>
    <row r="139" spans="1:10" x14ac:dyDescent="0.2">
      <c r="F139" s="114">
        <f>G139+H139</f>
        <v>0</v>
      </c>
    </row>
    <row r="140" spans="1:10" x14ac:dyDescent="0.2">
      <c r="F140" s="114">
        <f>G140+H140</f>
        <v>0</v>
      </c>
    </row>
    <row r="141" spans="1:10" x14ac:dyDescent="0.2">
      <c r="A141" s="114">
        <v>41057700</v>
      </c>
      <c r="B141" s="114" t="s">
        <v>1468</v>
      </c>
      <c r="D141" s="114">
        <v>88281</v>
      </c>
    </row>
    <row r="142" spans="1:10" x14ac:dyDescent="0.2">
      <c r="G142" s="114" t="b">
        <f>C142=C138+C137+C136+C116+C110+C104+C98+C97+C93+C92+C91+C90+C87+C86+C85+C84+C82+C81+C79+C77+C76+C75+C72+C71+C70+C68+C67+C63+C62+C61+C58+C57+C56+C54+C53+C49+C48+C47+C46+C45+C44+C43+C42+C41+C40+C35+C33+C30+C28+C26+C23+C21+C20+C19+C18+C102+C101+C36+C51+C127+C126+C108+C141</f>
        <v>1</v>
      </c>
      <c r="H142" s="114" t="e">
        <f>D142=D138+D137+D136+D116+D110+D104+D98+D97+D93+D92+D91+D90+D87+D86+D85+D84+D82+D81+D79+D77+D76+D75+D72+D71+D70+D68+D67+D63+D62+D61+D58+D57+D56+D54+D53+D49+D48+D47+D46+D45+D44+D43+D42+D41+D40+D35+D33+D30+D28+D26+D23+D21+D20+D19+D18+D102+D101+D36+D51+D127+D126+D108+D141</f>
        <v>#VALUE!</v>
      </c>
      <c r="I142" s="114" t="e">
        <f>E142=E138+E137+E136+E116+E110+E104+E98+E97+E93+E92+E91+E90+E87+E86+E85+E84+E82+E81+E79+E77+E76+E75+E72+E71+E70+E68+E67+E63+E62+E61+E58+E57+E56+E54+E53+E49+E48+E47+E46+E45+E44+E43+E42+E41+E40+E35+E33+E30+E28+E26+E23+E21+E20+E19+E18+E102+E101+E36+E51+E127+E126+E108+E141</f>
        <v>#VALUE!</v>
      </c>
      <c r="J142" s="114" t="b">
        <f>F142=F138+F137+F136+F116+F110+F104+F98+F97+F93+F92+F91+F90+F87+F86+F85+F84+F82+F81+F79+F77+F76+F75+F72+F71+F70+F68+F67+F63+F62+F61+F58+F57+F56+F54+F53+F49+F48+F47+F46+F45+F44+F43+F42+F41+F40+F35+F33+F30+F28+F26+F23+F21+F20+F19+F18+F102+F101+F36+F51+F127+F126+F108+F141</f>
        <v>0</v>
      </c>
    </row>
    <row r="143" spans="1:10" x14ac:dyDescent="0.2">
      <c r="G143" s="114" t="b">
        <f>(3453807039-'d2'!C37+7423154+961639+622418100+3715400+4544686)+16400+4309689+6350319+16579700+88281=C142</f>
        <v>0</v>
      </c>
    </row>
    <row r="146" spans="6:9" ht="46.5" x14ac:dyDescent="0.2">
      <c r="I146" s="12"/>
    </row>
    <row r="149" spans="6:9" ht="46.5" x14ac:dyDescent="0.2">
      <c r="F149" s="12">
        <f>G149+H149</f>
        <v>0</v>
      </c>
      <c r="I149" s="12"/>
    </row>
    <row r="168" spans="10:10" ht="90" x14ac:dyDescent="0.2">
      <c r="J168" s="325" t="b">
        <f>F168=G168+H168</f>
        <v>1</v>
      </c>
    </row>
  </sheetData>
  <mergeCells count="40">
    <mergeCell ref="E20:F20"/>
    <mergeCell ref="B17:C17"/>
    <mergeCell ref="B19:C19"/>
    <mergeCell ref="B20:C20"/>
    <mergeCell ref="B34:C34"/>
    <mergeCell ref="B16:C16"/>
    <mergeCell ref="B15:C15"/>
    <mergeCell ref="B14:C14"/>
    <mergeCell ref="A5:D5"/>
    <mergeCell ref="A7:D7"/>
    <mergeCell ref="A6:D6"/>
    <mergeCell ref="F84:F85"/>
    <mergeCell ref="A49:A53"/>
    <mergeCell ref="A43:B43"/>
    <mergeCell ref="B22:C22"/>
    <mergeCell ref="B21:C21"/>
    <mergeCell ref="B36:C36"/>
    <mergeCell ref="B35:C35"/>
    <mergeCell ref="B33:C33"/>
    <mergeCell ref="B31:C31"/>
    <mergeCell ref="B30:C30"/>
    <mergeCell ref="B23:C23"/>
    <mergeCell ref="B41:C41"/>
    <mergeCell ref="B38:C38"/>
    <mergeCell ref="C1:D1"/>
    <mergeCell ref="C3:D3"/>
    <mergeCell ref="C4:D4"/>
    <mergeCell ref="B29:C29"/>
    <mergeCell ref="B28:C28"/>
    <mergeCell ref="B27:C27"/>
    <mergeCell ref="B26:C26"/>
    <mergeCell ref="B25:D25"/>
    <mergeCell ref="B13:D13"/>
    <mergeCell ref="B24:C24"/>
    <mergeCell ref="C2:F2"/>
    <mergeCell ref="E5:I5"/>
    <mergeCell ref="E7:I7"/>
    <mergeCell ref="E8:I8"/>
    <mergeCell ref="B18:C18"/>
    <mergeCell ref="A8:D8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69"/>
  <sheetViews>
    <sheetView tabSelected="1" view="pageBreakPreview" topLeftCell="A17" zoomScale="70" zoomScaleNormal="85" zoomScaleSheetLayoutView="70" workbookViewId="0">
      <selection activeCell="A34" sqref="A34:XFD34"/>
    </sheetView>
  </sheetViews>
  <sheetFormatPr defaultColWidth="9.140625" defaultRowHeight="12.75" x14ac:dyDescent="0.2"/>
  <cols>
    <col min="1" max="1" width="6.85546875" style="13" customWidth="1"/>
    <col min="2" max="2" width="15.140625" style="13" customWidth="1"/>
    <col min="3" max="3" width="15.28515625" style="13" customWidth="1"/>
    <col min="4" max="4" width="10.85546875" style="13" customWidth="1"/>
    <col min="5" max="5" width="62" style="13" customWidth="1"/>
    <col min="6" max="6" width="17.5703125" style="13" customWidth="1"/>
    <col min="7" max="7" width="10.85546875" style="13" bestFit="1" customWidth="1"/>
    <col min="8" max="10" width="9.140625" style="13"/>
    <col min="11" max="11" width="52.5703125" style="13" customWidth="1"/>
    <col min="12" max="16384" width="9.140625" style="13"/>
  </cols>
  <sheetData>
    <row r="1" spans="1:10" x14ac:dyDescent="0.2">
      <c r="A1" s="338"/>
      <c r="B1" s="338"/>
      <c r="C1" s="338"/>
      <c r="D1" s="338"/>
      <c r="E1" s="338"/>
      <c r="F1" s="338" t="s">
        <v>599</v>
      </c>
      <c r="G1"/>
      <c r="H1"/>
      <c r="I1"/>
    </row>
    <row r="2" spans="1:10" x14ac:dyDescent="0.2">
      <c r="A2" s="338"/>
      <c r="B2" s="338"/>
      <c r="C2" s="338"/>
      <c r="D2" s="338"/>
      <c r="E2" s="338"/>
      <c r="F2" s="338" t="s">
        <v>975</v>
      </c>
      <c r="G2"/>
      <c r="H2"/>
      <c r="I2"/>
    </row>
    <row r="3" spans="1:10" x14ac:dyDescent="0.2">
      <c r="A3" s="338"/>
      <c r="B3" s="338"/>
      <c r="C3" s="338"/>
      <c r="D3" s="338"/>
      <c r="E3" s="338"/>
      <c r="F3" s="844" t="s">
        <v>1371</v>
      </c>
      <c r="G3" s="768"/>
      <c r="H3" s="768"/>
      <c r="I3" s="768"/>
    </row>
    <row r="4" spans="1:10" ht="15.75" x14ac:dyDescent="0.25">
      <c r="A4" s="845" t="s">
        <v>575</v>
      </c>
      <c r="B4" s="666"/>
      <c r="C4" s="666"/>
      <c r="D4" s="666"/>
      <c r="E4" s="666"/>
      <c r="F4" s="666"/>
      <c r="G4"/>
      <c r="H4"/>
      <c r="I4"/>
    </row>
    <row r="5" spans="1:10" ht="15.75" x14ac:dyDescent="0.25">
      <c r="A5" s="845" t="s">
        <v>574</v>
      </c>
      <c r="B5" s="666"/>
      <c r="C5" s="666"/>
      <c r="D5" s="666"/>
      <c r="E5" s="666"/>
      <c r="F5" s="666"/>
      <c r="G5"/>
      <c r="H5"/>
      <c r="I5"/>
    </row>
    <row r="6" spans="1:10" ht="15.75" x14ac:dyDescent="0.25">
      <c r="A6" s="845" t="s">
        <v>906</v>
      </c>
      <c r="B6" s="666"/>
      <c r="C6" s="666"/>
      <c r="D6" s="666"/>
      <c r="E6" s="666"/>
      <c r="F6" s="666"/>
      <c r="G6"/>
      <c r="H6"/>
      <c r="I6"/>
    </row>
    <row r="7" spans="1:10" ht="15.75" x14ac:dyDescent="0.25">
      <c r="A7"/>
      <c r="B7"/>
      <c r="C7" s="845" t="s">
        <v>1275</v>
      </c>
      <c r="D7" s="666"/>
      <c r="E7" s="666"/>
      <c r="F7"/>
      <c r="G7"/>
      <c r="H7"/>
      <c r="I7"/>
    </row>
    <row r="8" spans="1:10" ht="12.75" customHeight="1" x14ac:dyDescent="0.25">
      <c r="A8" s="339"/>
      <c r="B8" s="339"/>
      <c r="C8" s="339"/>
      <c r="D8" s="339"/>
      <c r="E8" s="339"/>
      <c r="F8" s="339"/>
      <c r="G8" s="339"/>
      <c r="H8" s="339"/>
      <c r="I8" s="339"/>
      <c r="J8" s="326"/>
    </row>
    <row r="9" spans="1:10" x14ac:dyDescent="0.2">
      <c r="A9" s="746">
        <v>2256400000</v>
      </c>
      <c r="B9" s="666"/>
      <c r="C9" s="371"/>
      <c r="D9" s="371"/>
      <c r="E9" s="371"/>
      <c r="F9" s="371"/>
      <c r="G9"/>
      <c r="H9"/>
      <c r="I9"/>
    </row>
    <row r="10" spans="1:10" x14ac:dyDescent="0.2">
      <c r="A10" s="748" t="s">
        <v>494</v>
      </c>
      <c r="B10" s="842"/>
      <c r="C10" s="371"/>
      <c r="D10" s="371"/>
      <c r="E10" s="371"/>
      <c r="F10" s="371"/>
      <c r="G10"/>
      <c r="H10"/>
      <c r="I10"/>
    </row>
    <row r="11" spans="1:10" ht="13.5" thickBot="1" x14ac:dyDescent="0.25">
      <c r="A11" s="336"/>
      <c r="B11" s="336"/>
      <c r="C11" s="371"/>
      <c r="D11" s="371"/>
      <c r="E11" s="371"/>
      <c r="F11" s="371"/>
      <c r="G11"/>
      <c r="H11"/>
      <c r="I11"/>
    </row>
    <row r="12" spans="1:10" ht="48" customHeight="1" thickTop="1" thickBot="1" x14ac:dyDescent="0.25">
      <c r="A12" s="340" t="s">
        <v>320</v>
      </c>
      <c r="B12" s="341" t="s">
        <v>321</v>
      </c>
      <c r="C12" s="341" t="s">
        <v>20</v>
      </c>
      <c r="D12" s="341" t="s">
        <v>16</v>
      </c>
      <c r="E12" s="340" t="s">
        <v>322</v>
      </c>
      <c r="F12" s="342" t="s">
        <v>409</v>
      </c>
      <c r="G12" s="21"/>
      <c r="H12"/>
      <c r="I12"/>
    </row>
    <row r="13" spans="1:10" ht="33" thickTop="1" thickBot="1" x14ac:dyDescent="0.25">
      <c r="A13" s="367">
        <v>1</v>
      </c>
      <c r="B13" s="345" t="s">
        <v>1147</v>
      </c>
      <c r="C13" s="345" t="s">
        <v>1148</v>
      </c>
      <c r="D13" s="345" t="s">
        <v>51</v>
      </c>
      <c r="E13" s="368" t="s">
        <v>1522</v>
      </c>
      <c r="F13" s="369">
        <f>46434+600000-600000</f>
        <v>46434</v>
      </c>
      <c r="G13" s="20"/>
    </row>
    <row r="14" spans="1:10" ht="64.5" thickTop="1" thickBot="1" x14ac:dyDescent="0.25">
      <c r="A14" s="367">
        <v>2</v>
      </c>
      <c r="B14" s="345" t="s">
        <v>1147</v>
      </c>
      <c r="C14" s="345" t="s">
        <v>1148</v>
      </c>
      <c r="D14" s="345" t="s">
        <v>51</v>
      </c>
      <c r="E14" s="368" t="s">
        <v>1284</v>
      </c>
      <c r="F14" s="369">
        <v>81000</v>
      </c>
      <c r="G14" s="20"/>
    </row>
    <row r="15" spans="1:10" ht="48.75" thickTop="1" thickBot="1" x14ac:dyDescent="0.25">
      <c r="A15" s="367">
        <v>3</v>
      </c>
      <c r="B15" s="345" t="s">
        <v>1147</v>
      </c>
      <c r="C15" s="345" t="s">
        <v>1148</v>
      </c>
      <c r="D15" s="345" t="s">
        <v>51</v>
      </c>
      <c r="E15" s="368" t="s">
        <v>1285</v>
      </c>
      <c r="F15" s="369">
        <v>50000</v>
      </c>
      <c r="G15" s="20"/>
    </row>
    <row r="16" spans="1:10" ht="33" thickTop="1" thickBot="1" x14ac:dyDescent="0.25">
      <c r="A16" s="367">
        <v>4</v>
      </c>
      <c r="B16" s="345" t="s">
        <v>1147</v>
      </c>
      <c r="C16" s="345" t="s">
        <v>1148</v>
      </c>
      <c r="D16" s="345" t="s">
        <v>51</v>
      </c>
      <c r="E16" s="604" t="s">
        <v>1382</v>
      </c>
      <c r="F16" s="369">
        <v>10000</v>
      </c>
      <c r="G16" s="20"/>
    </row>
    <row r="17" spans="1:7" ht="33" thickTop="1" thickBot="1" x14ac:dyDescent="0.25">
      <c r="A17" s="367">
        <v>5</v>
      </c>
      <c r="B17" s="345" t="s">
        <v>1147</v>
      </c>
      <c r="C17" s="345" t="s">
        <v>1148</v>
      </c>
      <c r="D17" s="345" t="s">
        <v>51</v>
      </c>
      <c r="E17" s="370" t="s">
        <v>1276</v>
      </c>
      <c r="F17" s="369">
        <f>40000+40000</f>
        <v>80000</v>
      </c>
      <c r="G17" s="20"/>
    </row>
    <row r="18" spans="1:7" ht="48.75" thickTop="1" thickBot="1" x14ac:dyDescent="0.25">
      <c r="A18" s="367">
        <v>6</v>
      </c>
      <c r="B18" s="345" t="s">
        <v>1147</v>
      </c>
      <c r="C18" s="345" t="s">
        <v>1148</v>
      </c>
      <c r="D18" s="345" t="s">
        <v>51</v>
      </c>
      <c r="E18" s="370" t="s">
        <v>1277</v>
      </c>
      <c r="F18" s="369">
        <v>80000</v>
      </c>
      <c r="G18" s="20"/>
    </row>
    <row r="19" spans="1:7" ht="33" thickTop="1" thickBot="1" x14ac:dyDescent="0.25">
      <c r="A19" s="367">
        <v>7</v>
      </c>
      <c r="B19" s="345" t="s">
        <v>1147</v>
      </c>
      <c r="C19" s="345" t="s">
        <v>1148</v>
      </c>
      <c r="D19" s="345" t="s">
        <v>51</v>
      </c>
      <c r="E19" s="370" t="s">
        <v>1150</v>
      </c>
      <c r="F19" s="369">
        <f>96000+13000</f>
        <v>109000</v>
      </c>
      <c r="G19" s="20"/>
    </row>
    <row r="20" spans="1:7" ht="48" customHeight="1" thickTop="1" thickBot="1" x14ac:dyDescent="0.25">
      <c r="A20" s="367">
        <v>8</v>
      </c>
      <c r="B20" s="345" t="s">
        <v>1147</v>
      </c>
      <c r="C20" s="345" t="s">
        <v>1148</v>
      </c>
      <c r="D20" s="345" t="s">
        <v>51</v>
      </c>
      <c r="E20" s="370" t="s">
        <v>1278</v>
      </c>
      <c r="F20" s="369">
        <v>778000</v>
      </c>
      <c r="G20" s="20"/>
    </row>
    <row r="21" spans="1:7" ht="64.5" customHeight="1" thickTop="1" thickBot="1" x14ac:dyDescent="0.25">
      <c r="A21" s="367">
        <v>9</v>
      </c>
      <c r="B21" s="345" t="s">
        <v>1147</v>
      </c>
      <c r="C21" s="345" t="s">
        <v>1148</v>
      </c>
      <c r="D21" s="345" t="s">
        <v>51</v>
      </c>
      <c r="E21" s="370" t="s">
        <v>1286</v>
      </c>
      <c r="F21" s="369">
        <v>75000</v>
      </c>
      <c r="G21" s="20"/>
    </row>
    <row r="22" spans="1:7" ht="80.25" thickTop="1" thickBot="1" x14ac:dyDescent="0.25">
      <c r="A22" s="367">
        <v>10</v>
      </c>
      <c r="B22" s="345" t="s">
        <v>1147</v>
      </c>
      <c r="C22" s="345" t="s">
        <v>1148</v>
      </c>
      <c r="D22" s="345" t="s">
        <v>51</v>
      </c>
      <c r="E22" s="605" t="s">
        <v>1498</v>
      </c>
      <c r="F22" s="369">
        <v>520000</v>
      </c>
      <c r="G22" s="20"/>
    </row>
    <row r="23" spans="1:7" ht="48.75" thickTop="1" thickBot="1" x14ac:dyDescent="0.25">
      <c r="A23" s="367">
        <v>11</v>
      </c>
      <c r="B23" s="345" t="s">
        <v>1147</v>
      </c>
      <c r="C23" s="345" t="s">
        <v>1148</v>
      </c>
      <c r="D23" s="345" t="s">
        <v>51</v>
      </c>
      <c r="E23" s="370" t="s">
        <v>1383</v>
      </c>
      <c r="F23" s="369">
        <v>420000</v>
      </c>
      <c r="G23" s="20"/>
    </row>
    <row r="24" spans="1:7" ht="80.25" thickTop="1" thickBot="1" x14ac:dyDescent="0.25">
      <c r="A24" s="367">
        <v>12</v>
      </c>
      <c r="B24" s="345" t="s">
        <v>1147</v>
      </c>
      <c r="C24" s="345" t="s">
        <v>1148</v>
      </c>
      <c r="D24" s="345" t="s">
        <v>51</v>
      </c>
      <c r="E24" s="605" t="s">
        <v>1384</v>
      </c>
      <c r="F24" s="369">
        <f>78000+220000</f>
        <v>298000</v>
      </c>
      <c r="G24" s="20"/>
    </row>
    <row r="25" spans="1:7" ht="48.75" thickTop="1" thickBot="1" x14ac:dyDescent="0.25">
      <c r="A25" s="367">
        <v>13</v>
      </c>
      <c r="B25" s="345" t="s">
        <v>1147</v>
      </c>
      <c r="C25" s="345" t="s">
        <v>1148</v>
      </c>
      <c r="D25" s="345" t="s">
        <v>51</v>
      </c>
      <c r="E25" s="605" t="s">
        <v>1499</v>
      </c>
      <c r="F25" s="369">
        <v>20000</v>
      </c>
      <c r="G25" s="20"/>
    </row>
    <row r="26" spans="1:7" ht="48.75" thickTop="1" thickBot="1" x14ac:dyDescent="0.25">
      <c r="A26" s="367">
        <v>14</v>
      </c>
      <c r="B26" s="345" t="s">
        <v>1147</v>
      </c>
      <c r="C26" s="345" t="s">
        <v>1148</v>
      </c>
      <c r="D26" s="345" t="s">
        <v>51</v>
      </c>
      <c r="E26" s="370" t="s">
        <v>1542</v>
      </c>
      <c r="F26" s="369">
        <v>1200000</v>
      </c>
      <c r="G26" s="20"/>
    </row>
    <row r="27" spans="1:7" ht="33" thickTop="1" thickBot="1" x14ac:dyDescent="0.25">
      <c r="A27" s="367">
        <v>15</v>
      </c>
      <c r="B27" s="345" t="s">
        <v>1147</v>
      </c>
      <c r="C27" s="345" t="s">
        <v>1148</v>
      </c>
      <c r="D27" s="345" t="s">
        <v>51</v>
      </c>
      <c r="E27" s="370" t="s">
        <v>1385</v>
      </c>
      <c r="F27" s="369">
        <f>189000+500000+100000-600000</f>
        <v>189000</v>
      </c>
      <c r="G27" s="20"/>
    </row>
    <row r="28" spans="1:7" ht="32.25" customHeight="1" thickTop="1" thickBot="1" x14ac:dyDescent="0.25">
      <c r="A28" s="584" t="s">
        <v>385</v>
      </c>
      <c r="B28" s="584" t="s">
        <v>385</v>
      </c>
      <c r="C28" s="584" t="s">
        <v>385</v>
      </c>
      <c r="D28" s="584" t="s">
        <v>385</v>
      </c>
      <c r="E28" s="584" t="s">
        <v>395</v>
      </c>
      <c r="F28" s="585">
        <f>SUM(F13:F27)</f>
        <v>3956434</v>
      </c>
      <c r="G28" s="557" t="b">
        <f>F28='d3'!P391</f>
        <v>1</v>
      </c>
    </row>
    <row r="29" spans="1:7" ht="15" customHeight="1" thickTop="1" x14ac:dyDescent="0.2">
      <c r="A29" s="327"/>
      <c r="B29" s="327"/>
      <c r="C29" s="327"/>
      <c r="D29" s="327"/>
      <c r="E29" s="327"/>
      <c r="F29" s="328"/>
    </row>
    <row r="30" spans="1:7" ht="15.75" hidden="1" customHeight="1" x14ac:dyDescent="0.25">
      <c r="A30" s="600"/>
      <c r="B30" s="1"/>
      <c r="C30" s="111"/>
      <c r="D30" s="1"/>
      <c r="E30" s="1"/>
      <c r="F30" s="1"/>
    </row>
    <row r="31" spans="1:7" ht="27" hidden="1" customHeight="1" x14ac:dyDescent="0.2">
      <c r="A31" s="843" t="s">
        <v>528</v>
      </c>
      <c r="B31" s="843"/>
      <c r="C31" s="843"/>
      <c r="D31" s="843"/>
      <c r="E31" s="600"/>
      <c r="F31" s="343" t="s">
        <v>529</v>
      </c>
    </row>
    <row r="32" spans="1:7" ht="15.75" hidden="1" x14ac:dyDescent="0.2">
      <c r="A32" s="601"/>
      <c r="B32" s="601"/>
      <c r="C32" s="601"/>
      <c r="D32" s="601"/>
      <c r="E32" s="600"/>
      <c r="F32" s="344"/>
    </row>
    <row r="33" spans="1:6" ht="15.75" x14ac:dyDescent="0.25">
      <c r="A33" s="600"/>
      <c r="B33" s="744" t="s">
        <v>1586</v>
      </c>
      <c r="C33" s="788"/>
      <c r="D33" s="650"/>
      <c r="E33" s="1"/>
      <c r="F33" s="650" t="s">
        <v>1587</v>
      </c>
    </row>
    <row r="34" spans="1:6" ht="15.75" hidden="1" x14ac:dyDescent="0.25">
      <c r="A34" s="600"/>
      <c r="B34" s="472" t="s">
        <v>1588</v>
      </c>
      <c r="C34" s="498"/>
      <c r="D34" s="472"/>
      <c r="E34" s="472"/>
      <c r="F34" s="472" t="s">
        <v>1549</v>
      </c>
    </row>
    <row r="35" spans="1:6" ht="15.75" x14ac:dyDescent="0.25">
      <c r="A35" s="601"/>
      <c r="B35" s="472"/>
      <c r="C35" s="472"/>
      <c r="D35" s="472"/>
      <c r="E35" s="472"/>
      <c r="F35" s="472"/>
    </row>
    <row r="36" spans="1:6" ht="15.75" x14ac:dyDescent="0.25">
      <c r="A36" s="601"/>
      <c r="B36" s="744" t="s">
        <v>528</v>
      </c>
      <c r="C36" s="788"/>
      <c r="D36" s="472"/>
      <c r="E36" s="472"/>
      <c r="F36" s="472" t="s">
        <v>1435</v>
      </c>
    </row>
    <row r="85" spans="7:7" x14ac:dyDescent="0.2">
      <c r="G85" s="751"/>
    </row>
    <row r="86" spans="7:7" x14ac:dyDescent="0.2">
      <c r="G86" s="751"/>
    </row>
    <row r="120" spans="4:4" x14ac:dyDescent="0.2">
      <c r="D120" s="13">
        <f>SUM(D121:D133)+D140</f>
        <v>88281</v>
      </c>
    </row>
    <row r="140" spans="1:10" x14ac:dyDescent="0.2">
      <c r="A140" s="13">
        <v>41057700</v>
      </c>
      <c r="B140" s="13" t="s">
        <v>1468</v>
      </c>
      <c r="D140" s="13">
        <v>88281</v>
      </c>
    </row>
    <row r="141" spans="1:10" x14ac:dyDescent="0.2">
      <c r="G141" s="13" t="e">
        <f>C141=C137+C136+C135+C115+C109+C103+C97+C96+C92+C91+C90+C89+C86+C85+C84+C83+C81+C80+C78+C76+C75+C74+C71+C70+C69+C67+C66+C62+C61+C60+C57+C56+C55+C53+C52+C48+C47+C46+C45+C44+C43+C42+C41+C40+C39+C35+C32+C29+#REF!+#REF!+C23+C21+C20+C19+C18+C101+C100+C36+C50+C126+C125+C107+C140</f>
        <v>#REF!</v>
      </c>
      <c r="H141" s="13" t="e">
        <f>D141=D137+D136+D135+D115+D109+D103+D97+D96+D92+D91+D90+D89+D86+D85+D84+D83+D81+D80+D78+D76+D75+D74+D71+D70+D69+D67+D66+D62+D61+D60+D57+D56+D55+D53+D52+D48+D47+D46+D45+D44+D43+D42+D41+D40+D39+D35+D32+D29+#REF!+#REF!+D23+D21+D20+D19+D18+D101+D100+D36+D50+D126+D125+D107+D140</f>
        <v>#REF!</v>
      </c>
      <c r="I141" s="13" t="e">
        <f>E141=E137+E136+E135+E115+E109+E103+E97+E96+E92+E91+E90+E89+E86+E85+E84+E83+E81+E80+E78+E76+E75+E74+E71+E70+E69+E67+E66+E62+E61+E60+E57+E56+E55+E53+E52+E48+E47+E46+E45+E44+E43+E42+E41+E40+E39+E35+E32+E29+#REF!+#REF!+E23+E21+E20+E19+E18+E101+E100+E36+E50+E126+E125+E107+E140</f>
        <v>#REF!</v>
      </c>
      <c r="J141" s="13" t="e">
        <f>F141=F137+F136+F135+F115+F109+F103+F97+F96+F92+F91+F90+F89+F86+F85+F84+F83+F81+F80+F78+F76+F75+F74+F71+F70+F69+F67+F66+F62+F61+F60+F57+F56+F55+F53+F52+F48+F47+F46+F45+F44+F43+F42+F41+F40+F39+F35+F32+F29+#REF!+#REF!+F23+F21+F20+F19+F18+F101+F100+F36+F50+F126+F125+F107+F140</f>
        <v>#REF!</v>
      </c>
    </row>
    <row r="142" spans="1:10" x14ac:dyDescent="0.2">
      <c r="G142" s="13" t="b">
        <f>(3453807039-'d2'!C37+7423154+961639+622418100+3715400+4544686)+16400+4309689+6350319+16579700+88281=C141</f>
        <v>0</v>
      </c>
    </row>
    <row r="147" spans="7:10" ht="46.5" x14ac:dyDescent="0.65">
      <c r="J147" s="9"/>
    </row>
    <row r="150" spans="7:10" ht="46.5" x14ac:dyDescent="0.65">
      <c r="G150" s="9"/>
      <c r="J150" s="9"/>
    </row>
    <row r="169" spans="11:11" ht="90" x14ac:dyDescent="1.1499999999999999">
      <c r="K169" s="329" t="b">
        <f>G169=H169+I169</f>
        <v>1</v>
      </c>
    </row>
  </sheetData>
  <mergeCells count="11">
    <mergeCell ref="A10:B10"/>
    <mergeCell ref="A31:D31"/>
    <mergeCell ref="G85:G86"/>
    <mergeCell ref="F3:I3"/>
    <mergeCell ref="A4:F4"/>
    <mergeCell ref="A5:F5"/>
    <mergeCell ref="A6:F6"/>
    <mergeCell ref="C7:E7"/>
    <mergeCell ref="A9:B9"/>
    <mergeCell ref="B36:C36"/>
    <mergeCell ref="B33:C33"/>
  </mergeCells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16</vt:i4>
      </vt:variant>
    </vt:vector>
  </HeadingPairs>
  <TitlesOfParts>
    <vt:vector size="27" baseType="lpstr"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d3П</vt:lpstr>
      <vt:lpstr>d3Р</vt:lpstr>
      <vt:lpstr>'d3'!Заголовки_для_друку</vt:lpstr>
      <vt:lpstr>d3П!Заголовки_для_друку</vt:lpstr>
      <vt:lpstr>d3Р!Заголовки_для_друку</vt:lpstr>
      <vt:lpstr>'d6'!Заголовки_для_друку</vt:lpstr>
      <vt:lpstr>'d7'!Заголовки_для_друку</vt:lpstr>
      <vt:lpstr>'d1'!Область_друку</vt:lpstr>
      <vt:lpstr>'d2'!Область_друку</vt:lpstr>
      <vt:lpstr>'d3'!Область_друку</vt:lpstr>
      <vt:lpstr>d3П!Область_друку</vt:lpstr>
      <vt:lpstr>d3Р!Область_друку</vt:lpstr>
      <vt:lpstr>'d4'!Область_друку</vt:lpstr>
      <vt:lpstr>'d5'!Область_друку</vt:lpstr>
      <vt:lpstr>'d6'!Область_друку</vt:lpstr>
      <vt:lpstr>'d7'!Область_друку</vt:lpstr>
      <vt:lpstr>'d8'!Область_друку</vt:lpstr>
      <vt:lpstr>'d9'!Область_друку</vt:lpstr>
    </vt:vector>
  </TitlesOfParts>
  <Company>Міське фінуправління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Ковтун Денис Леонідович</cp:lastModifiedBy>
  <cp:lastPrinted>2023-12-19T14:20:02Z</cp:lastPrinted>
  <dcterms:created xsi:type="dcterms:W3CDTF">2001-12-03T09:30:42Z</dcterms:created>
  <dcterms:modified xsi:type="dcterms:W3CDTF">2023-12-20T14:32:28Z</dcterms:modified>
</cp:coreProperties>
</file>