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ZagVid\Рішення 2022\26.05.2022\"/>
    </mc:Choice>
  </mc:AlternateContent>
  <bookViews>
    <workbookView xWindow="0" yWindow="0" windowWidth="28800" windowHeight="12435"/>
  </bookViews>
  <sheets>
    <sheet name="d2" sheetId="1" r:id="rId1"/>
  </sheets>
  <definedNames>
    <definedName name="_xlnm.Print_Titles" localSheetId="0">'d2'!$10:$13</definedName>
    <definedName name="_xlnm.Print_Area" localSheetId="0">'d2'!$A$1:$N$215</definedName>
    <definedName name="С1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H15" i="1"/>
  <c r="K15" i="1"/>
  <c r="N15" i="1"/>
  <c r="H16" i="1"/>
  <c r="I16" i="1"/>
  <c r="I14" i="1" s="1"/>
  <c r="J16" i="1"/>
  <c r="N16" i="1" s="1"/>
  <c r="H17" i="1"/>
  <c r="N17" i="1"/>
  <c r="H18" i="1"/>
  <c r="N18" i="1"/>
  <c r="H20" i="1"/>
  <c r="K20" i="1"/>
  <c r="N20" i="1"/>
  <c r="E21" i="1"/>
  <c r="F21" i="1"/>
  <c r="G21" i="1"/>
  <c r="I21" i="1"/>
  <c r="J21" i="1"/>
  <c r="K21" i="1" s="1"/>
  <c r="H22" i="1"/>
  <c r="K22" i="1"/>
  <c r="N22" i="1"/>
  <c r="H23" i="1"/>
  <c r="K23" i="1"/>
  <c r="N23" i="1"/>
  <c r="H24" i="1"/>
  <c r="N24" i="1"/>
  <c r="E25" i="1"/>
  <c r="F25" i="1"/>
  <c r="G25" i="1"/>
  <c r="N25" i="1" s="1"/>
  <c r="I25" i="1"/>
  <c r="J25" i="1"/>
  <c r="H26" i="1"/>
  <c r="N26" i="1"/>
  <c r="H27" i="1"/>
  <c r="N27" i="1"/>
  <c r="E28" i="1"/>
  <c r="F28" i="1"/>
  <c r="G28" i="1"/>
  <c r="I28" i="1"/>
  <c r="J28" i="1"/>
  <c r="N28" i="1" s="1"/>
  <c r="K30" i="1"/>
  <c r="N30" i="1"/>
  <c r="H31" i="1"/>
  <c r="K31" i="1"/>
  <c r="N31" i="1"/>
  <c r="H32" i="1"/>
  <c r="K32" i="1"/>
  <c r="N32" i="1"/>
  <c r="E33" i="1"/>
  <c r="F33" i="1"/>
  <c r="G33" i="1"/>
  <c r="H33" i="1" s="1"/>
  <c r="I33" i="1"/>
  <c r="J33" i="1"/>
  <c r="N33" i="1" s="1"/>
  <c r="H34" i="1"/>
  <c r="K34" i="1"/>
  <c r="N34" i="1"/>
  <c r="H35" i="1"/>
  <c r="N35" i="1"/>
  <c r="E36" i="1"/>
  <c r="F36" i="1"/>
  <c r="G36" i="1"/>
  <c r="H36" i="1" s="1"/>
  <c r="I36" i="1"/>
  <c r="J36" i="1"/>
  <c r="K36" i="1" s="1"/>
  <c r="H37" i="1"/>
  <c r="K37" i="1"/>
  <c r="N37" i="1"/>
  <c r="H38" i="1"/>
  <c r="N38" i="1"/>
  <c r="E39" i="1"/>
  <c r="F39" i="1"/>
  <c r="G39" i="1"/>
  <c r="I39" i="1"/>
  <c r="J39" i="1"/>
  <c r="H40" i="1"/>
  <c r="N40" i="1"/>
  <c r="H41" i="1"/>
  <c r="N41" i="1"/>
  <c r="H42" i="1"/>
  <c r="N42" i="1"/>
  <c r="E43" i="1"/>
  <c r="F43" i="1"/>
  <c r="G43" i="1"/>
  <c r="I43" i="1"/>
  <c r="J43" i="1"/>
  <c r="H44" i="1"/>
  <c r="K44" i="1"/>
  <c r="N44" i="1"/>
  <c r="H45" i="1"/>
  <c r="K45" i="1"/>
  <c r="N45" i="1"/>
  <c r="H46" i="1"/>
  <c r="K46" i="1"/>
  <c r="N46" i="1"/>
  <c r="H47" i="1"/>
  <c r="K47" i="1"/>
  <c r="N47" i="1"/>
  <c r="E48" i="1"/>
  <c r="F48" i="1"/>
  <c r="G48" i="1"/>
  <c r="I48" i="1"/>
  <c r="J48" i="1"/>
  <c r="K48" i="1" s="1"/>
  <c r="K49" i="1"/>
  <c r="N49" i="1"/>
  <c r="K50" i="1"/>
  <c r="N50" i="1"/>
  <c r="G51" i="1"/>
  <c r="H52" i="1"/>
  <c r="K52" i="1"/>
  <c r="N52" i="1"/>
  <c r="H53" i="1"/>
  <c r="K53" i="1"/>
  <c r="N53" i="1"/>
  <c r="H54" i="1"/>
  <c r="K54" i="1"/>
  <c r="N54" i="1"/>
  <c r="H55" i="1"/>
  <c r="N55" i="1"/>
  <c r="H56" i="1"/>
  <c r="K56" i="1"/>
  <c r="N56" i="1"/>
  <c r="E57" i="1"/>
  <c r="F57" i="1"/>
  <c r="H57" i="1" s="1"/>
  <c r="G57" i="1"/>
  <c r="N57" i="1" s="1"/>
  <c r="H58" i="1"/>
  <c r="N58" i="1"/>
  <c r="E59" i="1"/>
  <c r="F59" i="1"/>
  <c r="G59" i="1"/>
  <c r="H59" i="1"/>
  <c r="N59" i="1"/>
  <c r="H60" i="1"/>
  <c r="N60" i="1"/>
  <c r="E61" i="1"/>
  <c r="F61" i="1"/>
  <c r="G61" i="1"/>
  <c r="I61" i="1"/>
  <c r="I51" i="1" s="1"/>
  <c r="J61" i="1"/>
  <c r="N61" i="1" s="1"/>
  <c r="H62" i="1"/>
  <c r="N62" i="1"/>
  <c r="H63" i="1"/>
  <c r="N63" i="1"/>
  <c r="E65" i="1"/>
  <c r="F65" i="1"/>
  <c r="G65" i="1"/>
  <c r="I65" i="1"/>
  <c r="J65" i="1"/>
  <c r="H66" i="1"/>
  <c r="K66" i="1"/>
  <c r="N66" i="1"/>
  <c r="H67" i="1"/>
  <c r="N67" i="1"/>
  <c r="H68" i="1"/>
  <c r="N68" i="1"/>
  <c r="H69" i="1"/>
  <c r="N69" i="1"/>
  <c r="H70" i="1"/>
  <c r="N70" i="1"/>
  <c r="H71" i="1"/>
  <c r="N71" i="1"/>
  <c r="N72" i="1"/>
  <c r="H73" i="1"/>
  <c r="N73" i="1"/>
  <c r="E74" i="1"/>
  <c r="F74" i="1"/>
  <c r="G74" i="1"/>
  <c r="I74" i="1"/>
  <c r="J74" i="1"/>
  <c r="H75" i="1"/>
  <c r="K75" i="1"/>
  <c r="N75" i="1"/>
  <c r="H76" i="1"/>
  <c r="K76" i="1"/>
  <c r="N76" i="1"/>
  <c r="E77" i="1"/>
  <c r="F77" i="1"/>
  <c r="G77" i="1"/>
  <c r="H77" i="1" s="1"/>
  <c r="I77" i="1"/>
  <c r="J77" i="1"/>
  <c r="H78" i="1"/>
  <c r="N78" i="1"/>
  <c r="H79" i="1"/>
  <c r="K79" i="1"/>
  <c r="N79" i="1"/>
  <c r="E80" i="1"/>
  <c r="F80" i="1"/>
  <c r="H80" i="1" s="1"/>
  <c r="G80" i="1"/>
  <c r="I80" i="1"/>
  <c r="J80" i="1"/>
  <c r="K80" i="1" s="1"/>
  <c r="H81" i="1"/>
  <c r="K81" i="1"/>
  <c r="N81" i="1"/>
  <c r="H82" i="1"/>
  <c r="K82" i="1"/>
  <c r="N82" i="1"/>
  <c r="H83" i="1"/>
  <c r="N83" i="1"/>
  <c r="E84" i="1"/>
  <c r="F84" i="1"/>
  <c r="G84" i="1"/>
  <c r="N84" i="1" s="1"/>
  <c r="H85" i="1"/>
  <c r="N85" i="1"/>
  <c r="H86" i="1"/>
  <c r="N86" i="1"/>
  <c r="E87" i="1"/>
  <c r="F87" i="1"/>
  <c r="G87" i="1"/>
  <c r="H88" i="1"/>
  <c r="N88" i="1"/>
  <c r="E89" i="1"/>
  <c r="F89" i="1"/>
  <c r="G89" i="1"/>
  <c r="I89" i="1"/>
  <c r="J89" i="1"/>
  <c r="H90" i="1"/>
  <c r="N90" i="1"/>
  <c r="E91" i="1"/>
  <c r="F91" i="1"/>
  <c r="G91" i="1"/>
  <c r="N91" i="1" s="1"/>
  <c r="I91" i="1"/>
  <c r="J91" i="1"/>
  <c r="K91" i="1" s="1"/>
  <c r="K92" i="1"/>
  <c r="N92" i="1"/>
  <c r="K95" i="1"/>
  <c r="N95" i="1"/>
  <c r="K99" i="1"/>
  <c r="N99" i="1"/>
  <c r="K102" i="1"/>
  <c r="N102" i="1"/>
  <c r="E105" i="1"/>
  <c r="F105" i="1"/>
  <c r="G105" i="1"/>
  <c r="H105" i="1" s="1"/>
  <c r="I105" i="1"/>
  <c r="J105" i="1"/>
  <c r="N105" i="1"/>
  <c r="H106" i="1"/>
  <c r="K106" i="1"/>
  <c r="N106" i="1"/>
  <c r="H107" i="1"/>
  <c r="K107" i="1"/>
  <c r="N107" i="1"/>
  <c r="H109" i="1"/>
  <c r="N109" i="1"/>
  <c r="H110" i="1"/>
  <c r="K110" i="1"/>
  <c r="N110" i="1"/>
  <c r="H111" i="1"/>
  <c r="K111" i="1"/>
  <c r="N111" i="1"/>
  <c r="H112" i="1"/>
  <c r="K112" i="1"/>
  <c r="N112" i="1"/>
  <c r="E113" i="1"/>
  <c r="E108" i="1" s="1"/>
  <c r="F113" i="1"/>
  <c r="F108" i="1" s="1"/>
  <c r="G113" i="1"/>
  <c r="G108" i="1" s="1"/>
  <c r="H108" i="1" s="1"/>
  <c r="I113" i="1"/>
  <c r="I108" i="1" s="1"/>
  <c r="J113" i="1"/>
  <c r="H114" i="1"/>
  <c r="K114" i="1"/>
  <c r="N114" i="1"/>
  <c r="H115" i="1"/>
  <c r="N115" i="1"/>
  <c r="E117" i="1"/>
  <c r="F117" i="1"/>
  <c r="G117" i="1"/>
  <c r="N117" i="1" s="1"/>
  <c r="H118" i="1"/>
  <c r="N118" i="1"/>
  <c r="H119" i="1"/>
  <c r="N119" i="1"/>
  <c r="E120" i="1"/>
  <c r="F120" i="1"/>
  <c r="G120" i="1"/>
  <c r="H120" i="1" s="1"/>
  <c r="H121" i="1"/>
  <c r="N121" i="1"/>
  <c r="E122" i="1"/>
  <c r="F122" i="1"/>
  <c r="G122" i="1"/>
  <c r="I122" i="1"/>
  <c r="I116" i="1" s="1"/>
  <c r="J122" i="1"/>
  <c r="H123" i="1"/>
  <c r="K123" i="1"/>
  <c r="N123" i="1"/>
  <c r="H124" i="1"/>
  <c r="N124" i="1"/>
  <c r="E125" i="1"/>
  <c r="F125" i="1"/>
  <c r="G125" i="1"/>
  <c r="I125" i="1"/>
  <c r="J125" i="1"/>
  <c r="K126" i="1"/>
  <c r="N126" i="1"/>
  <c r="E127" i="1"/>
  <c r="F127" i="1"/>
  <c r="G127" i="1"/>
  <c r="I127" i="1"/>
  <c r="J127" i="1"/>
  <c r="N127" i="1" s="1"/>
  <c r="H128" i="1"/>
  <c r="N128" i="1"/>
  <c r="H129" i="1"/>
  <c r="N129" i="1"/>
  <c r="H130" i="1"/>
  <c r="N130" i="1"/>
  <c r="E132" i="1"/>
  <c r="F132" i="1"/>
  <c r="G132" i="1"/>
  <c r="I132" i="1"/>
  <c r="K132" i="1" s="1"/>
  <c r="J132" i="1"/>
  <c r="N132" i="1" s="1"/>
  <c r="H133" i="1"/>
  <c r="K133" i="1"/>
  <c r="N133" i="1"/>
  <c r="H134" i="1"/>
  <c r="N134" i="1"/>
  <c r="H135" i="1"/>
  <c r="K135" i="1"/>
  <c r="N135" i="1"/>
  <c r="K136" i="1"/>
  <c r="N136" i="1"/>
  <c r="K137" i="1"/>
  <c r="N137" i="1"/>
  <c r="E138" i="1"/>
  <c r="G138" i="1"/>
  <c r="H138" i="1" s="1"/>
  <c r="H139" i="1"/>
  <c r="K139" i="1"/>
  <c r="N139" i="1"/>
  <c r="E140" i="1"/>
  <c r="F140" i="1"/>
  <c r="G140" i="1"/>
  <c r="I140" i="1"/>
  <c r="J140" i="1"/>
  <c r="J131" i="1" s="1"/>
  <c r="K141" i="1"/>
  <c r="N141" i="1"/>
  <c r="K142" i="1"/>
  <c r="N142" i="1"/>
  <c r="N143" i="1"/>
  <c r="H144" i="1"/>
  <c r="N144" i="1"/>
  <c r="I146" i="1"/>
  <c r="J146" i="1"/>
  <c r="K147" i="1"/>
  <c r="N147" i="1"/>
  <c r="I149" i="1"/>
  <c r="K149" i="1" s="1"/>
  <c r="N149" i="1"/>
  <c r="J150" i="1"/>
  <c r="I151" i="1"/>
  <c r="I150" i="1" s="1"/>
  <c r="N151" i="1"/>
  <c r="K152" i="1"/>
  <c r="N152" i="1"/>
  <c r="K153" i="1"/>
  <c r="N153" i="1"/>
  <c r="K154" i="1"/>
  <c r="N154" i="1"/>
  <c r="K155" i="1"/>
  <c r="N155" i="1"/>
  <c r="K156" i="1"/>
  <c r="N156" i="1"/>
  <c r="K157" i="1"/>
  <c r="N157" i="1"/>
  <c r="E158" i="1"/>
  <c r="E148" i="1" s="1"/>
  <c r="F158" i="1"/>
  <c r="F148" i="1" s="1"/>
  <c r="G158" i="1"/>
  <c r="G148" i="1" s="1"/>
  <c r="I158" i="1"/>
  <c r="J158" i="1"/>
  <c r="K159" i="1"/>
  <c r="N159" i="1"/>
  <c r="N160" i="1"/>
  <c r="E162" i="1"/>
  <c r="F162" i="1"/>
  <c r="G162" i="1"/>
  <c r="I162" i="1"/>
  <c r="J162" i="1"/>
  <c r="H163" i="1"/>
  <c r="N163" i="1"/>
  <c r="E164" i="1"/>
  <c r="F164" i="1"/>
  <c r="G164" i="1"/>
  <c r="N164" i="1"/>
  <c r="H165" i="1"/>
  <c r="N165" i="1"/>
  <c r="N166" i="1"/>
  <c r="E167" i="1"/>
  <c r="F167" i="1"/>
  <c r="G167" i="1"/>
  <c r="H167" i="1" s="1"/>
  <c r="I167" i="1"/>
  <c r="J167" i="1"/>
  <c r="N167" i="1" s="1"/>
  <c r="H168" i="1"/>
  <c r="K168" i="1"/>
  <c r="N168" i="1"/>
  <c r="E169" i="1"/>
  <c r="F169" i="1"/>
  <c r="G169" i="1"/>
  <c r="I169" i="1"/>
  <c r="J169" i="1"/>
  <c r="K169" i="1" s="1"/>
  <c r="H170" i="1"/>
  <c r="K170" i="1"/>
  <c r="N170" i="1"/>
  <c r="H171" i="1"/>
  <c r="N171" i="1"/>
  <c r="H173" i="1"/>
  <c r="N173" i="1"/>
  <c r="E174" i="1"/>
  <c r="F174" i="1"/>
  <c r="G174" i="1"/>
  <c r="H174" i="1" s="1"/>
  <c r="I174" i="1"/>
  <c r="J174" i="1"/>
  <c r="H175" i="1"/>
  <c r="N175" i="1"/>
  <c r="H176" i="1"/>
  <c r="N176" i="1"/>
  <c r="H177" i="1"/>
  <c r="I177" i="1"/>
  <c r="K177" i="1" s="1"/>
  <c r="N177" i="1"/>
  <c r="K178" i="1"/>
  <c r="N178" i="1"/>
  <c r="I179" i="1"/>
  <c r="N179" i="1"/>
  <c r="H180" i="1"/>
  <c r="N180" i="1"/>
  <c r="F181" i="1"/>
  <c r="I182" i="1"/>
  <c r="I181" i="1" s="1"/>
  <c r="J182" i="1"/>
  <c r="J181" i="1" s="1"/>
  <c r="E184" i="1"/>
  <c r="E181" i="1" s="1"/>
  <c r="G184" i="1"/>
  <c r="H184" i="1" s="1"/>
  <c r="K184" i="1"/>
  <c r="E186" i="1"/>
  <c r="F186" i="1"/>
  <c r="G186" i="1"/>
  <c r="I186" i="1"/>
  <c r="J186" i="1"/>
  <c r="N186" i="1" s="1"/>
  <c r="H187" i="1"/>
  <c r="N187" i="1"/>
  <c r="H188" i="1"/>
  <c r="N188" i="1"/>
  <c r="E189" i="1"/>
  <c r="F189" i="1"/>
  <c r="G189" i="1"/>
  <c r="I189" i="1"/>
  <c r="J189" i="1"/>
  <c r="N189" i="1" s="1"/>
  <c r="H190" i="1"/>
  <c r="N190" i="1"/>
  <c r="E191" i="1"/>
  <c r="F191" i="1"/>
  <c r="G191" i="1"/>
  <c r="I191" i="1"/>
  <c r="J191" i="1"/>
  <c r="K191" i="1" s="1"/>
  <c r="K192" i="1"/>
  <c r="N192" i="1"/>
  <c r="E193" i="1"/>
  <c r="F193" i="1"/>
  <c r="G193" i="1"/>
  <c r="I193" i="1"/>
  <c r="J193" i="1"/>
  <c r="H194" i="1"/>
  <c r="N194" i="1"/>
  <c r="H195" i="1"/>
  <c r="N195" i="1"/>
  <c r="E196" i="1"/>
  <c r="F196" i="1"/>
  <c r="G196" i="1"/>
  <c r="N196" i="1" s="1"/>
  <c r="I196" i="1"/>
  <c r="J196" i="1"/>
  <c r="N197" i="1"/>
  <c r="E199" i="1"/>
  <c r="F199" i="1"/>
  <c r="F198" i="1" s="1"/>
  <c r="G199" i="1"/>
  <c r="I199" i="1"/>
  <c r="J199" i="1"/>
  <c r="H200" i="1"/>
  <c r="N200" i="1"/>
  <c r="E201" i="1"/>
  <c r="F201" i="1"/>
  <c r="G201" i="1"/>
  <c r="I201" i="1"/>
  <c r="J201" i="1"/>
  <c r="H202" i="1"/>
  <c r="N202" i="1"/>
  <c r="H203" i="1"/>
  <c r="N203" i="1"/>
  <c r="H204" i="1"/>
  <c r="K204" i="1"/>
  <c r="N204" i="1"/>
  <c r="L205" i="1"/>
  <c r="M205" i="1"/>
  <c r="F207" i="1"/>
  <c r="F206" i="1" s="1"/>
  <c r="E208" i="1"/>
  <c r="E207" i="1" s="1"/>
  <c r="E206" i="1" s="1"/>
  <c r="F208" i="1"/>
  <c r="G208" i="1"/>
  <c r="N208" i="1" s="1"/>
  <c r="I208" i="1"/>
  <c r="I207" i="1" s="1"/>
  <c r="I206" i="1" s="1"/>
  <c r="J208" i="1"/>
  <c r="J207" i="1" s="1"/>
  <c r="K209" i="1"/>
  <c r="N209" i="1"/>
  <c r="K210" i="1"/>
  <c r="N210" i="1"/>
  <c r="L211" i="1"/>
  <c r="M211" i="1"/>
  <c r="K167" i="1" l="1"/>
  <c r="H164" i="1"/>
  <c r="I64" i="1"/>
  <c r="E185" i="1"/>
  <c r="G198" i="1"/>
  <c r="H198" i="1" s="1"/>
  <c r="K158" i="1"/>
  <c r="H132" i="1"/>
  <c r="K125" i="1"/>
  <c r="E116" i="1"/>
  <c r="H122" i="1"/>
  <c r="K105" i="1"/>
  <c r="H89" i="1"/>
  <c r="H84" i="1"/>
  <c r="N80" i="1"/>
  <c r="N77" i="1"/>
  <c r="H65" i="1"/>
  <c r="H39" i="1"/>
  <c r="N36" i="1"/>
  <c r="K28" i="1"/>
  <c r="J116" i="1"/>
  <c r="N89" i="1"/>
  <c r="F19" i="1"/>
  <c r="H201" i="1"/>
  <c r="N199" i="1"/>
  <c r="E198" i="1"/>
  <c r="H193" i="1"/>
  <c r="N191" i="1"/>
  <c r="H189" i="1"/>
  <c r="I185" i="1"/>
  <c r="N184" i="1"/>
  <c r="E172" i="1"/>
  <c r="F172" i="1"/>
  <c r="H169" i="1"/>
  <c r="G161" i="1"/>
  <c r="K151" i="1"/>
  <c r="K146" i="1"/>
  <c r="F131" i="1"/>
  <c r="I131" i="1"/>
  <c r="F116" i="1"/>
  <c r="H87" i="1"/>
  <c r="H74" i="1"/>
  <c r="E51" i="1"/>
  <c r="H43" i="1"/>
  <c r="H25" i="1"/>
  <c r="J19" i="1"/>
  <c r="E19" i="1"/>
  <c r="K16" i="1"/>
  <c r="N201" i="1"/>
  <c r="I198" i="1"/>
  <c r="N193" i="1"/>
  <c r="H186" i="1"/>
  <c r="N182" i="1"/>
  <c r="G181" i="1"/>
  <c r="H181" i="1" s="1"/>
  <c r="N174" i="1"/>
  <c r="F161" i="1"/>
  <c r="E131" i="1"/>
  <c r="N138" i="1"/>
  <c r="G131" i="1"/>
  <c r="H131" i="1" s="1"/>
  <c r="H127" i="1"/>
  <c r="N125" i="1"/>
  <c r="N122" i="1"/>
  <c r="K113" i="1"/>
  <c r="K74" i="1"/>
  <c r="N48" i="1"/>
  <c r="I19" i="1"/>
  <c r="I161" i="1"/>
  <c r="G207" i="1"/>
  <c r="G206" i="1" s="1"/>
  <c r="N206" i="1" s="1"/>
  <c r="H199" i="1"/>
  <c r="F185" i="1"/>
  <c r="I172" i="1"/>
  <c r="J161" i="1"/>
  <c r="K161" i="1" s="1"/>
  <c r="E161" i="1"/>
  <c r="J148" i="1"/>
  <c r="N148" i="1" s="1"/>
  <c r="K122" i="1"/>
  <c r="H117" i="1"/>
  <c r="K65" i="1"/>
  <c r="E64" i="1"/>
  <c r="H61" i="1"/>
  <c r="K43" i="1"/>
  <c r="K33" i="1"/>
  <c r="H21" i="1"/>
  <c r="N181" i="1"/>
  <c r="K181" i="1"/>
  <c r="K116" i="1"/>
  <c r="K19" i="1"/>
  <c r="K131" i="1"/>
  <c r="N131" i="1"/>
  <c r="O131" i="1" s="1"/>
  <c r="J206" i="1"/>
  <c r="N158" i="1"/>
  <c r="N39" i="1"/>
  <c r="G19" i="1"/>
  <c r="J198" i="1"/>
  <c r="J185" i="1"/>
  <c r="K182" i="1"/>
  <c r="G172" i="1"/>
  <c r="N169" i="1"/>
  <c r="H162" i="1"/>
  <c r="J64" i="1"/>
  <c r="F64" i="1"/>
  <c r="J51" i="1"/>
  <c r="F51" i="1"/>
  <c r="G185" i="1"/>
  <c r="H185" i="1" s="1"/>
  <c r="I148" i="1"/>
  <c r="G64" i="1"/>
  <c r="J172" i="1"/>
  <c r="K172" i="1" s="1"/>
  <c r="N162" i="1"/>
  <c r="N150" i="1"/>
  <c r="N146" i="1"/>
  <c r="N140" i="1"/>
  <c r="N120" i="1"/>
  <c r="G116" i="1"/>
  <c r="N113" i="1"/>
  <c r="H113" i="1"/>
  <c r="N87" i="1"/>
  <c r="N74" i="1"/>
  <c r="N65" i="1"/>
  <c r="N43" i="1"/>
  <c r="J14" i="1"/>
  <c r="J108" i="1"/>
  <c r="K179" i="1"/>
  <c r="K150" i="1"/>
  <c r="K140" i="1"/>
  <c r="N21" i="1"/>
  <c r="F145" i="1" l="1"/>
  <c r="E145" i="1"/>
  <c r="N161" i="1"/>
  <c r="H161" i="1"/>
  <c r="E205" i="1"/>
  <c r="F205" i="1"/>
  <c r="F211" i="1" s="1"/>
  <c r="H51" i="1"/>
  <c r="N207" i="1"/>
  <c r="G145" i="1"/>
  <c r="H116" i="1"/>
  <c r="I145" i="1"/>
  <c r="I205" i="1" s="1"/>
  <c r="I233" i="1" s="1"/>
  <c r="I211" i="1"/>
  <c r="K108" i="1"/>
  <c r="N108" i="1"/>
  <c r="O108" i="1" s="1"/>
  <c r="N198" i="1"/>
  <c r="O198" i="1" s="1"/>
  <c r="K198" i="1"/>
  <c r="E233" i="1"/>
  <c r="E211" i="1"/>
  <c r="N116" i="1"/>
  <c r="O116" i="1" s="1"/>
  <c r="N14" i="1"/>
  <c r="K14" i="1"/>
  <c r="N64" i="1"/>
  <c r="O64" i="1" s="1"/>
  <c r="K64" i="1"/>
  <c r="N172" i="1"/>
  <c r="H172" i="1"/>
  <c r="H19" i="1"/>
  <c r="N19" i="1"/>
  <c r="O19" i="1" s="1"/>
  <c r="G205" i="1"/>
  <c r="K148" i="1"/>
  <c r="J145" i="1"/>
  <c r="J205" i="1" s="1"/>
  <c r="H64" i="1"/>
  <c r="N51" i="1"/>
  <c r="O51" i="1" s="1"/>
  <c r="K51" i="1"/>
  <c r="N185" i="1"/>
  <c r="O185" i="1" s="1"/>
  <c r="K185" i="1"/>
  <c r="H145" i="1"/>
  <c r="N145" i="1" l="1"/>
  <c r="O145" i="1" s="1"/>
  <c r="K145" i="1"/>
  <c r="H205" i="1"/>
  <c r="G211" i="1"/>
  <c r="H211" i="1" s="1"/>
  <c r="O14" i="1"/>
  <c r="K205" i="1"/>
  <c r="J211" i="1"/>
  <c r="K211" i="1" s="1"/>
  <c r="N205" i="1" l="1"/>
  <c r="N211" i="1" s="1"/>
  <c r="O211" i="1" s="1"/>
  <c r="O205" i="1" l="1"/>
</calcChain>
</file>

<file path=xl/sharedStrings.xml><?xml version="1.0" encoding="utf-8"?>
<sst xmlns="http://schemas.openxmlformats.org/spreadsheetml/2006/main" count="666" uniqueCount="541">
  <si>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</si>
  <si>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</si>
  <si>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</si>
  <si>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</si>
  <si>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</si>
  <si>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</si>
  <si>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</si>
  <si>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</si>
  <si>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</si>
  <si>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</si>
  <si>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</si>
  <si>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</si>
  <si>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</si>
  <si>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11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</si>
  <si>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</si>
  <si>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</si>
  <si>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</si>
  <si>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</si>
  <si>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</si>
  <si>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</si>
  <si>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</si>
  <si>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</si>
  <si>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</si>
  <si>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</si>
  <si>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</si>
  <si>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</si>
  <si>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</si>
  <si>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</si>
  <si>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</si>
  <si>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</si>
  <si>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</si>
  <si>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</si>
  <si>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</si>
  <si>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</si>
  <si>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</si>
  <si>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</si>
  <si>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</si>
  <si>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</si>
  <si>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</si>
  <si>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</si>
  <si>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</si>
  <si>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</si>
  <si>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</si>
  <si>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</si>
  <si>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</si>
  <si>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</si>
  <si>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</si>
  <si>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</si>
  <si>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</si>
  <si>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</si>
  <si>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</si>
  <si>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</si>
  <si>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</si>
  <si>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</si>
  <si>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</si>
  <si>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</si>
  <si>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</si>
  <si>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</si>
  <si>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</si>
  <si>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</si>
  <si>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</si>
  <si>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</si>
  <si>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</si>
  <si>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</si>
  <si>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</si>
  <si>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</si>
  <si>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</si>
  <si>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</si>
  <si>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</si>
  <si>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</si>
  <si>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</si>
  <si>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</si>
  <si>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</si>
  <si>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</si>
  <si>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</si>
  <si>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</si>
  <si>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</si>
  <si>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</si>
  <si>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</si>
  <si>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</si>
  <si>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</si>
  <si>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</si>
  <si>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</si>
  <si>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</si>
  <si>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</si>
  <si>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</si>
  <si>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</si>
  <si>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</si>
  <si>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</si>
  <si>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</si>
  <si>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</si>
  <si>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</si>
  <si>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</si>
  <si>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</si>
  <si>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</si>
  <si>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</si>
  <si>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</si>
  <si>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</si>
  <si>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</si>
  <si>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</si>
  <si>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</si>
  <si>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</si>
  <si>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</si>
  <si>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</si>
  <si>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</si>
  <si>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</si>
  <si>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</si>
  <si>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</si>
  <si>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</si>
  <si>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</si>
  <si>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</si>
  <si>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</si>
  <si>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</si>
  <si>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</si>
  <si>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</si>
  <si>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</si>
  <si>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</si>
  <si>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</si>
  <si>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</si>
  <si>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</si>
  <si>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</si>
  <si>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</si>
  <si>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</si>
  <si>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</si>
  <si>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</si>
  <si>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</si>
  <si>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</si>
  <si>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</si>
  <si>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</si>
  <si>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</si>
  <si>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</si>
  <si>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</si>
  <si>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</si>
  <si>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</si>
  <si>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</si>
  <si>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</si>
  <si>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</si>
  <si>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</si>
  <si>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</si>
  <si>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</si>
  <si>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</si>
  <si>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</si>
  <si>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</si>
  <si>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</si>
  <si>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</si>
  <si>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</si>
  <si>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</si>
  <si>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</si>
  <si>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</si>
  <si>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</si>
  <si>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</si>
  <si>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</si>
  <si>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</si>
  <si>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</si>
  <si>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</si>
  <si>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</si>
  <si>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</si>
  <si>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</si>
  <si>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</si>
  <si>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</si>
  <si>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</si>
  <si>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</si>
  <si>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</si>
  <si>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</si>
  <si>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</si>
  <si>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</si>
  <si>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</si>
  <si>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</si>
  <si>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</si>
  <si>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</si>
  <si>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</si>
  <si>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</si>
  <si>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</si>
  <si>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</si>
  <si>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</si>
  <si>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</si>
  <si>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</si>
  <si>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</si>
  <si>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</si>
  <si>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</si>
  <si>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</si>
  <si>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</si>
  <si>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</si>
  <si>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</si>
  <si>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</si>
  <si>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</si>
  <si>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</si>
  <si>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</si>
  <si>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</si>
  <si>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</si>
  <si>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</si>
  <si>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</si>
  <si>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</si>
  <si>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</si>
  <si>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</si>
  <si>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</si>
  <si>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</si>
  <si>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</si>
  <si>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</si>
  <si>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</si>
  <si>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</si>
  <si>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</si>
  <si>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</si>
  <si>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</si>
  <si>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</si>
  <si>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</si>
  <si>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</si>
  <si>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</si>
  <si>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</si>
  <si>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</si>
  <si>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</si>
  <si>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</si>
  <si>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</si>
  <si>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</si>
  <si>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</si>
  <si>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</si>
  <si>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</si>
  <si>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</si>
  <si>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</si>
  <si>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</si>
  <si>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</si>
  <si>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</si>
  <si>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</si>
  <si>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</si>
  <si>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</si>
  <si>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</si>
  <si>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</si>
  <si>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</si>
  <si>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</si>
  <si>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</si>
  <si>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</si>
  <si>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</si>
  <si>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</si>
  <si>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</si>
  <si>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</si>
  <si>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</si>
  <si>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</si>
  <si>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</si>
  <si>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</si>
  <si>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</si>
  <si>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</si>
  <si>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</si>
  <si>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</si>
  <si>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</si>
  <si>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</si>
  <si>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</si>
  <si>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</si>
  <si>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</si>
  <si>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</si>
  <si>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</si>
  <si>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</si>
  <si>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</si>
  <si>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</si>
  <si>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</si>
  <si>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</si>
  <si>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</si>
  <si>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</si>
  <si>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</si>
  <si>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</si>
  <si>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</si>
  <si>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</si>
  <si>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</si>
  <si>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</si>
  <si>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</si>
  <si>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</si>
  <si>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</si>
  <si>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</si>
  <si>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</si>
  <si>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</si>
  <si>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</si>
  <si>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</si>
  <si>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</si>
  <si>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</si>
  <si>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</si>
  <si>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</si>
  <si>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</si>
  <si>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</si>
  <si>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</si>
  <si>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</si>
  <si>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</si>
  <si>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</si>
  <si>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</si>
  <si>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</si>
  <si>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</si>
  <si>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</si>
  <si>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</si>
  <si>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</si>
  <si>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</si>
  <si>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</si>
  <si>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</si>
  <si>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</si>
  <si>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</si>
  <si>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</si>
  <si>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</si>
  <si>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</si>
  <si>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</si>
  <si>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</si>
  <si>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</si>
  <si>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</si>
  <si>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</si>
  <si>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</si>
  <si>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</si>
  <si>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</si>
  <si>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</si>
  <si>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</si>
  <si>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</si>
  <si>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</si>
  <si>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</si>
  <si>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</si>
  <si>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</si>
  <si>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</si>
  <si>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</si>
  <si>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</si>
  <si>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</si>
  <si>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</si>
  <si>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</si>
  <si>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</si>
  <si>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</si>
  <si>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</si>
  <si>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</si>
  <si>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</si>
  <si>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</si>
  <si>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</si>
  <si>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</si>
  <si>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</si>
  <si>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</si>
  <si>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</si>
  <si>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</si>
  <si>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</si>
  <si>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</si>
  <si>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</si>
  <si>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</si>
  <si>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</si>
  <si>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</si>
  <si>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</si>
  <si>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</si>
  <si>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</si>
  <si>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</si>
  <si>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</si>
  <si>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</si>
  <si>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</si>
  <si>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</si>
  <si>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</si>
  <si>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</si>
  <si>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</si>
  <si>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</si>
  <si>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</si>
  <si>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</si>
  <si>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</si>
  <si>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</si>
  <si>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</si>
  <si>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</si>
  <si>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</si>
  <si>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</si>
  <si>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</si>
  <si>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</si>
  <si>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</si>
  <si>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</si>
  <si>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</si>
  <si>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</si>
  <si>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</si>
  <si>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</si>
  <si>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</si>
  <si>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</si>
  <si>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</si>
  <si>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</si>
  <si>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</si>
  <si>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</si>
  <si>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</si>
  <si>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</si>
  <si>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</si>
  <si>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</si>
  <si>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</si>
  <si>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</si>
  <si>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</si>
  <si>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</si>
  <si>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</si>
  <si>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</si>
  <si>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</si>
  <si>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</si>
  <si>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</si>
  <si>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</si>
  <si>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</si>
  <si>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</si>
  <si>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</si>
  <si>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</si>
  <si>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</si>
  <si>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</si>
  <si>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</si>
  <si>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</si>
  <si>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</si>
  <si>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</si>
  <si>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</si>
  <si>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</si>
  <si>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</si>
  <si>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</si>
  <si>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</si>
  <si>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</si>
  <si>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</si>
  <si>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</si>
  <si>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</si>
  <si>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</si>
  <si>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</si>
  <si>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</si>
  <si>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</si>
  <si>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</si>
  <si>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</si>
  <si>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</si>
  <si>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</si>
  <si>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</si>
  <si>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</si>
  <si>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</si>
  <si>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</si>
  <si>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</si>
  <si>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</si>
  <si>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</si>
  <si>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</si>
  <si>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</si>
  <si>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</si>
  <si>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</si>
  <si>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</si>
  <si>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</si>
  <si>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</si>
  <si>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</si>
  <si>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</si>
  <si>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</si>
  <si>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</si>
  <si>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</si>
  <si>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</si>
  <si>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</si>
  <si>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</si>
  <si>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</si>
  <si>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</si>
  <si>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</si>
  <si>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</si>
  <si>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</si>
  <si>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</si>
  <si>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</si>
  <si>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</si>
  <si>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</si>
  <si>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</si>
  <si>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</si>
  <si>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</si>
  <si>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</si>
  <si>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</si>
  <si>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</si>
  <si>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</si>
  <si>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</si>
  <si>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</si>
  <si>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</si>
  <si>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</si>
  <si>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</si>
  <si>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</si>
  <si>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</si>
  <si>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</si>
  <si>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</si>
  <si>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</si>
  <si>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</si>
  <si>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</si>
  <si>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</si>
  <si>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</si>
  <si>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</si>
  <si>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</si>
  <si>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</si>
  <si>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</si>
  <si>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</si>
  <si>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</si>
  <si>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</si>
  <si>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</si>
  <si>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</si>
  <si>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</si>
  <si>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</si>
  <si>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</si>
  <si>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</si>
  <si>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</si>
  <si>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</si>
  <si>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</si>
  <si>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</si>
  <si>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</si>
  <si>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</si>
  <si>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</si>
  <si>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</si>
  <si>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</si>
  <si>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</si>
  <si>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</si>
  <si>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</si>
  <si>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</si>
  <si>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</si>
  <si>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</si>
  <si>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</si>
  <si>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</si>
  <si>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</si>
  <si>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</si>
  <si>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</si>
  <si>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</si>
  <si>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</si>
  <si>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</si>
  <si>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</si>
  <si>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</si>
  <si>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</si>
  <si>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</si>
  <si>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</si>
  <si>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</si>
  <si>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</si>
  <si>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 xml:space="preserve">Керуючий справами виконавчого комітету </t>
  </si>
  <si>
    <t>Ю. САБІЙ</t>
  </si>
  <si>
    <t>Затверджено на 2022 рік з урахуванням змін</t>
  </si>
  <si>
    <t>Затверджено на І квартал 2022 року з урахуванням змін</t>
  </si>
  <si>
    <t>Виконано за І квартал 2022 року</t>
  </si>
  <si>
    <t>Виконано за І квартал 2022 року разом по загальному та спеціальному фондах</t>
  </si>
  <si>
    <t>за І квартал 2022 року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</si>
  <si>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</si>
  <si>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</si>
  <si>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</si>
  <si>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</si>
  <si>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</si>
  <si>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</si>
  <si>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</si>
  <si>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</si>
  <si>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</si>
  <si>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</si>
  <si>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</si>
  <si>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</si>
  <si>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</si>
  <si>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</si>
  <si>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</si>
  <si>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</si>
  <si>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</si>
  <si>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</si>
  <si>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</si>
  <si>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</si>
  <si>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</si>
  <si>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</si>
  <si>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</si>
  <si>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</si>
  <si>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</si>
  <si>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</si>
  <si>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</si>
  <si>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</si>
  <si>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</si>
  <si>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 xml:space="preserve">до рішення  № 324 від 26.05.2022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</si>
</sst>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b/>
      <i/>
      <sz val="36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i/>
      <sz val="36"/>
      <name val="Times New Roman"/>
      <family val="1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b/>
      <i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rgb="FF99FF99"/>
        </stop>
      </gradient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6" fillId="0" borderId="0"/>
    <xf numFmtId="0" fontId="36" fillId="0" borderId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left" vertical="center"/>
    </xf>
    <xf numFmtId="0" fontId="21" fillId="0" borderId="0" xfId="0" applyFont="1"/>
    <xf numFmtId="4" fontId="9" fillId="0" borderId="0" xfId="0" applyNumberFormat="1" applyFont="1" applyAlignment="1">
      <alignment horizontal="left" vertical="center"/>
    </xf>
    <xf numFmtId="0" fontId="25" fillId="0" borderId="0" xfId="0" applyFont="1"/>
    <xf numFmtId="4" fontId="26" fillId="0" borderId="0" xfId="0" applyNumberFormat="1" applyFont="1"/>
    <xf numFmtId="49" fontId="27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28" fillId="0" borderId="0" xfId="0" applyNumberFormat="1" applyFont="1"/>
    <xf numFmtId="4" fontId="29" fillId="0" borderId="0" xfId="0" applyNumberFormat="1" applyFont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4" fontId="24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20" fillId="0" borderId="0" xfId="0" applyNumberFormat="1" applyFont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6" fillId="0" borderId="0" xfId="0" applyFont="1"/>
    <xf numFmtId="0" fontId="3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4" fontId="30" fillId="3" borderId="0" xfId="0" applyNumberFormat="1" applyFont="1" applyFill="1" applyAlignment="1">
      <alignment horizontal="left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1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42" fillId="3" borderId="0" xfId="0" applyNumberFormat="1" applyFont="1" applyFill="1"/>
    <xf numFmtId="4" fontId="43" fillId="4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44" fillId="3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6" borderId="1" xfId="1" applyNumberFormat="1" applyFont="1" applyFill="1" applyBorder="1" applyAlignment="1">
      <alignment horizontal="center" vertical="center" wrapText="1"/>
    </xf>
    <xf numFmtId="4" fontId="31" fillId="6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" fontId="31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31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 wrapText="1"/>
    </xf>
    <xf numFmtId="164" fontId="2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27" fillId="6" borderId="0" xfId="0" applyNumberFormat="1" applyFont="1" applyFill="1" applyAlignment="1">
      <alignment horizontal="center" wrapText="1"/>
    </xf>
    <xf numFmtId="49" fontId="27" fillId="6" borderId="3" xfId="0" applyNumberFormat="1" applyFont="1" applyFill="1" applyBorder="1" applyAlignment="1">
      <alignment horizontal="center" vertical="top" wrapText="1"/>
    </xf>
    <xf numFmtId="4" fontId="30" fillId="6" borderId="1" xfId="0" applyNumberFormat="1" applyFont="1" applyFill="1" applyBorder="1" applyAlignment="1">
      <alignment horizontal="center" vertical="center" wrapText="1"/>
    </xf>
    <xf numFmtId="4" fontId="32" fillId="6" borderId="1" xfId="0" applyNumberFormat="1" applyFont="1" applyFill="1" applyBorder="1" applyAlignment="1">
      <alignment horizontal="center" vertical="center" wrapText="1"/>
    </xf>
    <xf numFmtId="4" fontId="39" fillId="6" borderId="1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wrapText="1"/>
    </xf>
    <xf numFmtId="49" fontId="3" fillId="6" borderId="0" xfId="0" applyNumberFormat="1" applyFont="1" applyFill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top" wrapText="1"/>
    </xf>
    <xf numFmtId="164" fontId="31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>
      <alignment horizontal="center" vertical="center" wrapText="1"/>
    </xf>
    <xf numFmtId="4" fontId="30" fillId="0" borderId="1" xfId="1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/>
    </xf>
    <xf numFmtId="4" fontId="31" fillId="0" borderId="1" xfId="1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vertical="center"/>
    </xf>
    <xf numFmtId="4" fontId="39" fillId="0" borderId="1" xfId="0" applyNumberFormat="1" applyFont="1" applyFill="1" applyBorder="1" applyAlignment="1">
      <alignment horizontal="center" vertical="center" wrapText="1"/>
    </xf>
    <xf numFmtId="164" fontId="3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2" fillId="0" borderId="1" xfId="0" applyNumberFormat="1" applyFont="1" applyFill="1" applyBorder="1" applyAlignment="1">
      <alignment horizontal="center" vertical="center" wrapText="1"/>
    </xf>
    <xf numFmtId="16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0" applyNumberFormat="1" applyFont="1" applyFill="1" applyBorder="1" applyAlignment="1">
      <alignment horizontal="center" vertical="center"/>
    </xf>
    <xf numFmtId="4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3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" fontId="14" fillId="6" borderId="2" xfId="0" applyNumberFormat="1" applyFont="1" applyFill="1" applyBorder="1" applyAlignment="1">
      <alignment horizontal="center" vertical="center" wrapText="1"/>
    </xf>
    <xf numFmtId="4" fontId="14" fillId="6" borderId="5" xfId="0" applyNumberFormat="1" applyFont="1" applyFill="1" applyBorder="1" applyAlignment="1">
      <alignment horizontal="center"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164" fontId="14" fillId="6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3" xfId="1" applyNumberFormat="1" applyFont="1" applyFill="1" applyBorder="1" applyAlignment="1" applyProtection="1">
      <alignment horizontal="center" vertical="center" wrapText="1"/>
      <protection locked="0"/>
    </xf>
    <xf numFmtId="49" fontId="38" fillId="0" borderId="4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49" fontId="27" fillId="6" borderId="2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center" vertical="center" wrapText="1"/>
    </xf>
    <xf numFmtId="4" fontId="24" fillId="6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</cellXfs>
  <cellStyles count="4">
    <cellStyle name="Звичайний" xfId="0" builtinId="0"/>
    <cellStyle name="Обычный 3" xfId="3"/>
    <cellStyle name="Обычный_Додаток 2 до бюджету 2000 року" xfId="1"/>
    <cellStyle name="Обычный_Додаток №1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48"/>
  <sheetViews>
    <sheetView tabSelected="1" view="pageBreakPreview" topLeftCell="B1" zoomScale="30" zoomScaleNormal="25" zoomScaleSheetLayoutView="30" zoomScalePageLayoutView="10" workbookViewId="0">
      <pane ySplit="13" topLeftCell="A213" activePane="bottomLeft" state="frozen"/>
      <selection activeCell="B1" sqref="B1"/>
      <selection pane="bottomLeft" activeCell="A4" sqref="A4:N4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06.28515625" style="1" customWidth="1"/>
    <col min="5" max="5" width="62.5703125" style="1" customWidth="1"/>
    <col min="6" max="6" width="59.7109375" style="1" customWidth="1"/>
    <col min="7" max="7" width="63.28515625" style="1" customWidth="1"/>
    <col min="8" max="8" width="41.85546875" style="1" customWidth="1"/>
    <col min="9" max="9" width="52.5703125" style="56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56" customWidth="1"/>
    <col min="15" max="15" width="107.42578125" style="5" hidden="1" customWidth="1"/>
    <col min="16" max="16" width="114.85546875" style="5" hidden="1" customWidth="1"/>
    <col min="17" max="17" width="104.5703125" customWidth="1"/>
    <col min="18" max="18" width="72.5703125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59" t="s">
        <v>431</v>
      </c>
      <c r="L2" s="159"/>
      <c r="M2" s="159"/>
      <c r="N2" s="159"/>
      <c r="O2" s="57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60" t="s">
        <v>540</v>
      </c>
      <c r="K3" s="160"/>
      <c r="L3" s="160"/>
      <c r="M3" s="160"/>
      <c r="N3" s="160"/>
      <c r="O3" s="58"/>
    </row>
    <row r="4" spans="1:16" ht="45" x14ac:dyDescent="0.2">
      <c r="A4" s="168" t="s">
        <v>432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6" ht="45" x14ac:dyDescent="0.2">
      <c r="A5" s="168" t="s">
        <v>510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33.75" customHeight="1" x14ac:dyDescent="0.65">
      <c r="A7" s="169">
        <v>22564000000</v>
      </c>
      <c r="B7" s="16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161" t="s">
        <v>0</v>
      </c>
      <c r="B8" s="16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2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62" t="s">
        <v>2</v>
      </c>
      <c r="B10" s="162" t="s">
        <v>3</v>
      </c>
      <c r="C10" s="162" t="s">
        <v>4</v>
      </c>
      <c r="D10" s="162" t="s">
        <v>433</v>
      </c>
      <c r="E10" s="165" t="s">
        <v>5</v>
      </c>
      <c r="F10" s="166"/>
      <c r="G10" s="166"/>
      <c r="H10" s="167"/>
      <c r="I10" s="165" t="s">
        <v>6</v>
      </c>
      <c r="J10" s="166"/>
      <c r="K10" s="166"/>
      <c r="L10" s="166"/>
      <c r="M10" s="167"/>
      <c r="N10" s="162" t="s">
        <v>509</v>
      </c>
    </row>
    <row r="11" spans="1:16" ht="96" customHeight="1" thickTop="1" thickBot="1" x14ac:dyDescent="0.25">
      <c r="A11" s="163"/>
      <c r="B11" s="163"/>
      <c r="C11" s="163"/>
      <c r="D11" s="163"/>
      <c r="E11" s="162" t="s">
        <v>506</v>
      </c>
      <c r="F11" s="162" t="s">
        <v>507</v>
      </c>
      <c r="G11" s="162" t="s">
        <v>508</v>
      </c>
      <c r="H11" s="162" t="s">
        <v>434</v>
      </c>
      <c r="I11" s="162" t="s">
        <v>506</v>
      </c>
      <c r="J11" s="162" t="s">
        <v>508</v>
      </c>
      <c r="K11" s="162" t="s">
        <v>434</v>
      </c>
      <c r="L11" s="7"/>
      <c r="M11" s="162"/>
      <c r="N11" s="163"/>
    </row>
    <row r="12" spans="1:16" ht="208.5" customHeight="1" thickTop="1" thickBot="1" x14ac:dyDescent="0.2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7"/>
      <c r="M12" s="164"/>
      <c r="N12" s="164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">
        <v>512</v>
      </c>
      <c r="I13" s="8" t="s">
        <v>513</v>
      </c>
      <c r="J13" s="8" t="s">
        <v>514</v>
      </c>
      <c r="K13" s="8" t="s">
        <v>515</v>
      </c>
      <c r="L13" s="8"/>
      <c r="M13" s="8"/>
      <c r="N13" s="8" t="s">
        <v>13</v>
      </c>
      <c r="O13" s="9"/>
      <c r="P13" s="10"/>
    </row>
    <row r="14" spans="1:16" s="14" customFormat="1" ht="88.5" customHeight="1" thickTop="1" thickBot="1" x14ac:dyDescent="0.25">
      <c r="A14" s="8" t="s">
        <v>14</v>
      </c>
      <c r="B14" s="91" t="s">
        <v>15</v>
      </c>
      <c r="C14" s="91"/>
      <c r="D14" s="92" t="s">
        <v>16</v>
      </c>
      <c r="E14" s="93">
        <f>SUM(E15:E18)</f>
        <v>259280866</v>
      </c>
      <c r="F14" s="93">
        <f t="shared" ref="F14:J14" si="0">SUM(F15:F18)</f>
        <v>69094985</v>
      </c>
      <c r="G14" s="93">
        <f t="shared" si="0"/>
        <v>51409338.020000003</v>
      </c>
      <c r="H14" s="94">
        <f t="shared" ref="H14:H27" si="1">G14/F14</f>
        <v>0.74403863058947051</v>
      </c>
      <c r="I14" s="93">
        <f t="shared" si="0"/>
        <v>1085300</v>
      </c>
      <c r="J14" s="93">
        <f t="shared" si="0"/>
        <v>61140</v>
      </c>
      <c r="K14" s="94">
        <f>J14/I14</f>
        <v>5.6334654012715375E-2</v>
      </c>
      <c r="L14" s="93"/>
      <c r="M14" s="93"/>
      <c r="N14" s="95">
        <f t="shared" ref="N14:N27" si="2">G14+J14</f>
        <v>51470478.020000003</v>
      </c>
      <c r="O14" s="76" t="b">
        <f>N14=N15+N16+N17+N18</f>
        <v>1</v>
      </c>
      <c r="P14" s="13"/>
    </row>
    <row r="15" spans="1:16" ht="321.75" thickTop="1" thickBot="1" x14ac:dyDescent="0.25">
      <c r="A15" s="15" t="s">
        <v>17</v>
      </c>
      <c r="B15" s="88" t="s">
        <v>18</v>
      </c>
      <c r="C15" s="88" t="s">
        <v>19</v>
      </c>
      <c r="D15" s="88" t="s">
        <v>20</v>
      </c>
      <c r="E15" s="67">
        <v>131090735</v>
      </c>
      <c r="F15" s="67">
        <v>32866480</v>
      </c>
      <c r="G15" s="67">
        <v>26129187.699999999</v>
      </c>
      <c r="H15" s="121">
        <f t="shared" si="1"/>
        <v>0.79501022622440853</v>
      </c>
      <c r="I15" s="67">
        <v>500000</v>
      </c>
      <c r="J15" s="126">
        <v>0</v>
      </c>
      <c r="K15" s="121">
        <f t="shared" ref="K15:K16" si="3">J15/I15</f>
        <v>0</v>
      </c>
      <c r="L15" s="127"/>
      <c r="M15" s="128"/>
      <c r="N15" s="68">
        <f t="shared" si="2"/>
        <v>26129187.699999999</v>
      </c>
      <c r="O15" s="16"/>
      <c r="P15" s="17"/>
    </row>
    <row r="16" spans="1:16" ht="230.25" thickTop="1" thickBot="1" x14ac:dyDescent="0.25">
      <c r="A16" s="15" t="s">
        <v>21</v>
      </c>
      <c r="B16" s="88" t="s">
        <v>22</v>
      </c>
      <c r="C16" s="88" t="s">
        <v>19</v>
      </c>
      <c r="D16" s="88" t="s">
        <v>23</v>
      </c>
      <c r="E16" s="67">
        <v>124634822</v>
      </c>
      <c r="F16" s="67">
        <v>35332623</v>
      </c>
      <c r="G16" s="67">
        <v>24685543.370000001</v>
      </c>
      <c r="H16" s="121">
        <f t="shared" si="1"/>
        <v>0.69866149960052504</v>
      </c>
      <c r="I16" s="67">
        <f>299300+88000+22000+90000+46000+40000</f>
        <v>585300</v>
      </c>
      <c r="J16" s="126">
        <f>61140</f>
        <v>61140</v>
      </c>
      <c r="K16" s="121">
        <f t="shared" si="3"/>
        <v>0.10445925166581241</v>
      </c>
      <c r="L16" s="127"/>
      <c r="M16" s="128"/>
      <c r="N16" s="68">
        <f t="shared" si="2"/>
        <v>24746683.370000001</v>
      </c>
      <c r="O16" s="16"/>
      <c r="P16" s="17"/>
    </row>
    <row r="17" spans="1:18" ht="184.5" thickTop="1" thickBot="1" x14ac:dyDescent="0.25">
      <c r="A17" s="18" t="s">
        <v>24</v>
      </c>
      <c r="B17" s="65" t="s">
        <v>25</v>
      </c>
      <c r="C17" s="65" t="s">
        <v>26</v>
      </c>
      <c r="D17" s="65" t="s">
        <v>27</v>
      </c>
      <c r="E17" s="67">
        <v>145588</v>
      </c>
      <c r="F17" s="67">
        <v>63100</v>
      </c>
      <c r="G17" s="67">
        <v>10000</v>
      </c>
      <c r="H17" s="121">
        <f t="shared" si="1"/>
        <v>0.15847860538827258</v>
      </c>
      <c r="I17" s="74"/>
      <c r="J17" s="129"/>
      <c r="K17" s="127"/>
      <c r="L17" s="127"/>
      <c r="M17" s="128"/>
      <c r="N17" s="68">
        <f t="shared" si="2"/>
        <v>10000</v>
      </c>
      <c r="O17" s="16"/>
      <c r="P17" s="19"/>
    </row>
    <row r="18" spans="1:18" ht="111" customHeight="1" thickTop="1" thickBot="1" x14ac:dyDescent="0.25">
      <c r="A18" s="18" t="s">
        <v>28</v>
      </c>
      <c r="B18" s="65" t="s">
        <v>29</v>
      </c>
      <c r="C18" s="65" t="s">
        <v>30</v>
      </c>
      <c r="D18" s="65" t="s">
        <v>31</v>
      </c>
      <c r="E18" s="68">
        <v>3409721</v>
      </c>
      <c r="F18" s="68">
        <v>832782</v>
      </c>
      <c r="G18" s="68">
        <v>584606.94999999995</v>
      </c>
      <c r="H18" s="121">
        <f t="shared" si="1"/>
        <v>0.70199277842220409</v>
      </c>
      <c r="I18" s="68"/>
      <c r="J18" s="68"/>
      <c r="K18" s="121"/>
      <c r="L18" s="130"/>
      <c r="M18" s="128"/>
      <c r="N18" s="68">
        <f t="shared" si="2"/>
        <v>584606.94999999995</v>
      </c>
      <c r="O18" s="16"/>
      <c r="P18" s="19"/>
    </row>
    <row r="19" spans="1:18" ht="83.25" customHeight="1" thickTop="1" thickBot="1" x14ac:dyDescent="0.25">
      <c r="A19" s="8" t="s">
        <v>65</v>
      </c>
      <c r="B19" s="91" t="s">
        <v>66</v>
      </c>
      <c r="C19" s="91"/>
      <c r="D19" s="92" t="s">
        <v>67</v>
      </c>
      <c r="E19" s="93">
        <f>SUM(E20:E50)-E21-E25-E33-E36-E39-E43-E48-E28</f>
        <v>1953398976.2999997</v>
      </c>
      <c r="F19" s="93">
        <f>SUM(F20:F50)-F21-F25-F33-F36-F39-F43-F48-F28</f>
        <v>456322215.30000007</v>
      </c>
      <c r="G19" s="93">
        <f>SUM(G20:G50)-G21-G25-G33-G36-G39-G43-G48-G28</f>
        <v>435910757.4600001</v>
      </c>
      <c r="H19" s="94">
        <f t="shared" si="1"/>
        <v>0.95526963808548992</v>
      </c>
      <c r="I19" s="93">
        <f>SUM(I20:I50)-I21-I25-I33-I36-I39-I43-I48-I28</f>
        <v>192613396.78999999</v>
      </c>
      <c r="J19" s="93">
        <f>SUM(J20:J50)-J21-J25-J33-J36-J39-J43-J48-J28</f>
        <v>23987414.509999994</v>
      </c>
      <c r="K19" s="94">
        <f>J19/I19</f>
        <v>0.12453658421357201</v>
      </c>
      <c r="L19" s="93"/>
      <c r="M19" s="93"/>
      <c r="N19" s="95">
        <f>G19+J19</f>
        <v>459898171.97000009</v>
      </c>
      <c r="O19" s="75" t="b">
        <f>N19=N20+N22+N23+N24+N26+N31+N32+N34+N35+N37+N38+N40+N41+N42+N44+N45+N46+N47+N50+N30+N49+N27</f>
        <v>1</v>
      </c>
      <c r="P19" s="12"/>
    </row>
    <row r="20" spans="1:18" ht="99" customHeight="1" thickTop="1" thickBot="1" x14ac:dyDescent="0.6">
      <c r="A20" s="15" t="s">
        <v>68</v>
      </c>
      <c r="B20" s="88" t="s">
        <v>69</v>
      </c>
      <c r="C20" s="88" t="s">
        <v>70</v>
      </c>
      <c r="D20" s="88" t="s">
        <v>71</v>
      </c>
      <c r="E20" s="68">
        <v>535792955</v>
      </c>
      <c r="F20" s="68">
        <v>119021353</v>
      </c>
      <c r="G20" s="68">
        <v>115003809.23</v>
      </c>
      <c r="H20" s="121">
        <f t="shared" si="1"/>
        <v>0.96624518484510935</v>
      </c>
      <c r="I20" s="68">
        <v>72368623.5</v>
      </c>
      <c r="J20" s="68">
        <v>7432605.1799999997</v>
      </c>
      <c r="K20" s="121">
        <f t="shared" ref="K20:K23" si="4">J20/I20</f>
        <v>0.10270480244798355</v>
      </c>
      <c r="L20" s="68"/>
      <c r="M20" s="131"/>
      <c r="N20" s="68">
        <f t="shared" si="2"/>
        <v>122436414.41</v>
      </c>
      <c r="O20" s="23"/>
      <c r="P20" s="12"/>
    </row>
    <row r="21" spans="1:18" ht="138.75" thickTop="1" thickBot="1" x14ac:dyDescent="0.6">
      <c r="A21" s="24" t="s">
        <v>72</v>
      </c>
      <c r="B21" s="64" t="s">
        <v>73</v>
      </c>
      <c r="C21" s="64"/>
      <c r="D21" s="64" t="s">
        <v>74</v>
      </c>
      <c r="E21" s="69">
        <f>E22+E23+E24</f>
        <v>401459501.30000001</v>
      </c>
      <c r="F21" s="69">
        <f>F22+F23+F24</f>
        <v>96714473.299999997</v>
      </c>
      <c r="G21" s="69">
        <f>G22+G23+G24</f>
        <v>89620129.840000004</v>
      </c>
      <c r="H21" s="122">
        <f t="shared" si="1"/>
        <v>0.92664651713509361</v>
      </c>
      <c r="I21" s="69">
        <f>I22+I23+I24</f>
        <v>74975435</v>
      </c>
      <c r="J21" s="69">
        <f>J22+J23+J24</f>
        <v>7552302.5</v>
      </c>
      <c r="K21" s="122">
        <f t="shared" si="4"/>
        <v>0.10073035921698888</v>
      </c>
      <c r="L21" s="69"/>
      <c r="M21" s="132"/>
      <c r="N21" s="69">
        <f>G21+J21</f>
        <v>97172432.340000004</v>
      </c>
      <c r="O21" s="23"/>
      <c r="P21" s="25"/>
    </row>
    <row r="22" spans="1:18" ht="138.75" thickTop="1" thickBot="1" x14ac:dyDescent="0.6">
      <c r="A22" s="15" t="s">
        <v>75</v>
      </c>
      <c r="B22" s="88" t="s">
        <v>76</v>
      </c>
      <c r="C22" s="88" t="s">
        <v>77</v>
      </c>
      <c r="D22" s="88" t="s">
        <v>78</v>
      </c>
      <c r="E22" s="68">
        <v>358143446.30000001</v>
      </c>
      <c r="F22" s="68">
        <v>85954428.299999997</v>
      </c>
      <c r="G22" s="68">
        <v>80721737.730000004</v>
      </c>
      <c r="H22" s="121">
        <f t="shared" si="1"/>
        <v>0.93912250161519606</v>
      </c>
      <c r="I22" s="68">
        <v>74884935</v>
      </c>
      <c r="J22" s="68">
        <v>7538927.96</v>
      </c>
      <c r="K22" s="121">
        <f t="shared" si="4"/>
        <v>0.10067349273922718</v>
      </c>
      <c r="L22" s="68"/>
      <c r="M22" s="131"/>
      <c r="N22" s="68">
        <f t="shared" si="2"/>
        <v>88260665.689999998</v>
      </c>
      <c r="O22" s="23"/>
      <c r="P22" s="13"/>
      <c r="R22" s="26"/>
    </row>
    <row r="23" spans="1:18" ht="276" thickTop="1" thickBot="1" x14ac:dyDescent="0.25">
      <c r="A23" s="15" t="s">
        <v>79</v>
      </c>
      <c r="B23" s="88" t="s">
        <v>80</v>
      </c>
      <c r="C23" s="88" t="s">
        <v>81</v>
      </c>
      <c r="D23" s="88" t="s">
        <v>82</v>
      </c>
      <c r="E23" s="68">
        <v>24772605</v>
      </c>
      <c r="F23" s="68">
        <v>6275463</v>
      </c>
      <c r="G23" s="68">
        <v>5935250.1500000004</v>
      </c>
      <c r="H23" s="121">
        <f t="shared" si="1"/>
        <v>0.94578681286145749</v>
      </c>
      <c r="I23" s="68">
        <v>90500</v>
      </c>
      <c r="J23" s="68">
        <v>13374.54</v>
      </c>
      <c r="K23" s="121">
        <f t="shared" si="4"/>
        <v>0.1477849723756906</v>
      </c>
      <c r="L23" s="68"/>
      <c r="M23" s="131"/>
      <c r="N23" s="68">
        <f t="shared" si="2"/>
        <v>5948624.6900000004</v>
      </c>
      <c r="P23" s="13"/>
    </row>
    <row r="24" spans="1:18" ht="184.5" thickTop="1" thickBot="1" x14ac:dyDescent="0.25">
      <c r="A24" s="15"/>
      <c r="B24" s="88" t="s">
        <v>457</v>
      </c>
      <c r="C24" s="88" t="s">
        <v>81</v>
      </c>
      <c r="D24" s="88" t="s">
        <v>458</v>
      </c>
      <c r="E24" s="68">
        <v>18543450</v>
      </c>
      <c r="F24" s="68">
        <v>4484582</v>
      </c>
      <c r="G24" s="68">
        <v>2963141.96</v>
      </c>
      <c r="H24" s="121">
        <f t="shared" si="1"/>
        <v>0.66073983260870239</v>
      </c>
      <c r="I24" s="68"/>
      <c r="J24" s="68"/>
      <c r="K24" s="121"/>
      <c r="L24" s="68"/>
      <c r="M24" s="131"/>
      <c r="N24" s="68">
        <f t="shared" si="2"/>
        <v>2963141.96</v>
      </c>
      <c r="P24" s="13"/>
    </row>
    <row r="25" spans="1:18" ht="138.75" thickTop="1" thickBot="1" x14ac:dyDescent="0.25">
      <c r="A25" s="24" t="s">
        <v>83</v>
      </c>
      <c r="B25" s="64" t="s">
        <v>84</v>
      </c>
      <c r="C25" s="64"/>
      <c r="D25" s="64" t="s">
        <v>85</v>
      </c>
      <c r="E25" s="69">
        <f>E26+E27</f>
        <v>703013202</v>
      </c>
      <c r="F25" s="69">
        <f>F26+F27</f>
        <v>162177770</v>
      </c>
      <c r="G25" s="69">
        <f>G26+G27</f>
        <v>158089702.69</v>
      </c>
      <c r="H25" s="122">
        <f t="shared" si="1"/>
        <v>0.97479267775108758</v>
      </c>
      <c r="I25" s="69">
        <f>I26+I27</f>
        <v>0</v>
      </c>
      <c r="J25" s="69">
        <f>J26+J27</f>
        <v>0</v>
      </c>
      <c r="K25" s="121">
        <v>0</v>
      </c>
      <c r="L25" s="69"/>
      <c r="M25" s="69"/>
      <c r="N25" s="69">
        <f>G25+J25</f>
        <v>158089702.69</v>
      </c>
      <c r="O25" s="60" t="s">
        <v>435</v>
      </c>
      <c r="P25" s="21"/>
    </row>
    <row r="26" spans="1:18" ht="138.75" thickTop="1" thickBot="1" x14ac:dyDescent="0.25">
      <c r="A26" s="15" t="s">
        <v>86</v>
      </c>
      <c r="B26" s="88" t="s">
        <v>87</v>
      </c>
      <c r="C26" s="88" t="s">
        <v>77</v>
      </c>
      <c r="D26" s="88" t="s">
        <v>78</v>
      </c>
      <c r="E26" s="68">
        <v>699178202</v>
      </c>
      <c r="F26" s="68">
        <v>160608370</v>
      </c>
      <c r="G26" s="68">
        <v>156561982.18000001</v>
      </c>
      <c r="H26" s="121">
        <f t="shared" si="1"/>
        <v>0.97480587207254521</v>
      </c>
      <c r="I26" s="130"/>
      <c r="J26" s="130"/>
      <c r="K26" s="130"/>
      <c r="L26" s="130"/>
      <c r="M26" s="128"/>
      <c r="N26" s="68">
        <f t="shared" si="2"/>
        <v>156561982.18000001</v>
      </c>
      <c r="P26" s="19"/>
    </row>
    <row r="27" spans="1:18" ht="184.5" thickTop="1" thickBot="1" x14ac:dyDescent="0.25">
      <c r="A27" s="90"/>
      <c r="B27" s="119" t="s">
        <v>511</v>
      </c>
      <c r="C27" s="88" t="s">
        <v>81</v>
      </c>
      <c r="D27" s="88" t="s">
        <v>458</v>
      </c>
      <c r="E27" s="89">
        <v>3835000</v>
      </c>
      <c r="F27" s="89">
        <v>1569400</v>
      </c>
      <c r="G27" s="89">
        <v>1527720.51</v>
      </c>
      <c r="H27" s="121">
        <f t="shared" si="1"/>
        <v>0.97344240474066523</v>
      </c>
      <c r="I27" s="133"/>
      <c r="J27" s="133"/>
      <c r="K27" s="133"/>
      <c r="L27" s="133"/>
      <c r="M27" s="134"/>
      <c r="N27" s="68">
        <f t="shared" si="2"/>
        <v>1527720.51</v>
      </c>
      <c r="P27" s="19"/>
    </row>
    <row r="28" spans="1:18" ht="409.6" hidden="1" thickTop="1" thickBot="1" x14ac:dyDescent="0.7">
      <c r="A28" s="181" t="s">
        <v>88</v>
      </c>
      <c r="B28" s="183" t="s">
        <v>89</v>
      </c>
      <c r="C28" s="183"/>
      <c r="D28" s="109" t="s">
        <v>463</v>
      </c>
      <c r="E28" s="185">
        <f t="shared" ref="E28:J28" si="5">E30</f>
        <v>0</v>
      </c>
      <c r="F28" s="185">
        <f t="shared" si="5"/>
        <v>0</v>
      </c>
      <c r="G28" s="185">
        <f t="shared" si="5"/>
        <v>0</v>
      </c>
      <c r="H28" s="194"/>
      <c r="I28" s="194">
        <f t="shared" si="5"/>
        <v>0</v>
      </c>
      <c r="J28" s="194">
        <f t="shared" si="5"/>
        <v>0</v>
      </c>
      <c r="K28" s="196" t="e">
        <f t="shared" ref="K28:K30" si="6">J28/I28</f>
        <v>#DIV/0!</v>
      </c>
      <c r="L28" s="194"/>
      <c r="M28" s="194"/>
      <c r="N28" s="194">
        <f>J28+G28</f>
        <v>0</v>
      </c>
      <c r="P28" s="19"/>
    </row>
    <row r="29" spans="1:18" ht="229.5" hidden="1" customHeight="1" thickTop="1" thickBot="1" x14ac:dyDescent="0.25">
      <c r="A29" s="182"/>
      <c r="B29" s="184"/>
      <c r="C29" s="184"/>
      <c r="D29" s="110" t="s">
        <v>464</v>
      </c>
      <c r="E29" s="186"/>
      <c r="F29" s="186"/>
      <c r="G29" s="186"/>
      <c r="H29" s="195"/>
      <c r="I29" s="195"/>
      <c r="J29" s="195"/>
      <c r="K29" s="197"/>
      <c r="L29" s="195"/>
      <c r="M29" s="195"/>
      <c r="N29" s="195"/>
      <c r="P29" s="19"/>
    </row>
    <row r="30" spans="1:18" ht="138.75" hidden="1" thickTop="1" thickBot="1" x14ac:dyDescent="0.25">
      <c r="A30" s="15" t="s">
        <v>90</v>
      </c>
      <c r="B30" s="96" t="s">
        <v>91</v>
      </c>
      <c r="C30" s="96" t="s">
        <v>77</v>
      </c>
      <c r="D30" s="96" t="s">
        <v>92</v>
      </c>
      <c r="E30" s="101"/>
      <c r="F30" s="101"/>
      <c r="G30" s="101"/>
      <c r="H30" s="68"/>
      <c r="I30" s="68"/>
      <c r="J30" s="68"/>
      <c r="K30" s="121" t="e">
        <f t="shared" si="6"/>
        <v>#DIV/0!</v>
      </c>
      <c r="L30" s="68"/>
      <c r="M30" s="131"/>
      <c r="N30" s="68">
        <f t="shared" ref="N30:N36" si="7">G30+J30</f>
        <v>0</v>
      </c>
      <c r="P30" s="12"/>
    </row>
    <row r="31" spans="1:18" ht="184.5" thickTop="1" thickBot="1" x14ac:dyDescent="0.25">
      <c r="A31" s="15" t="s">
        <v>93</v>
      </c>
      <c r="B31" s="88" t="s">
        <v>94</v>
      </c>
      <c r="C31" s="88" t="s">
        <v>95</v>
      </c>
      <c r="D31" s="88" t="s">
        <v>96</v>
      </c>
      <c r="E31" s="68">
        <v>33399580</v>
      </c>
      <c r="F31" s="68">
        <v>8410603</v>
      </c>
      <c r="G31" s="68">
        <v>7242270.9800000004</v>
      </c>
      <c r="H31" s="121">
        <f t="shared" ref="H31:H36" si="8">G31/F31</f>
        <v>0.86108819783789581</v>
      </c>
      <c r="I31" s="68">
        <v>1858370</v>
      </c>
      <c r="J31" s="68">
        <v>200993.77</v>
      </c>
      <c r="K31" s="121">
        <f t="shared" ref="K31:K37" si="9">J31/I31</f>
        <v>0.1081559484924961</v>
      </c>
      <c r="L31" s="68"/>
      <c r="M31" s="131"/>
      <c r="N31" s="68">
        <f t="shared" si="7"/>
        <v>7443264.75</v>
      </c>
      <c r="P31" s="12"/>
    </row>
    <row r="32" spans="1:18" ht="93" thickTop="1" thickBot="1" x14ac:dyDescent="0.25">
      <c r="A32" s="15"/>
      <c r="B32" s="88" t="s">
        <v>270</v>
      </c>
      <c r="C32" s="88" t="s">
        <v>95</v>
      </c>
      <c r="D32" s="88" t="s">
        <v>516</v>
      </c>
      <c r="E32" s="68">
        <v>78240350</v>
      </c>
      <c r="F32" s="68">
        <v>19381231</v>
      </c>
      <c r="G32" s="68">
        <v>18243748.719999999</v>
      </c>
      <c r="H32" s="121">
        <f t="shared" si="8"/>
        <v>0.941310111829326</v>
      </c>
      <c r="I32" s="68">
        <v>8879540</v>
      </c>
      <c r="J32" s="68">
        <v>1537153.05</v>
      </c>
      <c r="K32" s="121">
        <f t="shared" si="9"/>
        <v>0.17311178844850073</v>
      </c>
      <c r="L32" s="68"/>
      <c r="M32" s="131"/>
      <c r="N32" s="68">
        <f t="shared" si="7"/>
        <v>19780901.77</v>
      </c>
      <c r="P32" s="12"/>
    </row>
    <row r="33" spans="1:16" ht="184.5" thickTop="1" thickBot="1" x14ac:dyDescent="0.25">
      <c r="A33" s="24" t="s">
        <v>97</v>
      </c>
      <c r="B33" s="64" t="s">
        <v>98</v>
      </c>
      <c r="C33" s="64"/>
      <c r="D33" s="64" t="s">
        <v>99</v>
      </c>
      <c r="E33" s="69">
        <f>E34+E35</f>
        <v>156811425</v>
      </c>
      <c r="F33" s="69">
        <f t="shared" ref="F33:J33" si="10">F34+F35</f>
        <v>39966159</v>
      </c>
      <c r="G33" s="69">
        <f>G34+G35</f>
        <v>39289640.960000001</v>
      </c>
      <c r="H33" s="122">
        <f t="shared" si="8"/>
        <v>0.98307272810479485</v>
      </c>
      <c r="I33" s="69">
        <f t="shared" si="10"/>
        <v>31493282.289999999</v>
      </c>
      <c r="J33" s="69">
        <f t="shared" si="10"/>
        <v>7248511.8499999996</v>
      </c>
      <c r="K33" s="122">
        <f t="shared" si="9"/>
        <v>0.2301605714911972</v>
      </c>
      <c r="L33" s="69"/>
      <c r="M33" s="69"/>
      <c r="N33" s="69">
        <f t="shared" si="7"/>
        <v>46538152.810000002</v>
      </c>
      <c r="P33" s="21"/>
    </row>
    <row r="34" spans="1:16" ht="230.25" thickTop="1" thickBot="1" x14ac:dyDescent="0.25">
      <c r="A34" s="15" t="s">
        <v>100</v>
      </c>
      <c r="B34" s="88" t="s">
        <v>101</v>
      </c>
      <c r="C34" s="88" t="s">
        <v>102</v>
      </c>
      <c r="D34" s="88" t="s">
        <v>103</v>
      </c>
      <c r="E34" s="68">
        <v>137467895</v>
      </c>
      <c r="F34" s="68">
        <v>35231159</v>
      </c>
      <c r="G34" s="68">
        <v>35093484.170000002</v>
      </c>
      <c r="H34" s="121">
        <f t="shared" si="8"/>
        <v>0.99609224238123995</v>
      </c>
      <c r="I34" s="68">
        <v>31493282.289999999</v>
      </c>
      <c r="J34" s="68">
        <v>7248511.8499999996</v>
      </c>
      <c r="K34" s="121">
        <f t="shared" si="9"/>
        <v>0.2301605714911972</v>
      </c>
      <c r="L34" s="68"/>
      <c r="M34" s="131"/>
      <c r="N34" s="68">
        <f t="shared" si="7"/>
        <v>42341996.020000003</v>
      </c>
      <c r="P34" s="12"/>
    </row>
    <row r="35" spans="1:16" ht="230.25" thickTop="1" thickBot="1" x14ac:dyDescent="0.25">
      <c r="A35" s="15" t="s">
        <v>104</v>
      </c>
      <c r="B35" s="88" t="s">
        <v>105</v>
      </c>
      <c r="C35" s="88" t="s">
        <v>102</v>
      </c>
      <c r="D35" s="88" t="s">
        <v>106</v>
      </c>
      <c r="E35" s="68">
        <v>19343530</v>
      </c>
      <c r="F35" s="68">
        <v>4735000</v>
      </c>
      <c r="G35" s="68">
        <v>4196156.79</v>
      </c>
      <c r="H35" s="121">
        <f t="shared" si="8"/>
        <v>0.88619995564941922</v>
      </c>
      <c r="I35" s="68"/>
      <c r="J35" s="68"/>
      <c r="K35" s="68"/>
      <c r="L35" s="68"/>
      <c r="M35" s="131"/>
      <c r="N35" s="68">
        <f t="shared" si="7"/>
        <v>4196156.79</v>
      </c>
      <c r="P35" s="19"/>
    </row>
    <row r="36" spans="1:16" ht="93" thickTop="1" thickBot="1" x14ac:dyDescent="0.25">
      <c r="A36" s="24" t="s">
        <v>107</v>
      </c>
      <c r="B36" s="64" t="s">
        <v>108</v>
      </c>
      <c r="C36" s="64"/>
      <c r="D36" s="64" t="s">
        <v>109</v>
      </c>
      <c r="E36" s="69">
        <f t="shared" ref="E36:J36" si="11">E37+E38</f>
        <v>30502885</v>
      </c>
      <c r="F36" s="69">
        <f t="shared" si="11"/>
        <v>7150557</v>
      </c>
      <c r="G36" s="69">
        <f t="shared" si="11"/>
        <v>6039995.2000000002</v>
      </c>
      <c r="H36" s="122">
        <f t="shared" si="8"/>
        <v>0.84468877039928503</v>
      </c>
      <c r="I36" s="69">
        <f t="shared" si="11"/>
        <v>1336810</v>
      </c>
      <c r="J36" s="69">
        <f t="shared" si="11"/>
        <v>15848.16</v>
      </c>
      <c r="K36" s="122">
        <f t="shared" si="9"/>
        <v>1.1855207546322962E-2</v>
      </c>
      <c r="L36" s="69"/>
      <c r="M36" s="69"/>
      <c r="N36" s="69">
        <f t="shared" si="7"/>
        <v>6055843.3600000003</v>
      </c>
      <c r="P36" s="21"/>
    </row>
    <row r="37" spans="1:16" ht="93" thickTop="1" thickBot="1" x14ac:dyDescent="0.25">
      <c r="A37" s="15" t="s">
        <v>110</v>
      </c>
      <c r="B37" s="88" t="s">
        <v>111</v>
      </c>
      <c r="C37" s="88" t="s">
        <v>112</v>
      </c>
      <c r="D37" s="88" t="s">
        <v>113</v>
      </c>
      <c r="E37" s="68">
        <v>30284875</v>
      </c>
      <c r="F37" s="68">
        <v>7051507</v>
      </c>
      <c r="G37" s="68">
        <v>5959536.2000000002</v>
      </c>
      <c r="H37" s="121">
        <f t="shared" ref="H37:H46" si="12">G37/F37</f>
        <v>0.8451436267453184</v>
      </c>
      <c r="I37" s="68">
        <v>1336810</v>
      </c>
      <c r="J37" s="68">
        <v>15848.16</v>
      </c>
      <c r="K37" s="121">
        <f t="shared" si="9"/>
        <v>1.1855207546322962E-2</v>
      </c>
      <c r="L37" s="68"/>
      <c r="M37" s="131"/>
      <c r="N37" s="68">
        <f t="shared" ref="N37:N46" si="13">G37+J37</f>
        <v>5975384.3600000003</v>
      </c>
      <c r="P37" s="19"/>
    </row>
    <row r="38" spans="1:16" ht="93" thickTop="1" thickBot="1" x14ac:dyDescent="0.25">
      <c r="A38" s="15" t="s">
        <v>114</v>
      </c>
      <c r="B38" s="88" t="s">
        <v>115</v>
      </c>
      <c r="C38" s="88" t="s">
        <v>112</v>
      </c>
      <c r="D38" s="88" t="s">
        <v>116</v>
      </c>
      <c r="E38" s="68">
        <v>218010</v>
      </c>
      <c r="F38" s="68">
        <v>99050</v>
      </c>
      <c r="G38" s="68">
        <v>80459</v>
      </c>
      <c r="H38" s="121">
        <f t="shared" si="12"/>
        <v>0.81230691569914182</v>
      </c>
      <c r="I38" s="130"/>
      <c r="J38" s="130"/>
      <c r="K38" s="130"/>
      <c r="L38" s="130"/>
      <c r="M38" s="128"/>
      <c r="N38" s="68">
        <f t="shared" si="13"/>
        <v>80459</v>
      </c>
      <c r="P38" s="19"/>
    </row>
    <row r="39" spans="1:16" ht="93" thickTop="1" thickBot="1" x14ac:dyDescent="0.25">
      <c r="A39" s="24" t="s">
        <v>117</v>
      </c>
      <c r="B39" s="64" t="s">
        <v>118</v>
      </c>
      <c r="C39" s="64"/>
      <c r="D39" s="64" t="s">
        <v>119</v>
      </c>
      <c r="E39" s="69">
        <f>E40+E41</f>
        <v>6334605</v>
      </c>
      <c r="F39" s="69">
        <f t="shared" ref="F39:J39" si="14">F40+F41</f>
        <v>1634098</v>
      </c>
      <c r="G39" s="69">
        <f t="shared" si="14"/>
        <v>909452.35</v>
      </c>
      <c r="H39" s="122">
        <f>G39/F39</f>
        <v>0.55654700636069565</v>
      </c>
      <c r="I39" s="69">
        <f t="shared" si="14"/>
        <v>0</v>
      </c>
      <c r="J39" s="69">
        <f t="shared" si="14"/>
        <v>0</v>
      </c>
      <c r="K39" s="122">
        <v>0</v>
      </c>
      <c r="L39" s="69"/>
      <c r="M39" s="69"/>
      <c r="N39" s="69">
        <f t="shared" si="13"/>
        <v>909452.35</v>
      </c>
      <c r="O39" s="60" t="s">
        <v>435</v>
      </c>
      <c r="P39" s="21"/>
    </row>
    <row r="40" spans="1:16" ht="184.5" thickTop="1" thickBot="1" x14ac:dyDescent="0.25">
      <c r="A40" s="15" t="s">
        <v>120</v>
      </c>
      <c r="B40" s="88" t="s">
        <v>121</v>
      </c>
      <c r="C40" s="88" t="s">
        <v>112</v>
      </c>
      <c r="D40" s="88" t="s">
        <v>122</v>
      </c>
      <c r="E40" s="68">
        <v>1120505</v>
      </c>
      <c r="F40" s="68">
        <v>366508</v>
      </c>
      <c r="G40" s="68">
        <v>197106.53</v>
      </c>
      <c r="H40" s="121">
        <f t="shared" si="12"/>
        <v>0.53779598262520867</v>
      </c>
      <c r="I40" s="68"/>
      <c r="J40" s="68"/>
      <c r="K40" s="121"/>
      <c r="L40" s="68"/>
      <c r="M40" s="131"/>
      <c r="N40" s="68">
        <f>G40+J40</f>
        <v>197106.53</v>
      </c>
      <c r="P40" s="12"/>
    </row>
    <row r="41" spans="1:16" ht="138.75" thickTop="1" thickBot="1" x14ac:dyDescent="0.25">
      <c r="A41" s="15" t="s">
        <v>123</v>
      </c>
      <c r="B41" s="88" t="s">
        <v>124</v>
      </c>
      <c r="C41" s="88" t="s">
        <v>112</v>
      </c>
      <c r="D41" s="88" t="s">
        <v>125</v>
      </c>
      <c r="E41" s="68">
        <v>5214100</v>
      </c>
      <c r="F41" s="68">
        <v>1267590</v>
      </c>
      <c r="G41" s="68">
        <v>712345.82</v>
      </c>
      <c r="H41" s="121">
        <f t="shared" si="12"/>
        <v>0.56196863339092284</v>
      </c>
      <c r="I41" s="68"/>
      <c r="J41" s="68"/>
      <c r="K41" s="68"/>
      <c r="L41" s="68"/>
      <c r="M41" s="131"/>
      <c r="N41" s="68">
        <f t="shared" si="13"/>
        <v>712345.82</v>
      </c>
      <c r="P41" s="19"/>
    </row>
    <row r="42" spans="1:16" ht="138.75" thickTop="1" thickBot="1" x14ac:dyDescent="0.25">
      <c r="A42" s="15" t="s">
        <v>126</v>
      </c>
      <c r="B42" s="88" t="s">
        <v>127</v>
      </c>
      <c r="C42" s="88" t="s">
        <v>112</v>
      </c>
      <c r="D42" s="88" t="s">
        <v>128</v>
      </c>
      <c r="E42" s="68">
        <v>3056165</v>
      </c>
      <c r="F42" s="68">
        <v>927746</v>
      </c>
      <c r="G42" s="68">
        <v>727156.04</v>
      </c>
      <c r="H42" s="121">
        <f t="shared" si="12"/>
        <v>0.78378784710470328</v>
      </c>
      <c r="I42" s="68"/>
      <c r="J42" s="68"/>
      <c r="K42" s="121"/>
      <c r="L42" s="68"/>
      <c r="M42" s="131"/>
      <c r="N42" s="68">
        <f t="shared" si="13"/>
        <v>727156.04</v>
      </c>
      <c r="O42" s="60"/>
      <c r="P42" s="12"/>
    </row>
    <row r="43" spans="1:16" s="20" customFormat="1" ht="230.25" hidden="1" thickTop="1" thickBot="1" x14ac:dyDescent="0.25">
      <c r="A43" s="24" t="s">
        <v>129</v>
      </c>
      <c r="B43" s="64" t="s">
        <v>130</v>
      </c>
      <c r="C43" s="64"/>
      <c r="D43" s="64" t="s">
        <v>131</v>
      </c>
      <c r="E43" s="69">
        <f>E44+E45</f>
        <v>0</v>
      </c>
      <c r="F43" s="69">
        <f>F44+F45</f>
        <v>0</v>
      </c>
      <c r="G43" s="69">
        <f>G44+G45</f>
        <v>0</v>
      </c>
      <c r="H43" s="122" t="e">
        <f t="shared" si="12"/>
        <v>#DIV/0!</v>
      </c>
      <c r="I43" s="69">
        <f>I44+I45</f>
        <v>0</v>
      </c>
      <c r="J43" s="69">
        <f>J44+J45</f>
        <v>0</v>
      </c>
      <c r="K43" s="122" t="e">
        <f t="shared" ref="K43:K45" si="15">J43/I43</f>
        <v>#DIV/0!</v>
      </c>
      <c r="L43" s="69"/>
      <c r="M43" s="69"/>
      <c r="N43" s="69">
        <f t="shared" si="13"/>
        <v>0</v>
      </c>
      <c r="O43" s="60"/>
      <c r="P43" s="25"/>
    </row>
    <row r="44" spans="1:16" s="20" customFormat="1" ht="367.5" hidden="1" thickTop="1" thickBot="1" x14ac:dyDescent="0.25">
      <c r="A44" s="15" t="s">
        <v>132</v>
      </c>
      <c r="B44" s="88" t="s">
        <v>133</v>
      </c>
      <c r="C44" s="88" t="s">
        <v>112</v>
      </c>
      <c r="D44" s="88" t="s">
        <v>134</v>
      </c>
      <c r="E44" s="68"/>
      <c r="F44" s="68"/>
      <c r="G44" s="68"/>
      <c r="H44" s="121" t="e">
        <f t="shared" si="12"/>
        <v>#DIV/0!</v>
      </c>
      <c r="I44" s="68"/>
      <c r="J44" s="68"/>
      <c r="K44" s="121" t="e">
        <f t="shared" si="15"/>
        <v>#DIV/0!</v>
      </c>
      <c r="L44" s="68"/>
      <c r="M44" s="131"/>
      <c r="N44" s="68">
        <f t="shared" si="13"/>
        <v>0</v>
      </c>
      <c r="O44" s="60"/>
      <c r="P44" s="12"/>
    </row>
    <row r="45" spans="1:16" s="20" customFormat="1" ht="321.75" hidden="1" thickTop="1" thickBot="1" x14ac:dyDescent="0.25">
      <c r="A45" s="15"/>
      <c r="B45" s="88" t="s">
        <v>455</v>
      </c>
      <c r="C45" s="88" t="s">
        <v>112</v>
      </c>
      <c r="D45" s="88" t="s">
        <v>456</v>
      </c>
      <c r="E45" s="68"/>
      <c r="F45" s="68"/>
      <c r="G45" s="68"/>
      <c r="H45" s="121" t="e">
        <f t="shared" si="12"/>
        <v>#DIV/0!</v>
      </c>
      <c r="I45" s="68"/>
      <c r="J45" s="68"/>
      <c r="K45" s="121" t="e">
        <f t="shared" si="15"/>
        <v>#DIV/0!</v>
      </c>
      <c r="L45" s="68"/>
      <c r="M45" s="131"/>
      <c r="N45" s="68">
        <f t="shared" si="13"/>
        <v>0</v>
      </c>
      <c r="O45" s="62"/>
      <c r="P45" s="12"/>
    </row>
    <row r="46" spans="1:16" s="20" customFormat="1" ht="321.75" thickTop="1" thickBot="1" x14ac:dyDescent="0.25">
      <c r="A46" s="15" t="s">
        <v>135</v>
      </c>
      <c r="B46" s="88" t="s">
        <v>136</v>
      </c>
      <c r="C46" s="88" t="s">
        <v>112</v>
      </c>
      <c r="D46" s="88" t="s">
        <v>137</v>
      </c>
      <c r="E46" s="68">
        <v>4788308</v>
      </c>
      <c r="F46" s="68">
        <v>938225</v>
      </c>
      <c r="G46" s="68">
        <v>744851.45</v>
      </c>
      <c r="H46" s="121">
        <f t="shared" si="12"/>
        <v>0.79389426843241218</v>
      </c>
      <c r="I46" s="68">
        <v>1701336</v>
      </c>
      <c r="J46" s="68">
        <v>0</v>
      </c>
      <c r="K46" s="121">
        <f t="shared" ref="K46:K51" si="16">J46/I46</f>
        <v>0</v>
      </c>
      <c r="L46" s="68"/>
      <c r="M46" s="131"/>
      <c r="N46" s="68">
        <f t="shared" si="13"/>
        <v>744851.45</v>
      </c>
      <c r="O46" s="22"/>
      <c r="P46" s="12"/>
    </row>
    <row r="47" spans="1:16" s="20" customFormat="1" ht="289.14999999999998" hidden="1" customHeight="1" thickTop="1" thickBot="1" x14ac:dyDescent="0.25">
      <c r="A47" s="8"/>
      <c r="B47" s="96" t="s">
        <v>138</v>
      </c>
      <c r="C47" s="96" t="s">
        <v>112</v>
      </c>
      <c r="D47" s="96" t="s">
        <v>139</v>
      </c>
      <c r="E47" s="101"/>
      <c r="F47" s="101"/>
      <c r="G47" s="101"/>
      <c r="H47" s="98" t="e">
        <f t="shared" ref="H47" si="17">G47/F47</f>
        <v>#DIV/0!</v>
      </c>
      <c r="I47" s="101"/>
      <c r="J47" s="101"/>
      <c r="K47" s="98" t="e">
        <f t="shared" si="16"/>
        <v>#DIV/0!</v>
      </c>
      <c r="L47" s="111"/>
      <c r="M47" s="111"/>
      <c r="N47" s="101">
        <f t="shared" ref="N47:N50" si="18">G47+J47</f>
        <v>0</v>
      </c>
      <c r="O47" s="22"/>
      <c r="P47" s="12"/>
    </row>
    <row r="48" spans="1:16" s="20" customFormat="1" ht="230.25" hidden="1" thickTop="1" thickBot="1" x14ac:dyDescent="0.25">
      <c r="A48" s="8"/>
      <c r="B48" s="106" t="s">
        <v>459</v>
      </c>
      <c r="C48" s="106"/>
      <c r="D48" s="106" t="s">
        <v>460</v>
      </c>
      <c r="E48" s="107">
        <f>E50+E49</f>
        <v>0</v>
      </c>
      <c r="F48" s="107">
        <f>F50+F49</f>
        <v>0</v>
      </c>
      <c r="G48" s="107">
        <f>G50+G49</f>
        <v>0</v>
      </c>
      <c r="H48" s="108">
        <v>0</v>
      </c>
      <c r="I48" s="107">
        <f>I50+I49</f>
        <v>0</v>
      </c>
      <c r="J48" s="107">
        <f>J50+J49</f>
        <v>0</v>
      </c>
      <c r="K48" s="108" t="e">
        <f t="shared" si="16"/>
        <v>#DIV/0!</v>
      </c>
      <c r="L48" s="112"/>
      <c r="M48" s="112"/>
      <c r="N48" s="107">
        <f>G48+J48</f>
        <v>0</v>
      </c>
      <c r="O48" s="60" t="s">
        <v>435</v>
      </c>
      <c r="P48" s="12"/>
    </row>
    <row r="49" spans="1:18" s="20" customFormat="1" ht="367.5" hidden="1" thickTop="1" thickBot="1" x14ac:dyDescent="0.25">
      <c r="A49" s="8"/>
      <c r="B49" s="96" t="s">
        <v>476</v>
      </c>
      <c r="C49" s="96" t="s">
        <v>112</v>
      </c>
      <c r="D49" s="96" t="s">
        <v>477</v>
      </c>
      <c r="E49" s="101"/>
      <c r="F49" s="101"/>
      <c r="G49" s="101"/>
      <c r="H49" s="98"/>
      <c r="I49" s="101"/>
      <c r="J49" s="101"/>
      <c r="K49" s="98" t="e">
        <f t="shared" si="16"/>
        <v>#DIV/0!</v>
      </c>
      <c r="L49" s="111"/>
      <c r="M49" s="111"/>
      <c r="N49" s="101">
        <f>G49+J49</f>
        <v>0</v>
      </c>
      <c r="O49" s="60"/>
      <c r="P49" s="12"/>
    </row>
    <row r="50" spans="1:18" s="20" customFormat="1" ht="337.5" hidden="1" customHeight="1" thickTop="1" thickBot="1" x14ac:dyDescent="0.25">
      <c r="A50" s="8"/>
      <c r="B50" s="96" t="s">
        <v>461</v>
      </c>
      <c r="C50" s="96" t="s">
        <v>112</v>
      </c>
      <c r="D50" s="96" t="s">
        <v>462</v>
      </c>
      <c r="E50" s="101"/>
      <c r="F50" s="101"/>
      <c r="G50" s="101"/>
      <c r="H50" s="98">
        <v>0</v>
      </c>
      <c r="I50" s="101"/>
      <c r="J50" s="101"/>
      <c r="K50" s="98" t="e">
        <f t="shared" si="16"/>
        <v>#DIV/0!</v>
      </c>
      <c r="L50" s="111"/>
      <c r="M50" s="111"/>
      <c r="N50" s="101">
        <f t="shared" si="18"/>
        <v>0</v>
      </c>
      <c r="O50" s="60" t="s">
        <v>435</v>
      </c>
      <c r="P50" s="12"/>
    </row>
    <row r="51" spans="1:18" ht="103.7" customHeight="1" thickTop="1" thickBot="1" x14ac:dyDescent="0.25">
      <c r="A51" s="8" t="s">
        <v>143</v>
      </c>
      <c r="B51" s="91" t="s">
        <v>144</v>
      </c>
      <c r="C51" s="91"/>
      <c r="D51" s="92" t="s">
        <v>145</v>
      </c>
      <c r="E51" s="93">
        <f t="shared" ref="E51:J51" si="19">SUM(E52:E63)-E57-E59-E61</f>
        <v>98063470</v>
      </c>
      <c r="F51" s="93">
        <f t="shared" si="19"/>
        <v>30445329</v>
      </c>
      <c r="G51" s="93">
        <f t="shared" si="19"/>
        <v>28096462.190000001</v>
      </c>
      <c r="H51" s="94">
        <f>G51/F51</f>
        <v>0.92284968213022112</v>
      </c>
      <c r="I51" s="93">
        <f>SUM(I52:I63)-I57-I59-I61</f>
        <v>10420856</v>
      </c>
      <c r="J51" s="93">
        <f t="shared" si="19"/>
        <v>1365900</v>
      </c>
      <c r="K51" s="94">
        <f t="shared" si="16"/>
        <v>0.13107368530953695</v>
      </c>
      <c r="L51" s="93"/>
      <c r="M51" s="93"/>
      <c r="N51" s="95">
        <f>J51+G51</f>
        <v>29462362.190000001</v>
      </c>
      <c r="O51" s="75" t="b">
        <f>N51=N52+N53+N54+N55+N56+N58+N60+N62+N63</f>
        <v>1</v>
      </c>
      <c r="P51" s="27"/>
    </row>
    <row r="52" spans="1:18" ht="93" thickTop="1" thickBot="1" x14ac:dyDescent="0.25">
      <c r="A52" s="15" t="s">
        <v>146</v>
      </c>
      <c r="B52" s="88" t="s">
        <v>147</v>
      </c>
      <c r="C52" s="88" t="s">
        <v>148</v>
      </c>
      <c r="D52" s="88" t="s">
        <v>149</v>
      </c>
      <c r="E52" s="68">
        <v>35402605</v>
      </c>
      <c r="F52" s="68">
        <v>11693520</v>
      </c>
      <c r="G52" s="68">
        <v>10969365.539999999</v>
      </c>
      <c r="H52" s="121">
        <f t="shared" ref="H52:H107" si="20">G52/F52</f>
        <v>0.9380721579131005</v>
      </c>
      <c r="I52" s="68">
        <v>7064956</v>
      </c>
      <c r="J52" s="68">
        <v>0</v>
      </c>
      <c r="K52" s="121">
        <f>J52/I52</f>
        <v>0</v>
      </c>
      <c r="L52" s="130"/>
      <c r="M52" s="128"/>
      <c r="N52" s="68">
        <f>G52+J52</f>
        <v>10969365.539999999</v>
      </c>
      <c r="P52" s="19"/>
    </row>
    <row r="53" spans="1:18" ht="93" thickTop="1" thickBot="1" x14ac:dyDescent="0.25">
      <c r="A53" s="15" t="s">
        <v>150</v>
      </c>
      <c r="B53" s="88" t="s">
        <v>151</v>
      </c>
      <c r="C53" s="88" t="s">
        <v>152</v>
      </c>
      <c r="D53" s="88" t="s">
        <v>153</v>
      </c>
      <c r="E53" s="68">
        <v>13091450</v>
      </c>
      <c r="F53" s="68">
        <v>5888460</v>
      </c>
      <c r="G53" s="68">
        <v>5066156.1100000003</v>
      </c>
      <c r="H53" s="121">
        <f t="shared" si="20"/>
        <v>0.86035331988329722</v>
      </c>
      <c r="I53" s="68">
        <v>2655900</v>
      </c>
      <c r="J53" s="68">
        <v>1365900</v>
      </c>
      <c r="K53" s="121">
        <f>J53/I53</f>
        <v>0.5142889416017169</v>
      </c>
      <c r="L53" s="68"/>
      <c r="M53" s="131"/>
      <c r="N53" s="68">
        <f t="shared" ref="N53:N107" si="21">G53+J53</f>
        <v>6432056.1100000003</v>
      </c>
      <c r="P53" s="27"/>
    </row>
    <row r="54" spans="1:18" ht="138.75" thickTop="1" thickBot="1" x14ac:dyDescent="0.25">
      <c r="A54" s="15" t="s">
        <v>154</v>
      </c>
      <c r="B54" s="88" t="s">
        <v>155</v>
      </c>
      <c r="C54" s="88" t="s">
        <v>156</v>
      </c>
      <c r="D54" s="88" t="s">
        <v>157</v>
      </c>
      <c r="E54" s="68">
        <v>9129950</v>
      </c>
      <c r="F54" s="68">
        <v>2470350</v>
      </c>
      <c r="G54" s="68">
        <v>2437282.6</v>
      </c>
      <c r="H54" s="121">
        <f t="shared" si="20"/>
        <v>0.98661428542514218</v>
      </c>
      <c r="I54" s="68">
        <v>500000</v>
      </c>
      <c r="J54" s="68">
        <v>0</v>
      </c>
      <c r="K54" s="121">
        <f>J54/I54</f>
        <v>0</v>
      </c>
      <c r="L54" s="68"/>
      <c r="M54" s="131"/>
      <c r="N54" s="68">
        <f t="shared" si="21"/>
        <v>2437282.6</v>
      </c>
      <c r="P54" s="27"/>
    </row>
    <row r="55" spans="1:18" ht="138.75" thickTop="1" thickBot="1" x14ac:dyDescent="0.25">
      <c r="A55" s="15" t="s">
        <v>158</v>
      </c>
      <c r="B55" s="88" t="s">
        <v>159</v>
      </c>
      <c r="C55" s="88" t="s">
        <v>160</v>
      </c>
      <c r="D55" s="88" t="s">
        <v>161</v>
      </c>
      <c r="E55" s="68">
        <v>11569670</v>
      </c>
      <c r="F55" s="68">
        <v>4091745</v>
      </c>
      <c r="G55" s="68">
        <v>3966503.38</v>
      </c>
      <c r="H55" s="121">
        <f t="shared" si="20"/>
        <v>0.96939163608680401</v>
      </c>
      <c r="I55" s="68"/>
      <c r="J55" s="68"/>
      <c r="K55" s="68"/>
      <c r="L55" s="68"/>
      <c r="M55" s="131"/>
      <c r="N55" s="68">
        <f t="shared" si="21"/>
        <v>3966503.38</v>
      </c>
      <c r="P55" s="27"/>
    </row>
    <row r="56" spans="1:18" ht="93" thickTop="1" thickBot="1" x14ac:dyDescent="0.25">
      <c r="A56" s="15" t="s">
        <v>162</v>
      </c>
      <c r="B56" s="88" t="s">
        <v>163</v>
      </c>
      <c r="C56" s="88" t="s">
        <v>164</v>
      </c>
      <c r="D56" s="88" t="s">
        <v>165</v>
      </c>
      <c r="E56" s="68">
        <v>7556300</v>
      </c>
      <c r="F56" s="68">
        <v>1939600</v>
      </c>
      <c r="G56" s="68">
        <v>1824844.11</v>
      </c>
      <c r="H56" s="121">
        <f t="shared" si="20"/>
        <v>0.94083528047020004</v>
      </c>
      <c r="I56" s="68">
        <v>200000</v>
      </c>
      <c r="J56" s="68">
        <v>0</v>
      </c>
      <c r="K56" s="121">
        <f>J56/I56</f>
        <v>0</v>
      </c>
      <c r="L56" s="68"/>
      <c r="M56" s="131"/>
      <c r="N56" s="68">
        <f t="shared" si="21"/>
        <v>1824844.11</v>
      </c>
      <c r="P56" s="27"/>
    </row>
    <row r="57" spans="1:18" ht="93" thickTop="1" thickBot="1" x14ac:dyDescent="0.25">
      <c r="A57" s="15" t="s">
        <v>166</v>
      </c>
      <c r="B57" s="64" t="s">
        <v>167</v>
      </c>
      <c r="C57" s="64"/>
      <c r="D57" s="64" t="s">
        <v>168</v>
      </c>
      <c r="E57" s="69">
        <f>E58</f>
        <v>14204885</v>
      </c>
      <c r="F57" s="69">
        <f t="shared" ref="F57:G57" si="22">F58</f>
        <v>3301729</v>
      </c>
      <c r="G57" s="69">
        <f t="shared" si="22"/>
        <v>2982080.85</v>
      </c>
      <c r="H57" s="122">
        <f>G57/F57</f>
        <v>0.90318764804743212</v>
      </c>
      <c r="I57" s="135"/>
      <c r="J57" s="135"/>
      <c r="K57" s="136"/>
      <c r="L57" s="135"/>
      <c r="M57" s="135"/>
      <c r="N57" s="69">
        <f t="shared" si="21"/>
        <v>2982080.85</v>
      </c>
      <c r="O57" s="60"/>
      <c r="P57" s="27"/>
    </row>
    <row r="58" spans="1:18" ht="184.5" thickTop="1" thickBot="1" x14ac:dyDescent="0.25">
      <c r="A58" s="15" t="s">
        <v>169</v>
      </c>
      <c r="B58" s="88" t="s">
        <v>170</v>
      </c>
      <c r="C58" s="88" t="s">
        <v>171</v>
      </c>
      <c r="D58" s="88" t="s">
        <v>172</v>
      </c>
      <c r="E58" s="68">
        <v>14204885</v>
      </c>
      <c r="F58" s="68">
        <v>3301729</v>
      </c>
      <c r="G58" s="68">
        <v>2982080.85</v>
      </c>
      <c r="H58" s="121">
        <f>G58/F58</f>
        <v>0.90318764804743212</v>
      </c>
      <c r="I58" s="130"/>
      <c r="J58" s="130"/>
      <c r="K58" s="130"/>
      <c r="L58" s="130"/>
      <c r="M58" s="128"/>
      <c r="N58" s="68">
        <f t="shared" si="21"/>
        <v>2982080.85</v>
      </c>
      <c r="P58" s="27"/>
    </row>
    <row r="59" spans="1:18" ht="138.75" hidden="1" thickTop="1" thickBot="1" x14ac:dyDescent="0.25">
      <c r="A59" s="24" t="s">
        <v>173</v>
      </c>
      <c r="B59" s="106" t="s">
        <v>174</v>
      </c>
      <c r="C59" s="106"/>
      <c r="D59" s="106" t="s">
        <v>175</v>
      </c>
      <c r="E59" s="107">
        <f t="shared" ref="E59:G59" si="23">E60</f>
        <v>0</v>
      </c>
      <c r="F59" s="69">
        <f t="shared" si="23"/>
        <v>0</v>
      </c>
      <c r="G59" s="69">
        <f t="shared" si="23"/>
        <v>0</v>
      </c>
      <c r="H59" s="122" t="e">
        <f t="shared" si="20"/>
        <v>#DIV/0!</v>
      </c>
      <c r="I59" s="69"/>
      <c r="J59" s="69"/>
      <c r="K59" s="122"/>
      <c r="L59" s="69"/>
      <c r="M59" s="69"/>
      <c r="N59" s="69">
        <f t="shared" si="21"/>
        <v>0</v>
      </c>
      <c r="O59" s="60"/>
      <c r="P59" s="27"/>
    </row>
    <row r="60" spans="1:18" ht="138.75" hidden="1" thickTop="1" thickBot="1" x14ac:dyDescent="0.25">
      <c r="A60" s="15" t="s">
        <v>176</v>
      </c>
      <c r="B60" s="96" t="s">
        <v>177</v>
      </c>
      <c r="C60" s="96" t="s">
        <v>178</v>
      </c>
      <c r="D60" s="96" t="s">
        <v>179</v>
      </c>
      <c r="E60" s="101"/>
      <c r="F60" s="68"/>
      <c r="G60" s="68"/>
      <c r="H60" s="121" t="e">
        <f t="shared" si="20"/>
        <v>#DIV/0!</v>
      </c>
      <c r="I60" s="68"/>
      <c r="J60" s="68"/>
      <c r="K60" s="68"/>
      <c r="L60" s="68"/>
      <c r="M60" s="131"/>
      <c r="N60" s="68">
        <f t="shared" si="21"/>
        <v>0</v>
      </c>
      <c r="P60" s="27"/>
    </row>
    <row r="61" spans="1:18" ht="138.75" thickTop="1" thickBot="1" x14ac:dyDescent="0.25">
      <c r="A61" s="15" t="s">
        <v>180</v>
      </c>
      <c r="B61" s="64" t="s">
        <v>181</v>
      </c>
      <c r="C61" s="64"/>
      <c r="D61" s="64" t="s">
        <v>182</v>
      </c>
      <c r="E61" s="69">
        <f t="shared" ref="E61:J61" si="24">SUM(E62:E63)</f>
        <v>7108610</v>
      </c>
      <c r="F61" s="69">
        <f t="shared" si="24"/>
        <v>1059925</v>
      </c>
      <c r="G61" s="69">
        <f t="shared" si="24"/>
        <v>850229.6</v>
      </c>
      <c r="H61" s="122">
        <f t="shared" si="20"/>
        <v>0.80216015284100284</v>
      </c>
      <c r="I61" s="69">
        <f t="shared" si="24"/>
        <v>0</v>
      </c>
      <c r="J61" s="69">
        <f t="shared" si="24"/>
        <v>0</v>
      </c>
      <c r="K61" s="121">
        <v>0</v>
      </c>
      <c r="L61" s="69"/>
      <c r="M61" s="69"/>
      <c r="N61" s="69">
        <f t="shared" si="21"/>
        <v>850229.6</v>
      </c>
      <c r="O61" s="60" t="s">
        <v>435</v>
      </c>
      <c r="P61" s="27"/>
    </row>
    <row r="62" spans="1:18" s="20" customFormat="1" ht="138.75" thickTop="1" thickBot="1" x14ac:dyDescent="0.25">
      <c r="A62" s="15" t="s">
        <v>183</v>
      </c>
      <c r="B62" s="88" t="s">
        <v>184</v>
      </c>
      <c r="C62" s="88" t="s">
        <v>178</v>
      </c>
      <c r="D62" s="28" t="s">
        <v>185</v>
      </c>
      <c r="E62" s="68">
        <v>3474610</v>
      </c>
      <c r="F62" s="68">
        <v>869925</v>
      </c>
      <c r="G62" s="68">
        <v>730212.5</v>
      </c>
      <c r="H62" s="121">
        <f t="shared" si="20"/>
        <v>0.83939707446044198</v>
      </c>
      <c r="I62" s="68"/>
      <c r="J62" s="68"/>
      <c r="K62" s="121"/>
      <c r="L62" s="68"/>
      <c r="M62" s="131"/>
      <c r="N62" s="68">
        <f t="shared" si="21"/>
        <v>730212.5</v>
      </c>
      <c r="O62" s="22"/>
      <c r="P62" s="27"/>
    </row>
    <row r="63" spans="1:18" s="20" customFormat="1" ht="93" thickTop="1" thickBot="1" x14ac:dyDescent="0.25">
      <c r="A63" s="15" t="s">
        <v>186</v>
      </c>
      <c r="B63" s="88" t="s">
        <v>187</v>
      </c>
      <c r="C63" s="88" t="s">
        <v>178</v>
      </c>
      <c r="D63" s="28" t="s">
        <v>188</v>
      </c>
      <c r="E63" s="68">
        <v>3634000</v>
      </c>
      <c r="F63" s="68">
        <v>190000</v>
      </c>
      <c r="G63" s="68">
        <v>120017.1</v>
      </c>
      <c r="H63" s="121">
        <f t="shared" si="20"/>
        <v>0.63166894736842105</v>
      </c>
      <c r="I63" s="68"/>
      <c r="J63" s="68"/>
      <c r="K63" s="68"/>
      <c r="L63" s="68"/>
      <c r="M63" s="131"/>
      <c r="N63" s="68">
        <f t="shared" si="21"/>
        <v>120017.1</v>
      </c>
      <c r="O63" s="22"/>
      <c r="P63" s="27"/>
    </row>
    <row r="64" spans="1:18" ht="99" customHeight="1" thickTop="1" thickBot="1" x14ac:dyDescent="0.25">
      <c r="A64" s="8" t="s">
        <v>191</v>
      </c>
      <c r="B64" s="91" t="s">
        <v>140</v>
      </c>
      <c r="C64" s="91"/>
      <c r="D64" s="92" t="s">
        <v>141</v>
      </c>
      <c r="E64" s="93">
        <f>SUM(E65:E107)-E65-E74-E87-E89-E105-E84-E77-E80-E91</f>
        <v>170119941</v>
      </c>
      <c r="F64" s="93">
        <f>SUM(F65:F107)-F65-F74-F87-F89-F105-F84-F77-F80-F91</f>
        <v>42380938.980000004</v>
      </c>
      <c r="G64" s="93">
        <f>SUM(G65:G107)-G65-G74-G87-G89-G105-G84-G77-G80-G91</f>
        <v>34637021.880000003</v>
      </c>
      <c r="H64" s="94">
        <f>G64/F64</f>
        <v>0.81727830278478641</v>
      </c>
      <c r="I64" s="93">
        <f>SUM(I65:I107)-I65-I74-I87-I89-I105-I84-I77-I80-I91</f>
        <v>10870181.109999999</v>
      </c>
      <c r="J64" s="93">
        <f>SUM(J65:J107)-J65-J74-J87-J89-J105-J84-J77-J80-J91</f>
        <v>461124.95999999996</v>
      </c>
      <c r="K64" s="94">
        <f>J64/I64</f>
        <v>4.2421092650957677E-2</v>
      </c>
      <c r="L64" s="93"/>
      <c r="M64" s="93"/>
      <c r="N64" s="95">
        <f>J64+G64</f>
        <v>35098146.840000004</v>
      </c>
      <c r="O64" s="75" t="b">
        <f>N64=N66+N67+N68+N69+N70+N71+N73+N75+N76+N78+N81+N82+N83+N85+N86+N88+N90+N106+N107+N79+N72+N92+N95+N99+N102</f>
        <v>1</v>
      </c>
      <c r="P64" s="30"/>
      <c r="R64" s="29"/>
    </row>
    <row r="65" spans="1:18" ht="276" thickTop="1" thickBot="1" x14ac:dyDescent="0.25">
      <c r="A65" s="24" t="s">
        <v>192</v>
      </c>
      <c r="B65" s="64" t="s">
        <v>193</v>
      </c>
      <c r="C65" s="64"/>
      <c r="D65" s="64" t="s">
        <v>194</v>
      </c>
      <c r="E65" s="69">
        <f t="shared" ref="E65:J65" si="25">SUM(E66:E70)</f>
        <v>64538000</v>
      </c>
      <c r="F65" s="69">
        <f t="shared" si="25"/>
        <v>11213095</v>
      </c>
      <c r="G65" s="69">
        <f t="shared" si="25"/>
        <v>10941755.780000001</v>
      </c>
      <c r="H65" s="122">
        <f t="shared" si="20"/>
        <v>0.97580157663874256</v>
      </c>
      <c r="I65" s="69">
        <f t="shared" si="25"/>
        <v>150000</v>
      </c>
      <c r="J65" s="69">
        <f t="shared" si="25"/>
        <v>0</v>
      </c>
      <c r="K65" s="122">
        <f t="shared" ref="K65:K66" si="26">J65/I65</f>
        <v>0</v>
      </c>
      <c r="L65" s="69"/>
      <c r="M65" s="69"/>
      <c r="N65" s="69">
        <f t="shared" si="21"/>
        <v>10941755.780000001</v>
      </c>
      <c r="O65" s="31"/>
      <c r="P65" s="32"/>
      <c r="R65" s="33"/>
    </row>
    <row r="66" spans="1:18" s="20" customFormat="1" ht="138.75" thickTop="1" thickBot="1" x14ac:dyDescent="0.25">
      <c r="A66" s="15" t="s">
        <v>195</v>
      </c>
      <c r="B66" s="88" t="s">
        <v>196</v>
      </c>
      <c r="C66" s="88" t="s">
        <v>84</v>
      </c>
      <c r="D66" s="73" t="s">
        <v>197</v>
      </c>
      <c r="E66" s="68">
        <v>270000</v>
      </c>
      <c r="F66" s="68">
        <v>67480</v>
      </c>
      <c r="G66" s="68">
        <v>6835.07</v>
      </c>
      <c r="H66" s="121">
        <f t="shared" si="20"/>
        <v>0.10129030823947836</v>
      </c>
      <c r="I66" s="68">
        <v>150000</v>
      </c>
      <c r="J66" s="68">
        <v>0</v>
      </c>
      <c r="K66" s="121">
        <f t="shared" si="26"/>
        <v>0</v>
      </c>
      <c r="L66" s="68"/>
      <c r="M66" s="131"/>
      <c r="N66" s="68">
        <f t="shared" si="21"/>
        <v>6835.07</v>
      </c>
      <c r="O66" s="22"/>
      <c r="P66" s="30"/>
    </row>
    <row r="67" spans="1:18" s="20" customFormat="1" ht="138.75" thickTop="1" thickBot="1" x14ac:dyDescent="0.25">
      <c r="A67" s="15" t="s">
        <v>198</v>
      </c>
      <c r="B67" s="88" t="s">
        <v>199</v>
      </c>
      <c r="C67" s="88" t="s">
        <v>94</v>
      </c>
      <c r="D67" s="88" t="s">
        <v>200</v>
      </c>
      <c r="E67" s="68">
        <v>900000</v>
      </c>
      <c r="F67" s="68">
        <v>225000</v>
      </c>
      <c r="G67" s="68">
        <v>182016.22</v>
      </c>
      <c r="H67" s="121">
        <f t="shared" si="20"/>
        <v>0.80896097777777776</v>
      </c>
      <c r="I67" s="68"/>
      <c r="J67" s="68"/>
      <c r="K67" s="68"/>
      <c r="L67" s="68"/>
      <c r="M67" s="131"/>
      <c r="N67" s="68">
        <f t="shared" si="21"/>
        <v>182016.22</v>
      </c>
      <c r="O67" s="22"/>
      <c r="P67" s="34"/>
    </row>
    <row r="68" spans="1:18" s="20" customFormat="1" ht="184.5" thickTop="1" thickBot="1" x14ac:dyDescent="0.25">
      <c r="A68" s="15" t="s">
        <v>201</v>
      </c>
      <c r="B68" s="88" t="s">
        <v>202</v>
      </c>
      <c r="C68" s="88" t="s">
        <v>94</v>
      </c>
      <c r="D68" s="88" t="s">
        <v>203</v>
      </c>
      <c r="E68" s="68">
        <v>15600000</v>
      </c>
      <c r="F68" s="68">
        <v>2600000</v>
      </c>
      <c r="G68" s="68">
        <v>2600000</v>
      </c>
      <c r="H68" s="121">
        <f t="shared" si="20"/>
        <v>1</v>
      </c>
      <c r="I68" s="68"/>
      <c r="J68" s="68"/>
      <c r="K68" s="68"/>
      <c r="L68" s="68"/>
      <c r="M68" s="131"/>
      <c r="N68" s="68">
        <f t="shared" si="21"/>
        <v>2600000</v>
      </c>
      <c r="O68" s="22"/>
      <c r="P68" s="34"/>
    </row>
    <row r="69" spans="1:18" s="20" customFormat="1" ht="184.5" thickTop="1" thickBot="1" x14ac:dyDescent="0.25">
      <c r="A69" s="15" t="s">
        <v>204</v>
      </c>
      <c r="B69" s="88" t="s">
        <v>205</v>
      </c>
      <c r="C69" s="88" t="s">
        <v>94</v>
      </c>
      <c r="D69" s="88" t="s">
        <v>206</v>
      </c>
      <c r="E69" s="68">
        <v>900000</v>
      </c>
      <c r="F69" s="68">
        <v>225000</v>
      </c>
      <c r="G69" s="68">
        <v>57289.49</v>
      </c>
      <c r="H69" s="121">
        <f t="shared" si="20"/>
        <v>0.25461995555555555</v>
      </c>
      <c r="I69" s="68"/>
      <c r="J69" s="68"/>
      <c r="K69" s="68"/>
      <c r="L69" s="68"/>
      <c r="M69" s="131"/>
      <c r="N69" s="68">
        <f t="shared" si="21"/>
        <v>57289.49</v>
      </c>
      <c r="O69" s="60"/>
      <c r="P69" s="34"/>
    </row>
    <row r="70" spans="1:18" s="20" customFormat="1" ht="184.5" thickTop="1" thickBot="1" x14ac:dyDescent="0.25">
      <c r="A70" s="15" t="s">
        <v>207</v>
      </c>
      <c r="B70" s="88" t="s">
        <v>208</v>
      </c>
      <c r="C70" s="88" t="s">
        <v>94</v>
      </c>
      <c r="D70" s="88" t="s">
        <v>209</v>
      </c>
      <c r="E70" s="68">
        <v>46868000</v>
      </c>
      <c r="F70" s="68">
        <v>8095615</v>
      </c>
      <c r="G70" s="68">
        <v>8095615</v>
      </c>
      <c r="H70" s="121">
        <f t="shared" si="20"/>
        <v>1</v>
      </c>
      <c r="I70" s="68"/>
      <c r="J70" s="68"/>
      <c r="K70" s="68"/>
      <c r="L70" s="68"/>
      <c r="M70" s="131"/>
      <c r="N70" s="68">
        <f t="shared" si="21"/>
        <v>8095615</v>
      </c>
      <c r="O70" s="22"/>
      <c r="P70" s="34"/>
    </row>
    <row r="71" spans="1:18" s="20" customFormat="1" ht="184.5" thickTop="1" thickBot="1" x14ac:dyDescent="0.25">
      <c r="A71" s="15" t="s">
        <v>210</v>
      </c>
      <c r="B71" s="88" t="s">
        <v>211</v>
      </c>
      <c r="C71" s="88" t="s">
        <v>94</v>
      </c>
      <c r="D71" s="88" t="s">
        <v>212</v>
      </c>
      <c r="E71" s="68">
        <v>226297</v>
      </c>
      <c r="F71" s="68">
        <v>56575</v>
      </c>
      <c r="G71" s="68">
        <v>56574</v>
      </c>
      <c r="H71" s="121">
        <f t="shared" si="20"/>
        <v>0.99998232434821033</v>
      </c>
      <c r="I71" s="68"/>
      <c r="J71" s="68"/>
      <c r="K71" s="68"/>
      <c r="L71" s="68"/>
      <c r="M71" s="131"/>
      <c r="N71" s="68">
        <f t="shared" si="21"/>
        <v>56574</v>
      </c>
      <c r="O71" s="22"/>
      <c r="P71" s="34"/>
    </row>
    <row r="72" spans="1:18" s="20" customFormat="1" ht="165" customHeight="1" thickTop="1" thickBot="1" x14ac:dyDescent="0.25">
      <c r="A72" s="15"/>
      <c r="B72" s="88" t="s">
        <v>213</v>
      </c>
      <c r="C72" s="88" t="s">
        <v>94</v>
      </c>
      <c r="D72" s="88" t="s">
        <v>214</v>
      </c>
      <c r="E72" s="68">
        <v>179985</v>
      </c>
      <c r="F72" s="68">
        <v>0</v>
      </c>
      <c r="G72" s="68">
        <v>0</v>
      </c>
      <c r="H72" s="121">
        <v>0</v>
      </c>
      <c r="I72" s="130"/>
      <c r="J72" s="130"/>
      <c r="K72" s="130"/>
      <c r="L72" s="130"/>
      <c r="M72" s="128"/>
      <c r="N72" s="68">
        <f t="shared" si="21"/>
        <v>0</v>
      </c>
      <c r="O72" s="60" t="s">
        <v>435</v>
      </c>
      <c r="P72" s="34"/>
    </row>
    <row r="73" spans="1:18" ht="138.75" thickTop="1" thickBot="1" x14ac:dyDescent="0.25">
      <c r="A73" s="15" t="s">
        <v>215</v>
      </c>
      <c r="B73" s="88" t="s">
        <v>216</v>
      </c>
      <c r="C73" s="88" t="s">
        <v>84</v>
      </c>
      <c r="D73" s="88" t="s">
        <v>217</v>
      </c>
      <c r="E73" s="68">
        <v>498130</v>
      </c>
      <c r="F73" s="68">
        <v>124533</v>
      </c>
      <c r="G73" s="68">
        <v>123645.31</v>
      </c>
      <c r="H73" s="121">
        <f t="shared" si="20"/>
        <v>0.99287184922871852</v>
      </c>
      <c r="I73" s="68"/>
      <c r="J73" s="68"/>
      <c r="K73" s="68"/>
      <c r="L73" s="68"/>
      <c r="M73" s="131"/>
      <c r="N73" s="68">
        <f t="shared" si="21"/>
        <v>123645.31</v>
      </c>
      <c r="P73" s="34"/>
    </row>
    <row r="74" spans="1:18" s="20" customFormat="1" ht="276" thickTop="1" thickBot="1" x14ac:dyDescent="0.25">
      <c r="A74" s="24" t="s">
        <v>218</v>
      </c>
      <c r="B74" s="64" t="s">
        <v>219</v>
      </c>
      <c r="C74" s="64"/>
      <c r="D74" s="64" t="s">
        <v>220</v>
      </c>
      <c r="E74" s="69">
        <f t="shared" ref="E74:J74" si="27">SUM(E75:E76)</f>
        <v>42012775</v>
      </c>
      <c r="F74" s="69">
        <f t="shared" si="27"/>
        <v>13078985</v>
      </c>
      <c r="G74" s="69">
        <f t="shared" si="27"/>
        <v>10417317.549999999</v>
      </c>
      <c r="H74" s="122">
        <f t="shared" si="20"/>
        <v>0.79649281270679639</v>
      </c>
      <c r="I74" s="69">
        <f t="shared" si="27"/>
        <v>681160.02</v>
      </c>
      <c r="J74" s="69">
        <f t="shared" si="27"/>
        <v>203934.47999999998</v>
      </c>
      <c r="K74" s="122">
        <f t="shared" ref="K74:K79" si="28">J74/I74</f>
        <v>0.2993929091727961</v>
      </c>
      <c r="L74" s="69"/>
      <c r="M74" s="69"/>
      <c r="N74" s="69">
        <f t="shared" si="21"/>
        <v>10621252.029999999</v>
      </c>
      <c r="O74" s="22"/>
      <c r="P74" s="35"/>
    </row>
    <row r="75" spans="1:18" ht="276" thickTop="1" thickBot="1" x14ac:dyDescent="0.25">
      <c r="A75" s="15" t="s">
        <v>221</v>
      </c>
      <c r="B75" s="88" t="s">
        <v>222</v>
      </c>
      <c r="C75" s="88" t="s">
        <v>73</v>
      </c>
      <c r="D75" s="88" t="s">
        <v>223</v>
      </c>
      <c r="E75" s="68">
        <v>33486850</v>
      </c>
      <c r="F75" s="68">
        <v>10916167</v>
      </c>
      <c r="G75" s="68">
        <v>8670939.5199999996</v>
      </c>
      <c r="H75" s="121">
        <f t="shared" si="20"/>
        <v>0.79432089303873787</v>
      </c>
      <c r="I75" s="68">
        <v>600032.41</v>
      </c>
      <c r="J75" s="68">
        <v>128131.48</v>
      </c>
      <c r="K75" s="121">
        <f t="shared" si="28"/>
        <v>0.21354093189732867</v>
      </c>
      <c r="L75" s="68"/>
      <c r="M75" s="131"/>
      <c r="N75" s="68">
        <f t="shared" si="21"/>
        <v>8799071</v>
      </c>
      <c r="P75" s="30"/>
    </row>
    <row r="76" spans="1:18" ht="138.75" thickTop="1" thickBot="1" x14ac:dyDescent="0.25">
      <c r="A76" s="15" t="s">
        <v>224</v>
      </c>
      <c r="B76" s="88" t="s">
        <v>225</v>
      </c>
      <c r="C76" s="88" t="s">
        <v>69</v>
      </c>
      <c r="D76" s="88" t="s">
        <v>226</v>
      </c>
      <c r="E76" s="68">
        <v>8525925</v>
      </c>
      <c r="F76" s="68">
        <v>2162818</v>
      </c>
      <c r="G76" s="68">
        <v>1746378.03</v>
      </c>
      <c r="H76" s="121">
        <f t="shared" si="20"/>
        <v>0.8074549176121153</v>
      </c>
      <c r="I76" s="68">
        <v>81127.61</v>
      </c>
      <c r="J76" s="68">
        <v>75803</v>
      </c>
      <c r="K76" s="121">
        <f t="shared" si="28"/>
        <v>0.93436747366278883</v>
      </c>
      <c r="L76" s="68"/>
      <c r="M76" s="131"/>
      <c r="N76" s="68">
        <f t="shared" si="21"/>
        <v>1822181.03</v>
      </c>
      <c r="P76" s="30"/>
    </row>
    <row r="77" spans="1:18" ht="138.75" thickTop="1" thickBot="1" x14ac:dyDescent="0.25">
      <c r="A77" s="15"/>
      <c r="B77" s="64" t="s">
        <v>299</v>
      </c>
      <c r="C77" s="64"/>
      <c r="D77" s="64" t="s">
        <v>300</v>
      </c>
      <c r="E77" s="70">
        <f>E78+E79</f>
        <v>6040461</v>
      </c>
      <c r="F77" s="70">
        <f>F78+F79</f>
        <v>1532930</v>
      </c>
      <c r="G77" s="70">
        <f>G78+G79</f>
        <v>1340424.78</v>
      </c>
      <c r="H77" s="122">
        <f t="shared" si="20"/>
        <v>0.87442008441350882</v>
      </c>
      <c r="I77" s="70">
        <f>I78+I79</f>
        <v>0</v>
      </c>
      <c r="J77" s="70">
        <f>J78+J79</f>
        <v>0</v>
      </c>
      <c r="K77" s="122">
        <v>0</v>
      </c>
      <c r="L77" s="70"/>
      <c r="M77" s="70"/>
      <c r="N77" s="69">
        <f>G77+J77</f>
        <v>1340424.78</v>
      </c>
      <c r="O77" s="60" t="s">
        <v>435</v>
      </c>
      <c r="P77" s="30"/>
    </row>
    <row r="78" spans="1:18" ht="138.75" thickTop="1" thickBot="1" x14ac:dyDescent="0.25">
      <c r="A78" s="15"/>
      <c r="B78" s="88" t="s">
        <v>301</v>
      </c>
      <c r="C78" s="88" t="s">
        <v>142</v>
      </c>
      <c r="D78" s="88" t="s">
        <v>302</v>
      </c>
      <c r="E78" s="67">
        <v>6040461</v>
      </c>
      <c r="F78" s="67">
        <v>1532930</v>
      </c>
      <c r="G78" s="67">
        <v>1340424.78</v>
      </c>
      <c r="H78" s="121">
        <f t="shared" si="20"/>
        <v>0.87442008441350882</v>
      </c>
      <c r="I78" s="67"/>
      <c r="J78" s="126"/>
      <c r="K78" s="121"/>
      <c r="L78" s="126"/>
      <c r="M78" s="131"/>
      <c r="N78" s="68">
        <f t="shared" si="21"/>
        <v>1340424.78</v>
      </c>
      <c r="P78" s="30"/>
    </row>
    <row r="79" spans="1:18" ht="276" hidden="1" thickTop="1" thickBot="1" x14ac:dyDescent="0.25">
      <c r="A79" s="15"/>
      <c r="B79" s="96" t="s">
        <v>465</v>
      </c>
      <c r="C79" s="96" t="s">
        <v>142</v>
      </c>
      <c r="D79" s="96" t="s">
        <v>466</v>
      </c>
      <c r="E79" s="97"/>
      <c r="F79" s="97"/>
      <c r="G79" s="97"/>
      <c r="H79" s="98" t="e">
        <f t="shared" si="20"/>
        <v>#DIV/0!</v>
      </c>
      <c r="I79" s="97"/>
      <c r="J79" s="99"/>
      <c r="K79" s="98" t="e">
        <f t="shared" si="28"/>
        <v>#DIV/0!</v>
      </c>
      <c r="L79" s="99"/>
      <c r="M79" s="105"/>
      <c r="N79" s="101">
        <f t="shared" si="21"/>
        <v>0</v>
      </c>
      <c r="P79" s="30"/>
    </row>
    <row r="80" spans="1:18" ht="93" thickTop="1" thickBot="1" x14ac:dyDescent="0.25">
      <c r="A80" s="15"/>
      <c r="B80" s="64" t="s">
        <v>303</v>
      </c>
      <c r="C80" s="64"/>
      <c r="D80" s="64" t="s">
        <v>304</v>
      </c>
      <c r="E80" s="71">
        <f t="shared" ref="E80:G80" si="29">SUM(E81:E82)</f>
        <v>13001319</v>
      </c>
      <c r="F80" s="71">
        <f t="shared" si="29"/>
        <v>3286209</v>
      </c>
      <c r="G80" s="71">
        <f t="shared" si="29"/>
        <v>2433498.63</v>
      </c>
      <c r="H80" s="122">
        <f t="shared" si="20"/>
        <v>0.74051852149391595</v>
      </c>
      <c r="I80" s="71">
        <f t="shared" ref="I80:J80" si="30">SUM(I81:I82)</f>
        <v>942682.09</v>
      </c>
      <c r="J80" s="71">
        <f t="shared" si="30"/>
        <v>112133.73</v>
      </c>
      <c r="K80" s="121">
        <f t="shared" ref="K80:K82" si="31">J80/I80</f>
        <v>0.11895179847959135</v>
      </c>
      <c r="L80" s="137"/>
      <c r="M80" s="137"/>
      <c r="N80" s="69">
        <f t="shared" si="21"/>
        <v>2545632.36</v>
      </c>
      <c r="P80" s="30"/>
    </row>
    <row r="81" spans="1:16" ht="93" thickTop="1" thickBot="1" x14ac:dyDescent="0.25">
      <c r="A81" s="15"/>
      <c r="B81" s="88" t="s">
        <v>305</v>
      </c>
      <c r="C81" s="88" t="s">
        <v>142</v>
      </c>
      <c r="D81" s="88" t="s">
        <v>306</v>
      </c>
      <c r="E81" s="67">
        <v>4920329</v>
      </c>
      <c r="F81" s="67">
        <v>1481909</v>
      </c>
      <c r="G81" s="67">
        <v>1122865.1399999999</v>
      </c>
      <c r="H81" s="121">
        <f t="shared" si="20"/>
        <v>0.75771531180389617</v>
      </c>
      <c r="I81" s="67">
        <v>903993</v>
      </c>
      <c r="J81" s="126">
        <v>85334.73</v>
      </c>
      <c r="K81" s="121">
        <f t="shared" si="31"/>
        <v>9.4397556175766839E-2</v>
      </c>
      <c r="L81" s="129"/>
      <c r="M81" s="128"/>
      <c r="N81" s="68">
        <f t="shared" si="21"/>
        <v>1208199.8699999999</v>
      </c>
      <c r="P81" s="30"/>
    </row>
    <row r="82" spans="1:16" ht="93" thickTop="1" thickBot="1" x14ac:dyDescent="0.25">
      <c r="A82" s="15"/>
      <c r="B82" s="88" t="s">
        <v>307</v>
      </c>
      <c r="C82" s="88" t="s">
        <v>142</v>
      </c>
      <c r="D82" s="88" t="s">
        <v>308</v>
      </c>
      <c r="E82" s="67">
        <v>8080990</v>
      </c>
      <c r="F82" s="67">
        <v>1804300</v>
      </c>
      <c r="G82" s="67">
        <v>1310633.49</v>
      </c>
      <c r="H82" s="121">
        <f t="shared" si="20"/>
        <v>0.72639444105747386</v>
      </c>
      <c r="I82" s="67">
        <v>38689.089999999997</v>
      </c>
      <c r="J82" s="126">
        <v>26799</v>
      </c>
      <c r="K82" s="121">
        <f t="shared" si="31"/>
        <v>0.69267589390187267</v>
      </c>
      <c r="L82" s="129"/>
      <c r="M82" s="128"/>
      <c r="N82" s="68">
        <f t="shared" si="21"/>
        <v>1337432.49</v>
      </c>
      <c r="P82" s="30"/>
    </row>
    <row r="83" spans="1:16" ht="409.6" thickTop="1" thickBot="1" x14ac:dyDescent="0.25">
      <c r="A83" s="15" t="s">
        <v>227</v>
      </c>
      <c r="B83" s="88" t="s">
        <v>228</v>
      </c>
      <c r="C83" s="88" t="s">
        <v>69</v>
      </c>
      <c r="D83" s="88" t="s">
        <v>229</v>
      </c>
      <c r="E83" s="68">
        <v>3283295</v>
      </c>
      <c r="F83" s="68">
        <v>820830</v>
      </c>
      <c r="G83" s="68">
        <v>576268.59</v>
      </c>
      <c r="H83" s="121">
        <f t="shared" si="20"/>
        <v>0.70205595555717992</v>
      </c>
      <c r="I83" s="81"/>
      <c r="J83" s="68"/>
      <c r="K83" s="68"/>
      <c r="L83" s="68"/>
      <c r="M83" s="131"/>
      <c r="N83" s="68">
        <f t="shared" si="21"/>
        <v>576268.59</v>
      </c>
      <c r="P83" s="34"/>
    </row>
    <row r="84" spans="1:16" ht="138.75" thickTop="1" thickBot="1" x14ac:dyDescent="0.25">
      <c r="A84" s="24" t="s">
        <v>230</v>
      </c>
      <c r="B84" s="64" t="s">
        <v>231</v>
      </c>
      <c r="C84" s="64"/>
      <c r="D84" s="64" t="s">
        <v>232</v>
      </c>
      <c r="E84" s="69">
        <f>E85</f>
        <v>159297</v>
      </c>
      <c r="F84" s="69">
        <f t="shared" ref="F84:G84" si="32">F85</f>
        <v>79648</v>
      </c>
      <c r="G84" s="69">
        <f t="shared" si="32"/>
        <v>71530.3</v>
      </c>
      <c r="H84" s="122">
        <f t="shared" si="20"/>
        <v>0.89808030333467259</v>
      </c>
      <c r="I84" s="69"/>
      <c r="J84" s="69"/>
      <c r="K84" s="122"/>
      <c r="L84" s="69"/>
      <c r="M84" s="69"/>
      <c r="N84" s="69">
        <f t="shared" si="21"/>
        <v>71530.3</v>
      </c>
      <c r="O84" s="60"/>
      <c r="P84" s="34"/>
    </row>
    <row r="85" spans="1:16" ht="276" thickTop="1" thickBot="1" x14ac:dyDescent="0.25">
      <c r="A85" s="15" t="s">
        <v>233</v>
      </c>
      <c r="B85" s="88" t="s">
        <v>234</v>
      </c>
      <c r="C85" s="88" t="s">
        <v>69</v>
      </c>
      <c r="D85" s="88" t="s">
        <v>235</v>
      </c>
      <c r="E85" s="68">
        <v>159297</v>
      </c>
      <c r="F85" s="68">
        <v>79648</v>
      </c>
      <c r="G85" s="68">
        <v>71530.3</v>
      </c>
      <c r="H85" s="121">
        <f t="shared" si="20"/>
        <v>0.89808030333467259</v>
      </c>
      <c r="I85" s="81"/>
      <c r="J85" s="68"/>
      <c r="K85" s="68"/>
      <c r="L85" s="68"/>
      <c r="M85" s="131"/>
      <c r="N85" s="68">
        <f t="shared" si="21"/>
        <v>71530.3</v>
      </c>
      <c r="P85" s="34"/>
    </row>
    <row r="86" spans="1:16" ht="367.5" thickTop="1" thickBot="1" x14ac:dyDescent="0.25">
      <c r="A86" s="15" t="s">
        <v>236</v>
      </c>
      <c r="B86" s="88" t="s">
        <v>237</v>
      </c>
      <c r="C86" s="88" t="s">
        <v>89</v>
      </c>
      <c r="D86" s="88" t="s">
        <v>238</v>
      </c>
      <c r="E86" s="68">
        <v>2842500</v>
      </c>
      <c r="F86" s="68">
        <v>750000</v>
      </c>
      <c r="G86" s="68">
        <v>682661.89</v>
      </c>
      <c r="H86" s="121">
        <f t="shared" si="20"/>
        <v>0.91021585333333332</v>
      </c>
      <c r="I86" s="81"/>
      <c r="J86" s="68"/>
      <c r="K86" s="68"/>
      <c r="L86" s="68"/>
      <c r="M86" s="131"/>
      <c r="N86" s="68">
        <f t="shared" si="21"/>
        <v>682661.89</v>
      </c>
      <c r="P86" s="34"/>
    </row>
    <row r="87" spans="1:16" s="20" customFormat="1" ht="93" thickTop="1" thickBot="1" x14ac:dyDescent="0.25">
      <c r="A87" s="24" t="s">
        <v>239</v>
      </c>
      <c r="B87" s="64" t="s">
        <v>240</v>
      </c>
      <c r="C87" s="64"/>
      <c r="D87" s="64" t="s">
        <v>241</v>
      </c>
      <c r="E87" s="69">
        <f t="shared" ref="E87:G87" si="33">E88</f>
        <v>758000</v>
      </c>
      <c r="F87" s="69">
        <f t="shared" si="33"/>
        <v>192000</v>
      </c>
      <c r="G87" s="69">
        <f t="shared" si="33"/>
        <v>0</v>
      </c>
      <c r="H87" s="122">
        <f t="shared" si="20"/>
        <v>0</v>
      </c>
      <c r="I87" s="69"/>
      <c r="J87" s="69"/>
      <c r="K87" s="122"/>
      <c r="L87" s="69"/>
      <c r="M87" s="69"/>
      <c r="N87" s="69">
        <f>G87+J87</f>
        <v>0</v>
      </c>
      <c r="O87" s="60"/>
      <c r="P87" s="35"/>
    </row>
    <row r="88" spans="1:16" ht="230.25" thickTop="1" thickBot="1" x14ac:dyDescent="0.25">
      <c r="A88" s="15" t="s">
        <v>242</v>
      </c>
      <c r="B88" s="88" t="s">
        <v>243</v>
      </c>
      <c r="C88" s="88" t="s">
        <v>84</v>
      </c>
      <c r="D88" s="88" t="s">
        <v>244</v>
      </c>
      <c r="E88" s="68">
        <v>758000</v>
      </c>
      <c r="F88" s="68">
        <v>192000</v>
      </c>
      <c r="G88" s="68">
        <v>0</v>
      </c>
      <c r="H88" s="121">
        <f t="shared" si="20"/>
        <v>0</v>
      </c>
      <c r="I88" s="68"/>
      <c r="J88" s="68"/>
      <c r="K88" s="68"/>
      <c r="L88" s="68"/>
      <c r="M88" s="131"/>
      <c r="N88" s="68">
        <f t="shared" si="21"/>
        <v>0</v>
      </c>
      <c r="P88" s="34"/>
    </row>
    <row r="89" spans="1:16" s="20" customFormat="1" ht="184.5" thickTop="1" thickBot="1" x14ac:dyDescent="0.25">
      <c r="A89" s="24" t="s">
        <v>245</v>
      </c>
      <c r="B89" s="64" t="s">
        <v>246</v>
      </c>
      <c r="C89" s="64"/>
      <c r="D89" s="64" t="s">
        <v>247</v>
      </c>
      <c r="E89" s="69">
        <f t="shared" ref="E89:J89" si="34">E90</f>
        <v>107000</v>
      </c>
      <c r="F89" s="69">
        <f t="shared" si="34"/>
        <v>27300</v>
      </c>
      <c r="G89" s="69">
        <f t="shared" si="34"/>
        <v>0</v>
      </c>
      <c r="H89" s="122">
        <f>G89/F89</f>
        <v>0</v>
      </c>
      <c r="I89" s="69">
        <f t="shared" si="34"/>
        <v>0</v>
      </c>
      <c r="J89" s="69">
        <f t="shared" si="34"/>
        <v>0</v>
      </c>
      <c r="K89" s="121">
        <v>0</v>
      </c>
      <c r="L89" s="69"/>
      <c r="M89" s="69"/>
      <c r="N89" s="69">
        <f>G89+J89</f>
        <v>0</v>
      </c>
      <c r="O89" s="60" t="s">
        <v>435</v>
      </c>
      <c r="P89" s="35"/>
    </row>
    <row r="90" spans="1:16" ht="93" thickTop="1" thickBot="1" x14ac:dyDescent="0.25">
      <c r="A90" s="15" t="s">
        <v>248</v>
      </c>
      <c r="B90" s="88" t="s">
        <v>249</v>
      </c>
      <c r="C90" s="88" t="s">
        <v>250</v>
      </c>
      <c r="D90" s="88" t="s">
        <v>251</v>
      </c>
      <c r="E90" s="68">
        <v>107000</v>
      </c>
      <c r="F90" s="68">
        <v>27300</v>
      </c>
      <c r="G90" s="68">
        <v>0</v>
      </c>
      <c r="H90" s="121">
        <f t="shared" si="20"/>
        <v>0</v>
      </c>
      <c r="I90" s="68"/>
      <c r="J90" s="68"/>
      <c r="K90" s="121"/>
      <c r="L90" s="68"/>
      <c r="M90" s="131"/>
      <c r="N90" s="68">
        <f>G90+J90</f>
        <v>0</v>
      </c>
      <c r="P90" s="34"/>
    </row>
    <row r="91" spans="1:16" ht="230.25" hidden="1" thickTop="1" thickBot="1" x14ac:dyDescent="0.25">
      <c r="A91" s="15"/>
      <c r="B91" s="106" t="s">
        <v>478</v>
      </c>
      <c r="C91" s="106"/>
      <c r="D91" s="106" t="s">
        <v>479</v>
      </c>
      <c r="E91" s="107">
        <f>E92+E95+E99+E102</f>
        <v>0</v>
      </c>
      <c r="F91" s="107">
        <f t="shared" ref="F91:G91" si="35">F92+F95+F99+F102</f>
        <v>0</v>
      </c>
      <c r="G91" s="107">
        <f t="shared" si="35"/>
        <v>0</v>
      </c>
      <c r="H91" s="98">
        <v>0</v>
      </c>
      <c r="I91" s="107">
        <f>I92+I95+I99+I102</f>
        <v>0</v>
      </c>
      <c r="J91" s="107">
        <f>J92+J95+J99+J102</f>
        <v>0</v>
      </c>
      <c r="K91" s="108" t="e">
        <f>J91/I91</f>
        <v>#DIV/0!</v>
      </c>
      <c r="L91" s="101"/>
      <c r="M91" s="105"/>
      <c r="N91" s="107">
        <f>G91+J91</f>
        <v>0</v>
      </c>
      <c r="O91" s="60" t="s">
        <v>435</v>
      </c>
      <c r="P91" s="34"/>
    </row>
    <row r="92" spans="1:16" ht="409.6" hidden="1" thickTop="1" thickBot="1" x14ac:dyDescent="0.7">
      <c r="A92" s="15"/>
      <c r="B92" s="170" t="s">
        <v>480</v>
      </c>
      <c r="C92" s="170" t="s">
        <v>89</v>
      </c>
      <c r="D92" s="114" t="s">
        <v>481</v>
      </c>
      <c r="E92" s="173"/>
      <c r="F92" s="173"/>
      <c r="G92" s="173"/>
      <c r="H92" s="173"/>
      <c r="I92" s="173"/>
      <c r="J92" s="173"/>
      <c r="K92" s="176" t="e">
        <f>J92/I92</f>
        <v>#DIV/0!</v>
      </c>
      <c r="L92" s="101"/>
      <c r="M92" s="105"/>
      <c r="N92" s="173">
        <f>G92+J92</f>
        <v>0</v>
      </c>
      <c r="P92" s="34"/>
    </row>
    <row r="93" spans="1:16" ht="409.6" hidden="1" thickTop="1" thickBot="1" x14ac:dyDescent="0.25">
      <c r="A93" s="15"/>
      <c r="B93" s="171"/>
      <c r="C93" s="171"/>
      <c r="D93" s="115" t="s">
        <v>482</v>
      </c>
      <c r="E93" s="174"/>
      <c r="F93" s="174"/>
      <c r="G93" s="174"/>
      <c r="H93" s="174"/>
      <c r="I93" s="174"/>
      <c r="J93" s="174"/>
      <c r="K93" s="177"/>
      <c r="L93" s="101"/>
      <c r="M93" s="105"/>
      <c r="N93" s="174"/>
      <c r="P93" s="34"/>
    </row>
    <row r="94" spans="1:16" ht="409.6" hidden="1" thickTop="1" thickBot="1" x14ac:dyDescent="0.25">
      <c r="A94" s="15"/>
      <c r="B94" s="172"/>
      <c r="C94" s="172"/>
      <c r="D94" s="116" t="s">
        <v>483</v>
      </c>
      <c r="E94" s="175"/>
      <c r="F94" s="175"/>
      <c r="G94" s="175"/>
      <c r="H94" s="175"/>
      <c r="I94" s="175"/>
      <c r="J94" s="175"/>
      <c r="K94" s="178"/>
      <c r="L94" s="101"/>
      <c r="M94" s="105"/>
      <c r="N94" s="175"/>
      <c r="P94" s="34"/>
    </row>
    <row r="95" spans="1:16" ht="409.6" hidden="1" thickTop="1" thickBot="1" x14ac:dyDescent="0.7">
      <c r="A95" s="15"/>
      <c r="B95" s="170" t="s">
        <v>484</v>
      </c>
      <c r="C95" s="170" t="s">
        <v>89</v>
      </c>
      <c r="D95" s="114" t="s">
        <v>485</v>
      </c>
      <c r="E95" s="173"/>
      <c r="F95" s="173"/>
      <c r="G95" s="173"/>
      <c r="H95" s="173"/>
      <c r="I95" s="173"/>
      <c r="J95" s="173"/>
      <c r="K95" s="176" t="e">
        <f>J95/I95</f>
        <v>#DIV/0!</v>
      </c>
      <c r="L95" s="101"/>
      <c r="M95" s="105"/>
      <c r="N95" s="173">
        <f>G95+J95</f>
        <v>0</v>
      </c>
      <c r="P95" s="34"/>
    </row>
    <row r="96" spans="1:16" ht="409.6" hidden="1" thickTop="1" thickBot="1" x14ac:dyDescent="0.25">
      <c r="A96" s="15"/>
      <c r="B96" s="171"/>
      <c r="C96" s="171"/>
      <c r="D96" s="115" t="s">
        <v>486</v>
      </c>
      <c r="E96" s="174"/>
      <c r="F96" s="174"/>
      <c r="G96" s="174"/>
      <c r="H96" s="174"/>
      <c r="I96" s="174"/>
      <c r="J96" s="174"/>
      <c r="K96" s="177"/>
      <c r="L96" s="101"/>
      <c r="M96" s="105"/>
      <c r="N96" s="174"/>
      <c r="P96" s="34"/>
    </row>
    <row r="97" spans="1:16" ht="409.6" hidden="1" thickTop="1" thickBot="1" x14ac:dyDescent="0.25">
      <c r="A97" s="15"/>
      <c r="B97" s="171"/>
      <c r="C97" s="171"/>
      <c r="D97" s="115" t="s">
        <v>487</v>
      </c>
      <c r="E97" s="174"/>
      <c r="F97" s="174"/>
      <c r="G97" s="174"/>
      <c r="H97" s="174"/>
      <c r="I97" s="174"/>
      <c r="J97" s="174"/>
      <c r="K97" s="177"/>
      <c r="L97" s="101"/>
      <c r="M97" s="105"/>
      <c r="N97" s="174"/>
      <c r="P97" s="34"/>
    </row>
    <row r="98" spans="1:16" ht="184.5" hidden="1" thickTop="1" thickBot="1" x14ac:dyDescent="0.25">
      <c r="A98" s="15"/>
      <c r="B98" s="172"/>
      <c r="C98" s="172"/>
      <c r="D98" s="116" t="s">
        <v>488</v>
      </c>
      <c r="E98" s="175"/>
      <c r="F98" s="175"/>
      <c r="G98" s="175"/>
      <c r="H98" s="175"/>
      <c r="I98" s="175"/>
      <c r="J98" s="175"/>
      <c r="K98" s="178"/>
      <c r="L98" s="101"/>
      <c r="M98" s="105"/>
      <c r="N98" s="175"/>
      <c r="P98" s="34"/>
    </row>
    <row r="99" spans="1:16" ht="409.6" hidden="1" thickTop="1" thickBot="1" x14ac:dyDescent="0.7">
      <c r="A99" s="15"/>
      <c r="B99" s="170" t="s">
        <v>489</v>
      </c>
      <c r="C99" s="170" t="s">
        <v>89</v>
      </c>
      <c r="D99" s="114" t="s">
        <v>490</v>
      </c>
      <c r="E99" s="173"/>
      <c r="F99" s="173"/>
      <c r="G99" s="173"/>
      <c r="H99" s="173"/>
      <c r="I99" s="173"/>
      <c r="J99" s="173"/>
      <c r="K99" s="176" t="e">
        <f>J99/I99</f>
        <v>#DIV/0!</v>
      </c>
      <c r="L99" s="101"/>
      <c r="M99" s="105"/>
      <c r="N99" s="173">
        <f>G99+J99</f>
        <v>0</v>
      </c>
      <c r="P99" s="34"/>
    </row>
    <row r="100" spans="1:16" ht="409.6" hidden="1" thickTop="1" thickBot="1" x14ac:dyDescent="0.25">
      <c r="A100" s="15"/>
      <c r="B100" s="171"/>
      <c r="C100" s="171"/>
      <c r="D100" s="115" t="s">
        <v>491</v>
      </c>
      <c r="E100" s="174"/>
      <c r="F100" s="174"/>
      <c r="G100" s="174"/>
      <c r="H100" s="174"/>
      <c r="I100" s="174"/>
      <c r="J100" s="174"/>
      <c r="K100" s="177"/>
      <c r="L100" s="101"/>
      <c r="M100" s="105"/>
      <c r="N100" s="174"/>
      <c r="P100" s="34"/>
    </row>
    <row r="101" spans="1:16" ht="138.75" hidden="1" thickTop="1" thickBot="1" x14ac:dyDescent="0.25">
      <c r="A101" s="15"/>
      <c r="B101" s="172"/>
      <c r="C101" s="172"/>
      <c r="D101" s="116" t="s">
        <v>492</v>
      </c>
      <c r="E101" s="175"/>
      <c r="F101" s="175"/>
      <c r="G101" s="175"/>
      <c r="H101" s="175"/>
      <c r="I101" s="175"/>
      <c r="J101" s="175"/>
      <c r="K101" s="178"/>
      <c r="L101" s="101"/>
      <c r="M101" s="105"/>
      <c r="N101" s="175"/>
      <c r="P101" s="34"/>
    </row>
    <row r="102" spans="1:16" ht="409.6" hidden="1" thickTop="1" thickBot="1" x14ac:dyDescent="0.7">
      <c r="A102" s="15"/>
      <c r="B102" s="170" t="s">
        <v>493</v>
      </c>
      <c r="C102" s="170" t="s">
        <v>89</v>
      </c>
      <c r="D102" s="114" t="s">
        <v>494</v>
      </c>
      <c r="E102" s="173"/>
      <c r="F102" s="173"/>
      <c r="G102" s="173"/>
      <c r="H102" s="173"/>
      <c r="I102" s="173"/>
      <c r="J102" s="173"/>
      <c r="K102" s="176" t="e">
        <f>J102/I102</f>
        <v>#DIV/0!</v>
      </c>
      <c r="L102" s="101"/>
      <c r="M102" s="105"/>
      <c r="N102" s="173">
        <f t="shared" si="21"/>
        <v>0</v>
      </c>
      <c r="P102" s="34"/>
    </row>
    <row r="103" spans="1:16" ht="367.5" hidden="1" thickTop="1" thickBot="1" x14ac:dyDescent="0.25">
      <c r="A103" s="15"/>
      <c r="B103" s="171"/>
      <c r="C103" s="171"/>
      <c r="D103" s="115" t="s">
        <v>495</v>
      </c>
      <c r="E103" s="174"/>
      <c r="F103" s="174"/>
      <c r="G103" s="174"/>
      <c r="H103" s="174"/>
      <c r="I103" s="174"/>
      <c r="J103" s="174"/>
      <c r="K103" s="177"/>
      <c r="L103" s="101"/>
      <c r="M103" s="105"/>
      <c r="N103" s="174"/>
      <c r="P103" s="34"/>
    </row>
    <row r="104" spans="1:16" ht="93" hidden="1" thickTop="1" thickBot="1" x14ac:dyDescent="0.25">
      <c r="A104" s="15"/>
      <c r="B104" s="172"/>
      <c r="C104" s="172"/>
      <c r="D104" s="116" t="s">
        <v>496</v>
      </c>
      <c r="E104" s="175"/>
      <c r="F104" s="175"/>
      <c r="G104" s="175"/>
      <c r="H104" s="175"/>
      <c r="I104" s="175"/>
      <c r="J104" s="175"/>
      <c r="K104" s="178"/>
      <c r="L104" s="101"/>
      <c r="M104" s="105"/>
      <c r="N104" s="175"/>
      <c r="P104" s="34"/>
    </row>
    <row r="105" spans="1:16" s="20" customFormat="1" ht="93" thickTop="1" thickBot="1" x14ac:dyDescent="0.25">
      <c r="A105" s="24" t="s">
        <v>252</v>
      </c>
      <c r="B105" s="64" t="s">
        <v>253</v>
      </c>
      <c r="C105" s="64"/>
      <c r="D105" s="64" t="s">
        <v>254</v>
      </c>
      <c r="E105" s="69">
        <f t="shared" ref="E105:J105" si="36">SUM(E106:E107)</f>
        <v>36472882</v>
      </c>
      <c r="F105" s="69">
        <f t="shared" si="36"/>
        <v>11218833.98</v>
      </c>
      <c r="G105" s="69">
        <f t="shared" si="36"/>
        <v>7993345.0500000007</v>
      </c>
      <c r="H105" s="122">
        <f t="shared" si="20"/>
        <v>0.7124933896205139</v>
      </c>
      <c r="I105" s="69">
        <f t="shared" si="36"/>
        <v>9096339</v>
      </c>
      <c r="J105" s="69">
        <f t="shared" si="36"/>
        <v>145056.75</v>
      </c>
      <c r="K105" s="122">
        <f t="shared" ref="K105:K107" si="37">J105/I105</f>
        <v>1.5946717684993929E-2</v>
      </c>
      <c r="L105" s="69"/>
      <c r="M105" s="69"/>
      <c r="N105" s="69">
        <f t="shared" si="21"/>
        <v>8138401.8000000007</v>
      </c>
      <c r="O105" s="22"/>
      <c r="P105" s="35"/>
    </row>
    <row r="106" spans="1:16" ht="184.5" thickTop="1" thickBot="1" x14ac:dyDescent="0.25">
      <c r="A106" s="15" t="s">
        <v>255</v>
      </c>
      <c r="B106" s="88" t="s">
        <v>256</v>
      </c>
      <c r="C106" s="88" t="s">
        <v>98</v>
      </c>
      <c r="D106" s="28" t="s">
        <v>257</v>
      </c>
      <c r="E106" s="68">
        <v>12724065</v>
      </c>
      <c r="F106" s="67">
        <v>4035834.98</v>
      </c>
      <c r="G106" s="67">
        <v>2624205.6</v>
      </c>
      <c r="H106" s="121">
        <f t="shared" si="20"/>
        <v>0.65022618937704935</v>
      </c>
      <c r="I106" s="68">
        <v>8630439</v>
      </c>
      <c r="J106" s="68">
        <v>145056.75</v>
      </c>
      <c r="K106" s="121">
        <f t="shared" si="37"/>
        <v>1.680757491015231E-2</v>
      </c>
      <c r="L106" s="68"/>
      <c r="M106" s="131"/>
      <c r="N106" s="68">
        <f t="shared" si="21"/>
        <v>2769262.35</v>
      </c>
      <c r="P106" s="30"/>
    </row>
    <row r="107" spans="1:16" ht="138.75" thickTop="1" thickBot="1" x14ac:dyDescent="0.25">
      <c r="A107" s="15" t="s">
        <v>258</v>
      </c>
      <c r="B107" s="88" t="s">
        <v>259</v>
      </c>
      <c r="C107" s="88" t="s">
        <v>98</v>
      </c>
      <c r="D107" s="28" t="s">
        <v>260</v>
      </c>
      <c r="E107" s="68">
        <v>23748817</v>
      </c>
      <c r="F107" s="68">
        <v>7182999</v>
      </c>
      <c r="G107" s="68">
        <v>5369139.4500000002</v>
      </c>
      <c r="H107" s="121">
        <f t="shared" si="20"/>
        <v>0.74747879680896523</v>
      </c>
      <c r="I107" s="68">
        <v>465900</v>
      </c>
      <c r="J107" s="68">
        <v>0</v>
      </c>
      <c r="K107" s="121">
        <f t="shared" si="37"/>
        <v>0</v>
      </c>
      <c r="L107" s="68"/>
      <c r="M107" s="131"/>
      <c r="N107" s="68">
        <f t="shared" si="21"/>
        <v>5369139.4500000002</v>
      </c>
      <c r="P107" s="30"/>
    </row>
    <row r="108" spans="1:16" s="11" customFormat="1" ht="92.25" customHeight="1" thickTop="1" thickBot="1" x14ac:dyDescent="0.25">
      <c r="A108" s="8" t="s">
        <v>271</v>
      </c>
      <c r="B108" s="91" t="s">
        <v>272</v>
      </c>
      <c r="C108" s="91"/>
      <c r="D108" s="92" t="s">
        <v>273</v>
      </c>
      <c r="E108" s="93">
        <f>SUM(E109:E115)-E113</f>
        <v>66138320</v>
      </c>
      <c r="F108" s="93">
        <f t="shared" ref="F108:J108" si="38">SUM(F109:F115)-F113</f>
        <v>15235798</v>
      </c>
      <c r="G108" s="93">
        <f t="shared" si="38"/>
        <v>13437257.929999998</v>
      </c>
      <c r="H108" s="94">
        <f>G108/F108</f>
        <v>0.88195301158495265</v>
      </c>
      <c r="I108" s="93">
        <f t="shared" si="38"/>
        <v>5601845</v>
      </c>
      <c r="J108" s="93">
        <f t="shared" si="38"/>
        <v>161338.35999999999</v>
      </c>
      <c r="K108" s="94">
        <f>J108/I108</f>
        <v>2.8800932549900966E-2</v>
      </c>
      <c r="L108" s="93"/>
      <c r="M108" s="93"/>
      <c r="N108" s="95">
        <f>J108+G108</f>
        <v>13598596.289999997</v>
      </c>
      <c r="O108" s="75" t="b">
        <f>N108=N109+N110+N111+N112+N114+N115</f>
        <v>1</v>
      </c>
      <c r="P108" s="34"/>
    </row>
    <row r="109" spans="1:16" ht="93" thickTop="1" thickBot="1" x14ac:dyDescent="0.25">
      <c r="A109" s="15" t="s">
        <v>274</v>
      </c>
      <c r="B109" s="88" t="s">
        <v>275</v>
      </c>
      <c r="C109" s="88" t="s">
        <v>276</v>
      </c>
      <c r="D109" s="88" t="s">
        <v>277</v>
      </c>
      <c r="E109" s="68">
        <v>1100800</v>
      </c>
      <c r="F109" s="68">
        <v>275199</v>
      </c>
      <c r="G109" s="68">
        <v>260152.25</v>
      </c>
      <c r="H109" s="121">
        <f t="shared" ref="H109:H130" si="39">G109/F109</f>
        <v>0.94532411091610069</v>
      </c>
      <c r="I109" s="130"/>
      <c r="J109" s="130"/>
      <c r="K109" s="130"/>
      <c r="L109" s="130"/>
      <c r="M109" s="128"/>
      <c r="N109" s="68">
        <f t="shared" ref="N109:N130" si="40">G109+J109</f>
        <v>260152.25</v>
      </c>
      <c r="P109" s="34"/>
    </row>
    <row r="110" spans="1:16" ht="93" thickTop="1" thickBot="1" x14ac:dyDescent="0.25">
      <c r="A110" s="15" t="s">
        <v>278</v>
      </c>
      <c r="B110" s="88" t="s">
        <v>279</v>
      </c>
      <c r="C110" s="88" t="s">
        <v>280</v>
      </c>
      <c r="D110" s="88" t="s">
        <v>281</v>
      </c>
      <c r="E110" s="68">
        <v>15273555</v>
      </c>
      <c r="F110" s="68">
        <v>3997387</v>
      </c>
      <c r="G110" s="68">
        <v>3369939.9</v>
      </c>
      <c r="H110" s="121">
        <f t="shared" si="39"/>
        <v>0.84303568806322726</v>
      </c>
      <c r="I110" s="68">
        <v>120000</v>
      </c>
      <c r="J110" s="68">
        <v>4100</v>
      </c>
      <c r="K110" s="121">
        <f t="shared" ref="K110:K114" si="41">J110/I110</f>
        <v>3.4166666666666665E-2</v>
      </c>
      <c r="L110" s="68"/>
      <c r="M110" s="131"/>
      <c r="N110" s="68">
        <f t="shared" si="40"/>
        <v>3374039.9</v>
      </c>
      <c r="P110" s="30"/>
    </row>
    <row r="111" spans="1:16" ht="93" thickTop="1" thickBot="1" x14ac:dyDescent="0.25">
      <c r="A111" s="15" t="s">
        <v>282</v>
      </c>
      <c r="B111" s="88" t="s">
        <v>283</v>
      </c>
      <c r="C111" s="88" t="s">
        <v>280</v>
      </c>
      <c r="D111" s="88" t="s">
        <v>284</v>
      </c>
      <c r="E111" s="68">
        <v>2274910</v>
      </c>
      <c r="F111" s="68">
        <v>622400</v>
      </c>
      <c r="G111" s="68">
        <v>494521.94</v>
      </c>
      <c r="H111" s="121">
        <f t="shared" si="39"/>
        <v>0.79454039203084836</v>
      </c>
      <c r="I111" s="68">
        <v>4738920</v>
      </c>
      <c r="J111" s="68">
        <v>6419.65</v>
      </c>
      <c r="K111" s="121">
        <f t="shared" si="41"/>
        <v>1.3546651979775982E-3</v>
      </c>
      <c r="L111" s="68"/>
      <c r="M111" s="131"/>
      <c r="N111" s="68">
        <f t="shared" si="40"/>
        <v>500941.59</v>
      </c>
      <c r="P111" s="30"/>
    </row>
    <row r="112" spans="1:16" ht="184.5" thickTop="1" thickBot="1" x14ac:dyDescent="0.25">
      <c r="A112" s="15" t="s">
        <v>285</v>
      </c>
      <c r="B112" s="88" t="s">
        <v>286</v>
      </c>
      <c r="C112" s="88" t="s">
        <v>287</v>
      </c>
      <c r="D112" s="88" t="s">
        <v>288</v>
      </c>
      <c r="E112" s="68">
        <v>16744655</v>
      </c>
      <c r="F112" s="68">
        <v>4367463</v>
      </c>
      <c r="G112" s="68">
        <v>3696026.94</v>
      </c>
      <c r="H112" s="121">
        <f t="shared" si="39"/>
        <v>0.84626405306696362</v>
      </c>
      <c r="I112" s="68">
        <v>481300</v>
      </c>
      <c r="J112" s="68">
        <v>39645.71</v>
      </c>
      <c r="K112" s="121">
        <f t="shared" si="41"/>
        <v>8.2372137959692504E-2</v>
      </c>
      <c r="L112" s="68"/>
      <c r="M112" s="131"/>
      <c r="N112" s="68">
        <f t="shared" si="40"/>
        <v>3735672.65</v>
      </c>
      <c r="P112" s="30"/>
    </row>
    <row r="113" spans="1:16" ht="93" thickTop="1" thickBot="1" x14ac:dyDescent="0.25">
      <c r="A113" s="24" t="s">
        <v>289</v>
      </c>
      <c r="B113" s="64" t="s">
        <v>290</v>
      </c>
      <c r="C113" s="64"/>
      <c r="D113" s="64" t="s">
        <v>291</v>
      </c>
      <c r="E113" s="69">
        <f t="shared" ref="E113:J113" si="42">SUM(E114:E115)</f>
        <v>30744400</v>
      </c>
      <c r="F113" s="69">
        <f t="shared" si="42"/>
        <v>5973349</v>
      </c>
      <c r="G113" s="69">
        <f t="shared" si="42"/>
        <v>5616616.9000000004</v>
      </c>
      <c r="H113" s="122">
        <f t="shared" si="39"/>
        <v>0.94027938096367725</v>
      </c>
      <c r="I113" s="69">
        <f t="shared" si="42"/>
        <v>261625</v>
      </c>
      <c r="J113" s="69">
        <f t="shared" si="42"/>
        <v>111173</v>
      </c>
      <c r="K113" s="122">
        <f t="shared" si="41"/>
        <v>0.42493263258480651</v>
      </c>
      <c r="L113" s="135"/>
      <c r="M113" s="135"/>
      <c r="N113" s="69">
        <f t="shared" si="40"/>
        <v>5727789.9000000004</v>
      </c>
      <c r="P113" s="30"/>
    </row>
    <row r="114" spans="1:16" ht="138.75" thickTop="1" thickBot="1" x14ac:dyDescent="0.25">
      <c r="A114" s="15" t="s">
        <v>292</v>
      </c>
      <c r="B114" s="88" t="s">
        <v>293</v>
      </c>
      <c r="C114" s="88" t="s">
        <v>294</v>
      </c>
      <c r="D114" s="88" t="s">
        <v>295</v>
      </c>
      <c r="E114" s="68">
        <v>23987945</v>
      </c>
      <c r="F114" s="68">
        <v>5591389</v>
      </c>
      <c r="G114" s="68">
        <v>5288408.45</v>
      </c>
      <c r="H114" s="121">
        <f t="shared" si="39"/>
        <v>0.94581300818097258</v>
      </c>
      <c r="I114" s="68">
        <v>261625</v>
      </c>
      <c r="J114" s="68">
        <v>111173</v>
      </c>
      <c r="K114" s="121">
        <f t="shared" si="41"/>
        <v>0.42493263258480651</v>
      </c>
      <c r="L114" s="68"/>
      <c r="M114" s="131"/>
      <c r="N114" s="68">
        <f t="shared" si="40"/>
        <v>5399581.4500000002</v>
      </c>
      <c r="P114" s="34"/>
    </row>
    <row r="115" spans="1:16" ht="93" thickTop="1" thickBot="1" x14ac:dyDescent="0.25">
      <c r="A115" s="15" t="s">
        <v>296</v>
      </c>
      <c r="B115" s="88" t="s">
        <v>297</v>
      </c>
      <c r="C115" s="88" t="s">
        <v>294</v>
      </c>
      <c r="D115" s="88" t="s">
        <v>298</v>
      </c>
      <c r="E115" s="68">
        <v>6756455</v>
      </c>
      <c r="F115" s="68">
        <v>381960</v>
      </c>
      <c r="G115" s="68">
        <v>328208.45</v>
      </c>
      <c r="H115" s="121">
        <f t="shared" si="39"/>
        <v>0.8592744004607813</v>
      </c>
      <c r="I115" s="130"/>
      <c r="J115" s="130"/>
      <c r="K115" s="130"/>
      <c r="L115" s="130"/>
      <c r="M115" s="128"/>
      <c r="N115" s="68">
        <f t="shared" si="40"/>
        <v>328208.45</v>
      </c>
      <c r="P115" s="34"/>
    </row>
    <row r="116" spans="1:16" ht="77.25" customHeight="1" thickTop="1" thickBot="1" x14ac:dyDescent="0.25">
      <c r="A116" s="8" t="s">
        <v>309</v>
      </c>
      <c r="B116" s="91" t="s">
        <v>310</v>
      </c>
      <c r="C116" s="91"/>
      <c r="D116" s="92" t="s">
        <v>311</v>
      </c>
      <c r="E116" s="93">
        <f>SUM(E117:E130)-E117-E120-E122-E127-E125</f>
        <v>93360278</v>
      </c>
      <c r="F116" s="93">
        <f>SUM(F117:F130)-F117-F120-F122-F127-F125</f>
        <v>20459248</v>
      </c>
      <c r="G116" s="93">
        <f>SUM(G117:G130)-G117-G120-G122-G127-G125</f>
        <v>17011083.620000001</v>
      </c>
      <c r="H116" s="94">
        <f>G116/F116</f>
        <v>0.83146182205719399</v>
      </c>
      <c r="I116" s="93">
        <f>SUM(I117:I130)-I117-I120-I122-I127-I125</f>
        <v>28073270</v>
      </c>
      <c r="J116" s="93">
        <f>SUM(J117:J130)-J117-J120-J122-J127-J125</f>
        <v>5242288.87</v>
      </c>
      <c r="K116" s="94">
        <f>J116/I116</f>
        <v>0.18673595452186367</v>
      </c>
      <c r="L116" s="93"/>
      <c r="M116" s="93"/>
      <c r="N116" s="95">
        <f>J116+G116</f>
        <v>22253372.490000002</v>
      </c>
      <c r="O116" s="75" t="b">
        <f>N116=N118+N119+N121+N123+N124+N126+N128+N129+N130</f>
        <v>1</v>
      </c>
      <c r="P116" s="30"/>
    </row>
    <row r="117" spans="1:16" s="20" customFormat="1" ht="93" thickTop="1" thickBot="1" x14ac:dyDescent="0.25">
      <c r="A117" s="24" t="s">
        <v>312</v>
      </c>
      <c r="B117" s="64" t="s">
        <v>313</v>
      </c>
      <c r="C117" s="64"/>
      <c r="D117" s="64" t="s">
        <v>314</v>
      </c>
      <c r="E117" s="71">
        <f t="shared" ref="E117:G117" si="43">SUM(E118:E119)</f>
        <v>25324232</v>
      </c>
      <c r="F117" s="71">
        <f t="shared" si="43"/>
        <v>3665381</v>
      </c>
      <c r="G117" s="71">
        <f t="shared" si="43"/>
        <v>2590592.02</v>
      </c>
      <c r="H117" s="122">
        <f>G117/F117</f>
        <v>0.70677291664904685</v>
      </c>
      <c r="I117" s="137"/>
      <c r="J117" s="137"/>
      <c r="K117" s="136"/>
      <c r="L117" s="137"/>
      <c r="M117" s="137"/>
      <c r="N117" s="69">
        <f t="shared" si="40"/>
        <v>2590592.02</v>
      </c>
      <c r="O117" s="60"/>
      <c r="P117" s="36"/>
    </row>
    <row r="118" spans="1:16" s="39" customFormat="1" ht="138.75" thickTop="1" thickBot="1" x14ac:dyDescent="0.25">
      <c r="A118" s="15" t="s">
        <v>315</v>
      </c>
      <c r="B118" s="88" t="s">
        <v>316</v>
      </c>
      <c r="C118" s="88" t="s">
        <v>317</v>
      </c>
      <c r="D118" s="88" t="s">
        <v>318</v>
      </c>
      <c r="E118" s="67">
        <v>22258032</v>
      </c>
      <c r="F118" s="68">
        <v>3399466</v>
      </c>
      <c r="G118" s="68">
        <v>2347732.02</v>
      </c>
      <c r="H118" s="121">
        <f t="shared" si="39"/>
        <v>0.6906178852796292</v>
      </c>
      <c r="I118" s="130"/>
      <c r="J118" s="130"/>
      <c r="K118" s="130"/>
      <c r="L118" s="130"/>
      <c r="M118" s="128"/>
      <c r="N118" s="68">
        <f t="shared" si="40"/>
        <v>2347732.02</v>
      </c>
      <c r="O118" s="37"/>
      <c r="P118" s="38"/>
    </row>
    <row r="119" spans="1:16" s="39" customFormat="1" ht="138.75" thickTop="1" thickBot="1" x14ac:dyDescent="0.25">
      <c r="A119" s="15" t="s">
        <v>319</v>
      </c>
      <c r="B119" s="88" t="s">
        <v>320</v>
      </c>
      <c r="C119" s="88" t="s">
        <v>317</v>
      </c>
      <c r="D119" s="88" t="s">
        <v>321</v>
      </c>
      <c r="E119" s="67">
        <v>3066200</v>
      </c>
      <c r="F119" s="68">
        <v>265915</v>
      </c>
      <c r="G119" s="68">
        <v>242860</v>
      </c>
      <c r="H119" s="121">
        <f t="shared" si="39"/>
        <v>0.91329936257826749</v>
      </c>
      <c r="I119" s="68"/>
      <c r="J119" s="68"/>
      <c r="K119" s="68"/>
      <c r="L119" s="68"/>
      <c r="M119" s="131"/>
      <c r="N119" s="68">
        <f t="shared" si="40"/>
        <v>242860</v>
      </c>
      <c r="O119" s="37"/>
      <c r="P119" s="38"/>
    </row>
    <row r="120" spans="1:16" s="20" customFormat="1" ht="184.5" thickTop="1" thickBot="1" x14ac:dyDescent="0.25">
      <c r="A120" s="24" t="s">
        <v>322</v>
      </c>
      <c r="B120" s="64" t="s">
        <v>323</v>
      </c>
      <c r="C120" s="64"/>
      <c r="D120" s="64" t="s">
        <v>324</v>
      </c>
      <c r="E120" s="71">
        <f t="shared" ref="E120:F120" si="44">E121</f>
        <v>53300</v>
      </c>
      <c r="F120" s="71">
        <f t="shared" si="44"/>
        <v>6000</v>
      </c>
      <c r="G120" s="71">
        <f>G121</f>
        <v>0</v>
      </c>
      <c r="H120" s="122">
        <f>G120/F120</f>
        <v>0</v>
      </c>
      <c r="I120" s="71"/>
      <c r="J120" s="71"/>
      <c r="K120" s="122"/>
      <c r="L120" s="71"/>
      <c r="M120" s="71"/>
      <c r="N120" s="69">
        <f t="shared" si="40"/>
        <v>0</v>
      </c>
      <c r="O120" s="60"/>
      <c r="P120" s="40"/>
    </row>
    <row r="121" spans="1:16" s="39" customFormat="1" ht="184.5" thickTop="1" thickBot="1" x14ac:dyDescent="0.25">
      <c r="A121" s="15" t="s">
        <v>325</v>
      </c>
      <c r="B121" s="88" t="s">
        <v>326</v>
      </c>
      <c r="C121" s="88" t="s">
        <v>317</v>
      </c>
      <c r="D121" s="88" t="s">
        <v>327</v>
      </c>
      <c r="E121" s="67">
        <v>53300</v>
      </c>
      <c r="F121" s="67">
        <v>6000</v>
      </c>
      <c r="G121" s="67">
        <v>0</v>
      </c>
      <c r="H121" s="121">
        <f>G121/F121</f>
        <v>0</v>
      </c>
      <c r="I121" s="68"/>
      <c r="J121" s="67"/>
      <c r="K121" s="67"/>
      <c r="L121" s="67"/>
      <c r="M121" s="131"/>
      <c r="N121" s="68">
        <f t="shared" si="40"/>
        <v>0</v>
      </c>
      <c r="O121" s="37"/>
      <c r="P121" s="38"/>
    </row>
    <row r="122" spans="1:16" ht="93" thickTop="1" thickBot="1" x14ac:dyDescent="0.25">
      <c r="A122" s="24" t="s">
        <v>328</v>
      </c>
      <c r="B122" s="64" t="s">
        <v>329</v>
      </c>
      <c r="C122" s="64"/>
      <c r="D122" s="64" t="s">
        <v>330</v>
      </c>
      <c r="E122" s="71">
        <f t="shared" ref="E122:J122" si="45">SUM(E123:E124)</f>
        <v>62721280</v>
      </c>
      <c r="F122" s="71">
        <f t="shared" si="45"/>
        <v>15864152</v>
      </c>
      <c r="G122" s="71">
        <f t="shared" si="45"/>
        <v>13688525.59</v>
      </c>
      <c r="H122" s="122">
        <f t="shared" si="39"/>
        <v>0.86285895331814777</v>
      </c>
      <c r="I122" s="71">
        <f t="shared" si="45"/>
        <v>8073270</v>
      </c>
      <c r="J122" s="71">
        <f t="shared" si="45"/>
        <v>5242288.87</v>
      </c>
      <c r="K122" s="122">
        <f t="shared" ref="K122:K126" si="46">J122/I122</f>
        <v>0.64933897540897312</v>
      </c>
      <c r="L122" s="137"/>
      <c r="M122" s="137"/>
      <c r="N122" s="69">
        <f t="shared" si="40"/>
        <v>18930814.460000001</v>
      </c>
      <c r="P122" s="30"/>
    </row>
    <row r="123" spans="1:16" s="39" customFormat="1" ht="184.5" thickTop="1" thickBot="1" x14ac:dyDescent="0.25">
      <c r="A123" s="15" t="s">
        <v>331</v>
      </c>
      <c r="B123" s="88" t="s">
        <v>332</v>
      </c>
      <c r="C123" s="88" t="s">
        <v>317</v>
      </c>
      <c r="D123" s="88" t="s">
        <v>333</v>
      </c>
      <c r="E123" s="67">
        <v>57207290</v>
      </c>
      <c r="F123" s="67">
        <v>14370474</v>
      </c>
      <c r="G123" s="67">
        <v>12419805.93</v>
      </c>
      <c r="H123" s="121">
        <f t="shared" si="39"/>
        <v>0.86425861318144415</v>
      </c>
      <c r="I123" s="67">
        <v>8073270</v>
      </c>
      <c r="J123" s="67">
        <v>5242288.87</v>
      </c>
      <c r="K123" s="121">
        <f t="shared" si="46"/>
        <v>0.64933897540897312</v>
      </c>
      <c r="L123" s="67"/>
      <c r="M123" s="131"/>
      <c r="N123" s="68">
        <f t="shared" si="40"/>
        <v>17662094.800000001</v>
      </c>
      <c r="O123" s="37"/>
      <c r="P123" s="38"/>
    </row>
    <row r="124" spans="1:16" s="39" customFormat="1" ht="184.5" thickTop="1" thickBot="1" x14ac:dyDescent="0.25">
      <c r="A124" s="15" t="s">
        <v>334</v>
      </c>
      <c r="B124" s="88" t="s">
        <v>335</v>
      </c>
      <c r="C124" s="88" t="s">
        <v>317</v>
      </c>
      <c r="D124" s="88" t="s">
        <v>336</v>
      </c>
      <c r="E124" s="67">
        <v>5513990</v>
      </c>
      <c r="F124" s="67">
        <v>1493678</v>
      </c>
      <c r="G124" s="67">
        <v>1268719.6599999999</v>
      </c>
      <c r="H124" s="121">
        <f t="shared" si="39"/>
        <v>0.849393015094284</v>
      </c>
      <c r="I124" s="67"/>
      <c r="J124" s="67"/>
      <c r="K124" s="121"/>
      <c r="L124" s="67"/>
      <c r="M124" s="131"/>
      <c r="N124" s="68">
        <f t="shared" si="40"/>
        <v>1268719.6599999999</v>
      </c>
      <c r="O124" s="37"/>
      <c r="P124" s="38"/>
    </row>
    <row r="125" spans="1:16" s="39" customFormat="1" ht="93" thickTop="1" thickBot="1" x14ac:dyDescent="0.25">
      <c r="A125" s="15"/>
      <c r="B125" s="64" t="s">
        <v>394</v>
      </c>
      <c r="C125" s="64"/>
      <c r="D125" s="64" t="s">
        <v>395</v>
      </c>
      <c r="E125" s="71">
        <f t="shared" ref="E125:J125" si="47">E126</f>
        <v>0</v>
      </c>
      <c r="F125" s="71">
        <f t="shared" si="47"/>
        <v>0</v>
      </c>
      <c r="G125" s="71">
        <f t="shared" si="47"/>
        <v>0</v>
      </c>
      <c r="H125" s="122">
        <v>0</v>
      </c>
      <c r="I125" s="71">
        <f t="shared" si="47"/>
        <v>20000000</v>
      </c>
      <c r="J125" s="71">
        <f t="shared" si="47"/>
        <v>0</v>
      </c>
      <c r="K125" s="122">
        <f t="shared" si="46"/>
        <v>0</v>
      </c>
      <c r="L125" s="71"/>
      <c r="M125" s="71"/>
      <c r="N125" s="69">
        <f t="shared" si="40"/>
        <v>0</v>
      </c>
      <c r="O125" s="37"/>
      <c r="P125" s="38"/>
    </row>
    <row r="126" spans="1:16" s="39" customFormat="1" ht="409.6" thickTop="1" thickBot="1" x14ac:dyDescent="0.25">
      <c r="A126" s="15"/>
      <c r="B126" s="88" t="s">
        <v>396</v>
      </c>
      <c r="C126" s="88" t="s">
        <v>317</v>
      </c>
      <c r="D126" s="88" t="s">
        <v>527</v>
      </c>
      <c r="E126" s="130"/>
      <c r="F126" s="130"/>
      <c r="G126" s="130"/>
      <c r="H126" s="138"/>
      <c r="I126" s="68">
        <v>20000000</v>
      </c>
      <c r="J126" s="68">
        <v>0</v>
      </c>
      <c r="K126" s="121">
        <f t="shared" si="46"/>
        <v>0</v>
      </c>
      <c r="L126" s="68"/>
      <c r="M126" s="131"/>
      <c r="N126" s="68">
        <f t="shared" si="40"/>
        <v>0</v>
      </c>
      <c r="O126" s="37"/>
      <c r="P126" s="38"/>
    </row>
    <row r="127" spans="1:16" ht="93" thickTop="1" thickBot="1" x14ac:dyDescent="0.25">
      <c r="A127" s="41" t="s">
        <v>337</v>
      </c>
      <c r="B127" s="64" t="s">
        <v>338</v>
      </c>
      <c r="C127" s="64"/>
      <c r="D127" s="64" t="s">
        <v>339</v>
      </c>
      <c r="E127" s="71">
        <f t="shared" ref="E127:J127" si="48">SUM(E128:E130)</f>
        <v>5261466</v>
      </c>
      <c r="F127" s="71">
        <f>SUM(F128:F130)</f>
        <v>923715</v>
      </c>
      <c r="G127" s="71">
        <f t="shared" si="48"/>
        <v>731966.01</v>
      </c>
      <c r="H127" s="122">
        <f t="shared" si="39"/>
        <v>0.79241542034068946</v>
      </c>
      <c r="I127" s="71">
        <f t="shared" si="48"/>
        <v>0</v>
      </c>
      <c r="J127" s="71">
        <f t="shared" si="48"/>
        <v>0</v>
      </c>
      <c r="K127" s="122">
        <v>0</v>
      </c>
      <c r="L127" s="137"/>
      <c r="M127" s="137"/>
      <c r="N127" s="69">
        <f t="shared" si="40"/>
        <v>731966.01</v>
      </c>
      <c r="O127" s="60" t="s">
        <v>435</v>
      </c>
      <c r="P127" s="30"/>
    </row>
    <row r="128" spans="1:16" s="39" customFormat="1" ht="276" thickTop="1" thickBot="1" x14ac:dyDescent="0.25">
      <c r="A128" s="42" t="s">
        <v>340</v>
      </c>
      <c r="B128" s="63" t="s">
        <v>341</v>
      </c>
      <c r="C128" s="63" t="s">
        <v>317</v>
      </c>
      <c r="D128" s="88" t="s">
        <v>342</v>
      </c>
      <c r="E128" s="67">
        <v>1016620</v>
      </c>
      <c r="F128" s="68">
        <v>19746</v>
      </c>
      <c r="G128" s="68">
        <v>13625</v>
      </c>
      <c r="H128" s="121">
        <f t="shared" si="39"/>
        <v>0.69001316722374151</v>
      </c>
      <c r="I128" s="68"/>
      <c r="J128" s="68"/>
      <c r="K128" s="68"/>
      <c r="L128" s="68"/>
      <c r="M128" s="131"/>
      <c r="N128" s="68">
        <f t="shared" si="40"/>
        <v>13625</v>
      </c>
      <c r="O128" s="37"/>
      <c r="P128" s="38"/>
    </row>
    <row r="129" spans="1:16" s="39" customFormat="1" ht="184.5" thickTop="1" thickBot="1" x14ac:dyDescent="0.25">
      <c r="A129" s="42" t="s">
        <v>343</v>
      </c>
      <c r="B129" s="63" t="s">
        <v>344</v>
      </c>
      <c r="C129" s="63" t="s">
        <v>317</v>
      </c>
      <c r="D129" s="88" t="s">
        <v>345</v>
      </c>
      <c r="E129" s="67">
        <v>2490471</v>
      </c>
      <c r="F129" s="68">
        <v>470315</v>
      </c>
      <c r="G129" s="68">
        <v>384990</v>
      </c>
      <c r="H129" s="121">
        <f t="shared" si="39"/>
        <v>0.81857903745362148</v>
      </c>
      <c r="I129" s="68"/>
      <c r="J129" s="68"/>
      <c r="K129" s="68"/>
      <c r="L129" s="68"/>
      <c r="M129" s="131"/>
      <c r="N129" s="68">
        <f t="shared" si="40"/>
        <v>384990</v>
      </c>
      <c r="O129" s="37"/>
      <c r="P129" s="38"/>
    </row>
    <row r="130" spans="1:16" s="39" customFormat="1" ht="93" thickTop="1" thickBot="1" x14ac:dyDescent="0.25">
      <c r="A130" s="42" t="s">
        <v>346</v>
      </c>
      <c r="B130" s="63" t="s">
        <v>347</v>
      </c>
      <c r="C130" s="63" t="s">
        <v>317</v>
      </c>
      <c r="D130" s="88" t="s">
        <v>348</v>
      </c>
      <c r="E130" s="67">
        <v>1754375</v>
      </c>
      <c r="F130" s="68">
        <v>433654</v>
      </c>
      <c r="G130" s="68">
        <v>333351.01</v>
      </c>
      <c r="H130" s="121">
        <f t="shared" si="39"/>
        <v>0.76870272152453345</v>
      </c>
      <c r="I130" s="68"/>
      <c r="J130" s="68"/>
      <c r="K130" s="121"/>
      <c r="L130" s="68"/>
      <c r="M130" s="131"/>
      <c r="N130" s="68">
        <f t="shared" si="40"/>
        <v>333351.01</v>
      </c>
      <c r="O130" s="37"/>
      <c r="P130" s="38"/>
    </row>
    <row r="131" spans="1:16" ht="91.5" thickTop="1" thickBot="1" x14ac:dyDescent="0.25">
      <c r="A131" s="8" t="s">
        <v>351</v>
      </c>
      <c r="B131" s="91" t="s">
        <v>261</v>
      </c>
      <c r="C131" s="91"/>
      <c r="D131" s="92" t="s">
        <v>262</v>
      </c>
      <c r="E131" s="93">
        <f>SUM(E132:E144)-E132-E140</f>
        <v>313992037</v>
      </c>
      <c r="F131" s="93">
        <f>SUM(F132:F144)-F132-F140</f>
        <v>94209352</v>
      </c>
      <c r="G131" s="93">
        <f>SUM(G132:G144)-G132-G140</f>
        <v>87314856.199999988</v>
      </c>
      <c r="H131" s="94">
        <f>G131/F131</f>
        <v>0.92681728879740077</v>
      </c>
      <c r="I131" s="93">
        <f>SUM(I132:I144)-I132-I140</f>
        <v>37473600</v>
      </c>
      <c r="J131" s="93">
        <f>SUM(J132:J144)-J132-J140</f>
        <v>737650.84</v>
      </c>
      <c r="K131" s="94">
        <f>J131/I131</f>
        <v>1.9684546987746038E-2</v>
      </c>
      <c r="L131" s="93"/>
      <c r="M131" s="93"/>
      <c r="N131" s="95">
        <f>J131+G131</f>
        <v>88052507.039999992</v>
      </c>
      <c r="O131" s="75" t="b">
        <f>N131=N133+N134+N135+N136+N137+N138+N139+N141+N143+N142</f>
        <v>1</v>
      </c>
      <c r="P131" s="43"/>
    </row>
    <row r="132" spans="1:16" s="20" customFormat="1" ht="184.5" thickTop="1" thickBot="1" x14ac:dyDescent="0.25">
      <c r="A132" s="24" t="s">
        <v>352</v>
      </c>
      <c r="B132" s="84" t="s">
        <v>353</v>
      </c>
      <c r="C132" s="84"/>
      <c r="D132" s="84" t="s">
        <v>354</v>
      </c>
      <c r="E132" s="69">
        <f t="shared" ref="E132:J132" si="49">SUM(E133:E137)</f>
        <v>68850000</v>
      </c>
      <c r="F132" s="69">
        <f t="shared" si="49"/>
        <v>50345000</v>
      </c>
      <c r="G132" s="69">
        <f t="shared" si="49"/>
        <v>50132831.240000002</v>
      </c>
      <c r="H132" s="122">
        <f t="shared" ref="H132:H135" si="50">G132/F132</f>
        <v>0.99578570344622108</v>
      </c>
      <c r="I132" s="69">
        <f t="shared" si="49"/>
        <v>26258600</v>
      </c>
      <c r="J132" s="69">
        <f t="shared" si="49"/>
        <v>737650.84</v>
      </c>
      <c r="K132" s="122">
        <f t="shared" ref="K132:K133" si="51">J132/I132</f>
        <v>2.8091780978422305E-2</v>
      </c>
      <c r="L132" s="135"/>
      <c r="M132" s="135"/>
      <c r="N132" s="69">
        <f t="shared" ref="N132:N181" si="52">G132+J132</f>
        <v>50870482.080000006</v>
      </c>
      <c r="O132" s="22"/>
      <c r="P132" s="43"/>
    </row>
    <row r="133" spans="1:16" ht="138.75" thickTop="1" thickBot="1" x14ac:dyDescent="0.25">
      <c r="A133" s="15" t="s">
        <v>355</v>
      </c>
      <c r="B133" s="88" t="s">
        <v>356</v>
      </c>
      <c r="C133" s="88" t="s">
        <v>265</v>
      </c>
      <c r="D133" s="88" t="s">
        <v>357</v>
      </c>
      <c r="E133" s="67">
        <v>1500000</v>
      </c>
      <c r="F133" s="67">
        <v>210000</v>
      </c>
      <c r="G133" s="67">
        <v>82832.95</v>
      </c>
      <c r="H133" s="121">
        <f t="shared" si="50"/>
        <v>0.39444261904761901</v>
      </c>
      <c r="I133" s="67">
        <v>4508600</v>
      </c>
      <c r="J133" s="126">
        <v>9932.35</v>
      </c>
      <c r="K133" s="121">
        <f t="shared" si="51"/>
        <v>2.2029787517189371E-3</v>
      </c>
      <c r="L133" s="126"/>
      <c r="M133" s="131"/>
      <c r="N133" s="68">
        <f t="shared" si="52"/>
        <v>92765.3</v>
      </c>
      <c r="P133" s="43"/>
    </row>
    <row r="134" spans="1:16" ht="138.75" thickTop="1" thickBot="1" x14ac:dyDescent="0.25">
      <c r="A134" s="15"/>
      <c r="B134" s="88" t="s">
        <v>377</v>
      </c>
      <c r="C134" s="88" t="s">
        <v>360</v>
      </c>
      <c r="D134" s="88" t="s">
        <v>378</v>
      </c>
      <c r="E134" s="67">
        <v>50000000</v>
      </c>
      <c r="F134" s="67">
        <v>50000000</v>
      </c>
      <c r="G134" s="67">
        <v>50000000</v>
      </c>
      <c r="H134" s="121">
        <f t="shared" si="50"/>
        <v>1</v>
      </c>
      <c r="I134" s="67"/>
      <c r="J134" s="126"/>
      <c r="K134" s="126"/>
      <c r="L134" s="126"/>
      <c r="M134" s="131"/>
      <c r="N134" s="68">
        <f t="shared" si="52"/>
        <v>50000000</v>
      </c>
      <c r="P134" s="43"/>
    </row>
    <row r="135" spans="1:16" ht="138.75" thickTop="1" thickBot="1" x14ac:dyDescent="0.25">
      <c r="A135" s="15"/>
      <c r="B135" s="88" t="s">
        <v>379</v>
      </c>
      <c r="C135" s="88" t="s">
        <v>360</v>
      </c>
      <c r="D135" s="88" t="s">
        <v>380</v>
      </c>
      <c r="E135" s="67">
        <v>650000</v>
      </c>
      <c r="F135" s="67">
        <v>135000</v>
      </c>
      <c r="G135" s="67">
        <v>49998.29</v>
      </c>
      <c r="H135" s="121">
        <f t="shared" si="50"/>
        <v>0.37035770370370369</v>
      </c>
      <c r="I135" s="67">
        <v>250000</v>
      </c>
      <c r="J135" s="126">
        <v>0</v>
      </c>
      <c r="K135" s="121">
        <f t="shared" ref="K135:K142" si="53">J135/I135</f>
        <v>0</v>
      </c>
      <c r="L135" s="126"/>
      <c r="M135" s="131"/>
      <c r="N135" s="68">
        <f t="shared" si="52"/>
        <v>49998.29</v>
      </c>
      <c r="P135" s="43"/>
    </row>
    <row r="136" spans="1:16" ht="138.75" thickTop="1" thickBot="1" x14ac:dyDescent="0.25">
      <c r="A136" s="15" t="s">
        <v>358</v>
      </c>
      <c r="B136" s="88" t="s">
        <v>359</v>
      </c>
      <c r="C136" s="88" t="s">
        <v>360</v>
      </c>
      <c r="D136" s="88" t="s">
        <v>361</v>
      </c>
      <c r="E136" s="74"/>
      <c r="F136" s="74"/>
      <c r="G136" s="74"/>
      <c r="H136" s="74"/>
      <c r="I136" s="67">
        <v>3000000</v>
      </c>
      <c r="J136" s="126">
        <v>675236.47</v>
      </c>
      <c r="K136" s="121">
        <f t="shared" si="53"/>
        <v>0.22507882333333332</v>
      </c>
      <c r="L136" s="126"/>
      <c r="M136" s="131"/>
      <c r="N136" s="68">
        <f t="shared" si="52"/>
        <v>675236.47</v>
      </c>
      <c r="P136" s="43"/>
    </row>
    <row r="137" spans="1:16" ht="184.5" thickTop="1" thickBot="1" x14ac:dyDescent="0.25">
      <c r="A137" s="15" t="s">
        <v>362</v>
      </c>
      <c r="B137" s="88" t="s">
        <v>363</v>
      </c>
      <c r="C137" s="88" t="s">
        <v>360</v>
      </c>
      <c r="D137" s="88" t="s">
        <v>364</v>
      </c>
      <c r="E137" s="67">
        <v>16700000</v>
      </c>
      <c r="F137" s="67">
        <v>0</v>
      </c>
      <c r="G137" s="67">
        <v>0</v>
      </c>
      <c r="H137" s="121">
        <v>0</v>
      </c>
      <c r="I137" s="67">
        <v>18500000</v>
      </c>
      <c r="J137" s="126">
        <v>52482.02</v>
      </c>
      <c r="K137" s="121">
        <f t="shared" si="53"/>
        <v>2.8368659459459458E-3</v>
      </c>
      <c r="L137" s="126"/>
      <c r="M137" s="131"/>
      <c r="N137" s="68">
        <f t="shared" si="52"/>
        <v>52482.02</v>
      </c>
      <c r="O137" s="60" t="s">
        <v>435</v>
      </c>
      <c r="P137" s="43"/>
    </row>
    <row r="138" spans="1:16" ht="230.25" thickTop="1" thickBot="1" x14ac:dyDescent="0.25">
      <c r="A138" s="15" t="s">
        <v>365</v>
      </c>
      <c r="B138" s="88" t="s">
        <v>366</v>
      </c>
      <c r="C138" s="88" t="s">
        <v>360</v>
      </c>
      <c r="D138" s="88" t="s">
        <v>367</v>
      </c>
      <c r="E138" s="67">
        <f>8422245+2574000</f>
        <v>10996245</v>
      </c>
      <c r="F138" s="67">
        <v>2807415</v>
      </c>
      <c r="G138" s="67">
        <f>1184071.4+0</f>
        <v>1184071.3999999999</v>
      </c>
      <c r="H138" s="121">
        <f>G138/F138</f>
        <v>0.42176571686052827</v>
      </c>
      <c r="I138" s="67"/>
      <c r="J138" s="126"/>
      <c r="K138" s="126"/>
      <c r="L138" s="126"/>
      <c r="M138" s="131"/>
      <c r="N138" s="68">
        <f t="shared" si="52"/>
        <v>1184071.3999999999</v>
      </c>
      <c r="O138" s="60"/>
      <c r="P138" s="43"/>
    </row>
    <row r="139" spans="1:16" ht="93" thickTop="1" thickBot="1" x14ac:dyDescent="0.25">
      <c r="A139" s="15"/>
      <c r="B139" s="88" t="s">
        <v>369</v>
      </c>
      <c r="C139" s="88" t="s">
        <v>360</v>
      </c>
      <c r="D139" s="88" t="s">
        <v>370</v>
      </c>
      <c r="E139" s="67">
        <v>229382942</v>
      </c>
      <c r="F139" s="67">
        <v>39335066</v>
      </c>
      <c r="G139" s="67">
        <v>35997953.560000002</v>
      </c>
      <c r="H139" s="121">
        <f t="shared" ref="H139" si="54">G139/F139</f>
        <v>0.91516189549548488</v>
      </c>
      <c r="I139" s="68">
        <v>5215000</v>
      </c>
      <c r="J139" s="67">
        <v>0</v>
      </c>
      <c r="K139" s="121">
        <f t="shared" si="53"/>
        <v>0</v>
      </c>
      <c r="L139" s="67"/>
      <c r="M139" s="131"/>
      <c r="N139" s="68">
        <f t="shared" si="52"/>
        <v>35997953.560000002</v>
      </c>
      <c r="O139" s="62"/>
      <c r="P139" s="43"/>
    </row>
    <row r="140" spans="1:16" ht="93" thickTop="1" thickBot="1" x14ac:dyDescent="0.25">
      <c r="A140" s="15"/>
      <c r="B140" s="64" t="s">
        <v>263</v>
      </c>
      <c r="C140" s="64"/>
      <c r="D140" s="64" t="s">
        <v>436</v>
      </c>
      <c r="E140" s="71">
        <f>SUM(E141:E143)</f>
        <v>39000</v>
      </c>
      <c r="F140" s="71">
        <f>SUM(F141:F143)</f>
        <v>0</v>
      </c>
      <c r="G140" s="71">
        <f>SUM(G141:G143)</f>
        <v>0</v>
      </c>
      <c r="H140" s="122">
        <v>0</v>
      </c>
      <c r="I140" s="71">
        <f>SUM(I141:I143)</f>
        <v>6000000</v>
      </c>
      <c r="J140" s="71">
        <f>SUM(J141:J143)</f>
        <v>0</v>
      </c>
      <c r="K140" s="121">
        <f t="shared" si="53"/>
        <v>0</v>
      </c>
      <c r="L140" s="71"/>
      <c r="M140" s="132"/>
      <c r="N140" s="69">
        <f t="shared" si="52"/>
        <v>0</v>
      </c>
      <c r="O140" s="60" t="s">
        <v>435</v>
      </c>
      <c r="P140" s="43"/>
    </row>
    <row r="141" spans="1:16" ht="138.75" thickTop="1" thickBot="1" x14ac:dyDescent="0.25">
      <c r="A141" s="15" t="s">
        <v>368</v>
      </c>
      <c r="B141" s="88" t="s">
        <v>264</v>
      </c>
      <c r="C141" s="88" t="s">
        <v>265</v>
      </c>
      <c r="D141" s="88" t="s">
        <v>437</v>
      </c>
      <c r="E141" s="74"/>
      <c r="F141" s="74"/>
      <c r="G141" s="74"/>
      <c r="H141" s="138"/>
      <c r="I141" s="68">
        <v>6000000</v>
      </c>
      <c r="J141" s="67">
        <v>0</v>
      </c>
      <c r="K141" s="121">
        <f t="shared" si="53"/>
        <v>0</v>
      </c>
      <c r="L141" s="67"/>
      <c r="M141" s="131"/>
      <c r="N141" s="68">
        <f t="shared" si="52"/>
        <v>0</v>
      </c>
      <c r="P141" s="34"/>
    </row>
    <row r="142" spans="1:16" ht="409.6" hidden="1" thickTop="1" thickBot="1" x14ac:dyDescent="0.25">
      <c r="A142" s="15"/>
      <c r="B142" s="96" t="s">
        <v>497</v>
      </c>
      <c r="C142" s="96" t="s">
        <v>265</v>
      </c>
      <c r="D142" s="96" t="s">
        <v>498</v>
      </c>
      <c r="E142" s="103"/>
      <c r="F142" s="103"/>
      <c r="G142" s="103"/>
      <c r="H142" s="117"/>
      <c r="I142" s="101">
        <v>0</v>
      </c>
      <c r="J142" s="97">
        <v>0</v>
      </c>
      <c r="K142" s="98" t="e">
        <f t="shared" si="53"/>
        <v>#DIV/0!</v>
      </c>
      <c r="L142" s="97"/>
      <c r="M142" s="105"/>
      <c r="N142" s="101">
        <f t="shared" si="52"/>
        <v>0</v>
      </c>
      <c r="P142" s="34"/>
    </row>
    <row r="143" spans="1:16" ht="276" thickTop="1" thickBot="1" x14ac:dyDescent="0.25">
      <c r="A143" s="15"/>
      <c r="B143" s="63" t="s">
        <v>349</v>
      </c>
      <c r="C143" s="63" t="s">
        <v>265</v>
      </c>
      <c r="D143" s="88" t="s">
        <v>350</v>
      </c>
      <c r="E143" s="67">
        <v>39000</v>
      </c>
      <c r="F143" s="68">
        <v>0</v>
      </c>
      <c r="G143" s="68">
        <v>0</v>
      </c>
      <c r="H143" s="121">
        <v>0</v>
      </c>
      <c r="I143" s="68"/>
      <c r="J143" s="68"/>
      <c r="K143" s="68"/>
      <c r="L143" s="68"/>
      <c r="M143" s="131"/>
      <c r="N143" s="68">
        <f t="shared" si="52"/>
        <v>0</v>
      </c>
      <c r="O143" s="60" t="s">
        <v>435</v>
      </c>
      <c r="P143" s="34"/>
    </row>
    <row r="144" spans="1:16" ht="138.75" thickTop="1" thickBot="1" x14ac:dyDescent="0.25">
      <c r="A144" s="15"/>
      <c r="B144" s="88" t="s">
        <v>517</v>
      </c>
      <c r="C144" s="88" t="s">
        <v>518</v>
      </c>
      <c r="D144" s="88" t="s">
        <v>519</v>
      </c>
      <c r="E144" s="67">
        <v>4723850</v>
      </c>
      <c r="F144" s="68">
        <v>1721871</v>
      </c>
      <c r="G144" s="68">
        <v>0</v>
      </c>
      <c r="H144" s="121">
        <f>G144/F144</f>
        <v>0</v>
      </c>
      <c r="I144" s="68"/>
      <c r="J144" s="68"/>
      <c r="K144" s="68"/>
      <c r="L144" s="68"/>
      <c r="M144" s="131"/>
      <c r="N144" s="68">
        <f t="shared" si="52"/>
        <v>0</v>
      </c>
      <c r="O144" s="62"/>
      <c r="P144" s="34"/>
    </row>
    <row r="145" spans="1:16" s="44" customFormat="1" ht="101.25" customHeight="1" thickTop="1" thickBot="1" x14ac:dyDescent="0.25">
      <c r="A145" s="59" t="s">
        <v>371</v>
      </c>
      <c r="B145" s="91" t="s">
        <v>32</v>
      </c>
      <c r="C145" s="91"/>
      <c r="D145" s="92" t="s">
        <v>372</v>
      </c>
      <c r="E145" s="93">
        <f>E146+E148+E161+E169+E172</f>
        <v>172214250</v>
      </c>
      <c r="F145" s="93">
        <f>F146+F148+F161+F169+F172</f>
        <v>30777409.530000001</v>
      </c>
      <c r="G145" s="93">
        <f>G146+G148+G161+G169+G172</f>
        <v>24796178.34</v>
      </c>
      <c r="H145" s="94">
        <f>G145/F145</f>
        <v>0.80566164335013801</v>
      </c>
      <c r="I145" s="93">
        <f>I146+I148+I161+I169+I172</f>
        <v>219508664.37</v>
      </c>
      <c r="J145" s="93">
        <f>J146+J148+J161+J169+J172</f>
        <v>813756.40999999992</v>
      </c>
      <c r="K145" s="94">
        <f>J145/I145</f>
        <v>3.707172162591023E-3</v>
      </c>
      <c r="L145" s="93"/>
      <c r="M145" s="93"/>
      <c r="N145" s="95">
        <f>J145+G145</f>
        <v>25609934.75</v>
      </c>
      <c r="O145" s="75" t="b">
        <f>N145=N147+N149+N151+N155+N156+N160+N165+N168+N170+N173+N176+N177+N178+N179+N180+N182+N184+N163+N175+N159+N153+N157+N171+N166+N152+N154</f>
        <v>1</v>
      </c>
      <c r="P145" s="61"/>
    </row>
    <row r="146" spans="1:16" s="44" customFormat="1" ht="91.5" thickTop="1" thickBot="1" x14ac:dyDescent="0.25">
      <c r="A146" s="59"/>
      <c r="B146" s="80" t="s">
        <v>415</v>
      </c>
      <c r="C146" s="80"/>
      <c r="D146" s="80" t="s">
        <v>416</v>
      </c>
      <c r="E146" s="139"/>
      <c r="F146" s="139"/>
      <c r="G146" s="139"/>
      <c r="H146" s="140"/>
      <c r="I146" s="78">
        <f t="shared" ref="I146:J146" si="55">SUM(I147)</f>
        <v>400000</v>
      </c>
      <c r="J146" s="78">
        <f t="shared" si="55"/>
        <v>0</v>
      </c>
      <c r="K146" s="123">
        <f t="shared" ref="K146:K148" si="56">J146/I146</f>
        <v>0</v>
      </c>
      <c r="L146" s="78"/>
      <c r="M146" s="78"/>
      <c r="N146" s="78">
        <f t="shared" si="52"/>
        <v>0</v>
      </c>
      <c r="O146" s="45"/>
      <c r="P146" s="61"/>
    </row>
    <row r="147" spans="1:16" s="44" customFormat="1" ht="93" thickTop="1" thickBot="1" x14ac:dyDescent="0.25">
      <c r="A147" s="59"/>
      <c r="B147" s="88" t="s">
        <v>417</v>
      </c>
      <c r="C147" s="88" t="s">
        <v>418</v>
      </c>
      <c r="D147" s="88" t="s">
        <v>419</v>
      </c>
      <c r="E147" s="130"/>
      <c r="F147" s="130"/>
      <c r="G147" s="130"/>
      <c r="H147" s="130"/>
      <c r="I147" s="68">
        <v>400000</v>
      </c>
      <c r="J147" s="68">
        <v>0</v>
      </c>
      <c r="K147" s="121">
        <f>J147/I147</f>
        <v>0</v>
      </c>
      <c r="L147" s="68"/>
      <c r="M147" s="131"/>
      <c r="N147" s="68">
        <f t="shared" si="52"/>
        <v>0</v>
      </c>
      <c r="O147" s="45"/>
      <c r="P147" s="61"/>
    </row>
    <row r="148" spans="1:16" s="44" customFormat="1" ht="91.5" thickTop="1" thickBot="1" x14ac:dyDescent="0.25">
      <c r="A148" s="59"/>
      <c r="B148" s="80" t="s">
        <v>266</v>
      </c>
      <c r="C148" s="80"/>
      <c r="D148" s="80" t="s">
        <v>267</v>
      </c>
      <c r="E148" s="85">
        <f>SUM(E149:E160)-E150-E158</f>
        <v>74340</v>
      </c>
      <c r="F148" s="85">
        <f>SUM(F149:F160)-F150-F158</f>
        <v>0</v>
      </c>
      <c r="G148" s="85">
        <f>SUM(G149:G160)-G150-G158</f>
        <v>0</v>
      </c>
      <c r="H148" s="123">
        <v>0</v>
      </c>
      <c r="I148" s="85">
        <f>SUM(I149:I160)-I150-I158</f>
        <v>29682914</v>
      </c>
      <c r="J148" s="85">
        <f>SUM(J149:J160)-J150-J158</f>
        <v>65800.44</v>
      </c>
      <c r="K148" s="123">
        <f t="shared" si="56"/>
        <v>2.2167783122640857E-3</v>
      </c>
      <c r="L148" s="85"/>
      <c r="M148" s="85"/>
      <c r="N148" s="78">
        <f>G148+J148</f>
        <v>65800.44</v>
      </c>
      <c r="O148" s="60" t="s">
        <v>435</v>
      </c>
      <c r="P148" s="61"/>
    </row>
    <row r="149" spans="1:16" s="44" customFormat="1" ht="93" thickTop="1" thickBot="1" x14ac:dyDescent="0.25">
      <c r="A149" s="59"/>
      <c r="B149" s="88" t="s">
        <v>381</v>
      </c>
      <c r="C149" s="88" t="s">
        <v>269</v>
      </c>
      <c r="D149" s="88" t="s">
        <v>534</v>
      </c>
      <c r="E149" s="74"/>
      <c r="F149" s="74"/>
      <c r="G149" s="74"/>
      <c r="H149" s="74"/>
      <c r="I149" s="68">
        <f>1968726+7670000+706113</f>
        <v>10344839</v>
      </c>
      <c r="J149" s="67"/>
      <c r="K149" s="121">
        <f>J149/I149</f>
        <v>0</v>
      </c>
      <c r="L149" s="67"/>
      <c r="M149" s="131"/>
      <c r="N149" s="68">
        <f t="shared" si="52"/>
        <v>0</v>
      </c>
      <c r="O149" s="45"/>
      <c r="P149" s="61"/>
    </row>
    <row r="150" spans="1:16" s="44" customFormat="1" ht="138.75" thickTop="1" thickBot="1" x14ac:dyDescent="0.25">
      <c r="A150" s="59"/>
      <c r="B150" s="64" t="s">
        <v>268</v>
      </c>
      <c r="C150" s="64"/>
      <c r="D150" s="64" t="s">
        <v>535</v>
      </c>
      <c r="E150" s="135"/>
      <c r="F150" s="135"/>
      <c r="G150" s="135"/>
      <c r="H150" s="136"/>
      <c r="I150" s="69">
        <f>SUM(I151:I155)</f>
        <v>10157110</v>
      </c>
      <c r="J150" s="69">
        <f>SUM(J151:J155)</f>
        <v>32710.6</v>
      </c>
      <c r="K150" s="122">
        <f t="shared" ref="K150:K151" si="57">J150/I150</f>
        <v>3.2204633010767827E-3</v>
      </c>
      <c r="L150" s="69"/>
      <c r="M150" s="69"/>
      <c r="N150" s="69">
        <f t="shared" si="52"/>
        <v>32710.6</v>
      </c>
      <c r="O150" s="45"/>
      <c r="P150" s="61"/>
    </row>
    <row r="151" spans="1:16" s="44" customFormat="1" ht="93" thickTop="1" thickBot="1" x14ac:dyDescent="0.25">
      <c r="A151" s="59"/>
      <c r="B151" s="88" t="s">
        <v>397</v>
      </c>
      <c r="C151" s="88" t="s">
        <v>269</v>
      </c>
      <c r="D151" s="88" t="s">
        <v>536</v>
      </c>
      <c r="E151" s="130"/>
      <c r="F151" s="130"/>
      <c r="G151" s="130"/>
      <c r="H151" s="130"/>
      <c r="I151" s="68">
        <f>3068000+1944219</f>
        <v>5012219</v>
      </c>
      <c r="J151" s="68">
        <v>0</v>
      </c>
      <c r="K151" s="121">
        <f t="shared" si="57"/>
        <v>0</v>
      </c>
      <c r="L151" s="68"/>
      <c r="M151" s="131"/>
      <c r="N151" s="68">
        <f t="shared" si="52"/>
        <v>0</v>
      </c>
      <c r="O151" s="45"/>
      <c r="P151" s="61"/>
    </row>
    <row r="152" spans="1:16" s="44" customFormat="1" ht="93" thickTop="1" thickBot="1" x14ac:dyDescent="0.25">
      <c r="A152" s="59"/>
      <c r="B152" s="88" t="s">
        <v>528</v>
      </c>
      <c r="C152" s="88" t="s">
        <v>269</v>
      </c>
      <c r="D152" s="88" t="s">
        <v>537</v>
      </c>
      <c r="E152" s="130"/>
      <c r="F152" s="130"/>
      <c r="G152" s="130"/>
      <c r="H152" s="130"/>
      <c r="I152" s="68">
        <v>300000</v>
      </c>
      <c r="J152" s="68">
        <v>0</v>
      </c>
      <c r="K152" s="121">
        <f t="shared" ref="K152" si="58">J152/I152</f>
        <v>0</v>
      </c>
      <c r="L152" s="68"/>
      <c r="M152" s="131"/>
      <c r="N152" s="68">
        <f t="shared" ref="N152" si="59">G152+J152</f>
        <v>0</v>
      </c>
      <c r="O152" s="45"/>
      <c r="P152" s="61"/>
    </row>
    <row r="153" spans="1:16" s="44" customFormat="1" ht="93" thickTop="1" thickBot="1" x14ac:dyDescent="0.25">
      <c r="A153" s="59"/>
      <c r="B153" s="88" t="s">
        <v>450</v>
      </c>
      <c r="C153" s="88" t="s">
        <v>269</v>
      </c>
      <c r="D153" s="88" t="s">
        <v>532</v>
      </c>
      <c r="E153" s="130"/>
      <c r="F153" s="130"/>
      <c r="G153" s="130"/>
      <c r="H153" s="130"/>
      <c r="I153" s="68">
        <v>2296400</v>
      </c>
      <c r="J153" s="68">
        <v>0</v>
      </c>
      <c r="K153" s="121">
        <f t="shared" ref="K153:K161" si="60">J153/I153</f>
        <v>0</v>
      </c>
      <c r="L153" s="68"/>
      <c r="M153" s="131"/>
      <c r="N153" s="68">
        <f t="shared" si="52"/>
        <v>0</v>
      </c>
      <c r="O153" s="45"/>
      <c r="P153" s="61"/>
    </row>
    <row r="154" spans="1:16" s="44" customFormat="1" ht="93" thickTop="1" thickBot="1" x14ac:dyDescent="0.25">
      <c r="A154" s="59"/>
      <c r="B154" s="88" t="s">
        <v>398</v>
      </c>
      <c r="C154" s="88" t="s">
        <v>269</v>
      </c>
      <c r="D154" s="88" t="s">
        <v>538</v>
      </c>
      <c r="E154" s="130"/>
      <c r="F154" s="130"/>
      <c r="G154" s="130"/>
      <c r="H154" s="130"/>
      <c r="I154" s="68">
        <v>1248491</v>
      </c>
      <c r="J154" s="68">
        <v>1594.6</v>
      </c>
      <c r="K154" s="121">
        <f t="shared" ref="K154" si="61">J154/I154</f>
        <v>1.2772218622320866E-3</v>
      </c>
      <c r="L154" s="68"/>
      <c r="M154" s="131"/>
      <c r="N154" s="68">
        <f t="shared" ref="N154" si="62">G154+J154</f>
        <v>1594.6</v>
      </c>
      <c r="O154" s="45"/>
      <c r="P154" s="61"/>
    </row>
    <row r="155" spans="1:16" s="44" customFormat="1" ht="138.75" thickTop="1" thickBot="1" x14ac:dyDescent="0.25">
      <c r="A155" s="59"/>
      <c r="B155" s="88" t="s">
        <v>529</v>
      </c>
      <c r="C155" s="88" t="s">
        <v>269</v>
      </c>
      <c r="D155" s="88" t="s">
        <v>533</v>
      </c>
      <c r="E155" s="130"/>
      <c r="F155" s="130"/>
      <c r="G155" s="130"/>
      <c r="H155" s="130"/>
      <c r="I155" s="68">
        <v>1300000</v>
      </c>
      <c r="J155" s="68">
        <v>31116</v>
      </c>
      <c r="K155" s="121">
        <f t="shared" si="60"/>
        <v>2.3935384615384615E-2</v>
      </c>
      <c r="L155" s="68"/>
      <c r="M155" s="131"/>
      <c r="N155" s="68">
        <f t="shared" si="52"/>
        <v>31116</v>
      </c>
      <c r="O155" s="45"/>
      <c r="P155" s="61"/>
    </row>
    <row r="156" spans="1:16" s="44" customFormat="1" ht="93" thickTop="1" thickBot="1" x14ac:dyDescent="0.25">
      <c r="A156" s="59"/>
      <c r="B156" s="88" t="s">
        <v>399</v>
      </c>
      <c r="C156" s="88" t="s">
        <v>269</v>
      </c>
      <c r="D156" s="88" t="s">
        <v>539</v>
      </c>
      <c r="E156" s="130"/>
      <c r="F156" s="130"/>
      <c r="G156" s="130"/>
      <c r="H156" s="130"/>
      <c r="I156" s="68">
        <v>7772865</v>
      </c>
      <c r="J156" s="68">
        <v>33089.839999999997</v>
      </c>
      <c r="K156" s="121">
        <f t="shared" si="60"/>
        <v>4.2570969648900369E-3</v>
      </c>
      <c r="L156" s="68"/>
      <c r="M156" s="131"/>
      <c r="N156" s="68">
        <f t="shared" si="52"/>
        <v>33089.839999999997</v>
      </c>
      <c r="O156" s="45"/>
      <c r="P156" s="61"/>
    </row>
    <row r="157" spans="1:16" s="44" customFormat="1" ht="184.5" thickTop="1" thickBot="1" x14ac:dyDescent="0.25">
      <c r="A157" s="59"/>
      <c r="B157" s="88" t="s">
        <v>451</v>
      </c>
      <c r="C157" s="88" t="s">
        <v>269</v>
      </c>
      <c r="D157" s="88" t="s">
        <v>452</v>
      </c>
      <c r="E157" s="130"/>
      <c r="F157" s="130"/>
      <c r="G157" s="130"/>
      <c r="H157" s="130"/>
      <c r="I157" s="68">
        <v>1408100</v>
      </c>
      <c r="J157" s="68">
        <v>0</v>
      </c>
      <c r="K157" s="121">
        <f t="shared" si="60"/>
        <v>0</v>
      </c>
      <c r="L157" s="68"/>
      <c r="M157" s="131"/>
      <c r="N157" s="68">
        <f t="shared" si="52"/>
        <v>0</v>
      </c>
      <c r="O157" s="45"/>
      <c r="P157" s="61"/>
    </row>
    <row r="158" spans="1:16" s="44" customFormat="1" ht="93" hidden="1" thickTop="1" thickBot="1" x14ac:dyDescent="0.25">
      <c r="A158" s="59"/>
      <c r="B158" s="106" t="s">
        <v>499</v>
      </c>
      <c r="C158" s="106"/>
      <c r="D158" s="106" t="s">
        <v>501</v>
      </c>
      <c r="E158" s="107">
        <f>E159</f>
        <v>0</v>
      </c>
      <c r="F158" s="107">
        <f t="shared" ref="F158:G158" si="63">F159</f>
        <v>0</v>
      </c>
      <c r="G158" s="107">
        <f t="shared" si="63"/>
        <v>0</v>
      </c>
      <c r="H158" s="108">
        <v>0</v>
      </c>
      <c r="I158" s="107">
        <f>I159</f>
        <v>0</v>
      </c>
      <c r="J158" s="107">
        <f>J159</f>
        <v>0</v>
      </c>
      <c r="K158" s="98" t="e">
        <f t="shared" si="60"/>
        <v>#DIV/0!</v>
      </c>
      <c r="L158" s="113"/>
      <c r="M158" s="113"/>
      <c r="N158" s="107">
        <f t="shared" si="52"/>
        <v>0</v>
      </c>
      <c r="O158" s="60" t="s">
        <v>435</v>
      </c>
      <c r="P158" s="61"/>
    </row>
    <row r="159" spans="1:16" s="44" customFormat="1" ht="230.25" hidden="1" thickTop="1" thickBot="1" x14ac:dyDescent="0.25">
      <c r="A159" s="59"/>
      <c r="B159" s="96" t="s">
        <v>500</v>
      </c>
      <c r="C159" s="96" t="s">
        <v>40</v>
      </c>
      <c r="D159" s="96" t="s">
        <v>502</v>
      </c>
      <c r="E159" s="104"/>
      <c r="F159" s="104"/>
      <c r="G159" s="104"/>
      <c r="H159" s="104"/>
      <c r="I159" s="101"/>
      <c r="J159" s="101">
        <v>0</v>
      </c>
      <c r="K159" s="98" t="e">
        <f t="shared" si="60"/>
        <v>#DIV/0!</v>
      </c>
      <c r="L159" s="101"/>
      <c r="M159" s="105"/>
      <c r="N159" s="101">
        <f t="shared" si="52"/>
        <v>0</v>
      </c>
      <c r="O159" s="45"/>
      <c r="P159" s="61"/>
    </row>
    <row r="160" spans="1:16" s="44" customFormat="1" ht="138.75" thickTop="1" thickBot="1" x14ac:dyDescent="0.25">
      <c r="A160" s="59"/>
      <c r="B160" s="88" t="s">
        <v>400</v>
      </c>
      <c r="C160" s="88" t="s">
        <v>40</v>
      </c>
      <c r="D160" s="88" t="s">
        <v>401</v>
      </c>
      <c r="E160" s="68">
        <v>74340</v>
      </c>
      <c r="F160" s="68">
        <v>0</v>
      </c>
      <c r="G160" s="68">
        <v>0</v>
      </c>
      <c r="H160" s="121">
        <v>0</v>
      </c>
      <c r="I160" s="68"/>
      <c r="J160" s="68"/>
      <c r="K160" s="121"/>
      <c r="L160" s="68"/>
      <c r="M160" s="131"/>
      <c r="N160" s="68">
        <f t="shared" si="52"/>
        <v>0</v>
      </c>
      <c r="O160" s="60" t="s">
        <v>435</v>
      </c>
      <c r="P160" s="61"/>
    </row>
    <row r="161" spans="1:16" s="44" customFormat="1" ht="136.5" thickTop="1" thickBot="1" x14ac:dyDescent="0.25">
      <c r="A161" s="59"/>
      <c r="B161" s="80" t="s">
        <v>382</v>
      </c>
      <c r="C161" s="80"/>
      <c r="D161" s="80" t="s">
        <v>383</v>
      </c>
      <c r="E161" s="78">
        <f>SUM(E162:E168)-E164-E167-E162</f>
        <v>151757800</v>
      </c>
      <c r="F161" s="78">
        <f>SUM(F162:F168)-F164-F167-F162</f>
        <v>26409670</v>
      </c>
      <c r="G161" s="78">
        <f>SUM(G162:G168)-G164-G167-G162</f>
        <v>21707204.609999999</v>
      </c>
      <c r="H161" s="123">
        <f t="shared" ref="H161:H177" si="64">G161/F161</f>
        <v>0.82194153164352302</v>
      </c>
      <c r="I161" s="78">
        <f>SUM(I162:I168)-I164-I167-I162</f>
        <v>94000000</v>
      </c>
      <c r="J161" s="78">
        <f>SUM(J162:J168)-J164-J167-J162</f>
        <v>13698.45</v>
      </c>
      <c r="K161" s="123">
        <f t="shared" si="60"/>
        <v>1.4572819148936172E-4</v>
      </c>
      <c r="L161" s="78"/>
      <c r="M161" s="78"/>
      <c r="N161" s="78">
        <f>G161+J161</f>
        <v>21720903.059999999</v>
      </c>
      <c r="O161" s="45"/>
      <c r="P161" s="61"/>
    </row>
    <row r="162" spans="1:16" s="44" customFormat="1" ht="138.75" hidden="1" thickTop="1" thickBot="1" x14ac:dyDescent="0.25">
      <c r="A162" s="59"/>
      <c r="B162" s="106" t="s">
        <v>467</v>
      </c>
      <c r="C162" s="106"/>
      <c r="D162" s="106" t="s">
        <v>468</v>
      </c>
      <c r="E162" s="107">
        <f>E163</f>
        <v>0</v>
      </c>
      <c r="F162" s="107">
        <f>F163</f>
        <v>0</v>
      </c>
      <c r="G162" s="107">
        <f>G163</f>
        <v>0</v>
      </c>
      <c r="H162" s="108" t="e">
        <f t="shared" si="64"/>
        <v>#DIV/0!</v>
      </c>
      <c r="I162" s="107">
        <f>I163</f>
        <v>0</v>
      </c>
      <c r="J162" s="107">
        <f>J163</f>
        <v>0</v>
      </c>
      <c r="K162" s="98">
        <v>0</v>
      </c>
      <c r="L162" s="113"/>
      <c r="M162" s="113"/>
      <c r="N162" s="107">
        <f t="shared" si="52"/>
        <v>0</v>
      </c>
      <c r="O162" s="60" t="s">
        <v>435</v>
      </c>
      <c r="P162" s="61"/>
    </row>
    <row r="163" spans="1:16" s="44" customFormat="1" ht="93" hidden="1" thickTop="1" thickBot="1" x14ac:dyDescent="0.25">
      <c r="A163" s="59"/>
      <c r="B163" s="96" t="s">
        <v>469</v>
      </c>
      <c r="C163" s="96" t="s">
        <v>470</v>
      </c>
      <c r="D163" s="96" t="s">
        <v>471</v>
      </c>
      <c r="E163" s="101"/>
      <c r="F163" s="101"/>
      <c r="G163" s="101"/>
      <c r="H163" s="98" t="e">
        <f>G163/F163</f>
        <v>#DIV/0!</v>
      </c>
      <c r="I163" s="104"/>
      <c r="J163" s="104"/>
      <c r="K163" s="104"/>
      <c r="L163" s="104"/>
      <c r="M163" s="100"/>
      <c r="N163" s="101">
        <f t="shared" si="52"/>
        <v>0</v>
      </c>
      <c r="O163" s="45"/>
      <c r="P163" s="61"/>
    </row>
    <row r="164" spans="1:16" s="44" customFormat="1" ht="138.75" thickTop="1" thickBot="1" x14ac:dyDescent="0.25">
      <c r="A164" s="59"/>
      <c r="B164" s="64" t="s">
        <v>402</v>
      </c>
      <c r="C164" s="64"/>
      <c r="D164" s="64" t="s">
        <v>403</v>
      </c>
      <c r="E164" s="69">
        <f t="shared" ref="E164:G164" si="65">E165</f>
        <v>109641800</v>
      </c>
      <c r="F164" s="69">
        <f t="shared" si="65"/>
        <v>26059670</v>
      </c>
      <c r="G164" s="69">
        <f t="shared" si="65"/>
        <v>21707204.609999999</v>
      </c>
      <c r="H164" s="122">
        <f>G164/F164</f>
        <v>0.83298079407759196</v>
      </c>
      <c r="I164" s="135"/>
      <c r="J164" s="135"/>
      <c r="K164" s="136"/>
      <c r="L164" s="135"/>
      <c r="M164" s="135"/>
      <c r="N164" s="69">
        <f t="shared" si="52"/>
        <v>21707204.609999999</v>
      </c>
      <c r="O164" s="60"/>
      <c r="P164" s="61"/>
    </row>
    <row r="165" spans="1:16" s="44" customFormat="1" ht="93" thickTop="1" thickBot="1" x14ac:dyDescent="0.25">
      <c r="A165" s="59"/>
      <c r="B165" s="88" t="s">
        <v>404</v>
      </c>
      <c r="C165" s="88" t="s">
        <v>405</v>
      </c>
      <c r="D165" s="88" t="s">
        <v>406</v>
      </c>
      <c r="E165" s="68">
        <v>109641800</v>
      </c>
      <c r="F165" s="68">
        <v>26059670</v>
      </c>
      <c r="G165" s="68">
        <v>21707204.609999999</v>
      </c>
      <c r="H165" s="121">
        <f>G165/F165</f>
        <v>0.83298079407759196</v>
      </c>
      <c r="I165" s="130"/>
      <c r="J165" s="130"/>
      <c r="K165" s="130"/>
      <c r="L165" s="130"/>
      <c r="M165" s="128"/>
      <c r="N165" s="68">
        <f t="shared" si="52"/>
        <v>21707204.609999999</v>
      </c>
      <c r="O165" s="45"/>
      <c r="P165" s="61"/>
    </row>
    <row r="166" spans="1:16" s="44" customFormat="1" ht="93" thickTop="1" thickBot="1" x14ac:dyDescent="0.25">
      <c r="A166" s="59"/>
      <c r="B166" s="88" t="s">
        <v>520</v>
      </c>
      <c r="C166" s="15" t="s">
        <v>385</v>
      </c>
      <c r="D166" s="15" t="s">
        <v>521</v>
      </c>
      <c r="E166" s="68">
        <v>150000</v>
      </c>
      <c r="F166" s="68">
        <v>0</v>
      </c>
      <c r="G166" s="68">
        <v>0</v>
      </c>
      <c r="H166" s="121">
        <v>0</v>
      </c>
      <c r="I166" s="130"/>
      <c r="J166" s="130"/>
      <c r="K166" s="130"/>
      <c r="L166" s="130"/>
      <c r="M166" s="128"/>
      <c r="N166" s="68">
        <f t="shared" si="52"/>
        <v>0</v>
      </c>
      <c r="O166" s="60" t="s">
        <v>435</v>
      </c>
      <c r="P166" s="61"/>
    </row>
    <row r="167" spans="1:16" s="44" customFormat="1" ht="138.75" thickTop="1" thickBot="1" x14ac:dyDescent="0.25">
      <c r="A167" s="59"/>
      <c r="B167" s="64" t="s">
        <v>448</v>
      </c>
      <c r="C167" s="64"/>
      <c r="D167" s="64" t="s">
        <v>449</v>
      </c>
      <c r="E167" s="69">
        <f>E168</f>
        <v>41966000</v>
      </c>
      <c r="F167" s="69">
        <f>F168</f>
        <v>350000</v>
      </c>
      <c r="G167" s="69">
        <f>G168</f>
        <v>0</v>
      </c>
      <c r="H167" s="121">
        <f>G167/F167</f>
        <v>0</v>
      </c>
      <c r="I167" s="69">
        <f>I168</f>
        <v>94000000</v>
      </c>
      <c r="J167" s="69">
        <f>J168</f>
        <v>13698.45</v>
      </c>
      <c r="K167" s="122">
        <f t="shared" ref="K167:K168" si="66">J167/I167</f>
        <v>1.4572819148936172E-4</v>
      </c>
      <c r="L167" s="69"/>
      <c r="M167" s="132"/>
      <c r="N167" s="69">
        <f t="shared" si="52"/>
        <v>13698.45</v>
      </c>
      <c r="O167" s="45"/>
      <c r="P167" s="61"/>
    </row>
    <row r="168" spans="1:16" s="44" customFormat="1" ht="230.25" thickTop="1" thickBot="1" x14ac:dyDescent="0.25">
      <c r="A168" s="59"/>
      <c r="B168" s="88" t="s">
        <v>384</v>
      </c>
      <c r="C168" s="88" t="s">
        <v>385</v>
      </c>
      <c r="D168" s="88" t="s">
        <v>386</v>
      </c>
      <c r="E168" s="67">
        <v>41966000</v>
      </c>
      <c r="F168" s="67">
        <v>350000</v>
      </c>
      <c r="G168" s="67">
        <v>0</v>
      </c>
      <c r="H168" s="121">
        <f>G168/F168</f>
        <v>0</v>
      </c>
      <c r="I168" s="67">
        <v>94000000</v>
      </c>
      <c r="J168" s="126">
        <v>13698.45</v>
      </c>
      <c r="K168" s="121">
        <f t="shared" si="66"/>
        <v>1.4572819148936172E-4</v>
      </c>
      <c r="L168" s="126"/>
      <c r="M168" s="131"/>
      <c r="N168" s="68">
        <f t="shared" si="52"/>
        <v>13698.45</v>
      </c>
      <c r="O168" s="60"/>
      <c r="P168" s="61"/>
    </row>
    <row r="169" spans="1:16" s="44" customFormat="1" ht="91.5" thickTop="1" thickBot="1" x14ac:dyDescent="0.25">
      <c r="A169" s="59"/>
      <c r="B169" s="80" t="s">
        <v>33</v>
      </c>
      <c r="C169" s="77"/>
      <c r="D169" s="80" t="s">
        <v>34</v>
      </c>
      <c r="E169" s="85">
        <f>E170+E171</f>
        <v>4612300</v>
      </c>
      <c r="F169" s="85">
        <f>F170+F171</f>
        <v>1153080</v>
      </c>
      <c r="G169" s="85">
        <f>G170+G171</f>
        <v>858470.5</v>
      </c>
      <c r="H169" s="123">
        <f>G169/F169</f>
        <v>0.74450211607173833</v>
      </c>
      <c r="I169" s="85">
        <f>I170+I171</f>
        <v>1000000</v>
      </c>
      <c r="J169" s="85">
        <f>J170+J171</f>
        <v>0</v>
      </c>
      <c r="K169" s="123">
        <f>J169/I169</f>
        <v>0</v>
      </c>
      <c r="L169" s="141"/>
      <c r="M169" s="141"/>
      <c r="N169" s="78">
        <f>G169+J169</f>
        <v>858470.5</v>
      </c>
      <c r="O169" s="45"/>
      <c r="P169" s="61"/>
    </row>
    <row r="170" spans="1:16" s="44" customFormat="1" ht="93" thickTop="1" thickBot="1" x14ac:dyDescent="0.25">
      <c r="A170" s="59"/>
      <c r="B170" s="65" t="s">
        <v>35</v>
      </c>
      <c r="C170" s="88" t="s">
        <v>503</v>
      </c>
      <c r="D170" s="65" t="s">
        <v>36</v>
      </c>
      <c r="E170" s="67">
        <v>4612300</v>
      </c>
      <c r="F170" s="67">
        <v>1153080</v>
      </c>
      <c r="G170" s="67">
        <v>858470.5</v>
      </c>
      <c r="H170" s="121">
        <f t="shared" si="64"/>
        <v>0.74450211607173833</v>
      </c>
      <c r="I170" s="67">
        <v>1000000</v>
      </c>
      <c r="J170" s="67">
        <v>0</v>
      </c>
      <c r="K170" s="121">
        <f>J170/I170</f>
        <v>0</v>
      </c>
      <c r="L170" s="141"/>
      <c r="M170" s="141"/>
      <c r="N170" s="68">
        <f t="shared" si="52"/>
        <v>858470.5</v>
      </c>
      <c r="O170" s="45"/>
      <c r="P170" s="61"/>
    </row>
    <row r="171" spans="1:16" s="44" customFormat="1" ht="230.25" hidden="1" thickTop="1" thickBot="1" x14ac:dyDescent="0.25">
      <c r="A171" s="59"/>
      <c r="B171" s="96" t="s">
        <v>453</v>
      </c>
      <c r="C171" s="96" t="s">
        <v>503</v>
      </c>
      <c r="D171" s="102" t="s">
        <v>454</v>
      </c>
      <c r="E171" s="97"/>
      <c r="F171" s="97"/>
      <c r="G171" s="97"/>
      <c r="H171" s="98" t="e">
        <f>G171/F171</f>
        <v>#DIV/0!</v>
      </c>
      <c r="I171" s="97">
        <v>0</v>
      </c>
      <c r="J171" s="97">
        <v>0</v>
      </c>
      <c r="K171" s="98">
        <v>0</v>
      </c>
      <c r="L171" s="118"/>
      <c r="M171" s="118"/>
      <c r="N171" s="101">
        <f t="shared" si="52"/>
        <v>0</v>
      </c>
      <c r="O171" s="60" t="s">
        <v>435</v>
      </c>
      <c r="P171" s="61"/>
    </row>
    <row r="172" spans="1:16" s="44" customFormat="1" ht="136.5" thickTop="1" thickBot="1" x14ac:dyDescent="0.25">
      <c r="A172" s="59"/>
      <c r="B172" s="124" t="s">
        <v>37</v>
      </c>
      <c r="C172" s="77"/>
      <c r="D172" s="124" t="s">
        <v>38</v>
      </c>
      <c r="E172" s="85">
        <f>SUM(E173:E184)-E181-E174</f>
        <v>15769810</v>
      </c>
      <c r="F172" s="85">
        <f>SUM(F173:F184)-F181-F174</f>
        <v>3214659.5300000003</v>
      </c>
      <c r="G172" s="85">
        <f>SUM(G173:G184)-G181-G174</f>
        <v>2230503.23</v>
      </c>
      <c r="H172" s="123">
        <f t="shared" si="64"/>
        <v>0.69385364427691032</v>
      </c>
      <c r="I172" s="85">
        <f>SUM(I173:I184)-I181-I174</f>
        <v>94425750.370000005</v>
      </c>
      <c r="J172" s="85">
        <f>SUM(J173:J184)-J181-J174</f>
        <v>734257.5199999999</v>
      </c>
      <c r="K172" s="123">
        <f>J172/I172</f>
        <v>7.7760305544077599E-3</v>
      </c>
      <c r="L172" s="141"/>
      <c r="M172" s="141"/>
      <c r="N172" s="78">
        <f t="shared" si="52"/>
        <v>2964760.75</v>
      </c>
      <c r="O172" s="45"/>
      <c r="P172" s="61"/>
    </row>
    <row r="173" spans="1:16" s="44" customFormat="1" ht="93" thickTop="1" thickBot="1" x14ac:dyDescent="0.25">
      <c r="A173" s="59"/>
      <c r="B173" s="88" t="s">
        <v>407</v>
      </c>
      <c r="C173" s="88" t="s">
        <v>408</v>
      </c>
      <c r="D173" s="88" t="s">
        <v>409</v>
      </c>
      <c r="E173" s="68">
        <v>5260060</v>
      </c>
      <c r="F173" s="68">
        <v>634427.53</v>
      </c>
      <c r="G173" s="68">
        <v>532373.80000000005</v>
      </c>
      <c r="H173" s="121">
        <f t="shared" si="64"/>
        <v>0.83914044524518039</v>
      </c>
      <c r="I173" s="130"/>
      <c r="J173" s="130"/>
      <c r="K173" s="121"/>
      <c r="L173" s="130"/>
      <c r="M173" s="128"/>
      <c r="N173" s="68">
        <f t="shared" si="52"/>
        <v>532373.80000000005</v>
      </c>
      <c r="O173" s="45"/>
      <c r="P173" s="61"/>
    </row>
    <row r="174" spans="1:16" s="44" customFormat="1" ht="93" thickTop="1" thickBot="1" x14ac:dyDescent="0.25">
      <c r="A174" s="59"/>
      <c r="B174" s="64" t="s">
        <v>472</v>
      </c>
      <c r="C174" s="64"/>
      <c r="D174" s="64" t="s">
        <v>474</v>
      </c>
      <c r="E174" s="69">
        <f>E175</f>
        <v>1019860</v>
      </c>
      <c r="F174" s="69">
        <f>F175</f>
        <v>255000</v>
      </c>
      <c r="G174" s="69">
        <f>G175</f>
        <v>205913.93</v>
      </c>
      <c r="H174" s="122">
        <f t="shared" si="64"/>
        <v>0.80750560784313719</v>
      </c>
      <c r="I174" s="69">
        <f>I175</f>
        <v>0</v>
      </c>
      <c r="J174" s="69">
        <f>J175</f>
        <v>0</v>
      </c>
      <c r="K174" s="122">
        <v>0</v>
      </c>
      <c r="L174" s="135"/>
      <c r="M174" s="142"/>
      <c r="N174" s="69">
        <f t="shared" si="52"/>
        <v>205913.93</v>
      </c>
      <c r="O174" s="179" t="s">
        <v>435</v>
      </c>
      <c r="P174" s="180"/>
    </row>
    <row r="175" spans="1:16" s="44" customFormat="1" ht="93" thickTop="1" thickBot="1" x14ac:dyDescent="0.25">
      <c r="A175" s="59"/>
      <c r="B175" s="88" t="s">
        <v>473</v>
      </c>
      <c r="C175" s="88" t="s">
        <v>374</v>
      </c>
      <c r="D175" s="88" t="s">
        <v>475</v>
      </c>
      <c r="E175" s="68">
        <v>1019860</v>
      </c>
      <c r="F175" s="68">
        <v>255000</v>
      </c>
      <c r="G175" s="68">
        <v>205913.93</v>
      </c>
      <c r="H175" s="121">
        <f t="shared" si="64"/>
        <v>0.80750560784313719</v>
      </c>
      <c r="I175" s="130"/>
      <c r="J175" s="130"/>
      <c r="K175" s="121"/>
      <c r="L175" s="130"/>
      <c r="M175" s="128"/>
      <c r="N175" s="68">
        <f t="shared" si="52"/>
        <v>205913.93</v>
      </c>
      <c r="O175" s="45"/>
      <c r="P175" s="61"/>
    </row>
    <row r="176" spans="1:16" s="44" customFormat="1" ht="138.75" thickTop="1" thickBot="1" x14ac:dyDescent="0.25">
      <c r="A176" s="59"/>
      <c r="B176" s="88" t="s">
        <v>410</v>
      </c>
      <c r="C176" s="88" t="s">
        <v>374</v>
      </c>
      <c r="D176" s="88" t="s">
        <v>411</v>
      </c>
      <c r="E176" s="68">
        <v>1085000</v>
      </c>
      <c r="F176" s="68">
        <v>34277</v>
      </c>
      <c r="G176" s="68">
        <v>3346</v>
      </c>
      <c r="H176" s="121">
        <f t="shared" si="64"/>
        <v>9.761647752137001E-2</v>
      </c>
      <c r="I176" s="68"/>
      <c r="J176" s="68"/>
      <c r="K176" s="68"/>
      <c r="L176" s="68"/>
      <c r="M176" s="131"/>
      <c r="N176" s="68">
        <f t="shared" si="52"/>
        <v>3346</v>
      </c>
      <c r="O176" s="45"/>
      <c r="P176" s="61"/>
    </row>
    <row r="177" spans="1:16" s="44" customFormat="1" ht="62.25" thickTop="1" thickBot="1" x14ac:dyDescent="0.25">
      <c r="A177" s="59"/>
      <c r="B177" s="88" t="s">
        <v>373</v>
      </c>
      <c r="C177" s="88" t="s">
        <v>374</v>
      </c>
      <c r="D177" s="88" t="s">
        <v>375</v>
      </c>
      <c r="E177" s="67">
        <v>1000000</v>
      </c>
      <c r="F177" s="67">
        <v>580000</v>
      </c>
      <c r="G177" s="67">
        <v>412309.5</v>
      </c>
      <c r="H177" s="121">
        <f t="shared" si="64"/>
        <v>0.71087844827586211</v>
      </c>
      <c r="I177" s="68">
        <f>50830000+2000000+12560000</f>
        <v>65390000</v>
      </c>
      <c r="J177" s="67">
        <v>0</v>
      </c>
      <c r="K177" s="121">
        <f>J177/I177</f>
        <v>0</v>
      </c>
      <c r="L177" s="67"/>
      <c r="M177" s="131"/>
      <c r="N177" s="68">
        <f t="shared" si="52"/>
        <v>412309.5</v>
      </c>
      <c r="O177" s="179" t="s">
        <v>435</v>
      </c>
      <c r="P177" s="180"/>
    </row>
    <row r="178" spans="1:16" s="44" customFormat="1" ht="138.75" thickTop="1" thickBot="1" x14ac:dyDescent="0.25">
      <c r="A178" s="59"/>
      <c r="B178" s="88" t="s">
        <v>420</v>
      </c>
      <c r="C178" s="88" t="s">
        <v>40</v>
      </c>
      <c r="D178" s="88" t="s">
        <v>421</v>
      </c>
      <c r="E178" s="130"/>
      <c r="F178" s="130"/>
      <c r="G178" s="130"/>
      <c r="H178" s="130"/>
      <c r="I178" s="68">
        <v>50000</v>
      </c>
      <c r="J178" s="68">
        <v>500</v>
      </c>
      <c r="K178" s="121">
        <f>J178/I178</f>
        <v>0.01</v>
      </c>
      <c r="L178" s="68"/>
      <c r="M178" s="131"/>
      <c r="N178" s="68">
        <f t="shared" si="52"/>
        <v>500</v>
      </c>
      <c r="O178" s="45"/>
      <c r="P178" s="61"/>
    </row>
    <row r="179" spans="1:16" s="44" customFormat="1" ht="93" thickTop="1" thickBot="1" x14ac:dyDescent="0.25">
      <c r="A179" s="59"/>
      <c r="B179" s="88" t="s">
        <v>189</v>
      </c>
      <c r="C179" s="88" t="s">
        <v>40</v>
      </c>
      <c r="D179" s="88" t="s">
        <v>190</v>
      </c>
      <c r="E179" s="74"/>
      <c r="F179" s="74"/>
      <c r="G179" s="74"/>
      <c r="H179" s="74"/>
      <c r="I179" s="68">
        <f>14000+300000+11305000+7903408</f>
        <v>19522408</v>
      </c>
      <c r="J179" s="67">
        <v>14000</v>
      </c>
      <c r="K179" s="121">
        <f>J179/I179</f>
        <v>7.1712464978705497E-4</v>
      </c>
      <c r="L179" s="67"/>
      <c r="M179" s="131"/>
      <c r="N179" s="68">
        <f t="shared" si="52"/>
        <v>14000</v>
      </c>
      <c r="O179" s="45"/>
      <c r="P179" s="61"/>
    </row>
    <row r="180" spans="1:16" s="44" customFormat="1" ht="138.75" thickTop="1" thickBot="1" x14ac:dyDescent="0.25">
      <c r="A180" s="59"/>
      <c r="B180" s="65" t="s">
        <v>39</v>
      </c>
      <c r="C180" s="88" t="s">
        <v>40</v>
      </c>
      <c r="D180" s="65" t="s">
        <v>41</v>
      </c>
      <c r="E180" s="68">
        <v>380000</v>
      </c>
      <c r="F180" s="68">
        <v>117560</v>
      </c>
      <c r="G180" s="68">
        <v>48870.5</v>
      </c>
      <c r="H180" s="121">
        <f t="shared" ref="H180:H181" si="67">G180/F180</f>
        <v>0.41570687308608373</v>
      </c>
      <c r="I180" s="143"/>
      <c r="J180" s="143"/>
      <c r="K180" s="143"/>
      <c r="L180" s="143"/>
      <c r="M180" s="143"/>
      <c r="N180" s="68">
        <f t="shared" si="52"/>
        <v>48870.5</v>
      </c>
      <c r="O180" s="45"/>
      <c r="P180" s="61"/>
    </row>
    <row r="181" spans="1:16" s="44" customFormat="1" ht="48" thickTop="1" thickBot="1" x14ac:dyDescent="0.25">
      <c r="A181" s="59"/>
      <c r="B181" s="64" t="s">
        <v>42</v>
      </c>
      <c r="C181" s="64"/>
      <c r="D181" s="64" t="s">
        <v>376</v>
      </c>
      <c r="E181" s="71">
        <f>SUM(E182:E184)</f>
        <v>7024890</v>
      </c>
      <c r="F181" s="71">
        <f>SUM(F182:F184)</f>
        <v>1593395</v>
      </c>
      <c r="G181" s="71">
        <f>SUM(G182:G184)</f>
        <v>1027689.5</v>
      </c>
      <c r="H181" s="122">
        <f t="shared" si="67"/>
        <v>0.64496844787387941</v>
      </c>
      <c r="I181" s="71">
        <f>SUM(I182:I184)</f>
        <v>9463342.370000001</v>
      </c>
      <c r="J181" s="71">
        <f>SUM(J182:J184)</f>
        <v>719757.5199999999</v>
      </c>
      <c r="K181" s="122">
        <f>J181/I181</f>
        <v>7.6057432126911392E-2</v>
      </c>
      <c r="L181" s="71"/>
      <c r="M181" s="71"/>
      <c r="N181" s="69">
        <f t="shared" si="52"/>
        <v>1747447.02</v>
      </c>
      <c r="O181" s="45"/>
      <c r="P181" s="61"/>
    </row>
    <row r="182" spans="1:16" s="44" customFormat="1" ht="409.6" thickTop="1" thickBot="1" x14ac:dyDescent="0.7">
      <c r="A182" s="59"/>
      <c r="B182" s="187" t="s">
        <v>43</v>
      </c>
      <c r="C182" s="187" t="s">
        <v>40</v>
      </c>
      <c r="D182" s="144" t="s">
        <v>44</v>
      </c>
      <c r="E182" s="199"/>
      <c r="F182" s="199"/>
      <c r="G182" s="199"/>
      <c r="H182" s="199"/>
      <c r="I182" s="190">
        <f>6014342.37+465000+884000+1300000</f>
        <v>8663342.370000001</v>
      </c>
      <c r="J182" s="190">
        <f>715477.94+4279.58</f>
        <v>719757.5199999999</v>
      </c>
      <c r="K182" s="201">
        <f>J182/I182</f>
        <v>8.3080812146178615E-2</v>
      </c>
      <c r="L182" s="190"/>
      <c r="M182" s="192"/>
      <c r="N182" s="190">
        <f>J182+G182</f>
        <v>719757.5199999999</v>
      </c>
      <c r="O182" s="45"/>
      <c r="P182" s="61"/>
    </row>
    <row r="183" spans="1:16" s="44" customFormat="1" ht="184.5" thickTop="1" thickBot="1" x14ac:dyDescent="0.25">
      <c r="A183" s="59"/>
      <c r="B183" s="188"/>
      <c r="C183" s="188"/>
      <c r="D183" s="145" t="s">
        <v>45</v>
      </c>
      <c r="E183" s="200"/>
      <c r="F183" s="200"/>
      <c r="G183" s="200"/>
      <c r="H183" s="200"/>
      <c r="I183" s="191"/>
      <c r="J183" s="191"/>
      <c r="K183" s="202"/>
      <c r="L183" s="191"/>
      <c r="M183" s="193"/>
      <c r="N183" s="191"/>
      <c r="O183" s="45"/>
      <c r="P183" s="61"/>
    </row>
    <row r="184" spans="1:16" s="44" customFormat="1" ht="93" thickTop="1" thickBot="1" x14ac:dyDescent="0.25">
      <c r="A184" s="59"/>
      <c r="B184" s="88" t="s">
        <v>46</v>
      </c>
      <c r="C184" s="88" t="s">
        <v>40</v>
      </c>
      <c r="D184" s="88" t="s">
        <v>47</v>
      </c>
      <c r="E184" s="68">
        <f>2178890+146000+300000+1900000+2500000</f>
        <v>7024890</v>
      </c>
      <c r="F184" s="68">
        <v>1593395</v>
      </c>
      <c r="G184" s="68">
        <f>327689.5+700000</f>
        <v>1027689.5</v>
      </c>
      <c r="H184" s="121">
        <f t="shared" ref="H184:H189" si="68">G184/F184</f>
        <v>0.64496844787387941</v>
      </c>
      <c r="I184" s="68">
        <v>800000</v>
      </c>
      <c r="J184" s="68">
        <v>0</v>
      </c>
      <c r="K184" s="121">
        <f>J184/I184</f>
        <v>0</v>
      </c>
      <c r="L184" s="68"/>
      <c r="M184" s="131"/>
      <c r="N184" s="68">
        <f t="shared" ref="N184:N203" si="69">G184+J184</f>
        <v>1027689.5</v>
      </c>
      <c r="O184" s="45"/>
      <c r="P184" s="61"/>
    </row>
    <row r="185" spans="1:16" s="44" customFormat="1" ht="107.45" customHeight="1" thickTop="1" thickBot="1" x14ac:dyDescent="0.25">
      <c r="A185" s="59"/>
      <c r="B185" s="91" t="s">
        <v>48</v>
      </c>
      <c r="C185" s="91"/>
      <c r="D185" s="92" t="s">
        <v>49</v>
      </c>
      <c r="E185" s="93">
        <f>SUM(E186:E197)-E186-E191-E193-E196-E189</f>
        <v>75995057.680000007</v>
      </c>
      <c r="F185" s="93">
        <f>SUM(F186:F197)-F186-F191-F193-F196-F189</f>
        <v>22846771</v>
      </c>
      <c r="G185" s="93">
        <f>SUM(G186:G197)-G186-G191-G193-G196-G189</f>
        <v>4965600.0200000014</v>
      </c>
      <c r="H185" s="94">
        <f>G185/F185</f>
        <v>0.21734362461986428</v>
      </c>
      <c r="I185" s="93">
        <f>SUM(I186:I197)-I186-I191-I193-I196-I189</f>
        <v>700000</v>
      </c>
      <c r="J185" s="93">
        <f>SUM(J186:J197)-J186-J191-J193-J196-J189</f>
        <v>0</v>
      </c>
      <c r="K185" s="94">
        <f>J185/I185</f>
        <v>0</v>
      </c>
      <c r="L185" s="93"/>
      <c r="M185" s="93"/>
      <c r="N185" s="95">
        <f>J185+G185</f>
        <v>4965600.0200000014</v>
      </c>
      <c r="O185" s="75" t="b">
        <f>N185=N187+N188+N192+N194+N195+N197+N190</f>
        <v>1</v>
      </c>
      <c r="P185" s="61"/>
    </row>
    <row r="186" spans="1:16" s="44" customFormat="1" ht="107.45" customHeight="1" thickTop="1" thickBot="1" x14ac:dyDescent="0.25">
      <c r="A186" s="59"/>
      <c r="B186" s="80" t="s">
        <v>387</v>
      </c>
      <c r="C186" s="80"/>
      <c r="D186" s="86" t="s">
        <v>388</v>
      </c>
      <c r="E186" s="78">
        <f>SUM(E187:E188)</f>
        <v>2592110</v>
      </c>
      <c r="F186" s="78">
        <f>SUM(F187:F188)</f>
        <v>557221</v>
      </c>
      <c r="G186" s="78">
        <f>SUM(G187:G188)</f>
        <v>438257.26</v>
      </c>
      <c r="H186" s="123">
        <f t="shared" si="68"/>
        <v>0.78650528246422879</v>
      </c>
      <c r="I186" s="78">
        <f>SUM(I187:I188)</f>
        <v>0</v>
      </c>
      <c r="J186" s="78">
        <f>SUM(J187:J188)</f>
        <v>0</v>
      </c>
      <c r="K186" s="123">
        <v>0</v>
      </c>
      <c r="L186" s="78"/>
      <c r="M186" s="78"/>
      <c r="N186" s="78">
        <f t="shared" si="69"/>
        <v>438257.26</v>
      </c>
      <c r="O186" s="179" t="s">
        <v>435</v>
      </c>
      <c r="P186" s="180"/>
    </row>
    <row r="187" spans="1:16" s="44" customFormat="1" ht="184.5" thickTop="1" thickBot="1" x14ac:dyDescent="0.25">
      <c r="A187" s="59"/>
      <c r="B187" s="88" t="s">
        <v>389</v>
      </c>
      <c r="C187" s="88" t="s">
        <v>390</v>
      </c>
      <c r="D187" s="88" t="s">
        <v>391</v>
      </c>
      <c r="E187" s="67">
        <v>63040</v>
      </c>
      <c r="F187" s="67">
        <v>63040</v>
      </c>
      <c r="G187" s="67">
        <v>0</v>
      </c>
      <c r="H187" s="121">
        <f>G187/F187</f>
        <v>0</v>
      </c>
      <c r="I187" s="130"/>
      <c r="J187" s="74"/>
      <c r="K187" s="74"/>
      <c r="L187" s="74"/>
      <c r="M187" s="128"/>
      <c r="N187" s="68">
        <f t="shared" si="69"/>
        <v>0</v>
      </c>
      <c r="O187" s="179"/>
      <c r="P187" s="180"/>
    </row>
    <row r="188" spans="1:16" s="44" customFormat="1" ht="93" thickTop="1" thickBot="1" x14ac:dyDescent="0.25">
      <c r="A188" s="59"/>
      <c r="B188" s="88" t="s">
        <v>392</v>
      </c>
      <c r="C188" s="88" t="s">
        <v>390</v>
      </c>
      <c r="D188" s="88" t="s">
        <v>393</v>
      </c>
      <c r="E188" s="67">
        <v>2529070</v>
      </c>
      <c r="F188" s="67">
        <v>494181</v>
      </c>
      <c r="G188" s="67">
        <v>438257.26</v>
      </c>
      <c r="H188" s="121">
        <f t="shared" si="68"/>
        <v>0.88683551168498997</v>
      </c>
      <c r="I188" s="68"/>
      <c r="J188" s="68"/>
      <c r="K188" s="121"/>
      <c r="L188" s="74"/>
      <c r="M188" s="128"/>
      <c r="N188" s="68">
        <f t="shared" si="69"/>
        <v>438257.26</v>
      </c>
      <c r="O188" s="12"/>
      <c r="P188" s="61"/>
    </row>
    <row r="189" spans="1:16" s="44" customFormat="1" ht="91.5" thickTop="1" thickBot="1" x14ac:dyDescent="0.25">
      <c r="A189" s="59"/>
      <c r="B189" s="120" t="s">
        <v>522</v>
      </c>
      <c r="C189" s="120"/>
      <c r="D189" s="120" t="s">
        <v>523</v>
      </c>
      <c r="E189" s="85">
        <f>E190</f>
        <v>17750000</v>
      </c>
      <c r="F189" s="85">
        <f>F190</f>
        <v>17750000</v>
      </c>
      <c r="G189" s="85">
        <f>G190</f>
        <v>1629625.84</v>
      </c>
      <c r="H189" s="123">
        <f t="shared" si="68"/>
        <v>9.1809906478873243E-2</v>
      </c>
      <c r="I189" s="85">
        <f>I190</f>
        <v>0</v>
      </c>
      <c r="J189" s="85">
        <f>J190</f>
        <v>0</v>
      </c>
      <c r="K189" s="123">
        <v>0</v>
      </c>
      <c r="L189" s="85"/>
      <c r="M189" s="85"/>
      <c r="N189" s="78">
        <f t="shared" ref="N189:N190" si="70">G189+J189</f>
        <v>1629625.84</v>
      </c>
      <c r="O189" s="179"/>
      <c r="P189" s="180"/>
    </row>
    <row r="190" spans="1:16" s="44" customFormat="1" ht="93" thickTop="1" thickBot="1" x14ac:dyDescent="0.25">
      <c r="A190" s="59"/>
      <c r="B190" s="18" t="s">
        <v>524</v>
      </c>
      <c r="C190" s="18" t="s">
        <v>525</v>
      </c>
      <c r="D190" s="18" t="s">
        <v>526</v>
      </c>
      <c r="E190" s="67">
        <v>17750000</v>
      </c>
      <c r="F190" s="67">
        <v>17750000</v>
      </c>
      <c r="G190" s="67">
        <v>1629625.84</v>
      </c>
      <c r="H190" s="121">
        <f>G190/F190</f>
        <v>9.1809906478873243E-2</v>
      </c>
      <c r="I190" s="130"/>
      <c r="J190" s="74"/>
      <c r="K190" s="74"/>
      <c r="L190" s="74"/>
      <c r="M190" s="128"/>
      <c r="N190" s="68">
        <f t="shared" si="70"/>
        <v>1629625.84</v>
      </c>
      <c r="O190" s="12"/>
      <c r="P190" s="61"/>
    </row>
    <row r="191" spans="1:16" s="44" customFormat="1" ht="91.5" thickTop="1" thickBot="1" x14ac:dyDescent="0.25">
      <c r="A191" s="59"/>
      <c r="B191" s="80" t="s">
        <v>412</v>
      </c>
      <c r="C191" s="80"/>
      <c r="D191" s="80" t="s">
        <v>413</v>
      </c>
      <c r="E191" s="85">
        <f>SUM(E192:E192)</f>
        <v>0</v>
      </c>
      <c r="F191" s="85">
        <f>SUM(F192:F192)</f>
        <v>0</v>
      </c>
      <c r="G191" s="85">
        <f>SUM(G192:G192)</f>
        <v>0</v>
      </c>
      <c r="H191" s="123">
        <v>0</v>
      </c>
      <c r="I191" s="85">
        <f>SUM(I192:I192)</f>
        <v>700000</v>
      </c>
      <c r="J191" s="85">
        <f>SUM(J192:J192)</f>
        <v>0</v>
      </c>
      <c r="K191" s="123">
        <f t="shared" ref="K191:K192" si="71">J191/I191</f>
        <v>0</v>
      </c>
      <c r="L191" s="85"/>
      <c r="M191" s="85"/>
      <c r="N191" s="78">
        <f t="shared" si="69"/>
        <v>0</v>
      </c>
      <c r="O191" s="179" t="s">
        <v>435</v>
      </c>
      <c r="P191" s="180"/>
    </row>
    <row r="192" spans="1:16" s="44" customFormat="1" ht="93" thickTop="1" thickBot="1" x14ac:dyDescent="0.25">
      <c r="A192" s="59"/>
      <c r="B192" s="88" t="s">
        <v>530</v>
      </c>
      <c r="C192" s="88" t="s">
        <v>414</v>
      </c>
      <c r="D192" s="88" t="s">
        <v>531</v>
      </c>
      <c r="E192" s="130"/>
      <c r="F192" s="130"/>
      <c r="G192" s="130"/>
      <c r="H192" s="130"/>
      <c r="I192" s="68">
        <v>700000</v>
      </c>
      <c r="J192" s="68">
        <v>0</v>
      </c>
      <c r="K192" s="121">
        <f t="shared" si="71"/>
        <v>0</v>
      </c>
      <c r="L192" s="68"/>
      <c r="M192" s="131"/>
      <c r="N192" s="68">
        <f t="shared" si="69"/>
        <v>0</v>
      </c>
      <c r="O192" s="45"/>
      <c r="P192" s="61"/>
    </row>
    <row r="193" spans="1:17" s="44" customFormat="1" ht="62.25" thickTop="1" thickBot="1" x14ac:dyDescent="0.25">
      <c r="A193" s="59"/>
      <c r="B193" s="80" t="s">
        <v>50</v>
      </c>
      <c r="C193" s="80"/>
      <c r="D193" s="80" t="s">
        <v>51</v>
      </c>
      <c r="E193" s="78">
        <f>SUM(E194)</f>
        <v>7313195</v>
      </c>
      <c r="F193" s="78">
        <f t="shared" ref="F193:J193" si="72">SUM(F194)</f>
        <v>1828325</v>
      </c>
      <c r="G193" s="78">
        <f t="shared" si="72"/>
        <v>1455708.84</v>
      </c>
      <c r="H193" s="123">
        <f t="shared" ref="H193:H195" si="73">G193/F193</f>
        <v>0.79619807200579773</v>
      </c>
      <c r="I193" s="78">
        <f t="shared" si="72"/>
        <v>0</v>
      </c>
      <c r="J193" s="78">
        <f t="shared" si="72"/>
        <v>0</v>
      </c>
      <c r="K193" s="123">
        <v>0</v>
      </c>
      <c r="L193" s="78"/>
      <c r="M193" s="78"/>
      <c r="N193" s="78">
        <f t="shared" si="69"/>
        <v>1455708.84</v>
      </c>
      <c r="O193" s="179" t="s">
        <v>435</v>
      </c>
      <c r="P193" s="180"/>
    </row>
    <row r="194" spans="1:17" s="44" customFormat="1" ht="93" thickTop="1" thickBot="1" x14ac:dyDescent="0.25">
      <c r="A194" s="59"/>
      <c r="B194" s="65" t="s">
        <v>52</v>
      </c>
      <c r="C194" s="65" t="s">
        <v>53</v>
      </c>
      <c r="D194" s="65" t="s">
        <v>54</v>
      </c>
      <c r="E194" s="68">
        <v>7313195</v>
      </c>
      <c r="F194" s="68">
        <v>1828325</v>
      </c>
      <c r="G194" s="68">
        <v>1455708.84</v>
      </c>
      <c r="H194" s="121">
        <f t="shared" si="73"/>
        <v>0.79619807200579773</v>
      </c>
      <c r="I194" s="130"/>
      <c r="J194" s="130"/>
      <c r="K194" s="130"/>
      <c r="L194" s="130"/>
      <c r="M194" s="128"/>
      <c r="N194" s="68">
        <f t="shared" si="69"/>
        <v>1455708.84</v>
      </c>
      <c r="O194" s="45"/>
      <c r="P194" s="61"/>
    </row>
    <row r="195" spans="1:17" s="44" customFormat="1" ht="91.5" thickTop="1" thickBot="1" x14ac:dyDescent="0.25">
      <c r="A195" s="59"/>
      <c r="B195" s="79">
        <v>8600</v>
      </c>
      <c r="C195" s="80" t="s">
        <v>25</v>
      </c>
      <c r="D195" s="79" t="s">
        <v>422</v>
      </c>
      <c r="E195" s="78">
        <v>8838983</v>
      </c>
      <c r="F195" s="78">
        <v>2711225</v>
      </c>
      <c r="G195" s="78">
        <v>1442008.08</v>
      </c>
      <c r="H195" s="123">
        <f t="shared" si="73"/>
        <v>0.53186588350284469</v>
      </c>
      <c r="I195" s="139"/>
      <c r="J195" s="139"/>
      <c r="K195" s="139"/>
      <c r="L195" s="139"/>
      <c r="M195" s="146"/>
      <c r="N195" s="78">
        <f t="shared" si="69"/>
        <v>1442008.08</v>
      </c>
      <c r="O195" s="45"/>
      <c r="P195" s="61"/>
    </row>
    <row r="196" spans="1:17" s="44" customFormat="1" ht="62.25" thickTop="1" thickBot="1" x14ac:dyDescent="0.25">
      <c r="A196" s="59"/>
      <c r="B196" s="79">
        <v>8700</v>
      </c>
      <c r="C196" s="80"/>
      <c r="D196" s="79" t="s">
        <v>423</v>
      </c>
      <c r="E196" s="78">
        <f t="shared" ref="E196:J196" si="74">E197</f>
        <v>39500769.68</v>
      </c>
      <c r="F196" s="78">
        <f t="shared" si="74"/>
        <v>0</v>
      </c>
      <c r="G196" s="78">
        <f t="shared" si="74"/>
        <v>0</v>
      </c>
      <c r="H196" s="123">
        <v>0</v>
      </c>
      <c r="I196" s="78">
        <f t="shared" si="74"/>
        <v>0</v>
      </c>
      <c r="J196" s="78">
        <f t="shared" si="74"/>
        <v>0</v>
      </c>
      <c r="K196" s="123">
        <v>0</v>
      </c>
      <c r="L196" s="78"/>
      <c r="M196" s="78"/>
      <c r="N196" s="78">
        <f t="shared" si="69"/>
        <v>0</v>
      </c>
      <c r="O196" s="179" t="s">
        <v>435</v>
      </c>
      <c r="P196" s="180"/>
    </row>
    <row r="197" spans="1:17" s="44" customFormat="1" ht="93" thickTop="1" thickBot="1" x14ac:dyDescent="0.25">
      <c r="A197" s="59"/>
      <c r="B197" s="73">
        <v>8710</v>
      </c>
      <c r="C197" s="88" t="s">
        <v>30</v>
      </c>
      <c r="D197" s="28" t="s">
        <v>424</v>
      </c>
      <c r="E197" s="68">
        <v>39500769.68</v>
      </c>
      <c r="F197" s="68">
        <v>0</v>
      </c>
      <c r="G197" s="68">
        <v>0</v>
      </c>
      <c r="H197" s="121">
        <v>0</v>
      </c>
      <c r="I197" s="68"/>
      <c r="J197" s="68"/>
      <c r="K197" s="68"/>
      <c r="L197" s="68"/>
      <c r="M197" s="131"/>
      <c r="N197" s="68">
        <f t="shared" si="69"/>
        <v>0</v>
      </c>
      <c r="O197" s="179" t="s">
        <v>435</v>
      </c>
      <c r="P197" s="180"/>
    </row>
    <row r="198" spans="1:17" s="44" customFormat="1" ht="103.7" customHeight="1" thickTop="1" thickBot="1" x14ac:dyDescent="0.25">
      <c r="A198" s="59"/>
      <c r="B198" s="91" t="s">
        <v>55</v>
      </c>
      <c r="C198" s="91"/>
      <c r="D198" s="92" t="s">
        <v>56</v>
      </c>
      <c r="E198" s="93">
        <f>SUM(E199:E204)-E199-E201</f>
        <v>94351600</v>
      </c>
      <c r="F198" s="93">
        <f>SUM(F199:F204)-F199-F201</f>
        <v>25074310</v>
      </c>
      <c r="G198" s="93">
        <f>SUM(G199:G204)-G199-G201</f>
        <v>14844413.32</v>
      </c>
      <c r="H198" s="94">
        <f>G198/F198</f>
        <v>0.59201682199829231</v>
      </c>
      <c r="I198" s="93">
        <f>SUM(I199:I204)-I199-I201</f>
        <v>1074000</v>
      </c>
      <c r="J198" s="93">
        <f>SUM(J199:J204)-J199-J201</f>
        <v>1074000</v>
      </c>
      <c r="K198" s="94">
        <f>J198/I198</f>
        <v>1</v>
      </c>
      <c r="L198" s="93"/>
      <c r="M198" s="93"/>
      <c r="N198" s="95">
        <f>J198+G198</f>
        <v>15918413.32</v>
      </c>
      <c r="O198" s="75" t="b">
        <f>N198=N200+N202+N203+N204</f>
        <v>1</v>
      </c>
      <c r="P198" s="179"/>
      <c r="Q198" s="180"/>
    </row>
    <row r="199" spans="1:17" s="44" customFormat="1" ht="103.7" customHeight="1" thickTop="1" thickBot="1" x14ac:dyDescent="0.25">
      <c r="A199" s="59"/>
      <c r="B199" s="80" t="s">
        <v>425</v>
      </c>
      <c r="C199" s="80"/>
      <c r="D199" s="80" t="s">
        <v>426</v>
      </c>
      <c r="E199" s="78">
        <f t="shared" ref="E199:J199" si="75">E200</f>
        <v>91712900</v>
      </c>
      <c r="F199" s="78">
        <f t="shared" si="75"/>
        <v>22928100</v>
      </c>
      <c r="G199" s="78">
        <f t="shared" si="75"/>
        <v>12737833.32</v>
      </c>
      <c r="H199" s="123">
        <f t="shared" ref="H199:H202" si="76">G199/F199</f>
        <v>0.55555555497402753</v>
      </c>
      <c r="I199" s="78">
        <f t="shared" si="75"/>
        <v>0</v>
      </c>
      <c r="J199" s="78">
        <f t="shared" si="75"/>
        <v>0</v>
      </c>
      <c r="K199" s="123">
        <v>0</v>
      </c>
      <c r="L199" s="78"/>
      <c r="M199" s="78"/>
      <c r="N199" s="78">
        <f t="shared" si="69"/>
        <v>12737833.32</v>
      </c>
      <c r="O199" s="179" t="s">
        <v>435</v>
      </c>
      <c r="P199" s="180"/>
    </row>
    <row r="200" spans="1:17" s="44" customFormat="1" ht="103.7" customHeight="1" thickTop="1" thickBot="1" x14ac:dyDescent="0.25">
      <c r="A200" s="59"/>
      <c r="B200" s="73">
        <v>9110</v>
      </c>
      <c r="C200" s="88" t="s">
        <v>29</v>
      </c>
      <c r="D200" s="28" t="s">
        <v>427</v>
      </c>
      <c r="E200" s="68">
        <v>91712900</v>
      </c>
      <c r="F200" s="68">
        <v>22928100</v>
      </c>
      <c r="G200" s="68">
        <v>12737833.32</v>
      </c>
      <c r="H200" s="121">
        <f t="shared" si="76"/>
        <v>0.55555555497402753</v>
      </c>
      <c r="I200" s="130"/>
      <c r="J200" s="130"/>
      <c r="K200" s="130"/>
      <c r="L200" s="130"/>
      <c r="M200" s="128"/>
      <c r="N200" s="68">
        <f t="shared" si="69"/>
        <v>12737833.32</v>
      </c>
      <c r="O200" s="12"/>
    </row>
    <row r="201" spans="1:17" s="44" customFormat="1" ht="271.5" thickTop="1" thickBot="1" x14ac:dyDescent="0.25">
      <c r="A201" s="59"/>
      <c r="B201" s="80" t="s">
        <v>57</v>
      </c>
      <c r="C201" s="80"/>
      <c r="D201" s="80" t="s">
        <v>58</v>
      </c>
      <c r="E201" s="78">
        <f>SUM(E202:E203)</f>
        <v>732700</v>
      </c>
      <c r="F201" s="78">
        <f t="shared" ref="F201:G201" si="77">SUM(F202:F203)</f>
        <v>240210</v>
      </c>
      <c r="G201" s="78">
        <f t="shared" si="77"/>
        <v>200580</v>
      </c>
      <c r="H201" s="123">
        <f t="shared" si="76"/>
        <v>0.83501935806169603</v>
      </c>
      <c r="I201" s="78">
        <f t="shared" ref="I201:J201" si="78">SUM(I202:I203)</f>
        <v>0</v>
      </c>
      <c r="J201" s="78">
        <f t="shared" si="78"/>
        <v>0</v>
      </c>
      <c r="K201" s="123">
        <v>0</v>
      </c>
      <c r="L201" s="78"/>
      <c r="M201" s="78"/>
      <c r="N201" s="78">
        <f t="shared" si="69"/>
        <v>200580</v>
      </c>
      <c r="O201" s="179" t="s">
        <v>435</v>
      </c>
      <c r="P201" s="180"/>
    </row>
    <row r="202" spans="1:17" s="44" customFormat="1" ht="276" thickTop="1" thickBot="1" x14ac:dyDescent="0.25">
      <c r="A202" s="59"/>
      <c r="B202" s="88" t="s">
        <v>59</v>
      </c>
      <c r="C202" s="88" t="s">
        <v>29</v>
      </c>
      <c r="D202" s="88" t="s">
        <v>60</v>
      </c>
      <c r="E202" s="68">
        <v>600600</v>
      </c>
      <c r="F202" s="68">
        <v>200580</v>
      </c>
      <c r="G202" s="68">
        <v>200580</v>
      </c>
      <c r="H202" s="121">
        <f t="shared" si="76"/>
        <v>1</v>
      </c>
      <c r="I202" s="130"/>
      <c r="J202" s="130"/>
      <c r="K202" s="130"/>
      <c r="L202" s="130"/>
      <c r="M202" s="128"/>
      <c r="N202" s="68">
        <f t="shared" si="69"/>
        <v>200580</v>
      </c>
      <c r="O202" s="45"/>
      <c r="P202" s="61"/>
    </row>
    <row r="203" spans="1:17" s="44" customFormat="1" ht="93" thickTop="1" thickBot="1" x14ac:dyDescent="0.8">
      <c r="A203" s="59"/>
      <c r="B203" s="88" t="s">
        <v>61</v>
      </c>
      <c r="C203" s="88" t="s">
        <v>29</v>
      </c>
      <c r="D203" s="88" t="s">
        <v>62</v>
      </c>
      <c r="E203" s="68">
        <v>132100</v>
      </c>
      <c r="F203" s="68">
        <v>39630</v>
      </c>
      <c r="G203" s="68">
        <v>0</v>
      </c>
      <c r="H203" s="121">
        <f>G203/F203</f>
        <v>0</v>
      </c>
      <c r="I203" s="68"/>
      <c r="J203" s="68"/>
      <c r="K203" s="121"/>
      <c r="L203" s="68"/>
      <c r="M203" s="131"/>
      <c r="N203" s="68">
        <f t="shared" si="69"/>
        <v>0</v>
      </c>
      <c r="O203" s="82"/>
      <c r="P203" s="61"/>
    </row>
    <row r="204" spans="1:17" s="44" customFormat="1" ht="271.5" thickTop="1" thickBot="1" x14ac:dyDescent="0.25">
      <c r="A204" s="59"/>
      <c r="B204" s="80" t="s">
        <v>63</v>
      </c>
      <c r="C204" s="80" t="s">
        <v>29</v>
      </c>
      <c r="D204" s="80" t="s">
        <v>64</v>
      </c>
      <c r="E204" s="81">
        <v>1906000</v>
      </c>
      <c r="F204" s="81">
        <v>1906000</v>
      </c>
      <c r="G204" s="81">
        <v>1906000</v>
      </c>
      <c r="H204" s="125">
        <f t="shared" ref="H204" si="79">G204/F204</f>
        <v>1</v>
      </c>
      <c r="I204" s="81">
        <v>1074000</v>
      </c>
      <c r="J204" s="81">
        <v>1074000</v>
      </c>
      <c r="K204" s="125">
        <f t="shared" ref="K204" si="80">J204/I204</f>
        <v>1</v>
      </c>
      <c r="L204" s="139"/>
      <c r="M204" s="139"/>
      <c r="N204" s="81">
        <f t="shared" ref="N204" si="81">G204+J204</f>
        <v>2980000</v>
      </c>
      <c r="O204" s="45"/>
      <c r="P204" s="61"/>
    </row>
    <row r="205" spans="1:17" s="44" customFormat="1" ht="71.45" customHeight="1" thickTop="1" thickBot="1" x14ac:dyDescent="0.25">
      <c r="A205" s="59"/>
      <c r="B205" s="46" t="s">
        <v>428</v>
      </c>
      <c r="C205" s="46" t="s">
        <v>428</v>
      </c>
      <c r="D205" s="47" t="s">
        <v>438</v>
      </c>
      <c r="E205" s="48">
        <f>E14+E19+E51+E64+E108+E116+E131+E145+E185+E198</f>
        <v>3296914795.9799995</v>
      </c>
      <c r="F205" s="48">
        <f>F14+F19+F51+F64+F108+F116+F131+F145+F185+F198</f>
        <v>806846356.81000006</v>
      </c>
      <c r="G205" s="48">
        <f>G14+G19+G51+G64+G108+G116+G131+G145+G185+G198</f>
        <v>712422968.98000002</v>
      </c>
      <c r="H205" s="72">
        <f>G205/F205</f>
        <v>0.88297228210421819</v>
      </c>
      <c r="I205" s="48">
        <f>I14+I19+I51+I64+I108+I116+I131+I145+I185+I198</f>
        <v>507421113.26999998</v>
      </c>
      <c r="J205" s="48">
        <f>J14+J19+J51+J64+J108+J116+J131+J145+J185+J198</f>
        <v>33904613.949999996</v>
      </c>
      <c r="K205" s="72">
        <f>J205/I205</f>
        <v>6.6817507319525488E-2</v>
      </c>
      <c r="L205" s="66" t="e">
        <f>#REF!+#REF!+#REF!+#REF!+#REF!+#REF!++L124+L132+L194+L155+L176+L188+L140+#REF!+#REF!</f>
        <v>#REF!</v>
      </c>
      <c r="M205" s="66" t="e">
        <f>#REF!+#REF!+#REF!+#REF!+#REF!+#REF!++M124+M132+M194+M155+M176+M188+M140+#REF!+#REF!</f>
        <v>#REF!</v>
      </c>
      <c r="N205" s="48">
        <f>N14+N19+N51+N64+N108+N116+N131+N145+N185+N198</f>
        <v>746327582.93000007</v>
      </c>
      <c r="O205" s="75" t="b">
        <f>N205=J205+G205</f>
        <v>1</v>
      </c>
      <c r="P205" s="61"/>
    </row>
    <row r="206" spans="1:17" s="44" customFormat="1" ht="62.25" thickTop="1" thickBot="1" x14ac:dyDescent="0.25">
      <c r="A206" s="59"/>
      <c r="B206" s="77" t="s">
        <v>48</v>
      </c>
      <c r="C206" s="147"/>
      <c r="D206" s="148" t="s">
        <v>443</v>
      </c>
      <c r="E206" s="149">
        <f t="shared" ref="E206:G207" si="82">E207</f>
        <v>500000</v>
      </c>
      <c r="F206" s="149">
        <f t="shared" si="82"/>
        <v>0</v>
      </c>
      <c r="G206" s="149">
        <f t="shared" si="82"/>
        <v>0</v>
      </c>
      <c r="H206" s="150">
        <v>0</v>
      </c>
      <c r="I206" s="149">
        <f>I207</f>
        <v>0</v>
      </c>
      <c r="J206" s="149">
        <f>J207</f>
        <v>-43748.31</v>
      </c>
      <c r="K206" s="125"/>
      <c r="L206" s="149"/>
      <c r="M206" s="149"/>
      <c r="N206" s="81">
        <f t="shared" ref="N206:N210" si="83">G206+J206</f>
        <v>-43748.31</v>
      </c>
      <c r="O206" s="179" t="s">
        <v>435</v>
      </c>
      <c r="P206" s="180"/>
    </row>
    <row r="207" spans="1:17" s="44" customFormat="1" ht="62.25" thickTop="1" thickBot="1" x14ac:dyDescent="0.25">
      <c r="A207" s="59"/>
      <c r="B207" s="80" t="s">
        <v>441</v>
      </c>
      <c r="C207" s="147"/>
      <c r="D207" s="151" t="s">
        <v>444</v>
      </c>
      <c r="E207" s="152">
        <f t="shared" si="82"/>
        <v>500000</v>
      </c>
      <c r="F207" s="152">
        <f t="shared" si="82"/>
        <v>0</v>
      </c>
      <c r="G207" s="152">
        <f t="shared" si="82"/>
        <v>0</v>
      </c>
      <c r="H207" s="153">
        <v>0</v>
      </c>
      <c r="I207" s="152">
        <f>I208</f>
        <v>0</v>
      </c>
      <c r="J207" s="152">
        <f>J208</f>
        <v>-43748.31</v>
      </c>
      <c r="K207" s="123"/>
      <c r="L207" s="152"/>
      <c r="M207" s="152"/>
      <c r="N207" s="78">
        <f t="shared" si="83"/>
        <v>-43748.31</v>
      </c>
      <c r="O207" s="179" t="s">
        <v>435</v>
      </c>
      <c r="P207" s="180"/>
    </row>
    <row r="208" spans="1:17" s="44" customFormat="1" ht="321.75" thickTop="1" thickBot="1" x14ac:dyDescent="0.25">
      <c r="A208" s="59"/>
      <c r="B208" s="64" t="s">
        <v>442</v>
      </c>
      <c r="C208" s="147"/>
      <c r="D208" s="154" t="s">
        <v>445</v>
      </c>
      <c r="E208" s="132">
        <f>E209+E210</f>
        <v>500000</v>
      </c>
      <c r="F208" s="132">
        <f>F209+F210</f>
        <v>0</v>
      </c>
      <c r="G208" s="132">
        <f>G209+G210</f>
        <v>0</v>
      </c>
      <c r="H208" s="122">
        <v>0</v>
      </c>
      <c r="I208" s="132">
        <f>I209+I210</f>
        <v>0</v>
      </c>
      <c r="J208" s="132">
        <f>J209+J210</f>
        <v>-43748.31</v>
      </c>
      <c r="K208" s="121"/>
      <c r="L208" s="132"/>
      <c r="M208" s="132"/>
      <c r="N208" s="69">
        <f t="shared" si="83"/>
        <v>-43748.31</v>
      </c>
      <c r="O208" s="179" t="s">
        <v>435</v>
      </c>
      <c r="P208" s="180"/>
    </row>
    <row r="209" spans="1:27" s="44" customFormat="1" ht="276" thickTop="1" thickBot="1" x14ac:dyDescent="0.25">
      <c r="A209" s="59"/>
      <c r="B209" s="155" t="s">
        <v>439</v>
      </c>
      <c r="C209" s="147"/>
      <c r="D209" s="156" t="s">
        <v>446</v>
      </c>
      <c r="E209" s="131">
        <v>500000</v>
      </c>
      <c r="F209" s="131">
        <v>0</v>
      </c>
      <c r="G209" s="131">
        <v>0</v>
      </c>
      <c r="H209" s="121">
        <v>0</v>
      </c>
      <c r="I209" s="131">
        <v>150000</v>
      </c>
      <c r="J209" s="131">
        <v>0</v>
      </c>
      <c r="K209" s="121">
        <f t="shared" ref="K209:K210" si="84">J209/I209</f>
        <v>0</v>
      </c>
      <c r="L209" s="149"/>
      <c r="M209" s="149"/>
      <c r="N209" s="68">
        <f t="shared" si="83"/>
        <v>0</v>
      </c>
      <c r="O209" s="179" t="s">
        <v>435</v>
      </c>
      <c r="P209" s="180"/>
    </row>
    <row r="210" spans="1:27" s="44" customFormat="1" ht="321.75" thickTop="1" thickBot="1" x14ac:dyDescent="1.2">
      <c r="A210" s="59"/>
      <c r="B210" s="155" t="s">
        <v>440</v>
      </c>
      <c r="C210" s="147"/>
      <c r="D210" s="156" t="s">
        <v>447</v>
      </c>
      <c r="E210" s="157"/>
      <c r="F210" s="157"/>
      <c r="G210" s="157"/>
      <c r="H210" s="158"/>
      <c r="I210" s="131">
        <v>-150000</v>
      </c>
      <c r="J210" s="131">
        <v>-43748.31</v>
      </c>
      <c r="K210" s="121">
        <f t="shared" si="84"/>
        <v>0.29165540000000001</v>
      </c>
      <c r="L210" s="149"/>
      <c r="M210" s="149"/>
      <c r="N210" s="68">
        <f t="shared" si="83"/>
        <v>-43748.31</v>
      </c>
      <c r="O210" s="45"/>
      <c r="P210" s="61"/>
      <c r="AA210" s="87"/>
    </row>
    <row r="211" spans="1:27" s="44" customFormat="1" ht="119.25" customHeight="1" thickTop="1" thickBot="1" x14ac:dyDescent="0.25">
      <c r="A211" s="59"/>
      <c r="B211" s="46" t="s">
        <v>428</v>
      </c>
      <c r="C211" s="46" t="s">
        <v>428</v>
      </c>
      <c r="D211" s="47" t="s">
        <v>429</v>
      </c>
      <c r="E211" s="48">
        <f>E205+E206</f>
        <v>3297414795.9799995</v>
      </c>
      <c r="F211" s="48">
        <f>F205+F206</f>
        <v>806846356.81000006</v>
      </c>
      <c r="G211" s="48">
        <f>G205+G206</f>
        <v>712422968.98000002</v>
      </c>
      <c r="H211" s="72">
        <f>G211/F211</f>
        <v>0.88297228210421819</v>
      </c>
      <c r="I211" s="48">
        <f>I205+I206</f>
        <v>507421113.26999998</v>
      </c>
      <c r="J211" s="48">
        <f>J205+J206</f>
        <v>33860865.639999993</v>
      </c>
      <c r="K211" s="72">
        <f>J211/I211</f>
        <v>6.6731290351299488E-2</v>
      </c>
      <c r="L211" s="66" t="e">
        <f>#REF!+#REF!+#REF!+#REF!+#REF!+#REF!++L130+L138+L200+L168+L182+#REF!+L148+#REF!+#REF!</f>
        <v>#REF!</v>
      </c>
      <c r="M211" s="66" t="e">
        <f>#REF!+#REF!+#REF!+#REF!+#REF!+#REF!++M130+M138+M200+M168+M182+#REF!+M148+#REF!+#REF!</f>
        <v>#REF!</v>
      </c>
      <c r="N211" s="48">
        <f>N205+N206</f>
        <v>746283834.62000012</v>
      </c>
      <c r="O211" s="75" t="b">
        <f>N211=J211+G211</f>
        <v>1</v>
      </c>
      <c r="P211" s="61"/>
    </row>
    <row r="212" spans="1:27" ht="58.7" customHeight="1" thickTop="1" x14ac:dyDescent="0.2">
      <c r="A212" s="198" t="s">
        <v>430</v>
      </c>
      <c r="B212" s="198"/>
      <c r="C212" s="198"/>
      <c r="D212" s="198"/>
      <c r="E212" s="198"/>
      <c r="F212" s="198"/>
      <c r="G212" s="198"/>
      <c r="H212" s="198"/>
      <c r="I212" s="198"/>
      <c r="J212" s="198"/>
      <c r="K212" s="198"/>
      <c r="L212" s="198"/>
      <c r="M212" s="198"/>
      <c r="N212" s="198"/>
      <c r="O212" s="49"/>
    </row>
    <row r="213" spans="1:27" ht="45.75" x14ac:dyDescent="0.65">
      <c r="A213" s="50"/>
      <c r="B213" s="51"/>
      <c r="C213" s="51"/>
      <c r="D213" s="52"/>
      <c r="E213" s="53"/>
      <c r="F213" s="53"/>
      <c r="G213" s="52"/>
      <c r="H213" s="54"/>
      <c r="I213" s="52"/>
      <c r="J213" s="54"/>
      <c r="K213" s="54"/>
      <c r="L213" s="54"/>
      <c r="M213" s="54"/>
      <c r="N213" s="54"/>
      <c r="O213" s="49"/>
    </row>
    <row r="214" spans="1:27" ht="45.75" x14ac:dyDescent="0.65">
      <c r="A214" s="50"/>
      <c r="B214" s="51"/>
      <c r="C214" s="51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49"/>
    </row>
    <row r="215" spans="1:27" ht="45.75" x14ac:dyDescent="0.65">
      <c r="A215" s="50"/>
      <c r="B215" s="51"/>
      <c r="C215" s="51"/>
      <c r="D215" s="52" t="s">
        <v>504</v>
      </c>
      <c r="E215" s="53"/>
      <c r="F215" s="53"/>
      <c r="G215" s="52"/>
      <c r="H215" s="54"/>
      <c r="I215" s="52" t="s">
        <v>505</v>
      </c>
      <c r="J215" s="54"/>
      <c r="K215" s="54"/>
      <c r="L215" s="54"/>
      <c r="M215" s="54"/>
      <c r="N215" s="54"/>
      <c r="O215" s="49"/>
    </row>
    <row r="216" spans="1:27" ht="45.75" x14ac:dyDescent="0.65">
      <c r="A216" s="2"/>
      <c r="B216" s="2"/>
      <c r="C216" s="2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55"/>
    </row>
    <row r="233" spans="5:9" ht="47.25" hidden="1" thickTop="1" thickBot="1" x14ac:dyDescent="0.25">
      <c r="E233" s="83">
        <f>E205-E198-E196</f>
        <v>3163062426.2999997</v>
      </c>
      <c r="I233" s="83">
        <f>I205-I198-I196</f>
        <v>506347113.26999998</v>
      </c>
    </row>
    <row r="239" spans="5:9" ht="408" customHeight="1" x14ac:dyDescent="0.2"/>
    <row r="240" spans="5:9" ht="396" customHeight="1" x14ac:dyDescent="0.2"/>
    <row r="241" ht="357" customHeight="1" x14ac:dyDescent="0.2"/>
    <row r="242" ht="312" customHeight="1" x14ac:dyDescent="0.2"/>
    <row r="243" ht="183" customHeight="1" x14ac:dyDescent="0.2"/>
    <row r="244" ht="228" customHeight="1" x14ac:dyDescent="0.2"/>
    <row r="245" ht="294" customHeight="1" x14ac:dyDescent="0.2"/>
    <row r="246" ht="258" customHeight="1" x14ac:dyDescent="0.2"/>
    <row r="247" ht="180" customHeight="1" x14ac:dyDescent="0.2"/>
    <row r="248" ht="249" customHeight="1" x14ac:dyDescent="0.2"/>
  </sheetData>
  <mergeCells count="105">
    <mergeCell ref="O209:P209"/>
    <mergeCell ref="O208:P208"/>
    <mergeCell ref="O207:P207"/>
    <mergeCell ref="O206:P206"/>
    <mergeCell ref="O187:P187"/>
    <mergeCell ref="O197:P197"/>
    <mergeCell ref="O196:P196"/>
    <mergeCell ref="O189:P189"/>
    <mergeCell ref="C182:C183"/>
    <mergeCell ref="E182:E183"/>
    <mergeCell ref="F182:F183"/>
    <mergeCell ref="G182:G183"/>
    <mergeCell ref="H182:H183"/>
    <mergeCell ref="I182:I183"/>
    <mergeCell ref="J182:J183"/>
    <mergeCell ref="K182:K183"/>
    <mergeCell ref="O201:P201"/>
    <mergeCell ref="P198:Q198"/>
    <mergeCell ref="O186:P186"/>
    <mergeCell ref="O191:P191"/>
    <mergeCell ref="O193:P193"/>
    <mergeCell ref="D216:N216"/>
    <mergeCell ref="F11:F12"/>
    <mergeCell ref="G11:G12"/>
    <mergeCell ref="K11:K12"/>
    <mergeCell ref="L182:L183"/>
    <mergeCell ref="M182:M183"/>
    <mergeCell ref="N182:N183"/>
    <mergeCell ref="L28:L29"/>
    <mergeCell ref="M28:M29"/>
    <mergeCell ref="N28:N29"/>
    <mergeCell ref="G28:G29"/>
    <mergeCell ref="H28:H29"/>
    <mergeCell ref="I28:I29"/>
    <mergeCell ref="J28:J29"/>
    <mergeCell ref="K28:K29"/>
    <mergeCell ref="A212:N212"/>
    <mergeCell ref="D214:N214"/>
    <mergeCell ref="N102:N104"/>
    <mergeCell ref="F102:F104"/>
    <mergeCell ref="G102:G104"/>
    <mergeCell ref="H102:H104"/>
    <mergeCell ref="O177:P177"/>
    <mergeCell ref="O199:P199"/>
    <mergeCell ref="A28:A29"/>
    <mergeCell ref="B28:B29"/>
    <mergeCell ref="C28:C29"/>
    <mergeCell ref="E28:E29"/>
    <mergeCell ref="F28:F29"/>
    <mergeCell ref="B182:B183"/>
    <mergeCell ref="H95:H98"/>
    <mergeCell ref="I95:I98"/>
    <mergeCell ref="J95:J98"/>
    <mergeCell ref="N95:N98"/>
    <mergeCell ref="F99:F101"/>
    <mergeCell ref="G99:G101"/>
    <mergeCell ref="H99:H101"/>
    <mergeCell ref="I99:I101"/>
    <mergeCell ref="J99:J101"/>
    <mergeCell ref="N99:N101"/>
    <mergeCell ref="K99:K101"/>
    <mergeCell ref="K95:K98"/>
    <mergeCell ref="N92:N94"/>
    <mergeCell ref="E95:E98"/>
    <mergeCell ref="E99:E101"/>
    <mergeCell ref="E102:E104"/>
    <mergeCell ref="F95:F98"/>
    <mergeCell ref="G95:G98"/>
    <mergeCell ref="O174:P174"/>
    <mergeCell ref="I102:I104"/>
    <mergeCell ref="J102:J104"/>
    <mergeCell ref="K102:K104"/>
    <mergeCell ref="B102:B104"/>
    <mergeCell ref="C102:C104"/>
    <mergeCell ref="E92:E94"/>
    <mergeCell ref="K92:K94"/>
    <mergeCell ref="F92:F94"/>
    <mergeCell ref="G92:G94"/>
    <mergeCell ref="H92:H94"/>
    <mergeCell ref="I92:I94"/>
    <mergeCell ref="J92:J94"/>
    <mergeCell ref="B92:B94"/>
    <mergeCell ref="C92:C94"/>
    <mergeCell ref="B95:B98"/>
    <mergeCell ref="C95:C98"/>
    <mergeCell ref="B99:B101"/>
    <mergeCell ref="C99:C101"/>
    <mergeCell ref="K2:N2"/>
    <mergeCell ref="J3:N3"/>
    <mergeCell ref="A8:B8"/>
    <mergeCell ref="A10:A12"/>
    <mergeCell ref="B10:B12"/>
    <mergeCell ref="C10:C12"/>
    <mergeCell ref="D10:D12"/>
    <mergeCell ref="M11:M12"/>
    <mergeCell ref="I10:M10"/>
    <mergeCell ref="N10:N12"/>
    <mergeCell ref="E11:E12"/>
    <mergeCell ref="H11:H12"/>
    <mergeCell ref="I11:I12"/>
    <mergeCell ref="J11:J12"/>
    <mergeCell ref="E10:H10"/>
    <mergeCell ref="A4:N4"/>
    <mergeCell ref="A5:N5"/>
    <mergeCell ref="A7:B7"/>
  </mergeCells>
  <pageMargins left="0.23622047244094491" right="0.27559055118110237" top="0.27559055118110237" bottom="0.15748031496062992" header="0.23622047244094491" footer="0.27559055118110237"/>
  <pageSetup paperSize="9" scale="21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Отрощенко Сергій Володимирович</cp:lastModifiedBy>
  <cp:lastPrinted>2022-05-18T07:06:48Z</cp:lastPrinted>
  <dcterms:created xsi:type="dcterms:W3CDTF">2021-05-18T12:47:38Z</dcterms:created>
  <dcterms:modified xsi:type="dcterms:W3CDTF">2022-05-31T08:25:10Z</dcterms:modified>
</cp:coreProperties>
</file>