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BUDJET\2021\Рішення-звіт за 9 місяців 2021\"/>
    </mc:Choice>
  </mc:AlternateContent>
  <bookViews>
    <workbookView xWindow="0" yWindow="0" windowWidth="28800" windowHeight="13425"/>
  </bookViews>
  <sheets>
    <sheet name="d2" sheetId="1" r:id="rId1"/>
  </sheets>
  <definedNames>
    <definedName name="_xlnm.Print_Titles" localSheetId="0">'d2'!$12:$15</definedName>
    <definedName name="_xlnm.Print_Area" localSheetId="0">'d2'!$B$1:$N$214</definedName>
    <definedName name="С16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2" i="1" l="1"/>
  <c r="K185" i="1"/>
  <c r="N168" i="1"/>
  <c r="E166" i="1"/>
  <c r="J166" i="1"/>
  <c r="I166" i="1"/>
  <c r="G166" i="1"/>
  <c r="N166" i="1" s="1"/>
  <c r="F166" i="1"/>
  <c r="J150" i="1"/>
  <c r="I150" i="1"/>
  <c r="J179" i="1"/>
  <c r="I179" i="1"/>
  <c r="J176" i="1"/>
  <c r="I176" i="1"/>
  <c r="I174" i="1"/>
  <c r="J148" i="1"/>
  <c r="I148" i="1"/>
  <c r="J156" i="1"/>
  <c r="I156" i="1"/>
  <c r="G156" i="1"/>
  <c r="G148" i="1" s="1"/>
  <c r="F156" i="1"/>
  <c r="F148" i="1" s="1"/>
  <c r="E156" i="1"/>
  <c r="E148" i="1" s="1"/>
  <c r="K157" i="1"/>
  <c r="N157" i="1"/>
  <c r="I149" i="1"/>
  <c r="J149" i="1"/>
  <c r="H144" i="1"/>
  <c r="E141" i="1"/>
  <c r="K143" i="1"/>
  <c r="N143" i="1"/>
  <c r="K96" i="1"/>
  <c r="K93" i="1"/>
  <c r="J92" i="1"/>
  <c r="I92" i="1"/>
  <c r="G92" i="1"/>
  <c r="F92" i="1"/>
  <c r="E92" i="1"/>
  <c r="N96" i="1"/>
  <c r="N100" i="1"/>
  <c r="N103" i="1"/>
  <c r="K103" i="1"/>
  <c r="K100" i="1"/>
  <c r="N93" i="1"/>
  <c r="N91" i="1"/>
  <c r="N148" i="1" l="1"/>
  <c r="N156" i="1"/>
  <c r="K156" i="1"/>
  <c r="N92" i="1"/>
  <c r="K92" i="1"/>
  <c r="K51" i="1" l="1"/>
  <c r="K50" i="1"/>
  <c r="G49" i="1"/>
  <c r="N50" i="1"/>
  <c r="J49" i="1"/>
  <c r="I49" i="1"/>
  <c r="F49" i="1"/>
  <c r="E49" i="1"/>
  <c r="K43" i="1"/>
  <c r="N41" i="1"/>
  <c r="K41" i="1"/>
  <c r="K31" i="1"/>
  <c r="I23" i="1"/>
  <c r="J23" i="1"/>
  <c r="J18" i="1"/>
  <c r="I18" i="1"/>
  <c r="G202" i="1"/>
  <c r="E202" i="1"/>
  <c r="E200" i="1" s="1"/>
  <c r="N203" i="1"/>
  <c r="K203" i="1"/>
  <c r="H203" i="1"/>
  <c r="K49" i="1" l="1"/>
  <c r="N49" i="1"/>
  <c r="H168" i="1"/>
  <c r="H161" i="1"/>
  <c r="H163" i="1"/>
  <c r="G181" i="1"/>
  <c r="E181" i="1"/>
  <c r="J171" i="1"/>
  <c r="I171" i="1"/>
  <c r="G171" i="1"/>
  <c r="F171" i="1"/>
  <c r="N172" i="1"/>
  <c r="E171" i="1"/>
  <c r="H172" i="1"/>
  <c r="N171" i="1" l="1"/>
  <c r="H171" i="1"/>
  <c r="J160" i="1"/>
  <c r="I160" i="1"/>
  <c r="G160" i="1"/>
  <c r="F160" i="1"/>
  <c r="E160" i="1"/>
  <c r="N161" i="1"/>
  <c r="N73" i="1"/>
  <c r="H158" i="1"/>
  <c r="G140" i="1"/>
  <c r="E140" i="1"/>
  <c r="G139" i="1"/>
  <c r="H139" i="1" s="1"/>
  <c r="E139" i="1"/>
  <c r="H148" i="1" l="1"/>
  <c r="H160" i="1"/>
  <c r="N160" i="1"/>
  <c r="K80" i="1"/>
  <c r="H80" i="1"/>
  <c r="N80" i="1"/>
  <c r="J78" i="1"/>
  <c r="K78" i="1" s="1"/>
  <c r="I78" i="1"/>
  <c r="G78" i="1"/>
  <c r="F78" i="1"/>
  <c r="E78" i="1"/>
  <c r="H73" i="1"/>
  <c r="H70" i="1"/>
  <c r="N78" i="1" l="1"/>
  <c r="H46" i="1"/>
  <c r="H45" i="1"/>
  <c r="H43" i="1"/>
  <c r="N51" i="1"/>
  <c r="E44" i="1" l="1"/>
  <c r="E40" i="1"/>
  <c r="G34" i="1"/>
  <c r="E34" i="1"/>
  <c r="G23" i="1"/>
  <c r="F23" i="1"/>
  <c r="E23" i="1"/>
  <c r="H26" i="1"/>
  <c r="N26" i="1"/>
  <c r="E47" i="1"/>
  <c r="J44" i="1"/>
  <c r="I44" i="1"/>
  <c r="G44" i="1"/>
  <c r="F44" i="1"/>
  <c r="G20" i="1"/>
  <c r="E20" i="1"/>
  <c r="E19" i="1"/>
  <c r="G19" i="1"/>
  <c r="G18" i="1"/>
  <c r="E18" i="1"/>
  <c r="H44" i="1" l="1"/>
  <c r="N23" i="1"/>
  <c r="K202" i="1"/>
  <c r="N46" i="1" l="1"/>
  <c r="K46" i="1"/>
  <c r="E195" i="1" l="1"/>
  <c r="H174" i="1"/>
  <c r="H165" i="1"/>
  <c r="K155" i="1"/>
  <c r="N155" i="1"/>
  <c r="N152" i="1"/>
  <c r="K152" i="1"/>
  <c r="K91" i="1" l="1"/>
  <c r="I90" i="1"/>
  <c r="J90" i="1"/>
  <c r="K83" i="1"/>
  <c r="K82" i="1"/>
  <c r="E58" i="1"/>
  <c r="G58" i="1"/>
  <c r="N48" i="1"/>
  <c r="K48" i="1"/>
  <c r="H48" i="1"/>
  <c r="E37" i="1"/>
  <c r="G37" i="1"/>
  <c r="I37" i="1"/>
  <c r="J37" i="1"/>
  <c r="E16" i="1"/>
  <c r="K20" i="1"/>
  <c r="K90" i="1" l="1"/>
  <c r="K77" i="1"/>
  <c r="I207" i="1" l="1"/>
  <c r="K209" i="1"/>
  <c r="K208" i="1"/>
  <c r="K191" i="1" l="1"/>
  <c r="K190" i="1"/>
  <c r="K189" i="1"/>
  <c r="K188" i="1"/>
  <c r="K179" i="1"/>
  <c r="K176" i="1"/>
  <c r="K175" i="1"/>
  <c r="K174" i="1"/>
  <c r="K167" i="1"/>
  <c r="K165" i="1"/>
  <c r="J164" i="1"/>
  <c r="J159" i="1" s="1"/>
  <c r="I164" i="1"/>
  <c r="I159" i="1" s="1"/>
  <c r="G164" i="1"/>
  <c r="F164" i="1"/>
  <c r="E164" i="1"/>
  <c r="H164" i="1" l="1"/>
  <c r="K164" i="1"/>
  <c r="N164" i="1"/>
  <c r="K158" i="1"/>
  <c r="K154" i="1"/>
  <c r="K153" i="1"/>
  <c r="K151" i="1"/>
  <c r="K149" i="1"/>
  <c r="K147" i="1"/>
  <c r="K142" i="1"/>
  <c r="K140" i="1"/>
  <c r="K137" i="1"/>
  <c r="K134" i="1"/>
  <c r="K125" i="1"/>
  <c r="K124" i="1"/>
  <c r="K115" i="1"/>
  <c r="K113" i="1"/>
  <c r="K112" i="1"/>
  <c r="K111" i="1"/>
  <c r="K108" i="1"/>
  <c r="K107" i="1"/>
  <c r="K76" i="1"/>
  <c r="K67" i="1"/>
  <c r="K63" i="1"/>
  <c r="K47" i="1"/>
  <c r="K45" i="1"/>
  <c r="K38" i="1"/>
  <c r="K35" i="1"/>
  <c r="K33" i="1"/>
  <c r="K32" i="1"/>
  <c r="K25" i="1"/>
  <c r="K24" i="1"/>
  <c r="K22" i="1"/>
  <c r="K18" i="1"/>
  <c r="K17" i="1"/>
  <c r="N209" i="1" l="1"/>
  <c r="N208" i="1"/>
  <c r="J207" i="1"/>
  <c r="J206" i="1" s="1"/>
  <c r="J205" i="1" s="1"/>
  <c r="G207" i="1"/>
  <c r="G206" i="1" s="1"/>
  <c r="G205" i="1" s="1"/>
  <c r="F207" i="1"/>
  <c r="F206" i="1" s="1"/>
  <c r="F205" i="1" s="1"/>
  <c r="E207" i="1"/>
  <c r="E206" i="1" s="1"/>
  <c r="E205" i="1" s="1"/>
  <c r="N205" i="1" l="1"/>
  <c r="I206" i="1"/>
  <c r="N206" i="1"/>
  <c r="N207" i="1"/>
  <c r="I205" i="1" l="1"/>
  <c r="M210" i="1"/>
  <c r="L210" i="1"/>
  <c r="M204" i="1"/>
  <c r="L204" i="1"/>
  <c r="N202" i="1"/>
  <c r="N201" i="1"/>
  <c r="N199" i="1"/>
  <c r="H202" i="1"/>
  <c r="H201" i="1"/>
  <c r="H199" i="1"/>
  <c r="J198" i="1"/>
  <c r="J197" i="1" s="1"/>
  <c r="I198" i="1"/>
  <c r="I197" i="1" s="1"/>
  <c r="G198" i="1"/>
  <c r="F198" i="1"/>
  <c r="E198" i="1"/>
  <c r="E197" i="1" s="1"/>
  <c r="J200" i="1"/>
  <c r="I200" i="1"/>
  <c r="G200" i="1"/>
  <c r="F200" i="1"/>
  <c r="N196" i="1"/>
  <c r="N194" i="1"/>
  <c r="N193" i="1"/>
  <c r="N185" i="1"/>
  <c r="N184" i="1"/>
  <c r="H194" i="1"/>
  <c r="J195" i="1"/>
  <c r="I195" i="1"/>
  <c r="G195" i="1"/>
  <c r="F195" i="1"/>
  <c r="H193" i="1"/>
  <c r="E192" i="1"/>
  <c r="G197" i="1" l="1"/>
  <c r="F197" i="1"/>
  <c r="K197" i="1"/>
  <c r="N198" i="1"/>
  <c r="N200" i="1"/>
  <c r="H200" i="1"/>
  <c r="H198" i="1"/>
  <c r="N195" i="1"/>
  <c r="J192" i="1"/>
  <c r="I192" i="1"/>
  <c r="G192" i="1"/>
  <c r="F192" i="1"/>
  <c r="N191" i="1"/>
  <c r="N189" i="1"/>
  <c r="I187" i="1"/>
  <c r="G187" i="1"/>
  <c r="F187" i="1"/>
  <c r="F186" i="1" s="1"/>
  <c r="E187" i="1"/>
  <c r="E186" i="1" s="1"/>
  <c r="H185" i="1"/>
  <c r="J183" i="1"/>
  <c r="I183" i="1"/>
  <c r="G183" i="1"/>
  <c r="F183" i="1"/>
  <c r="E183" i="1"/>
  <c r="N181" i="1"/>
  <c r="N179" i="1"/>
  <c r="N177" i="1"/>
  <c r="N176" i="1"/>
  <c r="N175" i="1"/>
  <c r="N174" i="1"/>
  <c r="N173" i="1"/>
  <c r="N170" i="1"/>
  <c r="N167" i="1"/>
  <c r="N165" i="1"/>
  <c r="N163" i="1"/>
  <c r="N158" i="1"/>
  <c r="N154" i="1"/>
  <c r="N153" i="1"/>
  <c r="N151" i="1"/>
  <c r="N149" i="1"/>
  <c r="N147" i="1"/>
  <c r="J178" i="1"/>
  <c r="J169" i="1" s="1"/>
  <c r="G178" i="1"/>
  <c r="G169" i="1" s="1"/>
  <c r="F178" i="1"/>
  <c r="F169" i="1" s="1"/>
  <c r="E178" i="1"/>
  <c r="E169" i="1" s="1"/>
  <c r="H181" i="1"/>
  <c r="H177" i="1"/>
  <c r="H173" i="1"/>
  <c r="H170" i="1"/>
  <c r="H167" i="1"/>
  <c r="K183" i="1" l="1"/>
  <c r="N197" i="1"/>
  <c r="O197" i="1" s="1"/>
  <c r="I178" i="1"/>
  <c r="K181" i="1"/>
  <c r="E182" i="1"/>
  <c r="H166" i="1"/>
  <c r="I186" i="1"/>
  <c r="I182" i="1" s="1"/>
  <c r="K166" i="1"/>
  <c r="N169" i="1"/>
  <c r="F182" i="1"/>
  <c r="N190" i="1"/>
  <c r="H197" i="1"/>
  <c r="H178" i="1"/>
  <c r="G186" i="1"/>
  <c r="G182" i="1" s="1"/>
  <c r="N178" i="1"/>
  <c r="J187" i="1"/>
  <c r="J186" i="1" s="1"/>
  <c r="J182" i="1" s="1"/>
  <c r="N188" i="1"/>
  <c r="N183" i="1"/>
  <c r="N192" i="1"/>
  <c r="H192" i="1"/>
  <c r="H183" i="1"/>
  <c r="H169" i="1"/>
  <c r="G162" i="1"/>
  <c r="G159" i="1" s="1"/>
  <c r="F162" i="1"/>
  <c r="E162" i="1"/>
  <c r="E159" i="1" s="1"/>
  <c r="E145" i="1" s="1"/>
  <c r="J146" i="1"/>
  <c r="J145" i="1" s="1"/>
  <c r="I146" i="1"/>
  <c r="N144" i="1"/>
  <c r="N142" i="1"/>
  <c r="N140" i="1"/>
  <c r="N139" i="1"/>
  <c r="N138" i="1"/>
  <c r="N137" i="1"/>
  <c r="N136" i="1"/>
  <c r="N135" i="1"/>
  <c r="N134" i="1"/>
  <c r="J141" i="1"/>
  <c r="I141" i="1"/>
  <c r="G141" i="1"/>
  <c r="F141" i="1"/>
  <c r="H140" i="1"/>
  <c r="H138" i="1"/>
  <c r="H136" i="1"/>
  <c r="H135" i="1"/>
  <c r="H134" i="1"/>
  <c r="N131" i="1"/>
  <c r="N130" i="1"/>
  <c r="N129" i="1"/>
  <c r="N127" i="1"/>
  <c r="N125" i="1"/>
  <c r="N122" i="1"/>
  <c r="N120" i="1"/>
  <c r="N119" i="1"/>
  <c r="H131" i="1"/>
  <c r="H130" i="1"/>
  <c r="H129" i="1"/>
  <c r="J126" i="1"/>
  <c r="G126" i="1"/>
  <c r="F126" i="1"/>
  <c r="E126" i="1"/>
  <c r="H125" i="1"/>
  <c r="H124" i="1"/>
  <c r="H122" i="1"/>
  <c r="H120" i="1"/>
  <c r="H119" i="1"/>
  <c r="N116" i="1"/>
  <c r="N110" i="1"/>
  <c r="H116" i="1"/>
  <c r="H115" i="1"/>
  <c r="H113" i="1"/>
  <c r="H112" i="1"/>
  <c r="H111" i="1"/>
  <c r="H110" i="1"/>
  <c r="H33" i="1"/>
  <c r="N33" i="1"/>
  <c r="N108" i="1"/>
  <c r="N89" i="1"/>
  <c r="N87" i="1"/>
  <c r="N86" i="1"/>
  <c r="N84" i="1"/>
  <c r="N83" i="1"/>
  <c r="N79" i="1"/>
  <c r="N77" i="1"/>
  <c r="N74" i="1"/>
  <c r="N72" i="1"/>
  <c r="N71" i="1"/>
  <c r="N70" i="1"/>
  <c r="N69" i="1"/>
  <c r="N68" i="1"/>
  <c r="N67" i="1"/>
  <c r="H108" i="1"/>
  <c r="H107" i="1"/>
  <c r="H91" i="1"/>
  <c r="H89" i="1"/>
  <c r="H87" i="1"/>
  <c r="H86" i="1"/>
  <c r="H84" i="1"/>
  <c r="H83" i="1"/>
  <c r="H82" i="1"/>
  <c r="H79" i="1"/>
  <c r="N82" i="1"/>
  <c r="I81" i="1"/>
  <c r="F81" i="1"/>
  <c r="H77" i="1"/>
  <c r="H76" i="1"/>
  <c r="H74" i="1"/>
  <c r="H72" i="1"/>
  <c r="H71" i="1"/>
  <c r="H69" i="1"/>
  <c r="H68" i="1"/>
  <c r="H67" i="1"/>
  <c r="N159" i="1" l="1"/>
  <c r="G145" i="1"/>
  <c r="N145" i="1"/>
  <c r="O145" i="1" s="1"/>
  <c r="H141" i="1"/>
  <c r="I169" i="1"/>
  <c r="K169" i="1" s="1"/>
  <c r="H162" i="1"/>
  <c r="F159" i="1"/>
  <c r="F145" i="1" s="1"/>
  <c r="K178" i="1"/>
  <c r="K159" i="1"/>
  <c r="K146" i="1"/>
  <c r="I126" i="1"/>
  <c r="K126" i="1" s="1"/>
  <c r="K127" i="1"/>
  <c r="K187" i="1"/>
  <c r="K186" i="1"/>
  <c r="K182" i="1"/>
  <c r="K150" i="1"/>
  <c r="K141" i="1"/>
  <c r="H182" i="1"/>
  <c r="N186" i="1"/>
  <c r="N141" i="1"/>
  <c r="N187" i="1"/>
  <c r="N182" i="1"/>
  <c r="O182" i="1" s="1"/>
  <c r="N150" i="1"/>
  <c r="N146" i="1"/>
  <c r="N162" i="1"/>
  <c r="N126" i="1"/>
  <c r="J81" i="1"/>
  <c r="K81" i="1" s="1"/>
  <c r="H78" i="1"/>
  <c r="G81" i="1"/>
  <c r="E81" i="1"/>
  <c r="N64" i="1"/>
  <c r="N63" i="1"/>
  <c r="N61" i="1"/>
  <c r="N59" i="1"/>
  <c r="N57" i="1"/>
  <c r="H64" i="1"/>
  <c r="H63" i="1"/>
  <c r="I145" i="1" l="1"/>
  <c r="K148" i="1"/>
  <c r="K145" i="1"/>
  <c r="H159" i="1"/>
  <c r="H81" i="1"/>
  <c r="N81" i="1"/>
  <c r="H61" i="1"/>
  <c r="H59" i="1"/>
  <c r="H57" i="1"/>
  <c r="N56" i="1"/>
  <c r="N55" i="1"/>
  <c r="N54" i="1"/>
  <c r="N53" i="1"/>
  <c r="N47" i="1"/>
  <c r="N45" i="1"/>
  <c r="N43" i="1"/>
  <c r="N42" i="1"/>
  <c r="N39" i="1"/>
  <c r="N36" i="1"/>
  <c r="H56" i="1"/>
  <c r="H55" i="1"/>
  <c r="H54" i="1"/>
  <c r="H53" i="1"/>
  <c r="H47" i="1"/>
  <c r="H42" i="1"/>
  <c r="H41" i="1"/>
  <c r="H39" i="1"/>
  <c r="H38" i="1"/>
  <c r="H36" i="1"/>
  <c r="H35" i="1"/>
  <c r="H32" i="1"/>
  <c r="N31" i="1"/>
  <c r="I29" i="1"/>
  <c r="N28" i="1"/>
  <c r="H28" i="1"/>
  <c r="H25" i="1"/>
  <c r="H24" i="1"/>
  <c r="N20" i="1"/>
  <c r="N19" i="1"/>
  <c r="N18" i="1"/>
  <c r="N17" i="1"/>
  <c r="H22" i="1"/>
  <c r="H20" i="1"/>
  <c r="H19" i="1"/>
  <c r="H18" i="1"/>
  <c r="H17" i="1"/>
  <c r="K138" i="1"/>
  <c r="E133" i="1"/>
  <c r="E132" i="1" s="1"/>
  <c r="J133" i="1"/>
  <c r="G133" i="1"/>
  <c r="G132" i="1" s="1"/>
  <c r="F133" i="1"/>
  <c r="F132" i="1" s="1"/>
  <c r="K131" i="1"/>
  <c r="J128" i="1"/>
  <c r="G128" i="1"/>
  <c r="F128" i="1"/>
  <c r="N124" i="1"/>
  <c r="G123" i="1"/>
  <c r="E123" i="1"/>
  <c r="F123" i="1"/>
  <c r="E122" i="1"/>
  <c r="E121" i="1" s="1"/>
  <c r="G121" i="1"/>
  <c r="F121" i="1"/>
  <c r="G118" i="1"/>
  <c r="F118" i="1"/>
  <c r="G114" i="1"/>
  <c r="I114" i="1"/>
  <c r="F114" i="1"/>
  <c r="N113" i="1"/>
  <c r="N112" i="1"/>
  <c r="E112" i="1"/>
  <c r="N111" i="1"/>
  <c r="G106" i="1"/>
  <c r="F106" i="1"/>
  <c r="G90" i="1"/>
  <c r="F90" i="1"/>
  <c r="E90" i="1"/>
  <c r="E89" i="1"/>
  <c r="E88" i="1" s="1"/>
  <c r="G88" i="1"/>
  <c r="F88" i="1"/>
  <c r="G85" i="1"/>
  <c r="F85" i="1"/>
  <c r="E85" i="1"/>
  <c r="F75" i="1"/>
  <c r="N76" i="1"/>
  <c r="E75" i="1"/>
  <c r="J66" i="1"/>
  <c r="I66" i="1"/>
  <c r="G66" i="1"/>
  <c r="F66" i="1"/>
  <c r="G62" i="1"/>
  <c r="F62" i="1"/>
  <c r="E63" i="1"/>
  <c r="J62" i="1"/>
  <c r="I62" i="1"/>
  <c r="E60" i="1"/>
  <c r="G60" i="1"/>
  <c r="F60" i="1"/>
  <c r="F58" i="1"/>
  <c r="G40" i="1"/>
  <c r="J40" i="1"/>
  <c r="I40" i="1"/>
  <c r="N38" i="1"/>
  <c r="F37" i="1"/>
  <c r="K37" i="1"/>
  <c r="N35" i="1"/>
  <c r="F34" i="1"/>
  <c r="N32" i="1"/>
  <c r="J29" i="1"/>
  <c r="K29" i="1" s="1"/>
  <c r="G29" i="1"/>
  <c r="F29" i="1"/>
  <c r="E29" i="1"/>
  <c r="J27" i="1"/>
  <c r="I27" i="1"/>
  <c r="G27" i="1"/>
  <c r="F27" i="1"/>
  <c r="E27" i="1"/>
  <c r="N25" i="1"/>
  <c r="N24" i="1"/>
  <c r="G16" i="1"/>
  <c r="J16" i="1"/>
  <c r="N27" i="1" l="1"/>
  <c r="K40" i="1"/>
  <c r="F65" i="1"/>
  <c r="N90" i="1"/>
  <c r="H90" i="1"/>
  <c r="E21" i="1"/>
  <c r="G21" i="1"/>
  <c r="G117" i="1"/>
  <c r="K66" i="1"/>
  <c r="K44" i="1"/>
  <c r="K62" i="1"/>
  <c r="H145" i="1"/>
  <c r="J132" i="1"/>
  <c r="N118" i="1"/>
  <c r="N133" i="1"/>
  <c r="H133" i="1"/>
  <c r="N121" i="1"/>
  <c r="H121" i="1"/>
  <c r="H114" i="1"/>
  <c r="H123" i="1"/>
  <c r="H118" i="1"/>
  <c r="N128" i="1"/>
  <c r="F117" i="1"/>
  <c r="H128" i="1"/>
  <c r="J114" i="1"/>
  <c r="N114" i="1" s="1"/>
  <c r="N115" i="1"/>
  <c r="N22" i="1"/>
  <c r="N85" i="1"/>
  <c r="J106" i="1"/>
  <c r="N107" i="1"/>
  <c r="N66" i="1"/>
  <c r="H88" i="1"/>
  <c r="N88" i="1"/>
  <c r="H106" i="1"/>
  <c r="H85" i="1"/>
  <c r="N40" i="1"/>
  <c r="N16" i="1"/>
  <c r="N58" i="1"/>
  <c r="H66" i="1"/>
  <c r="H58" i="1"/>
  <c r="N44" i="1"/>
  <c r="H60" i="1"/>
  <c r="N60" i="1"/>
  <c r="N62" i="1"/>
  <c r="H34" i="1"/>
  <c r="H62" i="1"/>
  <c r="N29" i="1"/>
  <c r="H37" i="1"/>
  <c r="H27" i="1"/>
  <c r="I34" i="1"/>
  <c r="I21" i="1" s="1"/>
  <c r="J52" i="1"/>
  <c r="F40" i="1"/>
  <c r="H40" i="1" s="1"/>
  <c r="I106" i="1"/>
  <c r="I65" i="1" s="1"/>
  <c r="E62" i="1"/>
  <c r="E52" i="1" s="1"/>
  <c r="I123" i="1"/>
  <c r="E106" i="1"/>
  <c r="I52" i="1"/>
  <c r="F109" i="1"/>
  <c r="N37" i="1"/>
  <c r="F52" i="1"/>
  <c r="E114" i="1"/>
  <c r="E109" i="1" s="1"/>
  <c r="F16" i="1"/>
  <c r="G109" i="1"/>
  <c r="I133" i="1"/>
  <c r="I132" i="1" s="1"/>
  <c r="G52" i="1"/>
  <c r="I128" i="1"/>
  <c r="K128" i="1" s="1"/>
  <c r="G75" i="1"/>
  <c r="G65" i="1" s="1"/>
  <c r="J34" i="1"/>
  <c r="J21" i="1" s="1"/>
  <c r="E128" i="1"/>
  <c r="E66" i="1"/>
  <c r="E65" i="1" s="1"/>
  <c r="I75" i="1"/>
  <c r="I16" i="1"/>
  <c r="J75" i="1"/>
  <c r="I109" i="1"/>
  <c r="E118" i="1"/>
  <c r="J123" i="1"/>
  <c r="J117" i="1" s="1"/>
  <c r="N106" i="1" l="1"/>
  <c r="J65" i="1"/>
  <c r="N65" i="1" s="1"/>
  <c r="O65" i="1" s="1"/>
  <c r="G204" i="1"/>
  <c r="G210" i="1" s="1"/>
  <c r="O16" i="1"/>
  <c r="F21" i="1"/>
  <c r="F204" i="1" s="1"/>
  <c r="F210" i="1" s="1"/>
  <c r="N34" i="1"/>
  <c r="N21" i="1"/>
  <c r="O21" i="1" s="1"/>
  <c r="K133" i="1"/>
  <c r="K106" i="1"/>
  <c r="K23" i="1"/>
  <c r="K123" i="1"/>
  <c r="K114" i="1"/>
  <c r="K75" i="1"/>
  <c r="K34" i="1"/>
  <c r="K16" i="1"/>
  <c r="N132" i="1"/>
  <c r="O132" i="1" s="1"/>
  <c r="J109" i="1"/>
  <c r="K109" i="1" s="1"/>
  <c r="K132" i="1"/>
  <c r="N117" i="1"/>
  <c r="O117" i="1" s="1"/>
  <c r="H132" i="1"/>
  <c r="I117" i="1"/>
  <c r="K117" i="1" s="1"/>
  <c r="N123" i="1"/>
  <c r="E117" i="1"/>
  <c r="H117" i="1"/>
  <c r="H109" i="1"/>
  <c r="K52" i="1"/>
  <c r="N75" i="1"/>
  <c r="N52" i="1"/>
  <c r="O52" i="1" s="1"/>
  <c r="H75" i="1"/>
  <c r="H65" i="1"/>
  <c r="H52" i="1"/>
  <c r="H23" i="1"/>
  <c r="H16" i="1"/>
  <c r="J204" i="1" l="1"/>
  <c r="J210" i="1" s="1"/>
  <c r="K65" i="1"/>
  <c r="H21" i="1"/>
  <c r="H210" i="1"/>
  <c r="I204" i="1"/>
  <c r="I232" i="1" s="1"/>
  <c r="N109" i="1"/>
  <c r="O109" i="1" s="1"/>
  <c r="H204" i="1"/>
  <c r="E204" i="1"/>
  <c r="E232" i="1" s="1"/>
  <c r="K21" i="1"/>
  <c r="N204" i="1" l="1"/>
  <c r="O204" i="1" s="1"/>
  <c r="E210" i="1"/>
  <c r="I210" i="1"/>
  <c r="K210" i="1" s="1"/>
  <c r="K204" i="1"/>
  <c r="N210" i="1" l="1"/>
  <c r="O210" i="1" s="1"/>
</calcChain>
</file>

<file path=xl/sharedStrings.xml><?xml version="1.0" encoding="utf-8"?>
<sst xmlns="http://schemas.openxmlformats.org/spreadsheetml/2006/main" count="650" uniqueCount="536">
  <si>
    <t>(код бюджету)</t>
  </si>
  <si>
    <t>(грн)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</si>
  <si>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</si>
  <si>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</si>
  <si>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</si>
  <si>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Загальний фонд</t>
  </si>
  <si>
    <t>Спеціальний фонд</t>
  </si>
  <si>
    <t>1</t>
  </si>
  <si>
    <t>2</t>
  </si>
  <si>
    <t>3</t>
  </si>
  <si>
    <t>4</t>
  </si>
  <si>
    <t>5</t>
  </si>
  <si>
    <t>6</t>
  </si>
  <si>
    <t>11</t>
  </si>
  <si>
    <t>12</t>
  </si>
  <si>
    <t>13</t>
  </si>
  <si>
    <t>16</t>
  </si>
  <si>
    <t>0210100</t>
  </si>
  <si>
    <t>0100</t>
  </si>
  <si>
    <t>Державне управління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</si>
  <si>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</si>
  <si>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</si>
  <si>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</si>
  <si>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</si>
  <si>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</si>
  <si>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</si>
  <si>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</si>
  <si>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</si>
  <si>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</si>
  <si>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</si>
  <si>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</si>
  <si>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</si>
  <si>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</si>
  <si>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</si>
  <si>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</si>
  <si>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7000</t>
  </si>
  <si>
    <t>7500</t>
  </si>
  <si>
    <t>Зв'язок, телекомунікації та інформатика</t>
  </si>
  <si>
    <t>7520</t>
  </si>
  <si>
    <t>Реалізація Національної програми інформатизації</t>
  </si>
  <si>
    <t>7600</t>
  </si>
  <si>
    <t>Інші програми та заходи, пов'язані з економічною діяльністю</t>
  </si>
  <si>
    <t>7680</t>
  </si>
  <si>
    <t>0490</t>
  </si>
  <si>
    <t>Членські внески до асоціацій органів місцевого самоврядування</t>
  </si>
  <si>
    <t>7690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</si>
  <si>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</si>
  <si>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</si>
  <si>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</si>
  <si>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7693</t>
  </si>
  <si>
    <t>Інші заходи, пов'язані з економічною діяльністю</t>
  </si>
  <si>
    <t>8000</t>
  </si>
  <si>
    <t>Інша діяльність</t>
  </si>
  <si>
    <t>8400</t>
  </si>
  <si>
    <t>Засоби масової інформації</t>
  </si>
  <si>
    <t>8410</t>
  </si>
  <si>
    <t>0830</t>
  </si>
  <si>
    <t>Фінансова підтримка засобів масової інформації</t>
  </si>
  <si>
    <t>9000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</si>
  <si>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</si>
  <si>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</si>
  <si>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</si>
  <si>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9710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</si>
  <si>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</si>
  <si>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</si>
  <si>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</si>
  <si>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</si>
  <si>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</si>
  <si>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0611000</t>
  </si>
  <si>
    <t>1000</t>
  </si>
  <si>
    <t>Освіта</t>
  </si>
  <si>
    <t>0611010</t>
  </si>
  <si>
    <t>1010</t>
  </si>
  <si>
    <t>0910</t>
  </si>
  <si>
    <t>Надання дошкільної освіти</t>
  </si>
  <si>
    <t>0611020</t>
  </si>
  <si>
    <t>1020</t>
  </si>
  <si>
    <t>Надання загальної середньої освіти за рахунок коштів місцевого бюджету</t>
  </si>
  <si>
    <t>0611021</t>
  </si>
  <si>
    <t>1021</t>
  </si>
  <si>
    <t>0921</t>
  </si>
  <si>
    <t>Надання загальної середньої освіти закладами загальної середньої освіти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</si>
  <si>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</si>
  <si>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</si>
  <si>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</si>
  <si>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</si>
  <si>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</si>
  <si>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1030</t>
  </si>
  <si>
    <t>Надання загальної середньої освіти за рахунок освітньої субвенції</t>
  </si>
  <si>
    <t>0611031</t>
  </si>
  <si>
    <t>1031</t>
  </si>
  <si>
    <t>0611060</t>
  </si>
  <si>
    <t>1060</t>
  </si>
  <si>
    <t>0611061</t>
  </si>
  <si>
    <t>1061</t>
  </si>
  <si>
    <t xml:space="preserve"> 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</si>
  <si>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</si>
  <si>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</si>
  <si>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</si>
  <si>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</si>
  <si>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0611090</t>
  </si>
  <si>
    <t>1090</t>
  </si>
  <si>
    <t>Підготовка кадрів закладами професійної (професійно-технічної) освіти та іншими закладами освіти</t>
  </si>
  <si>
    <t>0611091</t>
  </si>
  <si>
    <t>1091</t>
  </si>
  <si>
    <t>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</si>
  <si>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</si>
  <si>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0611092</t>
  </si>
  <si>
    <t>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</si>
  <si>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</si>
  <si>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0611140</t>
  </si>
  <si>
    <t>1140</t>
  </si>
  <si>
    <t>Інші програми, заклади та заходи у сфері освіти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</si>
  <si>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</si>
  <si>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</si>
  <si>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</si>
  <si>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</si>
  <si>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</si>
  <si>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</si>
  <si>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</si>
  <si>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0611150</t>
  </si>
  <si>
    <t>1150</t>
  </si>
  <si>
    <t>Забезпечення діяльності інклюзивно-ресурсних центрів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</si>
  <si>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</si>
  <si>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</si>
  <si>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</si>
  <si>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</si>
  <si>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</si>
  <si>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</si>
  <si>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</si>
  <si>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</si>
  <si>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</si>
  <si>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</si>
  <si>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</si>
  <si>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</si>
  <si>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</si>
  <si>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</si>
  <si>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</si>
  <si>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</si>
  <si>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</si>
  <si>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</si>
  <si>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</si>
  <si>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</si>
  <si>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3000</t>
  </si>
  <si>
    <t>Соціальний захист та соціальне забезпечення</t>
  </si>
  <si>
    <t>1040</t>
  </si>
  <si>
    <t>0712000</t>
  </si>
  <si>
    <t>2000</t>
  </si>
  <si>
    <t>Охорона здоров’я</t>
  </si>
  <si>
    <t>0712010</t>
  </si>
  <si>
    <t>2010</t>
  </si>
  <si>
    <t>0731</t>
  </si>
  <si>
    <t>Багатопрофільна стаціонарна медична допомога населенню</t>
  </si>
  <si>
    <t>0712020</t>
  </si>
  <si>
    <t>2020</t>
  </si>
  <si>
    <t>0732</t>
  </si>
  <si>
    <t>Спеціалізована стаціонарна медична допомога населенню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</si>
  <si>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</si>
  <si>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</si>
  <si>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</si>
  <si>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</si>
  <si>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</si>
  <si>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</si>
  <si>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</si>
  <si>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</si>
  <si>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>0712100</t>
  </si>
  <si>
    <t>2100</t>
  </si>
  <si>
    <t>0722</t>
  </si>
  <si>
    <t>Стоматологічна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</si>
  <si>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</si>
  <si>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</si>
  <si>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</si>
  <si>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</si>
  <si>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</si>
  <si>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</si>
  <si>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</si>
  <si>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0712140</t>
  </si>
  <si>
    <t>2140</t>
  </si>
  <si>
    <t>Програми і централізовані заходи у галузі охорони здоров’я</t>
  </si>
  <si>
    <t>0712144</t>
  </si>
  <si>
    <t>2144</t>
  </si>
  <si>
    <t>0763</t>
  </si>
  <si>
    <t>Централізовані заходи з лікування хворих на цукровий та нецукровий діабет</t>
  </si>
  <si>
    <t>0712150</t>
  </si>
  <si>
    <t>2150</t>
  </si>
  <si>
    <t>Інші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</si>
  <si>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</si>
  <si>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</si>
  <si>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</si>
  <si>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</si>
  <si>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</si>
  <si>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</si>
  <si>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7670</t>
  </si>
  <si>
    <t>Внески до статутного капіталу суб’єктів господарювання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</si>
  <si>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</si>
  <si>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</si>
  <si>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</si>
  <si>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</si>
  <si>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</si>
  <si>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</si>
  <si>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</si>
  <si>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</si>
  <si>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</si>
  <si>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</si>
  <si>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</si>
  <si>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</si>
  <si>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</si>
  <si>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</si>
  <si>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</si>
  <si>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</si>
  <si>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0813036</t>
  </si>
  <si>
    <t>3036</t>
  </si>
  <si>
    <t>Компенсаційні виплати на пільговий проїзд електротранспортом окремим категоріям громадян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</si>
  <si>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</si>
  <si>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</si>
  <si>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</si>
  <si>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3060</t>
  </si>
  <si>
    <t>Оздоровлення громадян,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</si>
  <si>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</si>
  <si>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</si>
  <si>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</si>
  <si>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</si>
  <si>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</si>
  <si>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</si>
  <si>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</si>
  <si>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</si>
  <si>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</si>
  <si>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</si>
  <si>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</si>
  <si>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</si>
  <si>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0813160</t>
  </si>
  <si>
    <t>3160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</si>
  <si>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</si>
  <si>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0813170</t>
  </si>
  <si>
    <t>3170</t>
  </si>
  <si>
    <t>Забезпечення реалізації окремих програм для осіб з інвалідністю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</si>
  <si>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</si>
  <si>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</si>
  <si>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</si>
  <si>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</si>
  <si>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</si>
  <si>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</si>
  <si>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0813190</t>
  </si>
  <si>
    <t>3190</t>
  </si>
  <si>
    <t>Соціальний захист ветеранів війни та праці</t>
  </si>
  <si>
    <t>0813192</t>
  </si>
  <si>
    <t>3192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</si>
  <si>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</si>
  <si>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0813200</t>
  </si>
  <si>
    <t>3200</t>
  </si>
  <si>
    <t>Забезпечення обробки інформації з нарахування та виплати допомог і компенсацій</t>
  </si>
  <si>
    <t>0813210</t>
  </si>
  <si>
    <t>3210</t>
  </si>
  <si>
    <t>1050</t>
  </si>
  <si>
    <t>Організація та проведення громадських робіт</t>
  </si>
  <si>
    <t>0813240</t>
  </si>
  <si>
    <t>3240</t>
  </si>
  <si>
    <t xml:space="preserve"> Інші заклади та заходи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</si>
  <si>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</si>
  <si>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</si>
  <si>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</si>
  <si>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</si>
  <si>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</si>
  <si>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</si>
  <si>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6000</t>
  </si>
  <si>
    <t>Житлово-комунальне господарство</t>
  </si>
  <si>
    <t>6080</t>
  </si>
  <si>
    <t>6082</t>
  </si>
  <si>
    <t>0610</t>
  </si>
  <si>
    <t>7300</t>
  </si>
  <si>
    <t>Будівництво та регіональний розвиток</t>
  </si>
  <si>
    <t>7320</t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</si>
  <si>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</si>
  <si>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0443</t>
  </si>
  <si>
    <t>1080</t>
  </si>
  <si>
    <t>Надання спеціальної освіти мистецькими школами</t>
  </si>
  <si>
    <t>1014000</t>
  </si>
  <si>
    <t>4000</t>
  </si>
  <si>
    <t>Культура i мистецтво</t>
  </si>
  <si>
    <t>1014010</t>
  </si>
  <si>
    <t>4010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</si>
  <si>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</si>
  <si>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</si>
  <si>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</si>
  <si>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</si>
  <si>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</si>
  <si>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</si>
  <si>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</si>
  <si>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</si>
  <si>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</si>
  <si>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</si>
  <si>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</si>
  <si>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</si>
  <si>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</si>
  <si>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</si>
  <si>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</si>
  <si>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</si>
  <si>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</si>
  <si>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</si>
  <si>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</si>
  <si>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</si>
  <si>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</si>
  <si>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</si>
  <si>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</si>
  <si>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3120</t>
  </si>
  <si>
    <t>Здійснення соціальної роботи з вразливими категоріями населення</t>
  </si>
  <si>
    <t>3121</t>
  </si>
  <si>
    <t>Утримання та забезпечення діяльності центрів соціальних служб</t>
  </si>
  <si>
    <t>3130</t>
  </si>
  <si>
    <t>Реалізація державної політики у молодіжній сфері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</si>
  <si>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</si>
  <si>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</si>
  <si>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</si>
  <si>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</si>
  <si>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</si>
  <si>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</si>
  <si>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</si>
  <si>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</si>
  <si>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</si>
  <si>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</si>
  <si>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1115011</t>
  </si>
  <si>
    <t>5011</t>
  </si>
  <si>
    <t>0810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</si>
  <si>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</si>
  <si>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</si>
  <si>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</si>
  <si>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</si>
  <si>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</si>
  <si>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</si>
  <si>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</si>
  <si>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</si>
  <si>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</si>
  <si>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</si>
  <si>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1115030</t>
  </si>
  <si>
    <t>5030</t>
  </si>
  <si>
    <t xml:space="preserve"> Розвиток дитячо-юнацького та резервного спорту</t>
  </si>
  <si>
    <t>1115031</t>
  </si>
  <si>
    <t>5031</t>
  </si>
  <si>
    <t>Утримання та навчально-тренувальна робота комунальних дитячо-юнацьких спортивних шкіл</t>
  </si>
  <si>
    <t>1115032</t>
  </si>
  <si>
    <t>5032</t>
  </si>
  <si>
    <t>Фінансова підтримка дитячо-юнацьких спортивних шкіл фізкультурно-спортивних товариств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</si>
  <si>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</si>
  <si>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</si>
  <si>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</si>
  <si>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</si>
  <si>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</si>
  <si>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</si>
  <si>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</si>
  <si>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</si>
  <si>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</si>
  <si>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1115063</t>
  </si>
  <si>
    <t>5063</t>
  </si>
  <si>
    <t>Забезпечення діяльності централізованої бухгалтерії</t>
  </si>
  <si>
    <t>6084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</si>
  <si>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</si>
  <si>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</si>
  <si>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</si>
  <si>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</si>
  <si>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</si>
  <si>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</si>
  <si>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</si>
  <si>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</si>
  <si>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1216015</t>
  </si>
  <si>
    <t>6015</t>
  </si>
  <si>
    <t>0620</t>
  </si>
  <si>
    <t>Забезпечення надійної та безперебійної експлуатації ліфтів</t>
  </si>
  <si>
    <t>1216017</t>
  </si>
  <si>
    <t>6017</t>
  </si>
  <si>
    <t>Інша діяльність, пов’язана з експлуатацією об’єктів житлово-комунального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</si>
  <si>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</si>
  <si>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</si>
  <si>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</si>
  <si>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</si>
  <si>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</si>
  <si>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</si>
  <si>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1217000</t>
  </si>
  <si>
    <t>Економічна діяльність</t>
  </si>
  <si>
    <t>7640</t>
  </si>
  <si>
    <t>0470</t>
  </si>
  <si>
    <t>Заходи з енергозбереження</t>
  </si>
  <si>
    <t xml:space="preserve"> Інша економічна діяльність</t>
  </si>
  <si>
    <t>6012</t>
  </si>
  <si>
    <t>Забезпечення діяльності з виробництва, транспортування, постачання теплової енергії</t>
  </si>
  <si>
    <t>6013</t>
  </si>
  <si>
    <t>Забезпечення діяльності водопровідно-каналізаційного господарства</t>
  </si>
  <si>
    <t>7310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</si>
  <si>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</si>
  <si>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t>7400</t>
  </si>
  <si>
    <t>Транспорт та транспортна інфраструктура, дорожнє господарство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</si>
  <si>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</si>
  <si>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</si>
  <si>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</si>
  <si>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8100</t>
  </si>
  <si>
    <t>Захист населення і територій від надзвичайних ситуацій техногенного та природного характеру</t>
  </si>
  <si>
    <t>8110</t>
  </si>
  <si>
    <t>0320</t>
  </si>
  <si>
    <t>Заходи із запобігання та ліквідації надзвичайних ситуацій та наслідків стихійного лиха</t>
  </si>
  <si>
    <t>8120</t>
  </si>
  <si>
    <t>Заходи з організації рятування на водах</t>
  </si>
  <si>
    <t>5040</t>
  </si>
  <si>
    <t>Підтримка і розвиток спортивної інфраструктури</t>
  </si>
  <si>
    <t>5043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</si>
  <si>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</si>
  <si>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7321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</si>
  <si>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</si>
  <si>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t>7324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</si>
  <si>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</si>
  <si>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t>7330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</si>
  <si>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</si>
  <si>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t>7370</t>
  </si>
  <si>
    <t>Реалізація інших заходів щодо соціально-економічного розвитку територій</t>
  </si>
  <si>
    <t>7420</t>
  </si>
  <si>
    <t>Забезпечення надання послуг з перевезення пасажирів електротранспортом</t>
  </si>
  <si>
    <t>7426</t>
  </si>
  <si>
    <t>0453</t>
  </si>
  <si>
    <t>Інші заходи у сфері електротранспорту</t>
  </si>
  <si>
    <t>7610</t>
  </si>
  <si>
    <t>0411</t>
  </si>
  <si>
    <t>Сприяння розвитку малого та середнього підприємництва</t>
  </si>
  <si>
    <t>7630</t>
  </si>
  <si>
    <t>Реалізація програм і заходів в галузі зовнішньоекономічної діяльності</t>
  </si>
  <si>
    <t>8300</t>
  </si>
  <si>
    <t>Охорона навколишнього природного середовища</t>
  </si>
  <si>
    <t>8310</t>
  </si>
  <si>
    <t xml:space="preserve"> Запобігання та ліквідація забруднення навколишнього природного середовища</t>
  </si>
  <si>
    <t>8311</t>
  </si>
  <si>
    <t>0511</t>
  </si>
  <si>
    <t>Охорона та раціональне використання природних ресурсів</t>
  </si>
  <si>
    <t>8312</t>
  </si>
  <si>
    <t>0512</t>
  </si>
  <si>
    <t>Утилізація відходів</t>
  </si>
  <si>
    <t>8320</t>
  </si>
  <si>
    <t>0520</t>
  </si>
  <si>
    <t>Збереження природно-заповідного фонду</t>
  </si>
  <si>
    <t>8330</t>
  </si>
  <si>
    <t>0540</t>
  </si>
  <si>
    <t>Інша діяльність у сфері екології та охорони природних ресурсів</t>
  </si>
  <si>
    <t>7100</t>
  </si>
  <si>
    <t>Сільське, лісове, рибне господарство та мисливство</t>
  </si>
  <si>
    <t>7130</t>
  </si>
  <si>
    <t>0421</t>
  </si>
  <si>
    <t>Здійснення заходів із землеустрою</t>
  </si>
  <si>
    <t>7650</t>
  </si>
  <si>
    <t>Проведення експертної грошової оцінки земельної ділянки чи права на неї</t>
  </si>
  <si>
    <t>Обслуговування місцевого боргу</t>
  </si>
  <si>
    <t>Резервний фонд</t>
  </si>
  <si>
    <t>Резервний фонд місцевого бюджету</t>
  </si>
  <si>
    <t>9100</t>
  </si>
  <si>
    <t>Дотації з місцевого бюджету іншим бюджетам</t>
  </si>
  <si>
    <t>Реверсна дотація</t>
  </si>
  <si>
    <t>Х</t>
  </si>
  <si>
    <t>УСЬОГО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</si>
  <si>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</si>
  <si>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>Додаток 2</t>
  </si>
  <si>
    <t xml:space="preserve">до рішення  №    від        .2021 року </t>
  </si>
  <si>
    <t>Звіт про виконання видатків загального та спеціального фондів бюджету Хмельницької міської територіальної громади</t>
  </si>
  <si>
    <t>Найменування бюджетної програми згідно з Типовою програмною класифікацією видатків та кредитування місцевого бюджету</t>
  </si>
  <si>
    <t>Затверджено на 2021 рік з урахуванням змін</t>
  </si>
  <si>
    <t>% виконання</t>
  </si>
  <si>
    <t>Відсоток вручну</t>
  </si>
  <si>
    <t xml:space="preserve"> Реалізація державних та місцевих житлових програм</t>
  </si>
  <si>
    <t xml:space="preserve"> Придбання житла для окремих категорій населення відповідно до законодавства</t>
  </si>
  <si>
    <t>Всього</t>
  </si>
  <si>
    <t>8821</t>
  </si>
  <si>
    <t>8822</t>
  </si>
  <si>
    <t>8800</t>
  </si>
  <si>
    <t>8820</t>
  </si>
  <si>
    <t xml:space="preserve"> Інша діяльність</t>
  </si>
  <si>
    <t>Кредитування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</si>
  <si>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</si>
  <si>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</si>
  <si>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</si>
  <si>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7460</t>
  </si>
  <si>
    <t>Утримання та розвиток автомобільних доріг та дорожньої інфраструктури</t>
  </si>
  <si>
    <t>7323</t>
  </si>
  <si>
    <t>Будівництво установ та закладів соціальної сфери</t>
  </si>
  <si>
    <t>7350</t>
  </si>
  <si>
    <t>Розроблення схем планування та забудови територій(містобудівної документації)</t>
  </si>
  <si>
    <t>7540</t>
  </si>
  <si>
    <t>Реалізація заходів, спрямованих на підвищення  доступності широкосмугового доступу до Інтернету в сільській місцевості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</si>
  <si>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</si>
  <si>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</si>
  <si>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1023</t>
  </si>
  <si>
    <t>Надання загальної середньої освіти спеціалізованими закладами загальної середньої освіти</t>
  </si>
  <si>
    <t>1220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</si>
  <si>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</si>
  <si>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>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</si>
  <si>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</si>
  <si>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</t>
  </si>
  <si>
    <t>а також коштів, необхідних для  забезпечення безпечного навчального процесу у закладах загальної середньої освіти)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</si>
  <si>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</si>
  <si>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</si>
  <si>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7410</t>
  </si>
  <si>
    <t>Забезпечення надання послуг з перевезення пасажирів автомобільним транспортом</t>
  </si>
  <si>
    <t>7413</t>
  </si>
  <si>
    <t>0451</t>
  </si>
  <si>
    <t>Інші заходи у сфері автотранспорту</t>
  </si>
  <si>
    <t>7620</t>
  </si>
  <si>
    <t>7622</t>
  </si>
  <si>
    <t>Розвиток готельного господарства та туризму</t>
  </si>
  <si>
    <t>Реалізація програм і заходів в галузі туризму та курортів</t>
  </si>
  <si>
    <t>1221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</si>
  <si>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</si>
  <si>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</si>
  <si>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</si>
  <si>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3221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</si>
  <si>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</si>
  <si>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</si>
  <si>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</si>
  <si>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</si>
  <si>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</si>
  <si>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</si>
  <si>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</si>
  <si>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</si>
  <si>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</si>
  <si>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</si>
  <si>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</si>
  <si>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</si>
  <si>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3224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</si>
  <si>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</si>
  <si>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</si>
  <si>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</si>
  <si>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</si>
  <si>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</si>
  <si>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7360</t>
  </si>
  <si>
    <t>7363</t>
  </si>
  <si>
    <t>Виконання інвестиційних проектів</t>
  </si>
  <si>
    <t>Виконання інвестиційних проектів в рамках здійснення заходів щодо соціально-економічного розвитку окремих територій</t>
  </si>
  <si>
    <t>0460</t>
  </si>
  <si>
    <t>за 9-ть місяців 2021 року</t>
  </si>
  <si>
    <t>Затверджено на 9-ть місяців 2021 року з урахуванням змін</t>
  </si>
  <si>
    <t>Виконано за 9-ть місяців 2021 року</t>
  </si>
  <si>
    <t>Виконано за 9-ть місяців 2021 року разом по загальному та спеціальному фондах</t>
  </si>
  <si>
    <t xml:space="preserve">Керуючий справами виконавчого комітету </t>
  </si>
  <si>
    <t>Ю. САБІЙ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</si>
</sst>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sz val="10"/>
      <color rgb="FFFF0000"/>
      <name val="Arial Cyr"/>
      <charset val="204"/>
    </font>
    <font>
      <u/>
      <sz val="36"/>
      <color indexed="8"/>
      <name val="Times New Roman"/>
      <family val="1"/>
      <charset val="204"/>
    </font>
    <font>
      <u/>
      <sz val="36"/>
      <name val="Arial Cyr"/>
      <charset val="204"/>
    </font>
    <font>
      <sz val="36"/>
      <color indexed="8"/>
      <name val="Times New Roman"/>
      <family val="1"/>
      <charset val="204"/>
    </font>
    <font>
      <sz val="36"/>
      <name val="Arial Cyr"/>
      <charset val="204"/>
    </font>
    <font>
      <b/>
      <sz val="10"/>
      <name val="Arial Cyr"/>
      <charset val="204"/>
    </font>
    <font>
      <sz val="36"/>
      <color rgb="FFFF0000"/>
      <name val="Times New Roman"/>
      <family val="1"/>
      <charset val="204"/>
    </font>
    <font>
      <sz val="10"/>
      <name val="MS Sans Serif"/>
      <family val="2"/>
      <charset val="204"/>
    </font>
    <font>
      <b/>
      <i/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b/>
      <i/>
      <sz val="10"/>
      <name val="Arial Cyr"/>
      <charset val="204"/>
    </font>
    <font>
      <sz val="37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b/>
      <i/>
      <sz val="37"/>
      <name val="Times New Roman"/>
      <family val="1"/>
      <charset val="204"/>
    </font>
    <font>
      <i/>
      <sz val="10"/>
      <name val="Arial Cyr"/>
      <charset val="204"/>
    </font>
    <font>
      <b/>
      <i/>
      <sz val="36"/>
      <color theme="1"/>
      <name val="Times New Roman"/>
      <family val="1"/>
      <charset val="204"/>
    </font>
    <font>
      <i/>
      <sz val="36"/>
      <color theme="1"/>
      <name val="Times New Roman"/>
      <family val="1"/>
      <charset val="204"/>
    </font>
    <font>
      <i/>
      <sz val="37"/>
      <name val="Times New Roman"/>
      <family val="1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i/>
      <sz val="36"/>
      <name val="Times New Roman"/>
      <family val="1"/>
      <charset val="204"/>
    </font>
    <font>
      <sz val="28"/>
      <name val="Arial Cyr"/>
      <charset val="204"/>
    </font>
    <font>
      <b/>
      <sz val="36"/>
      <color rgb="FFFF0000"/>
      <name val="Arial Cyr"/>
      <charset val="204"/>
    </font>
    <font>
      <b/>
      <sz val="37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b/>
      <vertAlign val="superscript"/>
      <sz val="36"/>
      <name val="Times New Roman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48"/>
      <name val="Times New Roman"/>
      <family val="1"/>
      <charset val="204"/>
    </font>
    <font>
      <i/>
      <sz val="37"/>
      <color rgb="FFFF0000"/>
      <name val="Times New Roman"/>
      <family val="1"/>
      <charset val="204"/>
    </font>
    <font>
      <b/>
      <sz val="36"/>
      <color rgb="FF99FF99"/>
      <name val="Times New Roman"/>
      <family val="1"/>
      <charset val="204"/>
    </font>
    <font>
      <b/>
      <i/>
      <sz val="36"/>
      <color rgb="FF99FF99"/>
      <name val="Times New Roman"/>
      <family val="1"/>
      <charset val="204"/>
    </font>
    <font>
      <sz val="48"/>
      <color rgb="FFFF0000"/>
      <name val="Arial Cyr"/>
      <charset val="204"/>
    </font>
    <font>
      <b/>
      <sz val="37"/>
      <color rgb="FF99FF99"/>
      <name val="Times New Roman"/>
      <family val="1"/>
      <charset val="204"/>
    </font>
    <font>
      <sz val="7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CC99FF"/>
        </stop>
      </gradientFill>
    </fill>
    <fill>
      <gradientFill degree="270">
        <stop position="0">
          <color theme="0"/>
        </stop>
        <stop position="1">
          <color theme="7" tint="0.40000610370189521"/>
        </stop>
      </gradientFill>
    </fill>
  </fills>
  <borders count="6">
    <border>
      <left/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</borders>
  <cellStyleXfs count="5">
    <xf numFmtId="0" fontId="0" fillId="0" borderId="0"/>
    <xf numFmtId="0" fontId="12" fillId="0" borderId="0" applyNumberFormat="0" applyFont="0" applyFill="0" applyBorder="0" applyAlignment="0" applyProtection="0">
      <alignment vertical="top"/>
    </xf>
    <xf numFmtId="0" fontId="40" fillId="0" borderId="0" applyNumberFormat="0" applyFont="0" applyFill="0" applyBorder="0" applyAlignment="0" applyProtection="0">
      <alignment vertical="top"/>
    </xf>
    <xf numFmtId="0" fontId="41" fillId="0" borderId="0"/>
    <xf numFmtId="0" fontId="41" fillId="0" borderId="0"/>
  </cellStyleXfs>
  <cellXfs count="18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4" fontId="4" fillId="0" borderId="0" xfId="0" applyNumberFormat="1" applyFont="1" applyAlignment="1">
      <alignment horizontal="left" vertical="center"/>
    </xf>
    <xf numFmtId="4" fontId="13" fillId="0" borderId="0" xfId="0" applyNumberFormat="1" applyFont="1" applyAlignment="1">
      <alignment horizontal="left" vertical="center"/>
    </xf>
    <xf numFmtId="0" fontId="15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4" fontId="18" fillId="0" borderId="0" xfId="0" applyNumberFormat="1" applyFont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 wrapText="1"/>
    </xf>
    <xf numFmtId="4" fontId="21" fillId="0" borderId="0" xfId="0" applyNumberFormat="1" applyFont="1" applyAlignment="1">
      <alignment horizontal="left" vertical="center"/>
    </xf>
    <xf numFmtId="0" fontId="23" fillId="0" borderId="0" xfId="0" applyFont="1"/>
    <xf numFmtId="4" fontId="11" fillId="0" borderId="0" xfId="0" applyNumberFormat="1" applyFont="1" applyAlignment="1">
      <alignment horizontal="left" vertical="center"/>
    </xf>
    <xf numFmtId="0" fontId="27" fillId="0" borderId="0" xfId="0" applyFont="1"/>
    <xf numFmtId="4" fontId="28" fillId="0" borderId="0" xfId="0" applyNumberFormat="1" applyFont="1"/>
    <xf numFmtId="49" fontId="29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left" vertical="center"/>
    </xf>
    <xf numFmtId="4" fontId="30" fillId="0" borderId="0" xfId="0" applyNumberFormat="1" applyFont="1"/>
    <xf numFmtId="4" fontId="31" fillId="0" borderId="0" xfId="0" applyNumberFormat="1" applyFont="1" applyAlignment="1">
      <alignment horizontal="left" vertical="center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14" fillId="0" borderId="0" xfId="0" applyNumberFormat="1" applyFont="1" applyAlignment="1">
      <alignment horizontal="center" vertical="center" wrapText="1"/>
    </xf>
    <xf numFmtId="4" fontId="14" fillId="0" borderId="0" xfId="0" applyNumberFormat="1" applyFont="1" applyAlignment="1">
      <alignment horizontal="left" vertical="center" wrapText="1"/>
    </xf>
    <xf numFmtId="4" fontId="33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left" vertical="center" wrapText="1"/>
    </xf>
    <xf numFmtId="4" fontId="16" fillId="0" borderId="0" xfId="0" applyNumberFormat="1" applyFont="1" applyAlignment="1">
      <alignment horizontal="center" vertical="center" wrapText="1"/>
    </xf>
    <xf numFmtId="4" fontId="32" fillId="0" borderId="0" xfId="0" applyNumberFormat="1" applyFont="1" applyAlignment="1">
      <alignment horizontal="left" vertical="center" wrapText="1"/>
    </xf>
    <xf numFmtId="4" fontId="34" fillId="0" borderId="0" xfId="0" applyNumberFormat="1" applyFont="1" applyAlignment="1">
      <alignment horizontal="left" vertical="center" wrapText="1"/>
    </xf>
    <xf numFmtId="4" fontId="26" fillId="0" borderId="0" xfId="0" applyNumberFormat="1" applyFont="1" applyAlignment="1">
      <alignment horizontal="left" vertical="center" wrapText="1"/>
    </xf>
    <xf numFmtId="0" fontId="5" fillId="2" borderId="0" xfId="0" applyFont="1" applyFill="1"/>
    <xf numFmtId="4" fontId="14" fillId="2" borderId="0" xfId="0" applyNumberFormat="1" applyFont="1" applyFill="1" applyAlignment="1">
      <alignment horizontal="left" vertical="center" wrapText="1"/>
    </xf>
    <xf numFmtId="0" fontId="0" fillId="2" borderId="0" xfId="0" applyFill="1"/>
    <xf numFmtId="4" fontId="22" fillId="0" borderId="0" xfId="0" applyNumberFormat="1" applyFont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" fontId="20" fillId="0" borderId="0" xfId="0" applyNumberFormat="1" applyFont="1" applyAlignment="1">
      <alignment horizontal="center" vertical="center" wrapText="1"/>
    </xf>
    <xf numFmtId="0" fontId="0" fillId="3" borderId="0" xfId="0" applyFill="1"/>
    <xf numFmtId="0" fontId="5" fillId="3" borderId="0" xfId="0" applyFont="1" applyFill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14" fillId="4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" fillId="0" borderId="0" xfId="3" applyFont="1"/>
    <xf numFmtId="0" fontId="1" fillId="0" borderId="0" xfId="0" applyFont="1"/>
    <xf numFmtId="0" fontId="3" fillId="0" borderId="0" xfId="0" applyFont="1" applyAlignment="1">
      <alignment horizontal="left" vertical="center"/>
    </xf>
    <xf numFmtId="0" fontId="28" fillId="0" borderId="0" xfId="0" applyFont="1"/>
    <xf numFmtId="0" fontId="4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center" vertical="center" wrapText="1"/>
    </xf>
    <xf numFmtId="4" fontId="32" fillId="3" borderId="0" xfId="0" applyNumberFormat="1" applyFont="1" applyFill="1" applyAlignment="1">
      <alignment horizontal="left" vertical="center" wrapText="1"/>
    </xf>
    <xf numFmtId="49" fontId="43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164" fontId="3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3" fillId="0" borderId="1" xfId="0" applyNumberFormat="1" applyFont="1" applyFill="1" applyBorder="1" applyAlignment="1">
      <alignment horizontal="center" vertical="center" wrapText="1"/>
    </xf>
    <xf numFmtId="4" fontId="32" fillId="4" borderId="1" xfId="0" applyNumberFormat="1" applyFont="1" applyFill="1" applyBorder="1" applyAlignment="1">
      <alignment horizontal="center" vertical="center"/>
    </xf>
    <xf numFmtId="4" fontId="16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16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 wrapText="1"/>
    </xf>
    <xf numFmtId="164" fontId="26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6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14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29" fillId="0" borderId="0" xfId="0" applyNumberFormat="1" applyFont="1" applyFill="1" applyAlignment="1">
      <alignment horizontal="center" wrapText="1"/>
    </xf>
    <xf numFmtId="49" fontId="29" fillId="0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5" fillId="0" borderId="0" xfId="0" applyNumberFormat="1" applyFont="1" applyAlignment="1">
      <alignment horizontal="left" vertical="center"/>
    </xf>
    <xf numFmtId="4" fontId="46" fillId="0" borderId="0" xfId="0" applyNumberFormat="1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7" fillId="3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4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4" fontId="22" fillId="0" borderId="1" xfId="0" applyNumberFormat="1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/>
    </xf>
    <xf numFmtId="164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1" applyFont="1" applyFill="1" applyBorder="1" applyAlignment="1" applyProtection="1">
      <alignment horizontal="center" vertical="center" wrapText="1"/>
      <protection locked="0"/>
    </xf>
    <xf numFmtId="4" fontId="26" fillId="0" borderId="1" xfId="0" applyNumberFormat="1" applyFont="1" applyFill="1" applyBorder="1" applyAlignment="1">
      <alignment horizontal="center" vertical="center"/>
    </xf>
    <xf numFmtId="49" fontId="3" fillId="0" borderId="1" xfId="4" applyNumberFormat="1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4" fontId="32" fillId="0" borderId="1" xfId="0" applyNumberFormat="1" applyFont="1" applyFill="1" applyBorder="1" applyAlignment="1">
      <alignment horizontal="center" vertical="center"/>
    </xf>
    <xf numFmtId="164" fontId="32" fillId="0" borderId="1" xfId="0" applyNumberFormat="1" applyFont="1" applyFill="1" applyBorder="1" applyAlignment="1">
      <alignment horizontal="center" vertical="center"/>
    </xf>
    <xf numFmtId="4" fontId="48" fillId="4" borderId="1" xfId="0" applyNumberFormat="1" applyFont="1" applyFill="1" applyBorder="1" applyAlignment="1">
      <alignment horizontal="center" vertical="center"/>
    </xf>
    <xf numFmtId="4" fontId="16" fillId="0" borderId="1" xfId="1" applyNumberFormat="1" applyFont="1" applyFill="1" applyBorder="1" applyAlignment="1">
      <alignment horizontal="center" vertical="center" wrapText="1"/>
    </xf>
    <xf numFmtId="4" fontId="32" fillId="0" borderId="1" xfId="1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4" fontId="33" fillId="0" borderId="1" xfId="1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  <protection locked="0"/>
    </xf>
    <xf numFmtId="4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164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5" borderId="1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center" vertical="center" wrapText="1"/>
    </xf>
    <xf numFmtId="4" fontId="34" fillId="0" borderId="1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164" fontId="4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top" wrapText="1"/>
    </xf>
    <xf numFmtId="49" fontId="25" fillId="0" borderId="1" xfId="0" applyNumberFormat="1" applyFont="1" applyFill="1" applyBorder="1" applyAlignment="1">
      <alignment horizontal="center" vertical="center" wrapText="1"/>
    </xf>
    <xf numFmtId="164" fontId="3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4" fillId="0" borderId="1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Fill="1" applyBorder="1" applyAlignment="1">
      <alignment horizontal="center" vertical="center"/>
    </xf>
    <xf numFmtId="4" fontId="3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wrapText="1"/>
      <protection locked="0"/>
    </xf>
    <xf numFmtId="0" fontId="3" fillId="0" borderId="3" xfId="1" applyFont="1" applyFill="1" applyBorder="1" applyAlignment="1" applyProtection="1">
      <alignment horizontal="center" vertical="top" wrapText="1"/>
      <protection locked="0"/>
    </xf>
    <xf numFmtId="0" fontId="13" fillId="0" borderId="3" xfId="1" applyFont="1" applyFill="1" applyBorder="1" applyAlignment="1" applyProtection="1">
      <alignment horizontal="center" vertical="top" wrapText="1"/>
      <protection locked="0"/>
    </xf>
    <xf numFmtId="4" fontId="34" fillId="0" borderId="1" xfId="0" applyNumberFormat="1" applyFont="1" applyFill="1" applyBorder="1" applyAlignment="1">
      <alignment horizontal="center" vertical="center"/>
    </xf>
    <xf numFmtId="0" fontId="49" fillId="3" borderId="0" xfId="0" applyFont="1" applyFill="1"/>
    <xf numFmtId="49" fontId="3" fillId="0" borderId="2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4" fontId="16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49" fontId="29" fillId="0" borderId="2" xfId="0" applyNumberFormat="1" applyFont="1" applyBorder="1" applyAlignment="1">
      <alignment horizontal="center" vertical="center" wrapText="1"/>
    </xf>
    <xf numFmtId="49" fontId="29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" fontId="26" fillId="0" borderId="2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43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/>
    </xf>
    <xf numFmtId="4" fontId="16" fillId="0" borderId="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26" fillId="0" borderId="3" xfId="0" applyNumberFormat="1" applyFont="1" applyFill="1" applyBorder="1" applyAlignment="1">
      <alignment horizontal="center" vertical="center" wrapText="1"/>
    </xf>
    <xf numFmtId="164" fontId="26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</cellXfs>
  <cellStyles count="5">
    <cellStyle name="Звичайний" xfId="0" builtinId="0"/>
    <cellStyle name="Обычный 3" xfId="4"/>
    <cellStyle name="Обычный_Plan_kapbud_2006 уточн." xfId="2"/>
    <cellStyle name="Обычный_Додаток 2 до бюджету 2000 року" xfId="1"/>
    <cellStyle name="Обычный_Додаток №1" xfId="3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51"/>
  <sheetViews>
    <sheetView tabSelected="1" view="pageBreakPreview" topLeftCell="B4" zoomScale="20" zoomScaleNormal="20" zoomScaleSheetLayoutView="20" zoomScalePageLayoutView="10" workbookViewId="0">
      <pane xSplit="2" ySplit="12" topLeftCell="D202" activePane="bottomRight" state="frozen"/>
      <selection activeCell="B4" sqref="B4"/>
      <selection pane="topRight" activeCell="D4" sqref="D4"/>
      <selection pane="bottomLeft" activeCell="B16" sqref="B16"/>
      <selection pane="bottomRight" activeCell="I214" sqref="I214"/>
    </sheetView>
  </sheetViews>
  <sheetFormatPr defaultColWidth="9.140625" defaultRowHeight="12.75" x14ac:dyDescent="0.2"/>
  <cols>
    <col min="1" max="1" width="48" style="1" hidden="1" customWidth="1"/>
    <col min="2" max="2" width="52.5703125" style="1" customWidth="1"/>
    <col min="3" max="3" width="59.28515625" style="1" customWidth="1"/>
    <col min="4" max="4" width="106.28515625" style="1" customWidth="1"/>
    <col min="5" max="5" width="62.5703125" style="1" customWidth="1"/>
    <col min="6" max="6" width="59.7109375" style="1" customWidth="1"/>
    <col min="7" max="7" width="63.28515625" style="1" customWidth="1"/>
    <col min="8" max="8" width="41.85546875" style="1" customWidth="1"/>
    <col min="9" max="9" width="52.5703125" style="56" customWidth="1"/>
    <col min="10" max="10" width="56.140625" style="1" customWidth="1"/>
    <col min="11" max="11" width="44.140625" style="1" customWidth="1"/>
    <col min="12" max="12" width="45.28515625" style="1" hidden="1" customWidth="1"/>
    <col min="13" max="13" width="56.140625" style="1" hidden="1" customWidth="1"/>
    <col min="14" max="14" width="86.28515625" style="56" customWidth="1"/>
    <col min="15" max="15" width="72.140625" style="5" hidden="1" customWidth="1"/>
    <col min="16" max="16" width="44.7109375" style="5" hidden="1" customWidth="1"/>
    <col min="17" max="17" width="25.85546875" hidden="1" customWidth="1"/>
    <col min="18" max="18" width="43.5703125" hidden="1" customWidth="1"/>
    <col min="19" max="23" width="0" hidden="1" customWidth="1"/>
    <col min="27" max="27" width="145.5703125" customWidth="1"/>
  </cols>
  <sheetData>
    <row r="2" spans="1:16" ht="45.75" x14ac:dyDescent="0.2">
      <c r="D2" s="2"/>
      <c r="E2" s="4"/>
      <c r="F2" s="3"/>
      <c r="G2" s="3"/>
      <c r="H2" s="3"/>
      <c r="I2" s="3"/>
      <c r="J2" s="4"/>
      <c r="K2" s="145" t="s">
        <v>454</v>
      </c>
      <c r="L2" s="146"/>
      <c r="M2" s="146"/>
      <c r="N2" s="146"/>
      <c r="O2" s="57"/>
    </row>
    <row r="3" spans="1:16" ht="45.75" x14ac:dyDescent="0.2">
      <c r="A3" s="2"/>
      <c r="B3" s="2"/>
      <c r="C3" s="2"/>
      <c r="D3" s="2"/>
      <c r="E3" s="4"/>
      <c r="F3" s="3"/>
      <c r="G3" s="3"/>
      <c r="H3" s="3"/>
      <c r="I3" s="3"/>
      <c r="J3" s="147" t="s">
        <v>455</v>
      </c>
      <c r="K3" s="148"/>
      <c r="L3" s="148"/>
      <c r="M3" s="148"/>
      <c r="N3" s="148"/>
      <c r="O3" s="58"/>
    </row>
    <row r="4" spans="1:16" ht="40.700000000000003" customHeight="1" x14ac:dyDescent="0.2">
      <c r="A4" s="2"/>
      <c r="B4" s="2"/>
      <c r="C4" s="2"/>
      <c r="D4" s="2"/>
      <c r="E4" s="4"/>
      <c r="F4" s="3"/>
      <c r="G4" s="3"/>
      <c r="H4" s="3"/>
      <c r="I4" s="3"/>
      <c r="J4" s="3"/>
      <c r="K4" s="3"/>
      <c r="L4" s="3"/>
      <c r="M4" s="145"/>
      <c r="N4" s="145"/>
    </row>
    <row r="5" spans="1:16" ht="45.75" hidden="1" x14ac:dyDescent="0.2">
      <c r="A5" s="2"/>
      <c r="B5" s="2"/>
      <c r="C5" s="2"/>
      <c r="D5" s="2"/>
      <c r="E5" s="4"/>
      <c r="F5" s="3"/>
      <c r="G5" s="3"/>
      <c r="H5" s="3"/>
      <c r="I5" s="3"/>
      <c r="J5" s="3"/>
      <c r="K5" s="3"/>
      <c r="L5" s="3"/>
      <c r="M5" s="2"/>
      <c r="N5" s="4"/>
    </row>
    <row r="6" spans="1:16" ht="45" x14ac:dyDescent="0.2">
      <c r="A6" s="164" t="s">
        <v>456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1:16" ht="45" x14ac:dyDescent="0.2">
      <c r="A7" s="164" t="s">
        <v>530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</row>
    <row r="8" spans="1:16" ht="4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33.75" customHeight="1" x14ac:dyDescent="0.65">
      <c r="A9" s="165">
        <v>22564000000</v>
      </c>
      <c r="B9" s="166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6" ht="45.75" hidden="1" x14ac:dyDescent="0.2">
      <c r="A10" s="149" t="s">
        <v>0</v>
      </c>
      <c r="B10" s="150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6" ht="53.45" customHeight="1" thickBot="1" x14ac:dyDescent="0.25">
      <c r="A11" s="3"/>
      <c r="B11" s="3"/>
      <c r="C11" s="3"/>
      <c r="D11" s="3"/>
      <c r="E11" s="4"/>
      <c r="F11" s="3"/>
      <c r="G11" s="3"/>
      <c r="H11" s="3"/>
      <c r="I11" s="3"/>
      <c r="J11" s="3"/>
      <c r="K11" s="3"/>
      <c r="L11" s="3"/>
      <c r="M11" s="3"/>
      <c r="N11" s="6" t="s">
        <v>1</v>
      </c>
    </row>
    <row r="12" spans="1:16" ht="62.45" customHeight="1" thickTop="1" thickBot="1" x14ac:dyDescent="0.25">
      <c r="A12" s="151" t="s">
        <v>2</v>
      </c>
      <c r="B12" s="151" t="s">
        <v>3</v>
      </c>
      <c r="C12" s="151" t="s">
        <v>4</v>
      </c>
      <c r="D12" s="151" t="s">
        <v>457</v>
      </c>
      <c r="E12" s="152" t="s">
        <v>5</v>
      </c>
      <c r="F12" s="152"/>
      <c r="G12" s="152"/>
      <c r="H12" s="152"/>
      <c r="I12" s="152" t="s">
        <v>6</v>
      </c>
      <c r="J12" s="152"/>
      <c r="K12" s="152"/>
      <c r="L12" s="152"/>
      <c r="M12" s="156"/>
      <c r="N12" s="151" t="s">
        <v>533</v>
      </c>
    </row>
    <row r="13" spans="1:16" ht="96" customHeight="1" thickTop="1" thickBot="1" x14ac:dyDescent="0.25">
      <c r="A13" s="152"/>
      <c r="B13" s="153"/>
      <c r="C13" s="153"/>
      <c r="D13" s="152"/>
      <c r="E13" s="151" t="s">
        <v>458</v>
      </c>
      <c r="F13" s="151" t="s">
        <v>531</v>
      </c>
      <c r="G13" s="151" t="s">
        <v>532</v>
      </c>
      <c r="H13" s="154" t="s">
        <v>459</v>
      </c>
      <c r="I13" s="151" t="s">
        <v>458</v>
      </c>
      <c r="J13" s="151" t="s">
        <v>532</v>
      </c>
      <c r="K13" s="154" t="s">
        <v>459</v>
      </c>
      <c r="L13" s="7"/>
      <c r="M13" s="154"/>
      <c r="N13" s="151"/>
    </row>
    <row r="14" spans="1:16" ht="208.5" customHeight="1" thickTop="1" thickBot="1" x14ac:dyDescent="0.25">
      <c r="A14" s="153"/>
      <c r="B14" s="153"/>
      <c r="C14" s="153"/>
      <c r="D14" s="153"/>
      <c r="E14" s="151"/>
      <c r="F14" s="151"/>
      <c r="G14" s="151"/>
      <c r="H14" s="155"/>
      <c r="I14" s="151"/>
      <c r="J14" s="151"/>
      <c r="K14" s="155"/>
      <c r="L14" s="7"/>
      <c r="M14" s="155"/>
      <c r="N14" s="151"/>
    </row>
    <row r="15" spans="1:16" s="11" customFormat="1" ht="47.25" thickTop="1" thickBot="1" x14ac:dyDescent="0.25">
      <c r="A15" s="8" t="s">
        <v>7</v>
      </c>
      <c r="B15" s="8" t="s">
        <v>7</v>
      </c>
      <c r="C15" s="8" t="s">
        <v>9</v>
      </c>
      <c r="D15" s="8" t="s">
        <v>8</v>
      </c>
      <c r="E15" s="8" t="s">
        <v>9</v>
      </c>
      <c r="F15" s="8" t="s">
        <v>10</v>
      </c>
      <c r="G15" s="8" t="s">
        <v>11</v>
      </c>
      <c r="H15" s="8" t="s">
        <v>12</v>
      </c>
      <c r="I15" s="8" t="s">
        <v>13</v>
      </c>
      <c r="J15" s="8" t="s">
        <v>14</v>
      </c>
      <c r="K15" s="8" t="s">
        <v>15</v>
      </c>
      <c r="L15" s="8"/>
      <c r="M15" s="8"/>
      <c r="N15" s="8" t="s">
        <v>16</v>
      </c>
      <c r="O15" s="9"/>
      <c r="P15" s="10"/>
    </row>
    <row r="16" spans="1:16" s="14" customFormat="1" ht="88.5" customHeight="1" thickTop="1" thickBot="1" x14ac:dyDescent="0.25">
      <c r="A16" s="8" t="s">
        <v>17</v>
      </c>
      <c r="B16" s="113" t="s">
        <v>18</v>
      </c>
      <c r="C16" s="113"/>
      <c r="D16" s="114" t="s">
        <v>19</v>
      </c>
      <c r="E16" s="115">
        <f>SUM(E17:E20)</f>
        <v>218470434</v>
      </c>
      <c r="F16" s="115">
        <f t="shared" ref="F16:J16" si="0">SUM(F17:F20)</f>
        <v>170552955</v>
      </c>
      <c r="G16" s="115">
        <f t="shared" si="0"/>
        <v>157671540.25999999</v>
      </c>
      <c r="H16" s="116">
        <f t="shared" ref="H16:H28" si="1">G16/F16</f>
        <v>0.92447263819029102</v>
      </c>
      <c r="I16" s="115">
        <f t="shared" si="0"/>
        <v>4870155.120000001</v>
      </c>
      <c r="J16" s="115">
        <f t="shared" si="0"/>
        <v>2905115.12</v>
      </c>
      <c r="K16" s="116">
        <f>J16/I16</f>
        <v>0.59651387859695104</v>
      </c>
      <c r="L16" s="115"/>
      <c r="M16" s="115"/>
      <c r="N16" s="117">
        <f t="shared" ref="N16:N28" si="2">G16+J16</f>
        <v>160576655.38</v>
      </c>
      <c r="O16" s="85" t="b">
        <f>N16=N17+N18+N19+N20</f>
        <v>1</v>
      </c>
      <c r="P16" s="13"/>
    </row>
    <row r="17" spans="1:18" ht="321.75" thickTop="1" thickBot="1" x14ac:dyDescent="0.25">
      <c r="A17" s="15" t="s">
        <v>20</v>
      </c>
      <c r="B17" s="79" t="s">
        <v>21</v>
      </c>
      <c r="C17" s="79" t="s">
        <v>22</v>
      </c>
      <c r="D17" s="79" t="s">
        <v>23</v>
      </c>
      <c r="E17" s="69">
        <v>102582000</v>
      </c>
      <c r="F17" s="69">
        <v>79291050</v>
      </c>
      <c r="G17" s="69">
        <v>78332815.459999993</v>
      </c>
      <c r="H17" s="70">
        <f t="shared" si="1"/>
        <v>0.98791497224466052</v>
      </c>
      <c r="I17" s="69">
        <v>2874406.47</v>
      </c>
      <c r="J17" s="109">
        <v>1569395.74</v>
      </c>
      <c r="K17" s="70">
        <f t="shared" ref="K17:K20" si="3">J17/I17</f>
        <v>0.54598949605064029</v>
      </c>
      <c r="L17" s="110"/>
      <c r="M17" s="111"/>
      <c r="N17" s="71">
        <f t="shared" si="2"/>
        <v>79902211.199999988</v>
      </c>
      <c r="O17" s="16"/>
      <c r="P17" s="17"/>
    </row>
    <row r="18" spans="1:18" ht="230.25" thickTop="1" thickBot="1" x14ac:dyDescent="0.25">
      <c r="A18" s="15" t="s">
        <v>24</v>
      </c>
      <c r="B18" s="79" t="s">
        <v>25</v>
      </c>
      <c r="C18" s="79" t="s">
        <v>22</v>
      </c>
      <c r="D18" s="79" t="s">
        <v>26</v>
      </c>
      <c r="E18" s="69">
        <f>6253540+2447825+52443540+7544995+8390737+3309607+6728615+3586430+5979385+7074725+8609205</f>
        <v>112368604</v>
      </c>
      <c r="F18" s="69">
        <v>88549519</v>
      </c>
      <c r="G18" s="69">
        <f>4104999+1850994.42+37377011.85+5056488.24+4922381.6+2012451.22+4198729.48+2342438.92+4382482.6+4663298.11+6039896.74</f>
        <v>76951172.180000007</v>
      </c>
      <c r="H18" s="70">
        <f t="shared" si="1"/>
        <v>0.86901852261896539</v>
      </c>
      <c r="I18" s="69">
        <f>1210000+163248+144000+176000+36000+64000+100000+40000</f>
        <v>1933248</v>
      </c>
      <c r="J18" s="109">
        <f>794150.38+147083+49506+175000+15200+62410+38780</f>
        <v>1282129.3799999999</v>
      </c>
      <c r="K18" s="70">
        <f t="shared" si="3"/>
        <v>0.66319964122554365</v>
      </c>
      <c r="L18" s="110"/>
      <c r="M18" s="111"/>
      <c r="N18" s="71">
        <f t="shared" si="2"/>
        <v>78233301.560000002</v>
      </c>
      <c r="O18" s="16"/>
      <c r="P18" s="17"/>
    </row>
    <row r="19" spans="1:18" ht="184.5" thickTop="1" thickBot="1" x14ac:dyDescent="0.25">
      <c r="A19" s="18" t="s">
        <v>27</v>
      </c>
      <c r="B19" s="65" t="s">
        <v>28</v>
      </c>
      <c r="C19" s="65" t="s">
        <v>29</v>
      </c>
      <c r="D19" s="65" t="s">
        <v>30</v>
      </c>
      <c r="E19" s="69">
        <f>49000+10000+12000+8000+5000+7000+5080+5000+3000</f>
        <v>104080</v>
      </c>
      <c r="F19" s="69">
        <v>94280</v>
      </c>
      <c r="G19" s="69">
        <f>24340+6225+3380+3380+3380</f>
        <v>40705</v>
      </c>
      <c r="H19" s="70">
        <f t="shared" si="1"/>
        <v>0.43174586338565973</v>
      </c>
      <c r="I19" s="83"/>
      <c r="J19" s="112"/>
      <c r="K19" s="110"/>
      <c r="L19" s="110"/>
      <c r="M19" s="111"/>
      <c r="N19" s="71">
        <f t="shared" si="2"/>
        <v>40705</v>
      </c>
      <c r="O19" s="16"/>
      <c r="P19" s="19"/>
    </row>
    <row r="20" spans="1:18" ht="111" customHeight="1" thickTop="1" thickBot="1" x14ac:dyDescent="0.25">
      <c r="A20" s="18" t="s">
        <v>31</v>
      </c>
      <c r="B20" s="65" t="s">
        <v>32</v>
      </c>
      <c r="C20" s="65" t="s">
        <v>33</v>
      </c>
      <c r="D20" s="65" t="s">
        <v>34</v>
      </c>
      <c r="E20" s="71">
        <f>3135750+30000+100000+150000</f>
        <v>3415750</v>
      </c>
      <c r="F20" s="71">
        <v>2618106</v>
      </c>
      <c r="G20" s="71">
        <f>2155904.22+30000+10943.4+150000</f>
        <v>2346847.62</v>
      </c>
      <c r="H20" s="70">
        <f t="shared" si="1"/>
        <v>0.89639136841671041</v>
      </c>
      <c r="I20" s="71">
        <v>62500.65</v>
      </c>
      <c r="J20" s="71">
        <v>53590</v>
      </c>
      <c r="K20" s="70">
        <f t="shared" si="3"/>
        <v>0.85743108271673973</v>
      </c>
      <c r="L20" s="67"/>
      <c r="M20" s="111"/>
      <c r="N20" s="71">
        <f t="shared" si="2"/>
        <v>2400437.62</v>
      </c>
      <c r="O20" s="16"/>
      <c r="P20" s="19"/>
    </row>
    <row r="21" spans="1:18" ht="83.25" customHeight="1" thickTop="1" thickBot="1" x14ac:dyDescent="0.25">
      <c r="A21" s="8" t="s">
        <v>68</v>
      </c>
      <c r="B21" s="113" t="s">
        <v>69</v>
      </c>
      <c r="C21" s="113"/>
      <c r="D21" s="114" t="s">
        <v>70</v>
      </c>
      <c r="E21" s="115">
        <f>SUM(E22:E51)-E23-E27-E34-E37-E40-E44-E49-E29</f>
        <v>1670532397.9499996</v>
      </c>
      <c r="F21" s="115">
        <f>SUM(F22:F51)-F23-F27-F34-F37-F40-F44-F49-F29</f>
        <v>1246073780.5600002</v>
      </c>
      <c r="G21" s="115">
        <f>SUM(G22:G51)-G23-G27-G34-G37-G40-G44-G49-G29</f>
        <v>1212485884.2199996</v>
      </c>
      <c r="H21" s="116">
        <f t="shared" si="1"/>
        <v>0.97304501798849674</v>
      </c>
      <c r="I21" s="115">
        <f>SUM(I22:I51)-I23-I27-I34-I37-I40-I44-I49-I29</f>
        <v>211906589.68999994</v>
      </c>
      <c r="J21" s="115">
        <f>SUM(J22:J51)-J23-J27-J34-J37-J40-J44-J49-J29</f>
        <v>110546567.38999997</v>
      </c>
      <c r="K21" s="116">
        <f>J21/I21</f>
        <v>0.52167593066227691</v>
      </c>
      <c r="L21" s="115"/>
      <c r="M21" s="115"/>
      <c r="N21" s="117">
        <f>G21+J21</f>
        <v>1323032451.6099994</v>
      </c>
      <c r="O21" s="84" t="b">
        <f>N21=N22+N24+N25+N26+N28+N32+N33+N35+N36+N38+N39+N41+N42+N43+N45+N46+N47+N48+N51+N31+N50</f>
        <v>1</v>
      </c>
      <c r="P21" s="12"/>
    </row>
    <row r="22" spans="1:18" ht="99" customHeight="1" thickTop="1" thickBot="1" x14ac:dyDescent="0.6">
      <c r="A22" s="15" t="s">
        <v>71</v>
      </c>
      <c r="B22" s="79" t="s">
        <v>72</v>
      </c>
      <c r="C22" s="79" t="s">
        <v>73</v>
      </c>
      <c r="D22" s="79" t="s">
        <v>74</v>
      </c>
      <c r="E22" s="71">
        <v>469872991</v>
      </c>
      <c r="F22" s="71">
        <v>341420873.23000002</v>
      </c>
      <c r="G22" s="71">
        <v>335210260.43000001</v>
      </c>
      <c r="H22" s="70">
        <f t="shared" si="1"/>
        <v>0.98180951052803322</v>
      </c>
      <c r="I22" s="71">
        <v>73715172.650000006</v>
      </c>
      <c r="J22" s="71">
        <v>35435077.57</v>
      </c>
      <c r="K22" s="70">
        <f t="shared" ref="K22:K25" si="4">J22/I22</f>
        <v>0.48070263279780839</v>
      </c>
      <c r="L22" s="71"/>
      <c r="M22" s="105"/>
      <c r="N22" s="71">
        <f t="shared" si="2"/>
        <v>370645338</v>
      </c>
      <c r="O22" s="23"/>
      <c r="P22" s="12"/>
    </row>
    <row r="23" spans="1:18" ht="138.75" thickTop="1" thickBot="1" x14ac:dyDescent="0.6">
      <c r="A23" s="24" t="s">
        <v>75</v>
      </c>
      <c r="B23" s="64" t="s">
        <v>76</v>
      </c>
      <c r="C23" s="64"/>
      <c r="D23" s="64" t="s">
        <v>77</v>
      </c>
      <c r="E23" s="74">
        <f>E24+E25+E26</f>
        <v>316411279.95999998</v>
      </c>
      <c r="F23" s="74">
        <f>F24+F25+F26</f>
        <v>246389051.33000001</v>
      </c>
      <c r="G23" s="74">
        <f>G24+G25+G26</f>
        <v>231835410.43000001</v>
      </c>
      <c r="H23" s="75">
        <f t="shared" si="1"/>
        <v>0.94093227429774196</v>
      </c>
      <c r="I23" s="74">
        <f>I24+I25+I26</f>
        <v>77996064.409999996</v>
      </c>
      <c r="J23" s="74">
        <f>J24+J25+J26</f>
        <v>43373389.630000003</v>
      </c>
      <c r="K23" s="75">
        <f t="shared" si="4"/>
        <v>0.55609715641548485</v>
      </c>
      <c r="L23" s="74"/>
      <c r="M23" s="102"/>
      <c r="N23" s="74">
        <f>G23+J23</f>
        <v>275208800.06</v>
      </c>
      <c r="O23" s="23"/>
      <c r="P23" s="25"/>
    </row>
    <row r="24" spans="1:18" ht="138.75" thickTop="1" thickBot="1" x14ac:dyDescent="0.6">
      <c r="A24" s="15" t="s">
        <v>78</v>
      </c>
      <c r="B24" s="79" t="s">
        <v>79</v>
      </c>
      <c r="C24" s="79" t="s">
        <v>80</v>
      </c>
      <c r="D24" s="79" t="s">
        <v>81</v>
      </c>
      <c r="E24" s="71">
        <v>289134512.13999999</v>
      </c>
      <c r="F24" s="71">
        <v>226153299.33000001</v>
      </c>
      <c r="G24" s="71">
        <v>213598760.19999999</v>
      </c>
      <c r="H24" s="70">
        <f t="shared" si="1"/>
        <v>0.94448659751065311</v>
      </c>
      <c r="I24" s="71">
        <v>77043411.409999996</v>
      </c>
      <c r="J24" s="71">
        <v>42552894.670000002</v>
      </c>
      <c r="K24" s="70">
        <f t="shared" si="4"/>
        <v>0.55232360420214688</v>
      </c>
      <c r="L24" s="71"/>
      <c r="M24" s="105"/>
      <c r="N24" s="71">
        <f t="shared" si="2"/>
        <v>256151654.87</v>
      </c>
      <c r="O24" s="23"/>
      <c r="P24" s="13"/>
      <c r="R24" s="26"/>
    </row>
    <row r="25" spans="1:18" ht="276" thickTop="1" thickBot="1" x14ac:dyDescent="0.25">
      <c r="A25" s="15" t="s">
        <v>82</v>
      </c>
      <c r="B25" s="79" t="s">
        <v>83</v>
      </c>
      <c r="C25" s="79" t="s">
        <v>84</v>
      </c>
      <c r="D25" s="79" t="s">
        <v>85</v>
      </c>
      <c r="E25" s="71">
        <v>23001882</v>
      </c>
      <c r="F25" s="71">
        <v>17766610</v>
      </c>
      <c r="G25" s="71">
        <v>16470875.93</v>
      </c>
      <c r="H25" s="70">
        <f t="shared" si="1"/>
        <v>0.92706914431059162</v>
      </c>
      <c r="I25" s="71">
        <v>952653</v>
      </c>
      <c r="J25" s="71">
        <v>820494.96</v>
      </c>
      <c r="K25" s="70">
        <f t="shared" si="4"/>
        <v>0.86127368517183067</v>
      </c>
      <c r="L25" s="71"/>
      <c r="M25" s="105"/>
      <c r="N25" s="71">
        <f t="shared" si="2"/>
        <v>17291370.890000001</v>
      </c>
      <c r="P25" s="13"/>
    </row>
    <row r="26" spans="1:18" ht="184.5" thickTop="1" thickBot="1" x14ac:dyDescent="0.25">
      <c r="A26" s="15"/>
      <c r="B26" s="79" t="s">
        <v>483</v>
      </c>
      <c r="C26" s="79" t="s">
        <v>84</v>
      </c>
      <c r="D26" s="79" t="s">
        <v>484</v>
      </c>
      <c r="E26" s="71">
        <v>4274885.82</v>
      </c>
      <c r="F26" s="71">
        <v>2469142</v>
      </c>
      <c r="G26" s="71">
        <v>1765774.3</v>
      </c>
      <c r="H26" s="70">
        <f t="shared" si="1"/>
        <v>0.71513679650664075</v>
      </c>
      <c r="I26" s="71"/>
      <c r="J26" s="71"/>
      <c r="K26" s="70"/>
      <c r="L26" s="71"/>
      <c r="M26" s="105"/>
      <c r="N26" s="71">
        <f t="shared" si="2"/>
        <v>1765774.3</v>
      </c>
      <c r="P26" s="13"/>
    </row>
    <row r="27" spans="1:18" ht="138.75" thickTop="1" thickBot="1" x14ac:dyDescent="0.25">
      <c r="A27" s="24" t="s">
        <v>86</v>
      </c>
      <c r="B27" s="64" t="s">
        <v>87</v>
      </c>
      <c r="C27" s="64"/>
      <c r="D27" s="64" t="s">
        <v>88</v>
      </c>
      <c r="E27" s="74">
        <f>E28</f>
        <v>608795058</v>
      </c>
      <c r="F27" s="74">
        <f t="shared" ref="F27:J27" si="5">F28</f>
        <v>447070266</v>
      </c>
      <c r="G27" s="74">
        <f t="shared" si="5"/>
        <v>444669341.45999998</v>
      </c>
      <c r="H27" s="75">
        <f t="shared" si="1"/>
        <v>0.99462964835151879</v>
      </c>
      <c r="I27" s="74">
        <f t="shared" si="5"/>
        <v>0</v>
      </c>
      <c r="J27" s="74">
        <f t="shared" si="5"/>
        <v>0</v>
      </c>
      <c r="K27" s="70">
        <v>0</v>
      </c>
      <c r="L27" s="74"/>
      <c r="M27" s="74"/>
      <c r="N27" s="74">
        <f>G27+J27</f>
        <v>444669341.45999998</v>
      </c>
      <c r="O27" s="60" t="s">
        <v>460</v>
      </c>
      <c r="P27" s="21"/>
    </row>
    <row r="28" spans="1:18" ht="138.75" thickTop="1" thickBot="1" x14ac:dyDescent="0.25">
      <c r="A28" s="15" t="s">
        <v>89</v>
      </c>
      <c r="B28" s="79" t="s">
        <v>90</v>
      </c>
      <c r="C28" s="79" t="s">
        <v>80</v>
      </c>
      <c r="D28" s="79" t="s">
        <v>81</v>
      </c>
      <c r="E28" s="71">
        <v>608795058</v>
      </c>
      <c r="F28" s="71">
        <v>447070266</v>
      </c>
      <c r="G28" s="71">
        <v>444669341.45999998</v>
      </c>
      <c r="H28" s="70">
        <f t="shared" si="1"/>
        <v>0.99462964835151879</v>
      </c>
      <c r="I28" s="67"/>
      <c r="J28" s="67"/>
      <c r="K28" s="67"/>
      <c r="L28" s="67"/>
      <c r="M28" s="111"/>
      <c r="N28" s="71">
        <f t="shared" si="2"/>
        <v>444669341.45999998</v>
      </c>
      <c r="P28" s="19"/>
    </row>
    <row r="29" spans="1:18" ht="409.6" thickTop="1" x14ac:dyDescent="0.65">
      <c r="A29" s="157" t="s">
        <v>91</v>
      </c>
      <c r="B29" s="158" t="s">
        <v>92</v>
      </c>
      <c r="C29" s="158"/>
      <c r="D29" s="80" t="s">
        <v>489</v>
      </c>
      <c r="E29" s="160">
        <f t="shared" ref="E29:J29" si="6">E31</f>
        <v>0</v>
      </c>
      <c r="F29" s="160">
        <f t="shared" si="6"/>
        <v>0</v>
      </c>
      <c r="G29" s="160">
        <f t="shared" si="6"/>
        <v>0</v>
      </c>
      <c r="H29" s="160"/>
      <c r="I29" s="160">
        <f t="shared" si="6"/>
        <v>6197509.9900000002</v>
      </c>
      <c r="J29" s="160">
        <f t="shared" si="6"/>
        <v>2048593.87</v>
      </c>
      <c r="K29" s="175">
        <f t="shared" ref="K29:K31" si="7">J29/I29</f>
        <v>0.33055112025725031</v>
      </c>
      <c r="L29" s="160"/>
      <c r="M29" s="160"/>
      <c r="N29" s="160">
        <f>J29+G29</f>
        <v>2048593.87</v>
      </c>
      <c r="P29" s="19"/>
    </row>
    <row r="30" spans="1:18" ht="229.5" customHeight="1" thickBot="1" x14ac:dyDescent="0.25">
      <c r="A30" s="140"/>
      <c r="B30" s="159"/>
      <c r="C30" s="159"/>
      <c r="D30" s="81" t="s">
        <v>490</v>
      </c>
      <c r="E30" s="159"/>
      <c r="F30" s="159"/>
      <c r="G30" s="159"/>
      <c r="H30" s="174"/>
      <c r="I30" s="159"/>
      <c r="J30" s="159"/>
      <c r="K30" s="176"/>
      <c r="L30" s="174"/>
      <c r="M30" s="174"/>
      <c r="N30" s="159"/>
      <c r="P30" s="19"/>
    </row>
    <row r="31" spans="1:18" ht="138.75" thickTop="1" thickBot="1" x14ac:dyDescent="0.25">
      <c r="A31" s="15" t="s">
        <v>93</v>
      </c>
      <c r="B31" s="79" t="s">
        <v>94</v>
      </c>
      <c r="C31" s="79" t="s">
        <v>80</v>
      </c>
      <c r="D31" s="79" t="s">
        <v>95</v>
      </c>
      <c r="E31" s="71"/>
      <c r="F31" s="71"/>
      <c r="G31" s="71"/>
      <c r="H31" s="71"/>
      <c r="I31" s="71">
        <v>6197509.9900000002</v>
      </c>
      <c r="J31" s="71">
        <v>2048593.87</v>
      </c>
      <c r="K31" s="70">
        <f t="shared" si="7"/>
        <v>0.33055112025725031</v>
      </c>
      <c r="L31" s="71"/>
      <c r="M31" s="105"/>
      <c r="N31" s="71">
        <f t="shared" ref="N31:N37" si="8">G31+J31</f>
        <v>2048593.87</v>
      </c>
      <c r="P31" s="12"/>
    </row>
    <row r="32" spans="1:18" ht="184.5" thickTop="1" thickBot="1" x14ac:dyDescent="0.25">
      <c r="A32" s="15" t="s">
        <v>96</v>
      </c>
      <c r="B32" s="79" t="s">
        <v>97</v>
      </c>
      <c r="C32" s="79" t="s">
        <v>98</v>
      </c>
      <c r="D32" s="79" t="s">
        <v>99</v>
      </c>
      <c r="E32" s="71">
        <v>33303488</v>
      </c>
      <c r="F32" s="71">
        <v>25937539</v>
      </c>
      <c r="G32" s="71">
        <v>23956366.059999999</v>
      </c>
      <c r="H32" s="70">
        <f t="shared" ref="H32:H37" si="9">G32/F32</f>
        <v>0.9236175436690427</v>
      </c>
      <c r="I32" s="71">
        <v>8532735.8200000003</v>
      </c>
      <c r="J32" s="71">
        <v>3651325.98</v>
      </c>
      <c r="K32" s="70">
        <f t="shared" ref="K32:K38" si="10">J32/I32</f>
        <v>0.42791972668854994</v>
      </c>
      <c r="L32" s="71"/>
      <c r="M32" s="105"/>
      <c r="N32" s="71">
        <f t="shared" si="8"/>
        <v>27607692.039999999</v>
      </c>
      <c r="P32" s="12"/>
    </row>
    <row r="33" spans="1:16" ht="93" thickTop="1" thickBot="1" x14ac:dyDescent="0.25">
      <c r="A33" s="15"/>
      <c r="B33" s="79" t="s">
        <v>274</v>
      </c>
      <c r="C33" s="79" t="s">
        <v>98</v>
      </c>
      <c r="D33" s="79" t="s">
        <v>275</v>
      </c>
      <c r="E33" s="71">
        <v>69368356</v>
      </c>
      <c r="F33" s="71">
        <v>50808117</v>
      </c>
      <c r="G33" s="71">
        <v>49027626.25</v>
      </c>
      <c r="H33" s="70">
        <f t="shared" si="9"/>
        <v>0.96495656884902858</v>
      </c>
      <c r="I33" s="71">
        <v>10141427.789999999</v>
      </c>
      <c r="J33" s="71">
        <v>5763138.7800000003</v>
      </c>
      <c r="K33" s="70">
        <f t="shared" si="10"/>
        <v>0.5682768639030068</v>
      </c>
      <c r="L33" s="71"/>
      <c r="M33" s="105"/>
      <c r="N33" s="71">
        <f t="shared" si="8"/>
        <v>54790765.030000001</v>
      </c>
      <c r="P33" s="12"/>
    </row>
    <row r="34" spans="1:16" ht="184.5" thickTop="1" thickBot="1" x14ac:dyDescent="0.25">
      <c r="A34" s="24" t="s">
        <v>100</v>
      </c>
      <c r="B34" s="64" t="s">
        <v>101</v>
      </c>
      <c r="C34" s="64"/>
      <c r="D34" s="64" t="s">
        <v>102</v>
      </c>
      <c r="E34" s="74">
        <f>E35+E36</f>
        <v>121996632.98999999</v>
      </c>
      <c r="F34" s="74">
        <f t="shared" ref="F34:J34" si="11">F35+F36</f>
        <v>96801459</v>
      </c>
      <c r="G34" s="74">
        <f>G35+G36</f>
        <v>94623632.550000012</v>
      </c>
      <c r="H34" s="75">
        <f t="shared" si="9"/>
        <v>0.97750213196683344</v>
      </c>
      <c r="I34" s="74">
        <f t="shared" si="11"/>
        <v>24460794.199999999</v>
      </c>
      <c r="J34" s="74">
        <f t="shared" si="11"/>
        <v>17051247.690000001</v>
      </c>
      <c r="K34" s="75">
        <f t="shared" si="10"/>
        <v>0.69708479416420588</v>
      </c>
      <c r="L34" s="74"/>
      <c r="M34" s="74"/>
      <c r="N34" s="74">
        <f t="shared" si="8"/>
        <v>111674880.24000001</v>
      </c>
      <c r="P34" s="21"/>
    </row>
    <row r="35" spans="1:16" ht="230.25" thickTop="1" thickBot="1" x14ac:dyDescent="0.25">
      <c r="A35" s="15" t="s">
        <v>103</v>
      </c>
      <c r="B35" s="79" t="s">
        <v>104</v>
      </c>
      <c r="C35" s="79" t="s">
        <v>105</v>
      </c>
      <c r="D35" s="79" t="s">
        <v>106</v>
      </c>
      <c r="E35" s="71">
        <v>104225532.98999999</v>
      </c>
      <c r="F35" s="71">
        <v>82817659</v>
      </c>
      <c r="G35" s="71">
        <v>81308022.090000004</v>
      </c>
      <c r="H35" s="70">
        <f t="shared" si="9"/>
        <v>0.98177155780266623</v>
      </c>
      <c r="I35" s="71">
        <v>24460794.199999999</v>
      </c>
      <c r="J35" s="71">
        <v>17051247.690000001</v>
      </c>
      <c r="K35" s="70">
        <f t="shared" si="10"/>
        <v>0.69708479416420588</v>
      </c>
      <c r="L35" s="71"/>
      <c r="M35" s="105"/>
      <c r="N35" s="71">
        <f t="shared" si="8"/>
        <v>98359269.780000001</v>
      </c>
      <c r="P35" s="12"/>
    </row>
    <row r="36" spans="1:16" ht="230.25" thickTop="1" thickBot="1" x14ac:dyDescent="0.25">
      <c r="A36" s="15" t="s">
        <v>107</v>
      </c>
      <c r="B36" s="79" t="s">
        <v>108</v>
      </c>
      <c r="C36" s="79" t="s">
        <v>105</v>
      </c>
      <c r="D36" s="79" t="s">
        <v>109</v>
      </c>
      <c r="E36" s="71">
        <v>17771100</v>
      </c>
      <c r="F36" s="71">
        <v>13983800</v>
      </c>
      <c r="G36" s="71">
        <v>13315610.460000001</v>
      </c>
      <c r="H36" s="70">
        <f t="shared" si="9"/>
        <v>0.95221688382270919</v>
      </c>
      <c r="I36" s="71"/>
      <c r="J36" s="71"/>
      <c r="K36" s="71"/>
      <c r="L36" s="71"/>
      <c r="M36" s="105"/>
      <c r="N36" s="71">
        <f t="shared" si="8"/>
        <v>13315610.460000001</v>
      </c>
      <c r="P36" s="19"/>
    </row>
    <row r="37" spans="1:16" ht="93" thickTop="1" thickBot="1" x14ac:dyDescent="0.25">
      <c r="A37" s="24" t="s">
        <v>110</v>
      </c>
      <c r="B37" s="64" t="s">
        <v>111</v>
      </c>
      <c r="C37" s="64"/>
      <c r="D37" s="64" t="s">
        <v>112</v>
      </c>
      <c r="E37" s="74">
        <f t="shared" ref="E37:J37" si="12">E38+E39</f>
        <v>28298072</v>
      </c>
      <c r="F37" s="74">
        <f t="shared" si="12"/>
        <v>19656988</v>
      </c>
      <c r="G37" s="74">
        <f t="shared" si="12"/>
        <v>18512966.399999999</v>
      </c>
      <c r="H37" s="75">
        <f t="shared" si="9"/>
        <v>0.94180076825605219</v>
      </c>
      <c r="I37" s="74">
        <f t="shared" si="12"/>
        <v>824196.83</v>
      </c>
      <c r="J37" s="74">
        <f t="shared" si="12"/>
        <v>486863.06</v>
      </c>
      <c r="K37" s="75">
        <f t="shared" si="10"/>
        <v>0.59071212394738282</v>
      </c>
      <c r="L37" s="74"/>
      <c r="M37" s="74"/>
      <c r="N37" s="74">
        <f t="shared" si="8"/>
        <v>18999829.459999997</v>
      </c>
      <c r="P37" s="21"/>
    </row>
    <row r="38" spans="1:16" ht="93" thickTop="1" thickBot="1" x14ac:dyDescent="0.25">
      <c r="A38" s="15" t="s">
        <v>113</v>
      </c>
      <c r="B38" s="79" t="s">
        <v>114</v>
      </c>
      <c r="C38" s="79" t="s">
        <v>115</v>
      </c>
      <c r="D38" s="79" t="s">
        <v>116</v>
      </c>
      <c r="E38" s="71">
        <v>28090832</v>
      </c>
      <c r="F38" s="71">
        <v>19453368</v>
      </c>
      <c r="G38" s="71">
        <v>18406402.5</v>
      </c>
      <c r="H38" s="70">
        <f t="shared" ref="H38:H47" si="13">G38/F38</f>
        <v>0.94618075903360277</v>
      </c>
      <c r="I38" s="71">
        <v>824196.83</v>
      </c>
      <c r="J38" s="71">
        <v>486863.06</v>
      </c>
      <c r="K38" s="70">
        <f t="shared" si="10"/>
        <v>0.59071212394738282</v>
      </c>
      <c r="L38" s="71"/>
      <c r="M38" s="105"/>
      <c r="N38" s="71">
        <f t="shared" ref="N38:N47" si="14">G38+J38</f>
        <v>18893265.559999999</v>
      </c>
      <c r="P38" s="19"/>
    </row>
    <row r="39" spans="1:16" ht="93" thickTop="1" thickBot="1" x14ac:dyDescent="0.25">
      <c r="A39" s="15" t="s">
        <v>117</v>
      </c>
      <c r="B39" s="79" t="s">
        <v>118</v>
      </c>
      <c r="C39" s="79" t="s">
        <v>115</v>
      </c>
      <c r="D39" s="79" t="s">
        <v>119</v>
      </c>
      <c r="E39" s="71">
        <v>207240</v>
      </c>
      <c r="F39" s="71">
        <v>203620</v>
      </c>
      <c r="G39" s="71">
        <v>106563.9</v>
      </c>
      <c r="H39" s="70">
        <f t="shared" si="13"/>
        <v>0.5233469207347019</v>
      </c>
      <c r="I39" s="67"/>
      <c r="J39" s="67"/>
      <c r="K39" s="67"/>
      <c r="L39" s="67"/>
      <c r="M39" s="111"/>
      <c r="N39" s="71">
        <f t="shared" si="14"/>
        <v>106563.9</v>
      </c>
      <c r="P39" s="19"/>
    </row>
    <row r="40" spans="1:16" ht="93" thickTop="1" thickBot="1" x14ac:dyDescent="0.25">
      <c r="A40" s="24" t="s">
        <v>120</v>
      </c>
      <c r="B40" s="64" t="s">
        <v>121</v>
      </c>
      <c r="C40" s="64"/>
      <c r="D40" s="64" t="s">
        <v>122</v>
      </c>
      <c r="E40" s="74">
        <f>E41+E42</f>
        <v>5034485</v>
      </c>
      <c r="F40" s="74">
        <f t="shared" ref="F40:J40" si="15">F41+F42</f>
        <v>3595568</v>
      </c>
      <c r="G40" s="74">
        <f t="shared" si="15"/>
        <v>2417324.19</v>
      </c>
      <c r="H40" s="75">
        <f>G40/F40</f>
        <v>0.67230662582379197</v>
      </c>
      <c r="I40" s="74">
        <f t="shared" si="15"/>
        <v>50000</v>
      </c>
      <c r="J40" s="74">
        <f t="shared" si="15"/>
        <v>49019</v>
      </c>
      <c r="K40" s="75">
        <f>J40/I40</f>
        <v>0.98038000000000003</v>
      </c>
      <c r="L40" s="74"/>
      <c r="M40" s="74"/>
      <c r="N40" s="74">
        <f t="shared" si="14"/>
        <v>2466343.19</v>
      </c>
      <c r="O40" s="60"/>
      <c r="P40" s="21"/>
    </row>
    <row r="41" spans="1:16" ht="184.5" thickTop="1" thickBot="1" x14ac:dyDescent="0.25">
      <c r="A41" s="15" t="s">
        <v>123</v>
      </c>
      <c r="B41" s="79" t="s">
        <v>124</v>
      </c>
      <c r="C41" s="79" t="s">
        <v>115</v>
      </c>
      <c r="D41" s="79" t="s">
        <v>125</v>
      </c>
      <c r="E41" s="71">
        <v>1147685</v>
      </c>
      <c r="F41" s="71">
        <v>717578</v>
      </c>
      <c r="G41" s="71">
        <v>657490.62</v>
      </c>
      <c r="H41" s="70">
        <f t="shared" si="13"/>
        <v>0.91626362569643993</v>
      </c>
      <c r="I41" s="71">
        <v>50000</v>
      </c>
      <c r="J41" s="71">
        <v>49019</v>
      </c>
      <c r="K41" s="70">
        <f>J41/I41</f>
        <v>0.98038000000000003</v>
      </c>
      <c r="L41" s="71"/>
      <c r="M41" s="105"/>
      <c r="N41" s="71">
        <f>G41+J41</f>
        <v>706509.62</v>
      </c>
      <c r="P41" s="12"/>
    </row>
    <row r="42" spans="1:16" ht="138.75" thickTop="1" thickBot="1" x14ac:dyDescent="0.25">
      <c r="A42" s="15" t="s">
        <v>126</v>
      </c>
      <c r="B42" s="79" t="s">
        <v>127</v>
      </c>
      <c r="C42" s="79" t="s">
        <v>115</v>
      </c>
      <c r="D42" s="79" t="s">
        <v>128</v>
      </c>
      <c r="E42" s="71">
        <v>3886800</v>
      </c>
      <c r="F42" s="71">
        <v>2877990</v>
      </c>
      <c r="G42" s="71">
        <v>1759833.57</v>
      </c>
      <c r="H42" s="70">
        <f t="shared" si="13"/>
        <v>0.61148008505936435</v>
      </c>
      <c r="I42" s="71"/>
      <c r="J42" s="71"/>
      <c r="K42" s="71"/>
      <c r="L42" s="71"/>
      <c r="M42" s="105"/>
      <c r="N42" s="71">
        <f t="shared" si="14"/>
        <v>1759833.57</v>
      </c>
      <c r="P42" s="19"/>
    </row>
    <row r="43" spans="1:16" ht="138.75" thickTop="1" thickBot="1" x14ac:dyDescent="0.25">
      <c r="A43" s="15" t="s">
        <v>129</v>
      </c>
      <c r="B43" s="79" t="s">
        <v>130</v>
      </c>
      <c r="C43" s="79" t="s">
        <v>115</v>
      </c>
      <c r="D43" s="79" t="s">
        <v>131</v>
      </c>
      <c r="E43" s="71">
        <v>2060415</v>
      </c>
      <c r="F43" s="71">
        <v>737473</v>
      </c>
      <c r="G43" s="71">
        <v>507187.9</v>
      </c>
      <c r="H43" s="70">
        <f t="shared" si="13"/>
        <v>0.68773758496921245</v>
      </c>
      <c r="I43" s="71">
        <v>50000</v>
      </c>
      <c r="J43" s="71">
        <v>49528</v>
      </c>
      <c r="K43" s="70">
        <f>J43/I43</f>
        <v>0.99056</v>
      </c>
      <c r="L43" s="71"/>
      <c r="M43" s="105"/>
      <c r="N43" s="71">
        <f t="shared" si="14"/>
        <v>556715.9</v>
      </c>
      <c r="O43" s="60"/>
      <c r="P43" s="12"/>
    </row>
    <row r="44" spans="1:16" s="20" customFormat="1" ht="230.25" thickTop="1" thickBot="1" x14ac:dyDescent="0.25">
      <c r="A44" s="24" t="s">
        <v>132</v>
      </c>
      <c r="B44" s="64" t="s">
        <v>133</v>
      </c>
      <c r="C44" s="64"/>
      <c r="D44" s="64" t="s">
        <v>134</v>
      </c>
      <c r="E44" s="74">
        <f>E45+E46</f>
        <v>9043301</v>
      </c>
      <c r="F44" s="74">
        <f>F45+F46</f>
        <v>9043301</v>
      </c>
      <c r="G44" s="74">
        <f>G45+G46</f>
        <v>8031122.5</v>
      </c>
      <c r="H44" s="75">
        <f t="shared" si="13"/>
        <v>0.88807422201251507</v>
      </c>
      <c r="I44" s="74">
        <f>I45+I46</f>
        <v>3500200</v>
      </c>
      <c r="J44" s="74">
        <f>J45+J46</f>
        <v>1458514.7</v>
      </c>
      <c r="K44" s="75">
        <f t="shared" ref="K44:K46" si="16">J44/I44</f>
        <v>0.41669467459002341</v>
      </c>
      <c r="L44" s="74"/>
      <c r="M44" s="74"/>
      <c r="N44" s="74">
        <f t="shared" si="14"/>
        <v>9489637.1999999993</v>
      </c>
      <c r="O44" s="60"/>
      <c r="P44" s="25"/>
    </row>
    <row r="45" spans="1:16" s="20" customFormat="1" ht="367.5" thickTop="1" thickBot="1" x14ac:dyDescent="0.25">
      <c r="A45" s="15" t="s">
        <v>135</v>
      </c>
      <c r="B45" s="79" t="s">
        <v>136</v>
      </c>
      <c r="C45" s="79" t="s">
        <v>115</v>
      </c>
      <c r="D45" s="79" t="s">
        <v>137</v>
      </c>
      <c r="E45" s="71">
        <v>4362735</v>
      </c>
      <c r="F45" s="71">
        <v>4362735</v>
      </c>
      <c r="G45" s="71">
        <v>3944733.5</v>
      </c>
      <c r="H45" s="70">
        <f t="shared" si="13"/>
        <v>0.9041881984580773</v>
      </c>
      <c r="I45" s="71">
        <v>2117071</v>
      </c>
      <c r="J45" s="71">
        <v>942247.88</v>
      </c>
      <c r="K45" s="70">
        <f t="shared" si="16"/>
        <v>0.44507145957787908</v>
      </c>
      <c r="L45" s="71"/>
      <c r="M45" s="105"/>
      <c r="N45" s="71">
        <f t="shared" si="14"/>
        <v>4886981.38</v>
      </c>
      <c r="O45" s="60"/>
      <c r="P45" s="12"/>
    </row>
    <row r="46" spans="1:16" s="20" customFormat="1" ht="321.75" thickTop="1" thickBot="1" x14ac:dyDescent="0.25">
      <c r="A46" s="15"/>
      <c r="B46" s="79" t="s">
        <v>481</v>
      </c>
      <c r="C46" s="79" t="s">
        <v>115</v>
      </c>
      <c r="D46" s="79" t="s">
        <v>482</v>
      </c>
      <c r="E46" s="71">
        <v>4680566</v>
      </c>
      <c r="F46" s="71">
        <v>4680566</v>
      </c>
      <c r="G46" s="71">
        <v>4086389</v>
      </c>
      <c r="H46" s="70">
        <f t="shared" si="13"/>
        <v>0.87305445537996895</v>
      </c>
      <c r="I46" s="71">
        <v>1383129</v>
      </c>
      <c r="J46" s="71">
        <v>516266.82</v>
      </c>
      <c r="K46" s="70">
        <f t="shared" si="16"/>
        <v>0.3732600646794334</v>
      </c>
      <c r="L46" s="71"/>
      <c r="M46" s="105"/>
      <c r="N46" s="71">
        <f t="shared" si="14"/>
        <v>4602655.82</v>
      </c>
      <c r="O46" s="62"/>
      <c r="P46" s="12"/>
    </row>
    <row r="47" spans="1:16" s="20" customFormat="1" ht="321.75" thickTop="1" thickBot="1" x14ac:dyDescent="0.25">
      <c r="A47" s="15" t="s">
        <v>138</v>
      </c>
      <c r="B47" s="79" t="s">
        <v>139</v>
      </c>
      <c r="C47" s="79" t="s">
        <v>115</v>
      </c>
      <c r="D47" s="79" t="s">
        <v>140</v>
      </c>
      <c r="E47" s="71">
        <f>4721984</f>
        <v>4721984</v>
      </c>
      <c r="F47" s="71">
        <v>3540710</v>
      </c>
      <c r="G47" s="71">
        <v>2756219.77</v>
      </c>
      <c r="H47" s="70">
        <f t="shared" si="13"/>
        <v>0.77843702816666716</v>
      </c>
      <c r="I47" s="71">
        <v>2396198</v>
      </c>
      <c r="J47" s="71">
        <v>646825.42000000004</v>
      </c>
      <c r="K47" s="70">
        <f t="shared" ref="K47:K52" si="17">J47/I47</f>
        <v>0.26993821879494101</v>
      </c>
      <c r="L47" s="71"/>
      <c r="M47" s="105"/>
      <c r="N47" s="71">
        <f t="shared" si="14"/>
        <v>3403045.19</v>
      </c>
      <c r="O47" s="22"/>
      <c r="P47" s="12"/>
    </row>
    <row r="48" spans="1:16" s="20" customFormat="1" ht="289.14999999999998" customHeight="1" thickTop="1" thickBot="1" x14ac:dyDescent="0.25">
      <c r="A48" s="8"/>
      <c r="B48" s="79" t="s">
        <v>141</v>
      </c>
      <c r="C48" s="79" t="s">
        <v>115</v>
      </c>
      <c r="D48" s="79" t="s">
        <v>142</v>
      </c>
      <c r="E48" s="71">
        <v>1072435</v>
      </c>
      <c r="F48" s="71">
        <v>1072435</v>
      </c>
      <c r="G48" s="71">
        <v>938426.28</v>
      </c>
      <c r="H48" s="70">
        <f t="shared" ref="H48" si="18">G48/F48</f>
        <v>0.87504257134465024</v>
      </c>
      <c r="I48" s="71">
        <v>576190</v>
      </c>
      <c r="J48" s="71">
        <v>533043.68999999994</v>
      </c>
      <c r="K48" s="70">
        <f t="shared" si="17"/>
        <v>0.92511791249414244</v>
      </c>
      <c r="L48" s="118"/>
      <c r="M48" s="118"/>
      <c r="N48" s="71">
        <f t="shared" ref="N48:N51" si="19">G48+J48</f>
        <v>1471469.97</v>
      </c>
      <c r="O48" s="22"/>
      <c r="P48" s="12"/>
    </row>
    <row r="49" spans="1:16" s="20" customFormat="1" ht="230.25" thickTop="1" thickBot="1" x14ac:dyDescent="0.25">
      <c r="A49" s="8"/>
      <c r="B49" s="24" t="s">
        <v>485</v>
      </c>
      <c r="C49" s="24"/>
      <c r="D49" s="24" t="s">
        <v>486</v>
      </c>
      <c r="E49" s="74">
        <f>E51+E50</f>
        <v>553900</v>
      </c>
      <c r="F49" s="74">
        <f>F51+F50</f>
        <v>0</v>
      </c>
      <c r="G49" s="74">
        <f>G51+G50</f>
        <v>0</v>
      </c>
      <c r="H49" s="75">
        <v>0</v>
      </c>
      <c r="I49" s="74">
        <f>I51+I50</f>
        <v>3466100</v>
      </c>
      <c r="J49" s="74">
        <f>J51+J50</f>
        <v>0</v>
      </c>
      <c r="K49" s="75">
        <f t="shared" si="17"/>
        <v>0</v>
      </c>
      <c r="L49" s="119"/>
      <c r="M49" s="119"/>
      <c r="N49" s="74">
        <f>G49+J49</f>
        <v>0</v>
      </c>
      <c r="O49" s="60" t="s">
        <v>460</v>
      </c>
      <c r="P49" s="12"/>
    </row>
    <row r="50" spans="1:16" s="20" customFormat="1" ht="367.5" thickTop="1" thickBot="1" x14ac:dyDescent="0.25">
      <c r="A50" s="8"/>
      <c r="B50" s="15" t="s">
        <v>502</v>
      </c>
      <c r="C50" s="15" t="s">
        <v>115</v>
      </c>
      <c r="D50" s="15" t="s">
        <v>503</v>
      </c>
      <c r="E50" s="71"/>
      <c r="F50" s="71"/>
      <c r="G50" s="71"/>
      <c r="H50" s="70"/>
      <c r="I50" s="71">
        <v>1500000</v>
      </c>
      <c r="J50" s="71">
        <v>0</v>
      </c>
      <c r="K50" s="70">
        <f t="shared" si="17"/>
        <v>0</v>
      </c>
      <c r="L50" s="118"/>
      <c r="M50" s="118"/>
      <c r="N50" s="71">
        <f>G50+J50</f>
        <v>0</v>
      </c>
      <c r="O50" s="60"/>
      <c r="P50" s="12"/>
    </row>
    <row r="51" spans="1:16" s="20" customFormat="1" ht="337.5" customHeight="1" thickTop="1" thickBot="1" x14ac:dyDescent="0.25">
      <c r="A51" s="8"/>
      <c r="B51" s="15" t="s">
        <v>487</v>
      </c>
      <c r="C51" s="15" t="s">
        <v>115</v>
      </c>
      <c r="D51" s="15" t="s">
        <v>488</v>
      </c>
      <c r="E51" s="71">
        <v>553900</v>
      </c>
      <c r="F51" s="71">
        <v>0</v>
      </c>
      <c r="G51" s="71">
        <v>0</v>
      </c>
      <c r="H51" s="70">
        <v>0</v>
      </c>
      <c r="I51" s="71">
        <v>1966100</v>
      </c>
      <c r="J51" s="71">
        <v>0</v>
      </c>
      <c r="K51" s="70">
        <f t="shared" si="17"/>
        <v>0</v>
      </c>
      <c r="L51" s="118"/>
      <c r="M51" s="118"/>
      <c r="N51" s="71">
        <f t="shared" si="19"/>
        <v>0</v>
      </c>
      <c r="O51" s="60" t="s">
        <v>460</v>
      </c>
      <c r="P51" s="12"/>
    </row>
    <row r="52" spans="1:16" ht="103.7" customHeight="1" thickTop="1" thickBot="1" x14ac:dyDescent="0.25">
      <c r="A52" s="8" t="s">
        <v>146</v>
      </c>
      <c r="B52" s="113" t="s">
        <v>147</v>
      </c>
      <c r="C52" s="113"/>
      <c r="D52" s="114" t="s">
        <v>148</v>
      </c>
      <c r="E52" s="115">
        <f t="shared" ref="E52:J52" si="20">SUM(E53:E64)-E58-E60-E62</f>
        <v>77313027</v>
      </c>
      <c r="F52" s="115">
        <f t="shared" si="20"/>
        <v>59274262</v>
      </c>
      <c r="G52" s="115">
        <f t="shared" si="20"/>
        <v>52741274.589999996</v>
      </c>
      <c r="H52" s="116">
        <f>G52/F52</f>
        <v>0.88978374104430003</v>
      </c>
      <c r="I52" s="115">
        <f t="shared" si="20"/>
        <v>57888</v>
      </c>
      <c r="J52" s="115">
        <f t="shared" si="20"/>
        <v>35498.959999999999</v>
      </c>
      <c r="K52" s="116">
        <f t="shared" si="17"/>
        <v>0.61323521282476501</v>
      </c>
      <c r="L52" s="115"/>
      <c r="M52" s="115"/>
      <c r="N52" s="117">
        <f>J52+G52</f>
        <v>52776773.549999997</v>
      </c>
      <c r="O52" s="84" t="b">
        <f>N52=N53+N54+N55+N56+N57+N59+N61+N63+N64</f>
        <v>1</v>
      </c>
      <c r="P52" s="27"/>
    </row>
    <row r="53" spans="1:16" ht="93" thickTop="1" thickBot="1" x14ac:dyDescent="0.25">
      <c r="A53" s="15" t="s">
        <v>149</v>
      </c>
      <c r="B53" s="79" t="s">
        <v>150</v>
      </c>
      <c r="C53" s="79" t="s">
        <v>151</v>
      </c>
      <c r="D53" s="79" t="s">
        <v>152</v>
      </c>
      <c r="E53" s="71">
        <v>15249455</v>
      </c>
      <c r="F53" s="71">
        <v>12392635</v>
      </c>
      <c r="G53" s="71">
        <v>12143790.949999999</v>
      </c>
      <c r="H53" s="70">
        <f t="shared" ref="H53:H108" si="21">G53/F53</f>
        <v>0.97992000490613973</v>
      </c>
      <c r="I53" s="67"/>
      <c r="J53" s="67"/>
      <c r="K53" s="67"/>
      <c r="L53" s="67"/>
      <c r="M53" s="111"/>
      <c r="N53" s="71">
        <f t="shared" ref="N53:N108" si="22">G53+J53</f>
        <v>12143790.949999999</v>
      </c>
      <c r="P53" s="19"/>
    </row>
    <row r="54" spans="1:16" ht="93" thickTop="1" thickBot="1" x14ac:dyDescent="0.25">
      <c r="A54" s="15" t="s">
        <v>153</v>
      </c>
      <c r="B54" s="79" t="s">
        <v>154</v>
      </c>
      <c r="C54" s="79" t="s">
        <v>155</v>
      </c>
      <c r="D54" s="79" t="s">
        <v>156</v>
      </c>
      <c r="E54" s="71">
        <v>7747407</v>
      </c>
      <c r="F54" s="71">
        <v>5416187</v>
      </c>
      <c r="G54" s="71">
        <v>3162173.17</v>
      </c>
      <c r="H54" s="70">
        <f t="shared" si="21"/>
        <v>0.5838375170576644</v>
      </c>
      <c r="I54" s="71"/>
      <c r="J54" s="71"/>
      <c r="K54" s="71"/>
      <c r="L54" s="71"/>
      <c r="M54" s="105"/>
      <c r="N54" s="71">
        <f t="shared" si="22"/>
        <v>3162173.17</v>
      </c>
      <c r="P54" s="27"/>
    </row>
    <row r="55" spans="1:16" ht="138.75" thickTop="1" thickBot="1" x14ac:dyDescent="0.25">
      <c r="A55" s="15" t="s">
        <v>157</v>
      </c>
      <c r="B55" s="79" t="s">
        <v>158</v>
      </c>
      <c r="C55" s="79" t="s">
        <v>159</v>
      </c>
      <c r="D55" s="79" t="s">
        <v>160</v>
      </c>
      <c r="E55" s="71">
        <v>5291200</v>
      </c>
      <c r="F55" s="71">
        <v>4423300</v>
      </c>
      <c r="G55" s="71">
        <v>4185830.64</v>
      </c>
      <c r="H55" s="70">
        <f t="shared" si="21"/>
        <v>0.94631398277304279</v>
      </c>
      <c r="I55" s="71"/>
      <c r="J55" s="71"/>
      <c r="K55" s="71"/>
      <c r="L55" s="71"/>
      <c r="M55" s="105"/>
      <c r="N55" s="71">
        <f t="shared" si="22"/>
        <v>4185830.64</v>
      </c>
      <c r="P55" s="27"/>
    </row>
    <row r="56" spans="1:16" ht="138.75" thickTop="1" thickBot="1" x14ac:dyDescent="0.25">
      <c r="A56" s="15" t="s">
        <v>161</v>
      </c>
      <c r="B56" s="79" t="s">
        <v>162</v>
      </c>
      <c r="C56" s="79" t="s">
        <v>163</v>
      </c>
      <c r="D56" s="79" t="s">
        <v>164</v>
      </c>
      <c r="E56" s="71">
        <v>10996090</v>
      </c>
      <c r="F56" s="71">
        <v>5785990</v>
      </c>
      <c r="G56" s="71">
        <v>4700434.6399999997</v>
      </c>
      <c r="H56" s="70">
        <f t="shared" si="21"/>
        <v>0.81238208845850057</v>
      </c>
      <c r="I56" s="71"/>
      <c r="J56" s="71"/>
      <c r="K56" s="71"/>
      <c r="L56" s="71"/>
      <c r="M56" s="105"/>
      <c r="N56" s="71">
        <f t="shared" si="22"/>
        <v>4700434.6399999997</v>
      </c>
      <c r="P56" s="27"/>
    </row>
    <row r="57" spans="1:16" ht="93" thickTop="1" thickBot="1" x14ac:dyDescent="0.25">
      <c r="A57" s="15" t="s">
        <v>165</v>
      </c>
      <c r="B57" s="79" t="s">
        <v>166</v>
      </c>
      <c r="C57" s="79" t="s">
        <v>167</v>
      </c>
      <c r="D57" s="79" t="s">
        <v>168</v>
      </c>
      <c r="E57" s="71">
        <v>6881935</v>
      </c>
      <c r="F57" s="71">
        <v>5005115</v>
      </c>
      <c r="G57" s="71">
        <v>4999770.43</v>
      </c>
      <c r="H57" s="70">
        <f t="shared" si="21"/>
        <v>0.9989321783815156</v>
      </c>
      <c r="I57" s="71"/>
      <c r="J57" s="71"/>
      <c r="K57" s="71"/>
      <c r="L57" s="71"/>
      <c r="M57" s="105"/>
      <c r="N57" s="71">
        <f t="shared" si="22"/>
        <v>4999770.43</v>
      </c>
      <c r="P57" s="27"/>
    </row>
    <row r="58" spans="1:16" ht="123" thickTop="1" thickBot="1" x14ac:dyDescent="0.25">
      <c r="A58" s="15" t="s">
        <v>169</v>
      </c>
      <c r="B58" s="64" t="s">
        <v>170</v>
      </c>
      <c r="C58" s="64"/>
      <c r="D58" s="64" t="s">
        <v>171</v>
      </c>
      <c r="E58" s="74">
        <f>E59</f>
        <v>10247515</v>
      </c>
      <c r="F58" s="74">
        <f t="shared" ref="F58:G58" si="23">F59</f>
        <v>7119290</v>
      </c>
      <c r="G58" s="74">
        <f t="shared" si="23"/>
        <v>6927899.3399999999</v>
      </c>
      <c r="H58" s="75">
        <f t="shared" si="21"/>
        <v>0.97311660853821091</v>
      </c>
      <c r="I58" s="120"/>
      <c r="J58" s="120"/>
      <c r="K58" s="121"/>
      <c r="L58" s="120"/>
      <c r="M58" s="120"/>
      <c r="N58" s="74">
        <f t="shared" si="22"/>
        <v>6927899.3399999999</v>
      </c>
      <c r="O58" s="60" t="s">
        <v>460</v>
      </c>
      <c r="P58" s="27"/>
    </row>
    <row r="59" spans="1:16" ht="184.5" thickTop="1" thickBot="1" x14ac:dyDescent="0.25">
      <c r="A59" s="15" t="s">
        <v>172</v>
      </c>
      <c r="B59" s="79" t="s">
        <v>173</v>
      </c>
      <c r="C59" s="79" t="s">
        <v>174</v>
      </c>
      <c r="D59" s="79" t="s">
        <v>175</v>
      </c>
      <c r="E59" s="71">
        <v>10247515</v>
      </c>
      <c r="F59" s="71">
        <v>7119290</v>
      </c>
      <c r="G59" s="71">
        <v>6927899.3399999999</v>
      </c>
      <c r="H59" s="70">
        <f t="shared" si="21"/>
        <v>0.97311660853821091</v>
      </c>
      <c r="I59" s="67"/>
      <c r="J59" s="67"/>
      <c r="K59" s="67"/>
      <c r="L59" s="67"/>
      <c r="M59" s="111"/>
      <c r="N59" s="71">
        <f t="shared" si="22"/>
        <v>6927899.3399999999</v>
      </c>
      <c r="P59" s="27"/>
    </row>
    <row r="60" spans="1:16" ht="138.75" thickTop="1" thickBot="1" x14ac:dyDescent="0.25">
      <c r="A60" s="24" t="s">
        <v>176</v>
      </c>
      <c r="B60" s="64" t="s">
        <v>177</v>
      </c>
      <c r="C60" s="64"/>
      <c r="D60" s="64" t="s">
        <v>178</v>
      </c>
      <c r="E60" s="74">
        <f t="shared" ref="E60:G60" si="24">E61</f>
        <v>14254000</v>
      </c>
      <c r="F60" s="74">
        <f t="shared" si="24"/>
        <v>14254000</v>
      </c>
      <c r="G60" s="74">
        <f t="shared" si="24"/>
        <v>12461523.91</v>
      </c>
      <c r="H60" s="75">
        <f t="shared" si="21"/>
        <v>0.87424750315700861</v>
      </c>
      <c r="I60" s="74"/>
      <c r="J60" s="74"/>
      <c r="K60" s="75"/>
      <c r="L60" s="74"/>
      <c r="M60" s="74"/>
      <c r="N60" s="74">
        <f t="shared" si="22"/>
        <v>12461523.91</v>
      </c>
      <c r="O60" s="60" t="s">
        <v>460</v>
      </c>
      <c r="P60" s="27"/>
    </row>
    <row r="61" spans="1:16" ht="138.75" thickTop="1" thickBot="1" x14ac:dyDescent="0.25">
      <c r="A61" s="15" t="s">
        <v>179</v>
      </c>
      <c r="B61" s="79" t="s">
        <v>180</v>
      </c>
      <c r="C61" s="79" t="s">
        <v>181</v>
      </c>
      <c r="D61" s="79" t="s">
        <v>182</v>
      </c>
      <c r="E61" s="71">
        <v>14254000</v>
      </c>
      <c r="F61" s="71">
        <v>14254000</v>
      </c>
      <c r="G61" s="71">
        <v>12461523.91</v>
      </c>
      <c r="H61" s="70">
        <f t="shared" si="21"/>
        <v>0.87424750315700861</v>
      </c>
      <c r="I61" s="71"/>
      <c r="J61" s="71"/>
      <c r="K61" s="71"/>
      <c r="L61" s="71"/>
      <c r="M61" s="105"/>
      <c r="N61" s="71">
        <f t="shared" si="22"/>
        <v>12461523.91</v>
      </c>
      <c r="P61" s="27"/>
    </row>
    <row r="62" spans="1:16" ht="138.75" thickTop="1" thickBot="1" x14ac:dyDescent="0.25">
      <c r="A62" s="15" t="s">
        <v>183</v>
      </c>
      <c r="B62" s="64" t="s">
        <v>184</v>
      </c>
      <c r="C62" s="64"/>
      <c r="D62" s="64" t="s">
        <v>185</v>
      </c>
      <c r="E62" s="74">
        <f t="shared" ref="E62:J62" si="25">SUM(E63:E64)</f>
        <v>6645425</v>
      </c>
      <c r="F62" s="74">
        <f t="shared" si="25"/>
        <v>4877745</v>
      </c>
      <c r="G62" s="74">
        <f t="shared" si="25"/>
        <v>4159851.5100000002</v>
      </c>
      <c r="H62" s="75">
        <f t="shared" si="21"/>
        <v>0.85282266908171711</v>
      </c>
      <c r="I62" s="74">
        <f t="shared" si="25"/>
        <v>57888</v>
      </c>
      <c r="J62" s="74">
        <f t="shared" si="25"/>
        <v>35498.959999999999</v>
      </c>
      <c r="K62" s="70">
        <f>J62/I62</f>
        <v>0.61323521282476501</v>
      </c>
      <c r="L62" s="74"/>
      <c r="M62" s="74"/>
      <c r="N62" s="74">
        <f t="shared" si="22"/>
        <v>4195350.4700000007</v>
      </c>
      <c r="P62" s="27"/>
    </row>
    <row r="63" spans="1:16" s="20" customFormat="1" ht="138.75" thickTop="1" thickBot="1" x14ac:dyDescent="0.25">
      <c r="A63" s="15" t="s">
        <v>186</v>
      </c>
      <c r="B63" s="79" t="s">
        <v>187</v>
      </c>
      <c r="C63" s="79" t="s">
        <v>181</v>
      </c>
      <c r="D63" s="28" t="s">
        <v>188</v>
      </c>
      <c r="E63" s="71">
        <f>(2365000+520300+93000+157000+3220+90905)</f>
        <v>3229425</v>
      </c>
      <c r="F63" s="71">
        <v>2451045</v>
      </c>
      <c r="G63" s="71">
        <v>2113937.91</v>
      </c>
      <c r="H63" s="70">
        <f t="shared" si="21"/>
        <v>0.8624639327307333</v>
      </c>
      <c r="I63" s="71">
        <v>57888</v>
      </c>
      <c r="J63" s="71">
        <v>35498.959999999999</v>
      </c>
      <c r="K63" s="70">
        <f>J63/I63</f>
        <v>0.61323521282476501</v>
      </c>
      <c r="L63" s="71"/>
      <c r="M63" s="105"/>
      <c r="N63" s="71">
        <f t="shared" si="22"/>
        <v>2149436.87</v>
      </c>
      <c r="O63" s="22"/>
      <c r="P63" s="27"/>
    </row>
    <row r="64" spans="1:16" s="20" customFormat="1" ht="93" thickTop="1" thickBot="1" x14ac:dyDescent="0.25">
      <c r="A64" s="15" t="s">
        <v>189</v>
      </c>
      <c r="B64" s="79" t="s">
        <v>190</v>
      </c>
      <c r="C64" s="79" t="s">
        <v>181</v>
      </c>
      <c r="D64" s="28" t="s">
        <v>191</v>
      </c>
      <c r="E64" s="71">
        <v>3416000</v>
      </c>
      <c r="F64" s="71">
        <v>2426700</v>
      </c>
      <c r="G64" s="71">
        <v>2045913.6</v>
      </c>
      <c r="H64" s="70">
        <f t="shared" si="21"/>
        <v>0.84308468290270744</v>
      </c>
      <c r="I64" s="71"/>
      <c r="J64" s="71"/>
      <c r="K64" s="71"/>
      <c r="L64" s="71"/>
      <c r="M64" s="105"/>
      <c r="N64" s="71">
        <f t="shared" si="22"/>
        <v>2045913.6</v>
      </c>
      <c r="O64" s="22"/>
      <c r="P64" s="27"/>
    </row>
    <row r="65" spans="1:18" ht="99" customHeight="1" thickTop="1" thickBot="1" x14ac:dyDescent="0.25">
      <c r="A65" s="8" t="s">
        <v>194</v>
      </c>
      <c r="B65" s="113" t="s">
        <v>143</v>
      </c>
      <c r="C65" s="113"/>
      <c r="D65" s="114" t="s">
        <v>144</v>
      </c>
      <c r="E65" s="115">
        <f>SUM(E66:E108)-E66-E75-E88-E90-E106-E85-E78-E81-E92</f>
        <v>172165066</v>
      </c>
      <c r="F65" s="115">
        <f>SUM(F66:F108)-F66-F75-F88-F90-F106-F85-F78-F81-F92</f>
        <v>137758748.90000001</v>
      </c>
      <c r="G65" s="115">
        <f>SUM(G66:G108)-G66-G75-G88-G90-G106-G85-G78-G81-G92</f>
        <v>130878721.57000002</v>
      </c>
      <c r="H65" s="116">
        <f>G65/F65</f>
        <v>0.95005742005544602</v>
      </c>
      <c r="I65" s="115">
        <f>SUM(I66:I108)-I66-I75-I88-I90-I106-I85-I78-I81-I92</f>
        <v>23052566.019999992</v>
      </c>
      <c r="J65" s="115">
        <f>SUM(J66:J108)-J66-J75-J88-J90-J106-J85-J78-J81-J92</f>
        <v>3639252.6599999997</v>
      </c>
      <c r="K65" s="116">
        <f>J65/I65</f>
        <v>0.15786757347718469</v>
      </c>
      <c r="L65" s="115"/>
      <c r="M65" s="115"/>
      <c r="N65" s="117">
        <f>J65+G65</f>
        <v>134517974.23000002</v>
      </c>
      <c r="O65" s="84" t="b">
        <f>N65=N67+N68+N69+N70+N71+N72+N74+N76+N77+N79+N82+N83+N84+N86+N87+N89+N91+N107+N108+N80+N73+N93+N96+N100+N103</f>
        <v>1</v>
      </c>
      <c r="P65" s="30"/>
      <c r="R65" s="29"/>
    </row>
    <row r="66" spans="1:18" ht="276" thickTop="1" thickBot="1" x14ac:dyDescent="0.25">
      <c r="A66" s="24" t="s">
        <v>195</v>
      </c>
      <c r="B66" s="64" t="s">
        <v>196</v>
      </c>
      <c r="C66" s="64"/>
      <c r="D66" s="64" t="s">
        <v>197</v>
      </c>
      <c r="E66" s="74">
        <f t="shared" ref="E66:J66" si="26">SUM(E67:E71)</f>
        <v>74624700</v>
      </c>
      <c r="F66" s="74">
        <f t="shared" si="26"/>
        <v>60450961.649999999</v>
      </c>
      <c r="G66" s="74">
        <f t="shared" si="26"/>
        <v>60017962.229999997</v>
      </c>
      <c r="H66" s="75">
        <f t="shared" si="21"/>
        <v>0.99283717895991486</v>
      </c>
      <c r="I66" s="74">
        <f t="shared" si="26"/>
        <v>199000</v>
      </c>
      <c r="J66" s="74">
        <f t="shared" si="26"/>
        <v>9326.74</v>
      </c>
      <c r="K66" s="75">
        <f t="shared" ref="K66:K67" si="27">J66/I66</f>
        <v>4.6868040201005025E-2</v>
      </c>
      <c r="L66" s="74"/>
      <c r="M66" s="74"/>
      <c r="N66" s="74">
        <f t="shared" si="22"/>
        <v>60027288.969999999</v>
      </c>
      <c r="O66" s="31"/>
      <c r="P66" s="32"/>
      <c r="R66" s="33"/>
    </row>
    <row r="67" spans="1:18" s="20" customFormat="1" ht="138.75" thickTop="1" thickBot="1" x14ac:dyDescent="0.25">
      <c r="A67" s="15" t="s">
        <v>198</v>
      </c>
      <c r="B67" s="79" t="s">
        <v>199</v>
      </c>
      <c r="C67" s="79" t="s">
        <v>87</v>
      </c>
      <c r="D67" s="82" t="s">
        <v>200</v>
      </c>
      <c r="E67" s="71">
        <v>270000</v>
      </c>
      <c r="F67" s="71">
        <v>202360</v>
      </c>
      <c r="G67" s="71">
        <v>83114.539999999994</v>
      </c>
      <c r="H67" s="70">
        <f t="shared" si="21"/>
        <v>0.41072613164657046</v>
      </c>
      <c r="I67" s="71">
        <v>199000</v>
      </c>
      <c r="J67" s="71">
        <v>9326.74</v>
      </c>
      <c r="K67" s="70">
        <f t="shared" si="27"/>
        <v>4.6868040201005025E-2</v>
      </c>
      <c r="L67" s="71"/>
      <c r="M67" s="105"/>
      <c r="N67" s="71">
        <f t="shared" si="22"/>
        <v>92441.279999999999</v>
      </c>
      <c r="O67" s="22"/>
      <c r="P67" s="30"/>
    </row>
    <row r="68" spans="1:18" s="20" customFormat="1" ht="138.75" thickTop="1" thickBot="1" x14ac:dyDescent="0.25">
      <c r="A68" s="15" t="s">
        <v>201</v>
      </c>
      <c r="B68" s="79" t="s">
        <v>202</v>
      </c>
      <c r="C68" s="79" t="s">
        <v>97</v>
      </c>
      <c r="D68" s="79" t="s">
        <v>203</v>
      </c>
      <c r="E68" s="71">
        <v>1350000</v>
      </c>
      <c r="F68" s="71">
        <v>997430.74</v>
      </c>
      <c r="G68" s="71">
        <v>692263.16</v>
      </c>
      <c r="H68" s="70">
        <f t="shared" si="21"/>
        <v>0.6940463455136745</v>
      </c>
      <c r="I68" s="71"/>
      <c r="J68" s="71"/>
      <c r="K68" s="71"/>
      <c r="L68" s="71"/>
      <c r="M68" s="105"/>
      <c r="N68" s="71">
        <f t="shared" si="22"/>
        <v>692263.16</v>
      </c>
      <c r="O68" s="22"/>
      <c r="P68" s="34"/>
    </row>
    <row r="69" spans="1:18" s="20" customFormat="1" ht="184.5" thickTop="1" thickBot="1" x14ac:dyDescent="0.25">
      <c r="A69" s="15" t="s">
        <v>204</v>
      </c>
      <c r="B69" s="79" t="s">
        <v>205</v>
      </c>
      <c r="C69" s="79" t="s">
        <v>97</v>
      </c>
      <c r="D69" s="79" t="s">
        <v>206</v>
      </c>
      <c r="E69" s="71">
        <v>14700000</v>
      </c>
      <c r="F69" s="71">
        <v>10675755.91</v>
      </c>
      <c r="G69" s="71">
        <v>10667169.529999999</v>
      </c>
      <c r="H69" s="70">
        <f t="shared" si="21"/>
        <v>0.99919571222193659</v>
      </c>
      <c r="I69" s="71"/>
      <c r="J69" s="71"/>
      <c r="K69" s="71"/>
      <c r="L69" s="71"/>
      <c r="M69" s="105"/>
      <c r="N69" s="71">
        <f t="shared" si="22"/>
        <v>10667169.529999999</v>
      </c>
      <c r="O69" s="22"/>
      <c r="P69" s="34"/>
    </row>
    <row r="70" spans="1:18" s="20" customFormat="1" ht="184.5" thickTop="1" thickBot="1" x14ac:dyDescent="0.25">
      <c r="A70" s="15" t="s">
        <v>207</v>
      </c>
      <c r="B70" s="79" t="s">
        <v>208</v>
      </c>
      <c r="C70" s="79" t="s">
        <v>97</v>
      </c>
      <c r="D70" s="79" t="s">
        <v>209</v>
      </c>
      <c r="E70" s="71">
        <v>500000</v>
      </c>
      <c r="F70" s="71">
        <v>360000</v>
      </c>
      <c r="G70" s="71">
        <v>360000</v>
      </c>
      <c r="H70" s="70">
        <f t="shared" si="21"/>
        <v>1</v>
      </c>
      <c r="I70" s="71"/>
      <c r="J70" s="71"/>
      <c r="K70" s="71"/>
      <c r="L70" s="71"/>
      <c r="M70" s="105"/>
      <c r="N70" s="71">
        <f t="shared" si="22"/>
        <v>360000</v>
      </c>
      <c r="O70" s="60"/>
      <c r="P70" s="34"/>
    </row>
    <row r="71" spans="1:18" s="20" customFormat="1" ht="184.5" thickTop="1" thickBot="1" x14ac:dyDescent="0.25">
      <c r="A71" s="15" t="s">
        <v>210</v>
      </c>
      <c r="B71" s="79" t="s">
        <v>211</v>
      </c>
      <c r="C71" s="79" t="s">
        <v>97</v>
      </c>
      <c r="D71" s="79" t="s">
        <v>212</v>
      </c>
      <c r="E71" s="71">
        <v>57804700</v>
      </c>
      <c r="F71" s="71">
        <v>48215415</v>
      </c>
      <c r="G71" s="71">
        <v>48215415</v>
      </c>
      <c r="H71" s="70">
        <f t="shared" si="21"/>
        <v>1</v>
      </c>
      <c r="I71" s="71"/>
      <c r="J71" s="71"/>
      <c r="K71" s="71"/>
      <c r="L71" s="71"/>
      <c r="M71" s="105"/>
      <c r="N71" s="71">
        <f t="shared" si="22"/>
        <v>48215415</v>
      </c>
      <c r="O71" s="22"/>
      <c r="P71" s="34"/>
    </row>
    <row r="72" spans="1:18" s="20" customFormat="1" ht="184.5" thickTop="1" thickBot="1" x14ac:dyDescent="0.25">
      <c r="A72" s="15" t="s">
        <v>213</v>
      </c>
      <c r="B72" s="79" t="s">
        <v>214</v>
      </c>
      <c r="C72" s="79" t="s">
        <v>97</v>
      </c>
      <c r="D72" s="79" t="s">
        <v>215</v>
      </c>
      <c r="E72" s="71">
        <v>206796</v>
      </c>
      <c r="F72" s="71">
        <v>155097</v>
      </c>
      <c r="G72" s="71">
        <v>102920.01</v>
      </c>
      <c r="H72" s="70">
        <f t="shared" si="21"/>
        <v>0.66358478887405947</v>
      </c>
      <c r="I72" s="71"/>
      <c r="J72" s="71"/>
      <c r="K72" s="71"/>
      <c r="L72" s="71"/>
      <c r="M72" s="105"/>
      <c r="N72" s="71">
        <f t="shared" si="22"/>
        <v>102920.01</v>
      </c>
      <c r="O72" s="22"/>
      <c r="P72" s="34"/>
    </row>
    <row r="73" spans="1:18" s="20" customFormat="1" ht="165" customHeight="1" thickTop="1" thickBot="1" x14ac:dyDescent="0.25">
      <c r="A73" s="15"/>
      <c r="B73" s="79" t="s">
        <v>216</v>
      </c>
      <c r="C73" s="79" t="s">
        <v>97</v>
      </c>
      <c r="D73" s="79" t="s">
        <v>217</v>
      </c>
      <c r="E73" s="71">
        <v>180000</v>
      </c>
      <c r="F73" s="71">
        <v>180000</v>
      </c>
      <c r="G73" s="71">
        <v>89991</v>
      </c>
      <c r="H73" s="70">
        <f t="shared" si="21"/>
        <v>0.49995000000000001</v>
      </c>
      <c r="I73" s="67"/>
      <c r="J73" s="67"/>
      <c r="K73" s="67"/>
      <c r="L73" s="67"/>
      <c r="M73" s="111"/>
      <c r="N73" s="71">
        <f t="shared" si="22"/>
        <v>89991</v>
      </c>
      <c r="O73" s="22"/>
      <c r="P73" s="34"/>
    </row>
    <row r="74" spans="1:18" ht="138.75" thickTop="1" thickBot="1" x14ac:dyDescent="0.25">
      <c r="A74" s="15" t="s">
        <v>218</v>
      </c>
      <c r="B74" s="79" t="s">
        <v>219</v>
      </c>
      <c r="C74" s="79" t="s">
        <v>87</v>
      </c>
      <c r="D74" s="79" t="s">
        <v>220</v>
      </c>
      <c r="E74" s="71">
        <v>353047</v>
      </c>
      <c r="F74" s="71">
        <v>264786</v>
      </c>
      <c r="G74" s="71">
        <v>139541</v>
      </c>
      <c r="H74" s="70">
        <f t="shared" si="21"/>
        <v>0.52699538495237663</v>
      </c>
      <c r="I74" s="71"/>
      <c r="J74" s="71"/>
      <c r="K74" s="71"/>
      <c r="L74" s="71"/>
      <c r="M74" s="105"/>
      <c r="N74" s="71">
        <f t="shared" si="22"/>
        <v>139541</v>
      </c>
      <c r="P74" s="34"/>
    </row>
    <row r="75" spans="1:18" s="20" customFormat="1" ht="276" thickTop="1" thickBot="1" x14ac:dyDescent="0.25">
      <c r="A75" s="24" t="s">
        <v>221</v>
      </c>
      <c r="B75" s="64" t="s">
        <v>222</v>
      </c>
      <c r="C75" s="64"/>
      <c r="D75" s="64" t="s">
        <v>223</v>
      </c>
      <c r="E75" s="74">
        <f t="shared" ref="E75:J75" si="28">SUM(E76:E77)</f>
        <v>36030285</v>
      </c>
      <c r="F75" s="74">
        <f t="shared" si="28"/>
        <v>26098153</v>
      </c>
      <c r="G75" s="74">
        <f t="shared" si="28"/>
        <v>25039950.080000002</v>
      </c>
      <c r="H75" s="75">
        <f t="shared" si="21"/>
        <v>0.95945295745641468</v>
      </c>
      <c r="I75" s="74">
        <f t="shared" si="28"/>
        <v>752770.02</v>
      </c>
      <c r="J75" s="74">
        <f t="shared" si="28"/>
        <v>686504.36</v>
      </c>
      <c r="K75" s="75">
        <f t="shared" ref="K75:K80" si="29">J75/I75</f>
        <v>0.91197090978729467</v>
      </c>
      <c r="L75" s="74"/>
      <c r="M75" s="74"/>
      <c r="N75" s="74">
        <f t="shared" si="22"/>
        <v>25726454.440000001</v>
      </c>
      <c r="O75" s="22"/>
      <c r="P75" s="35"/>
    </row>
    <row r="76" spans="1:18" ht="276" thickTop="1" thickBot="1" x14ac:dyDescent="0.25">
      <c r="A76" s="15" t="s">
        <v>224</v>
      </c>
      <c r="B76" s="79" t="s">
        <v>225</v>
      </c>
      <c r="C76" s="79" t="s">
        <v>76</v>
      </c>
      <c r="D76" s="79" t="s">
        <v>226</v>
      </c>
      <c r="E76" s="71">
        <v>28469120</v>
      </c>
      <c r="F76" s="71">
        <v>20654510</v>
      </c>
      <c r="G76" s="71">
        <v>19791782.440000001</v>
      </c>
      <c r="H76" s="70">
        <f t="shared" si="21"/>
        <v>0.95823054819504316</v>
      </c>
      <c r="I76" s="71">
        <v>654260</v>
      </c>
      <c r="J76" s="71">
        <v>591816.36</v>
      </c>
      <c r="K76" s="70">
        <f t="shared" si="29"/>
        <v>0.90455837128970129</v>
      </c>
      <c r="L76" s="71"/>
      <c r="M76" s="105"/>
      <c r="N76" s="71">
        <f t="shared" si="22"/>
        <v>20383598.800000001</v>
      </c>
      <c r="P76" s="30"/>
    </row>
    <row r="77" spans="1:18" ht="138.75" thickTop="1" thickBot="1" x14ac:dyDescent="0.25">
      <c r="A77" s="15" t="s">
        <v>227</v>
      </c>
      <c r="B77" s="79" t="s">
        <v>228</v>
      </c>
      <c r="C77" s="79" t="s">
        <v>72</v>
      </c>
      <c r="D77" s="79" t="s">
        <v>229</v>
      </c>
      <c r="E77" s="71">
        <v>7561165</v>
      </c>
      <c r="F77" s="71">
        <v>5443643</v>
      </c>
      <c r="G77" s="71">
        <v>5248167.6399999997</v>
      </c>
      <c r="H77" s="70">
        <f t="shared" si="21"/>
        <v>0.9640910765088746</v>
      </c>
      <c r="I77" s="71">
        <v>98510.02</v>
      </c>
      <c r="J77" s="71">
        <v>94688</v>
      </c>
      <c r="K77" s="70">
        <f t="shared" si="29"/>
        <v>0.96120171328764314</v>
      </c>
      <c r="L77" s="71"/>
      <c r="M77" s="105"/>
      <c r="N77" s="71">
        <f t="shared" si="22"/>
        <v>5342855.6399999997</v>
      </c>
      <c r="P77" s="30"/>
    </row>
    <row r="78" spans="1:18" ht="138.75" thickTop="1" thickBot="1" x14ac:dyDescent="0.25">
      <c r="A78" s="15"/>
      <c r="B78" s="64" t="s">
        <v>304</v>
      </c>
      <c r="C78" s="64"/>
      <c r="D78" s="64" t="s">
        <v>305</v>
      </c>
      <c r="E78" s="76">
        <f>E79+E80</f>
        <v>5576056</v>
      </c>
      <c r="F78" s="76">
        <f>F79+F80</f>
        <v>4349998</v>
      </c>
      <c r="G78" s="76">
        <f>G79+G80</f>
        <v>3864458.08</v>
      </c>
      <c r="H78" s="75">
        <f t="shared" si="21"/>
        <v>0.88838157626739145</v>
      </c>
      <c r="I78" s="76">
        <f>I79+I80</f>
        <v>2304215</v>
      </c>
      <c r="J78" s="76">
        <f>J79+J80</f>
        <v>48594</v>
      </c>
      <c r="K78" s="75">
        <f>J78/I78</f>
        <v>2.1089177876196449E-2</v>
      </c>
      <c r="L78" s="76"/>
      <c r="M78" s="76"/>
      <c r="N78" s="74">
        <f>G78+J78</f>
        <v>3913052.08</v>
      </c>
      <c r="O78" s="60"/>
      <c r="P78" s="30"/>
    </row>
    <row r="79" spans="1:18" ht="138.75" thickTop="1" thickBot="1" x14ac:dyDescent="0.25">
      <c r="A79" s="15"/>
      <c r="B79" s="79" t="s">
        <v>306</v>
      </c>
      <c r="C79" s="79" t="s">
        <v>145</v>
      </c>
      <c r="D79" s="79" t="s">
        <v>307</v>
      </c>
      <c r="E79" s="69">
        <v>5308676</v>
      </c>
      <c r="F79" s="69">
        <v>4282936</v>
      </c>
      <c r="G79" s="69">
        <v>3837666.08</v>
      </c>
      <c r="H79" s="70">
        <f t="shared" si="21"/>
        <v>0.89603628912503008</v>
      </c>
      <c r="I79" s="69"/>
      <c r="J79" s="109"/>
      <c r="K79" s="70"/>
      <c r="L79" s="109"/>
      <c r="M79" s="105"/>
      <c r="N79" s="71">
        <f t="shared" si="22"/>
        <v>3837666.08</v>
      </c>
      <c r="P79" s="30"/>
    </row>
    <row r="80" spans="1:18" ht="276" thickTop="1" thickBot="1" x14ac:dyDescent="0.25">
      <c r="A80" s="15"/>
      <c r="B80" s="79" t="s">
        <v>491</v>
      </c>
      <c r="C80" s="79" t="s">
        <v>145</v>
      </c>
      <c r="D80" s="79" t="s">
        <v>492</v>
      </c>
      <c r="E80" s="69">
        <v>267380</v>
      </c>
      <c r="F80" s="69">
        <v>67062</v>
      </c>
      <c r="G80" s="69">
        <v>26792</v>
      </c>
      <c r="H80" s="70">
        <f t="shared" si="21"/>
        <v>0.39951090036086012</v>
      </c>
      <c r="I80" s="69">
        <v>2304215</v>
      </c>
      <c r="J80" s="109">
        <v>48594</v>
      </c>
      <c r="K80" s="70">
        <f t="shared" si="29"/>
        <v>2.1089177876196449E-2</v>
      </c>
      <c r="L80" s="109"/>
      <c r="M80" s="105"/>
      <c r="N80" s="71">
        <f t="shared" si="22"/>
        <v>75386</v>
      </c>
      <c r="P80" s="30"/>
    </row>
    <row r="81" spans="1:16" ht="93" thickTop="1" thickBot="1" x14ac:dyDescent="0.25">
      <c r="A81" s="15"/>
      <c r="B81" s="64" t="s">
        <v>308</v>
      </c>
      <c r="C81" s="64"/>
      <c r="D81" s="64" t="s">
        <v>309</v>
      </c>
      <c r="E81" s="77">
        <f t="shared" ref="E81:G81" si="30">SUM(E82:E83)</f>
        <v>11475096</v>
      </c>
      <c r="F81" s="77">
        <f t="shared" si="30"/>
        <v>9057820</v>
      </c>
      <c r="G81" s="77">
        <f t="shared" si="30"/>
        <v>8299875.9700000007</v>
      </c>
      <c r="H81" s="75">
        <f t="shared" si="21"/>
        <v>0.91632158400144859</v>
      </c>
      <c r="I81" s="77">
        <f t="shared" ref="I81:J81" si="31">SUM(I82:I83)</f>
        <v>1975989.76</v>
      </c>
      <c r="J81" s="77">
        <f t="shared" si="31"/>
        <v>1903191.9</v>
      </c>
      <c r="K81" s="70">
        <f t="shared" ref="K81:K83" si="32">J81/I81</f>
        <v>0.96315878681476563</v>
      </c>
      <c r="L81" s="122"/>
      <c r="M81" s="122"/>
      <c r="N81" s="74">
        <f t="shared" si="22"/>
        <v>10203067.870000001</v>
      </c>
      <c r="P81" s="30"/>
    </row>
    <row r="82" spans="1:16" ht="93" thickTop="1" thickBot="1" x14ac:dyDescent="0.25">
      <c r="A82" s="15"/>
      <c r="B82" s="79" t="s">
        <v>310</v>
      </c>
      <c r="C82" s="79" t="s">
        <v>145</v>
      </c>
      <c r="D82" s="79" t="s">
        <v>311</v>
      </c>
      <c r="E82" s="69">
        <v>4435310</v>
      </c>
      <c r="F82" s="69">
        <v>3315613</v>
      </c>
      <c r="G82" s="69">
        <v>3072703.69</v>
      </c>
      <c r="H82" s="70">
        <f t="shared" si="21"/>
        <v>0.92673773748625066</v>
      </c>
      <c r="I82" s="69">
        <v>1060847</v>
      </c>
      <c r="J82" s="109">
        <v>991990.34</v>
      </c>
      <c r="K82" s="70">
        <f t="shared" si="32"/>
        <v>0.93509275135811287</v>
      </c>
      <c r="L82" s="112"/>
      <c r="M82" s="111"/>
      <c r="N82" s="71">
        <f t="shared" si="22"/>
        <v>4064694.03</v>
      </c>
      <c r="P82" s="30"/>
    </row>
    <row r="83" spans="1:16" ht="93" thickTop="1" thickBot="1" x14ac:dyDescent="0.25">
      <c r="A83" s="15"/>
      <c r="B83" s="79" t="s">
        <v>312</v>
      </c>
      <c r="C83" s="79" t="s">
        <v>145</v>
      </c>
      <c r="D83" s="79" t="s">
        <v>313</v>
      </c>
      <c r="E83" s="69">
        <v>7039786</v>
      </c>
      <c r="F83" s="69">
        <v>5742207</v>
      </c>
      <c r="G83" s="69">
        <v>5227172.28</v>
      </c>
      <c r="H83" s="70">
        <f t="shared" si="21"/>
        <v>0.91030718328336135</v>
      </c>
      <c r="I83" s="69">
        <v>915142.76</v>
      </c>
      <c r="J83" s="109">
        <v>911201.56</v>
      </c>
      <c r="K83" s="70">
        <f t="shared" si="32"/>
        <v>0.99569334952723665</v>
      </c>
      <c r="L83" s="112"/>
      <c r="M83" s="111"/>
      <c r="N83" s="71">
        <f t="shared" si="22"/>
        <v>6138373.8399999999</v>
      </c>
      <c r="P83" s="30"/>
    </row>
    <row r="84" spans="1:16" ht="409.6" thickTop="1" thickBot="1" x14ac:dyDescent="0.25">
      <c r="A84" s="15" t="s">
        <v>230</v>
      </c>
      <c r="B84" s="79" t="s">
        <v>231</v>
      </c>
      <c r="C84" s="79" t="s">
        <v>72</v>
      </c>
      <c r="D84" s="79" t="s">
        <v>232</v>
      </c>
      <c r="E84" s="71">
        <v>2246695</v>
      </c>
      <c r="F84" s="71">
        <v>1754825</v>
      </c>
      <c r="G84" s="71">
        <v>1498642.64</v>
      </c>
      <c r="H84" s="70">
        <f t="shared" si="21"/>
        <v>0.8540125881498154</v>
      </c>
      <c r="I84" s="90"/>
      <c r="J84" s="71"/>
      <c r="K84" s="71"/>
      <c r="L84" s="71"/>
      <c r="M84" s="105"/>
      <c r="N84" s="71">
        <f t="shared" si="22"/>
        <v>1498642.64</v>
      </c>
      <c r="P84" s="34"/>
    </row>
    <row r="85" spans="1:16" ht="138.75" thickTop="1" thickBot="1" x14ac:dyDescent="0.25">
      <c r="A85" s="24" t="s">
        <v>233</v>
      </c>
      <c r="B85" s="64" t="s">
        <v>234</v>
      </c>
      <c r="C85" s="64"/>
      <c r="D85" s="64" t="s">
        <v>235</v>
      </c>
      <c r="E85" s="74">
        <f>E86</f>
        <v>147491</v>
      </c>
      <c r="F85" s="74">
        <f t="shared" ref="F85:G85" si="33">F86</f>
        <v>147491</v>
      </c>
      <c r="G85" s="74">
        <f t="shared" si="33"/>
        <v>70343.25</v>
      </c>
      <c r="H85" s="75">
        <f t="shared" si="21"/>
        <v>0.47693249079604855</v>
      </c>
      <c r="I85" s="74"/>
      <c r="J85" s="74"/>
      <c r="K85" s="75"/>
      <c r="L85" s="74"/>
      <c r="M85" s="74"/>
      <c r="N85" s="74">
        <f t="shared" si="22"/>
        <v>70343.25</v>
      </c>
      <c r="O85" s="60"/>
      <c r="P85" s="34"/>
    </row>
    <row r="86" spans="1:16" ht="276" thickTop="1" thickBot="1" x14ac:dyDescent="0.25">
      <c r="A86" s="15" t="s">
        <v>236</v>
      </c>
      <c r="B86" s="79" t="s">
        <v>237</v>
      </c>
      <c r="C86" s="79" t="s">
        <v>72</v>
      </c>
      <c r="D86" s="79" t="s">
        <v>238</v>
      </c>
      <c r="E86" s="71">
        <v>147491</v>
      </c>
      <c r="F86" s="71">
        <v>147491</v>
      </c>
      <c r="G86" s="71">
        <v>70343.25</v>
      </c>
      <c r="H86" s="70">
        <f t="shared" si="21"/>
        <v>0.47693249079604855</v>
      </c>
      <c r="I86" s="90"/>
      <c r="J86" s="71"/>
      <c r="K86" s="71"/>
      <c r="L86" s="71"/>
      <c r="M86" s="105"/>
      <c r="N86" s="71">
        <f t="shared" si="22"/>
        <v>70343.25</v>
      </c>
      <c r="P86" s="34"/>
    </row>
    <row r="87" spans="1:16" ht="367.5" thickTop="1" thickBot="1" x14ac:dyDescent="0.25">
      <c r="A87" s="15" t="s">
        <v>239</v>
      </c>
      <c r="B87" s="79" t="s">
        <v>240</v>
      </c>
      <c r="C87" s="79" t="s">
        <v>92</v>
      </c>
      <c r="D87" s="79" t="s">
        <v>241</v>
      </c>
      <c r="E87" s="71">
        <v>2625425</v>
      </c>
      <c r="F87" s="71">
        <v>1895425</v>
      </c>
      <c r="G87" s="71">
        <v>1777991.61</v>
      </c>
      <c r="H87" s="70">
        <f t="shared" si="21"/>
        <v>0.93804376854795102</v>
      </c>
      <c r="I87" s="90"/>
      <c r="J87" s="71"/>
      <c r="K87" s="71"/>
      <c r="L87" s="71"/>
      <c r="M87" s="105"/>
      <c r="N87" s="71">
        <f t="shared" si="22"/>
        <v>1777991.61</v>
      </c>
      <c r="P87" s="34"/>
    </row>
    <row r="88" spans="1:16" s="20" customFormat="1" ht="93" thickTop="1" thickBot="1" x14ac:dyDescent="0.25">
      <c r="A88" s="24" t="s">
        <v>242</v>
      </c>
      <c r="B88" s="64" t="s">
        <v>243</v>
      </c>
      <c r="C88" s="64"/>
      <c r="D88" s="64" t="s">
        <v>244</v>
      </c>
      <c r="E88" s="74">
        <f t="shared" ref="E88:G88" si="34">E89</f>
        <v>500000</v>
      </c>
      <c r="F88" s="74">
        <f t="shared" si="34"/>
        <v>374994</v>
      </c>
      <c r="G88" s="74">
        <f t="shared" si="34"/>
        <v>278929.05</v>
      </c>
      <c r="H88" s="75">
        <f t="shared" si="21"/>
        <v>0.74382270116321858</v>
      </c>
      <c r="I88" s="74"/>
      <c r="J88" s="74"/>
      <c r="K88" s="75"/>
      <c r="L88" s="74"/>
      <c r="M88" s="74"/>
      <c r="N88" s="74">
        <f>G88+J88</f>
        <v>278929.05</v>
      </c>
      <c r="O88" s="60"/>
      <c r="P88" s="35"/>
    </row>
    <row r="89" spans="1:16" ht="230.25" thickTop="1" thickBot="1" x14ac:dyDescent="0.25">
      <c r="A89" s="15" t="s">
        <v>245</v>
      </c>
      <c r="B89" s="79" t="s">
        <v>246</v>
      </c>
      <c r="C89" s="79" t="s">
        <v>87</v>
      </c>
      <c r="D89" s="79" t="s">
        <v>247</v>
      </c>
      <c r="E89" s="71">
        <f>(500000)</f>
        <v>500000</v>
      </c>
      <c r="F89" s="71">
        <v>374994</v>
      </c>
      <c r="G89" s="71">
        <v>278929.05</v>
      </c>
      <c r="H89" s="70">
        <f t="shared" si="21"/>
        <v>0.74382270116321858</v>
      </c>
      <c r="I89" s="71"/>
      <c r="J89" s="71"/>
      <c r="K89" s="71"/>
      <c r="L89" s="71"/>
      <c r="M89" s="105"/>
      <c r="N89" s="71">
        <f t="shared" si="22"/>
        <v>278929.05</v>
      </c>
      <c r="P89" s="34"/>
    </row>
    <row r="90" spans="1:16" s="20" customFormat="1" ht="184.5" thickTop="1" thickBot="1" x14ac:dyDescent="0.25">
      <c r="A90" s="24" t="s">
        <v>248</v>
      </c>
      <c r="B90" s="64" t="s">
        <v>249</v>
      </c>
      <c r="C90" s="64"/>
      <c r="D90" s="64" t="s">
        <v>250</v>
      </c>
      <c r="E90" s="74">
        <f t="shared" ref="E90:J90" si="35">E91</f>
        <v>100040</v>
      </c>
      <c r="F90" s="74">
        <f t="shared" si="35"/>
        <v>100040</v>
      </c>
      <c r="G90" s="74">
        <f t="shared" si="35"/>
        <v>48170.96</v>
      </c>
      <c r="H90" s="75">
        <f>G90/F90</f>
        <v>0.4815169932027189</v>
      </c>
      <c r="I90" s="74">
        <f t="shared" si="35"/>
        <v>48170.95</v>
      </c>
      <c r="J90" s="74">
        <f t="shared" si="35"/>
        <v>48170.95</v>
      </c>
      <c r="K90" s="70">
        <f>J90/I90</f>
        <v>1</v>
      </c>
      <c r="L90" s="74"/>
      <c r="M90" s="74"/>
      <c r="N90" s="74">
        <f>G90+J90</f>
        <v>96341.91</v>
      </c>
      <c r="O90" s="60"/>
      <c r="P90" s="35"/>
    </row>
    <row r="91" spans="1:16" ht="93" thickTop="1" thickBot="1" x14ac:dyDescent="0.25">
      <c r="A91" s="15" t="s">
        <v>251</v>
      </c>
      <c r="B91" s="79" t="s">
        <v>252</v>
      </c>
      <c r="C91" s="79" t="s">
        <v>253</v>
      </c>
      <c r="D91" s="79" t="s">
        <v>254</v>
      </c>
      <c r="E91" s="71">
        <v>100040</v>
      </c>
      <c r="F91" s="71">
        <v>100040</v>
      </c>
      <c r="G91" s="71">
        <v>48170.96</v>
      </c>
      <c r="H91" s="70">
        <f t="shared" si="21"/>
        <v>0.4815169932027189</v>
      </c>
      <c r="I91" s="71">
        <v>48170.95</v>
      </c>
      <c r="J91" s="71">
        <v>48170.95</v>
      </c>
      <c r="K91" s="70">
        <f t="shared" ref="K91:K108" si="36">J91/I91</f>
        <v>1</v>
      </c>
      <c r="L91" s="71"/>
      <c r="M91" s="105"/>
      <c r="N91" s="71">
        <f>G91+J91</f>
        <v>96341.91</v>
      </c>
      <c r="P91" s="34"/>
    </row>
    <row r="92" spans="1:16" ht="230.25" thickTop="1" thickBot="1" x14ac:dyDescent="0.25">
      <c r="A92" s="15"/>
      <c r="B92" s="24" t="s">
        <v>504</v>
      </c>
      <c r="C92" s="24"/>
      <c r="D92" s="24" t="s">
        <v>505</v>
      </c>
      <c r="E92" s="74">
        <f>E93+E96+E100+E103</f>
        <v>0</v>
      </c>
      <c r="F92" s="74">
        <f t="shared" ref="F92:G92" si="37">F93+F96+F100+F103</f>
        <v>0</v>
      </c>
      <c r="G92" s="74">
        <f t="shared" si="37"/>
        <v>0</v>
      </c>
      <c r="H92" s="70">
        <v>0</v>
      </c>
      <c r="I92" s="74">
        <f>I93+I96+I100+I103</f>
        <v>16573607.309999999</v>
      </c>
      <c r="J92" s="74">
        <f>J93+J96+J100+J103</f>
        <v>0</v>
      </c>
      <c r="K92" s="75">
        <f>J92/I92</f>
        <v>0</v>
      </c>
      <c r="L92" s="71"/>
      <c r="M92" s="105"/>
      <c r="N92" s="74">
        <f>G92+J92</f>
        <v>0</v>
      </c>
      <c r="O92" s="60" t="s">
        <v>460</v>
      </c>
      <c r="P92" s="34"/>
    </row>
    <row r="93" spans="1:16" ht="409.6" thickTop="1" thickBot="1" x14ac:dyDescent="0.7">
      <c r="A93" s="15"/>
      <c r="B93" s="138" t="s">
        <v>506</v>
      </c>
      <c r="C93" s="138" t="s">
        <v>92</v>
      </c>
      <c r="D93" s="123" t="s">
        <v>507</v>
      </c>
      <c r="E93" s="141"/>
      <c r="F93" s="141"/>
      <c r="G93" s="141"/>
      <c r="H93" s="141"/>
      <c r="I93" s="141">
        <v>11298891.529999999</v>
      </c>
      <c r="J93" s="141">
        <v>0</v>
      </c>
      <c r="K93" s="144">
        <f>J93/I93</f>
        <v>0</v>
      </c>
      <c r="L93" s="71"/>
      <c r="M93" s="105"/>
      <c r="N93" s="141">
        <f>G93+J93</f>
        <v>0</v>
      </c>
      <c r="P93" s="34"/>
    </row>
    <row r="94" spans="1:16" ht="409.6" thickTop="1" thickBot="1" x14ac:dyDescent="0.25">
      <c r="A94" s="15"/>
      <c r="B94" s="139"/>
      <c r="C94" s="139"/>
      <c r="D94" s="124" t="s">
        <v>508</v>
      </c>
      <c r="E94" s="139"/>
      <c r="F94" s="139"/>
      <c r="G94" s="139"/>
      <c r="H94" s="139"/>
      <c r="I94" s="139"/>
      <c r="J94" s="139"/>
      <c r="K94" s="142"/>
      <c r="L94" s="71"/>
      <c r="M94" s="105"/>
      <c r="N94" s="142"/>
      <c r="P94" s="34"/>
    </row>
    <row r="95" spans="1:16" ht="409.6" thickTop="1" thickBot="1" x14ac:dyDescent="0.25">
      <c r="A95" s="15"/>
      <c r="B95" s="140"/>
      <c r="C95" s="140"/>
      <c r="D95" s="125" t="s">
        <v>509</v>
      </c>
      <c r="E95" s="140"/>
      <c r="F95" s="140"/>
      <c r="G95" s="140"/>
      <c r="H95" s="140"/>
      <c r="I95" s="140"/>
      <c r="J95" s="140"/>
      <c r="K95" s="143"/>
      <c r="L95" s="71"/>
      <c r="M95" s="105"/>
      <c r="N95" s="143"/>
      <c r="P95" s="34"/>
    </row>
    <row r="96" spans="1:16" ht="409.6" thickTop="1" thickBot="1" x14ac:dyDescent="0.7">
      <c r="A96" s="15"/>
      <c r="B96" s="138" t="s">
        <v>510</v>
      </c>
      <c r="C96" s="138" t="s">
        <v>92</v>
      </c>
      <c r="D96" s="123" t="s">
        <v>511</v>
      </c>
      <c r="E96" s="141"/>
      <c r="F96" s="141"/>
      <c r="G96" s="141"/>
      <c r="H96" s="141"/>
      <c r="I96" s="141">
        <v>1751965</v>
      </c>
      <c r="J96" s="141">
        <v>0</v>
      </c>
      <c r="K96" s="144">
        <f>J96/I96</f>
        <v>0</v>
      </c>
      <c r="L96" s="71"/>
      <c r="M96" s="105"/>
      <c r="N96" s="141">
        <f>G96+J96</f>
        <v>0</v>
      </c>
      <c r="P96" s="34"/>
    </row>
    <row r="97" spans="1:16" ht="409.6" thickTop="1" thickBot="1" x14ac:dyDescent="0.25">
      <c r="A97" s="15"/>
      <c r="B97" s="139"/>
      <c r="C97" s="139"/>
      <c r="D97" s="124" t="s">
        <v>512</v>
      </c>
      <c r="E97" s="139"/>
      <c r="F97" s="139"/>
      <c r="G97" s="139"/>
      <c r="H97" s="139"/>
      <c r="I97" s="142"/>
      <c r="J97" s="142"/>
      <c r="K97" s="142"/>
      <c r="L97" s="71"/>
      <c r="M97" s="105"/>
      <c r="N97" s="142"/>
      <c r="P97" s="34"/>
    </row>
    <row r="98" spans="1:16" ht="409.6" thickTop="1" thickBot="1" x14ac:dyDescent="0.25">
      <c r="A98" s="15"/>
      <c r="B98" s="139"/>
      <c r="C98" s="139"/>
      <c r="D98" s="124" t="s">
        <v>513</v>
      </c>
      <c r="E98" s="139"/>
      <c r="F98" s="139"/>
      <c r="G98" s="139"/>
      <c r="H98" s="139"/>
      <c r="I98" s="142"/>
      <c r="J98" s="142"/>
      <c r="K98" s="142"/>
      <c r="L98" s="71"/>
      <c r="M98" s="105"/>
      <c r="N98" s="142"/>
      <c r="P98" s="34"/>
    </row>
    <row r="99" spans="1:16" ht="184.5" thickTop="1" thickBot="1" x14ac:dyDescent="0.25">
      <c r="A99" s="15"/>
      <c r="B99" s="140"/>
      <c r="C99" s="140"/>
      <c r="D99" s="125" t="s">
        <v>514</v>
      </c>
      <c r="E99" s="140"/>
      <c r="F99" s="140"/>
      <c r="G99" s="140"/>
      <c r="H99" s="140"/>
      <c r="I99" s="143"/>
      <c r="J99" s="143"/>
      <c r="K99" s="143"/>
      <c r="L99" s="71"/>
      <c r="M99" s="105"/>
      <c r="N99" s="143"/>
      <c r="P99" s="34"/>
    </row>
    <row r="100" spans="1:16" ht="409.6" thickTop="1" thickBot="1" x14ac:dyDescent="0.7">
      <c r="A100" s="15"/>
      <c r="B100" s="138" t="s">
        <v>515</v>
      </c>
      <c r="C100" s="138" t="s">
        <v>92</v>
      </c>
      <c r="D100" s="123" t="s">
        <v>516</v>
      </c>
      <c r="E100" s="141"/>
      <c r="F100" s="141"/>
      <c r="G100" s="141"/>
      <c r="H100" s="141"/>
      <c r="I100" s="141">
        <v>1093438.78</v>
      </c>
      <c r="J100" s="141">
        <v>0</v>
      </c>
      <c r="K100" s="144">
        <f>J100/I100</f>
        <v>0</v>
      </c>
      <c r="L100" s="72"/>
      <c r="M100" s="73"/>
      <c r="N100" s="141">
        <f>G100+J100</f>
        <v>0</v>
      </c>
      <c r="P100" s="34"/>
    </row>
    <row r="101" spans="1:16" ht="409.6" thickTop="1" thickBot="1" x14ac:dyDescent="0.25">
      <c r="A101" s="15"/>
      <c r="B101" s="139"/>
      <c r="C101" s="139"/>
      <c r="D101" s="124" t="s">
        <v>517</v>
      </c>
      <c r="E101" s="139"/>
      <c r="F101" s="139"/>
      <c r="G101" s="139"/>
      <c r="H101" s="139"/>
      <c r="I101" s="139"/>
      <c r="J101" s="139"/>
      <c r="K101" s="139"/>
      <c r="L101" s="72"/>
      <c r="M101" s="73"/>
      <c r="N101" s="139"/>
      <c r="P101" s="34"/>
    </row>
    <row r="102" spans="1:16" ht="138.75" thickTop="1" thickBot="1" x14ac:dyDescent="0.25">
      <c r="A102" s="15"/>
      <c r="B102" s="140"/>
      <c r="C102" s="140"/>
      <c r="D102" s="125" t="s">
        <v>518</v>
      </c>
      <c r="E102" s="139"/>
      <c r="F102" s="139"/>
      <c r="G102" s="139"/>
      <c r="H102" s="139"/>
      <c r="I102" s="139"/>
      <c r="J102" s="139"/>
      <c r="K102" s="140"/>
      <c r="L102" s="72"/>
      <c r="M102" s="73"/>
      <c r="N102" s="139"/>
      <c r="P102" s="34"/>
    </row>
    <row r="103" spans="1:16" ht="409.6" thickTop="1" thickBot="1" x14ac:dyDescent="0.7">
      <c r="A103" s="15"/>
      <c r="B103" s="138" t="s">
        <v>519</v>
      </c>
      <c r="C103" s="138" t="s">
        <v>92</v>
      </c>
      <c r="D103" s="123" t="s">
        <v>520</v>
      </c>
      <c r="E103" s="141"/>
      <c r="F103" s="141"/>
      <c r="G103" s="141"/>
      <c r="H103" s="141"/>
      <c r="I103" s="141">
        <v>2429312</v>
      </c>
      <c r="J103" s="141">
        <v>0</v>
      </c>
      <c r="K103" s="144">
        <f>J103/I103</f>
        <v>0</v>
      </c>
      <c r="L103" s="72"/>
      <c r="M103" s="73"/>
      <c r="N103" s="141">
        <f t="shared" si="22"/>
        <v>0</v>
      </c>
      <c r="P103" s="34"/>
    </row>
    <row r="104" spans="1:16" ht="367.5" thickTop="1" thickBot="1" x14ac:dyDescent="0.25">
      <c r="A104" s="15"/>
      <c r="B104" s="139"/>
      <c r="C104" s="139"/>
      <c r="D104" s="124" t="s">
        <v>521</v>
      </c>
      <c r="E104" s="139"/>
      <c r="F104" s="139"/>
      <c r="G104" s="139"/>
      <c r="H104" s="139"/>
      <c r="I104" s="139"/>
      <c r="J104" s="139"/>
      <c r="K104" s="139"/>
      <c r="L104" s="72"/>
      <c r="M104" s="73"/>
      <c r="N104" s="139"/>
      <c r="P104" s="34"/>
    </row>
    <row r="105" spans="1:16" ht="93" thickTop="1" thickBot="1" x14ac:dyDescent="0.25">
      <c r="A105" s="15"/>
      <c r="B105" s="140"/>
      <c r="C105" s="140"/>
      <c r="D105" s="125" t="s">
        <v>522</v>
      </c>
      <c r="E105" s="139"/>
      <c r="F105" s="139"/>
      <c r="G105" s="139"/>
      <c r="H105" s="139"/>
      <c r="I105" s="139"/>
      <c r="J105" s="139"/>
      <c r="K105" s="140"/>
      <c r="L105" s="72"/>
      <c r="M105" s="73"/>
      <c r="N105" s="139"/>
      <c r="P105" s="34"/>
    </row>
    <row r="106" spans="1:16" s="20" customFormat="1" ht="48" thickTop="1" thickBot="1" x14ac:dyDescent="0.25">
      <c r="A106" s="24" t="s">
        <v>255</v>
      </c>
      <c r="B106" s="64" t="s">
        <v>256</v>
      </c>
      <c r="C106" s="64"/>
      <c r="D106" s="64" t="s">
        <v>257</v>
      </c>
      <c r="E106" s="74">
        <f t="shared" ref="E106:J106" si="38">SUM(E107:E108)</f>
        <v>38099435</v>
      </c>
      <c r="F106" s="74">
        <f t="shared" si="38"/>
        <v>32929158.25</v>
      </c>
      <c r="G106" s="74">
        <f t="shared" si="38"/>
        <v>29649945.690000001</v>
      </c>
      <c r="H106" s="75">
        <f t="shared" si="21"/>
        <v>0.90041614379863477</v>
      </c>
      <c r="I106" s="74">
        <f t="shared" si="38"/>
        <v>1198812.98</v>
      </c>
      <c r="J106" s="74">
        <f t="shared" si="38"/>
        <v>943464.71</v>
      </c>
      <c r="K106" s="75">
        <f t="shared" si="36"/>
        <v>0.7869990780380105</v>
      </c>
      <c r="L106" s="74"/>
      <c r="M106" s="74"/>
      <c r="N106" s="74">
        <f t="shared" si="22"/>
        <v>30593410.400000002</v>
      </c>
      <c r="O106" s="22"/>
      <c r="P106" s="35"/>
    </row>
    <row r="107" spans="1:16" ht="184.5" thickTop="1" thickBot="1" x14ac:dyDescent="0.25">
      <c r="A107" s="15" t="s">
        <v>258</v>
      </c>
      <c r="B107" s="79" t="s">
        <v>259</v>
      </c>
      <c r="C107" s="79" t="s">
        <v>101</v>
      </c>
      <c r="D107" s="28" t="s">
        <v>260</v>
      </c>
      <c r="E107" s="71">
        <v>7868312</v>
      </c>
      <c r="F107" s="69">
        <v>5977929</v>
      </c>
      <c r="G107" s="69">
        <v>5431989.1900000004</v>
      </c>
      <c r="H107" s="70">
        <f t="shared" si="21"/>
        <v>0.90867408930417215</v>
      </c>
      <c r="I107" s="71">
        <v>1048812.98</v>
      </c>
      <c r="J107" s="71">
        <v>841177.36</v>
      </c>
      <c r="K107" s="70">
        <f t="shared" si="36"/>
        <v>0.8020279840548884</v>
      </c>
      <c r="L107" s="71"/>
      <c r="M107" s="105"/>
      <c r="N107" s="71">
        <f t="shared" si="22"/>
        <v>6273166.5500000007</v>
      </c>
      <c r="P107" s="30"/>
    </row>
    <row r="108" spans="1:16" ht="138.75" thickTop="1" thickBot="1" x14ac:dyDescent="0.25">
      <c r="A108" s="15" t="s">
        <v>261</v>
      </c>
      <c r="B108" s="79" t="s">
        <v>262</v>
      </c>
      <c r="C108" s="79" t="s">
        <v>101</v>
      </c>
      <c r="D108" s="28" t="s">
        <v>263</v>
      </c>
      <c r="E108" s="71">
        <v>30231123</v>
      </c>
      <c r="F108" s="71">
        <v>26951229.25</v>
      </c>
      <c r="G108" s="71">
        <v>24217956.5</v>
      </c>
      <c r="H108" s="70">
        <f t="shared" si="21"/>
        <v>0.89858448664266399</v>
      </c>
      <c r="I108" s="71">
        <v>150000</v>
      </c>
      <c r="J108" s="71">
        <v>102287.35</v>
      </c>
      <c r="K108" s="70">
        <f t="shared" si="36"/>
        <v>0.6819156666666667</v>
      </c>
      <c r="L108" s="71"/>
      <c r="M108" s="105"/>
      <c r="N108" s="71">
        <f t="shared" si="22"/>
        <v>24320243.850000001</v>
      </c>
      <c r="P108" s="30"/>
    </row>
    <row r="109" spans="1:16" s="11" customFormat="1" ht="92.25" customHeight="1" thickTop="1" thickBot="1" x14ac:dyDescent="0.25">
      <c r="A109" s="8" t="s">
        <v>276</v>
      </c>
      <c r="B109" s="113" t="s">
        <v>277</v>
      </c>
      <c r="C109" s="113"/>
      <c r="D109" s="114" t="s">
        <v>278</v>
      </c>
      <c r="E109" s="115">
        <f>SUM(E110:E116)-E114</f>
        <v>55747535</v>
      </c>
      <c r="F109" s="115">
        <f t="shared" ref="F109:J109" si="39">SUM(F110:F116)-F114</f>
        <v>42732337.5</v>
      </c>
      <c r="G109" s="115">
        <f t="shared" si="39"/>
        <v>38486352.490000002</v>
      </c>
      <c r="H109" s="116">
        <f>G109/F109</f>
        <v>0.90063766088152797</v>
      </c>
      <c r="I109" s="115">
        <f t="shared" si="39"/>
        <v>7652532.3200000003</v>
      </c>
      <c r="J109" s="115">
        <f t="shared" si="39"/>
        <v>4606002.8</v>
      </c>
      <c r="K109" s="116">
        <f>J109/I109</f>
        <v>0.60189262944530753</v>
      </c>
      <c r="L109" s="115"/>
      <c r="M109" s="115"/>
      <c r="N109" s="117">
        <f>J109+G109</f>
        <v>43092355.289999999</v>
      </c>
      <c r="O109" s="84" t="b">
        <f>N109=N110+N111+N112+N113+N115+N116</f>
        <v>1</v>
      </c>
      <c r="P109" s="34"/>
    </row>
    <row r="110" spans="1:16" ht="48" thickTop="1" thickBot="1" x14ac:dyDescent="0.25">
      <c r="A110" s="15" t="s">
        <v>279</v>
      </c>
      <c r="B110" s="79" t="s">
        <v>280</v>
      </c>
      <c r="C110" s="79" t="s">
        <v>281</v>
      </c>
      <c r="D110" s="79" t="s">
        <v>282</v>
      </c>
      <c r="E110" s="71">
        <v>1030790</v>
      </c>
      <c r="F110" s="71">
        <v>767520</v>
      </c>
      <c r="G110" s="71">
        <v>684293.11</v>
      </c>
      <c r="H110" s="70">
        <f t="shared" ref="H110:H131" si="40">G110/F110</f>
        <v>0.89156388107150297</v>
      </c>
      <c r="I110" s="67"/>
      <c r="J110" s="67"/>
      <c r="K110" s="67"/>
      <c r="L110" s="67"/>
      <c r="M110" s="111"/>
      <c r="N110" s="71">
        <f t="shared" ref="N110:N131" si="41">G110+J110</f>
        <v>684293.11</v>
      </c>
      <c r="P110" s="34"/>
    </row>
    <row r="111" spans="1:16" ht="93" thickTop="1" thickBot="1" x14ac:dyDescent="0.25">
      <c r="A111" s="15" t="s">
        <v>283</v>
      </c>
      <c r="B111" s="79" t="s">
        <v>284</v>
      </c>
      <c r="C111" s="79" t="s">
        <v>285</v>
      </c>
      <c r="D111" s="79" t="s">
        <v>286</v>
      </c>
      <c r="E111" s="71">
        <v>13805895</v>
      </c>
      <c r="F111" s="71">
        <v>10118940</v>
      </c>
      <c r="G111" s="71">
        <v>9577393.7899999991</v>
      </c>
      <c r="H111" s="70">
        <f t="shared" si="40"/>
        <v>0.94648192300774581</v>
      </c>
      <c r="I111" s="71">
        <v>1222128.57</v>
      </c>
      <c r="J111" s="71">
        <v>770824.33</v>
      </c>
      <c r="K111" s="70">
        <f t="shared" ref="K111:K115" si="42">J111/I111</f>
        <v>0.630722780664558</v>
      </c>
      <c r="L111" s="71"/>
      <c r="M111" s="105"/>
      <c r="N111" s="71">
        <f t="shared" si="41"/>
        <v>10348218.119999999</v>
      </c>
      <c r="P111" s="30"/>
    </row>
    <row r="112" spans="1:16" ht="93" thickTop="1" thickBot="1" x14ac:dyDescent="0.25">
      <c r="A112" s="15" t="s">
        <v>287</v>
      </c>
      <c r="B112" s="79" t="s">
        <v>288</v>
      </c>
      <c r="C112" s="79" t="s">
        <v>285</v>
      </c>
      <c r="D112" s="79" t="s">
        <v>289</v>
      </c>
      <c r="E112" s="71">
        <f>(1328500+292270+14055+20330+139800+4305+53715+3980)</f>
        <v>1856955</v>
      </c>
      <c r="F112" s="71">
        <v>1295330</v>
      </c>
      <c r="G112" s="71">
        <v>1240432.24</v>
      </c>
      <c r="H112" s="70">
        <f t="shared" si="40"/>
        <v>0.95761870720202569</v>
      </c>
      <c r="I112" s="71">
        <v>5245100</v>
      </c>
      <c r="J112" s="71">
        <v>3115117.25</v>
      </c>
      <c r="K112" s="70">
        <f t="shared" si="42"/>
        <v>0.59390998265047379</v>
      </c>
      <c r="L112" s="71"/>
      <c r="M112" s="105"/>
      <c r="N112" s="71">
        <f t="shared" si="41"/>
        <v>4355549.49</v>
      </c>
      <c r="P112" s="30"/>
    </row>
    <row r="113" spans="1:16" ht="184.5" thickTop="1" thickBot="1" x14ac:dyDescent="0.25">
      <c r="A113" s="15" t="s">
        <v>290</v>
      </c>
      <c r="B113" s="79" t="s">
        <v>291</v>
      </c>
      <c r="C113" s="79" t="s">
        <v>292</v>
      </c>
      <c r="D113" s="79" t="s">
        <v>293</v>
      </c>
      <c r="E113" s="71">
        <v>13555465</v>
      </c>
      <c r="F113" s="71">
        <v>9907768</v>
      </c>
      <c r="G113" s="71">
        <v>8374899.75</v>
      </c>
      <c r="H113" s="70">
        <f t="shared" si="40"/>
        <v>0.84528621885373179</v>
      </c>
      <c r="I113" s="71">
        <v>602200</v>
      </c>
      <c r="J113" s="71">
        <v>244397.64</v>
      </c>
      <c r="K113" s="70">
        <f t="shared" si="42"/>
        <v>0.40584131517768185</v>
      </c>
      <c r="L113" s="71"/>
      <c r="M113" s="105"/>
      <c r="N113" s="71">
        <f t="shared" si="41"/>
        <v>8619297.3900000006</v>
      </c>
      <c r="P113" s="30"/>
    </row>
    <row r="114" spans="1:16" ht="93" thickTop="1" thickBot="1" x14ac:dyDescent="0.25">
      <c r="A114" s="24" t="s">
        <v>294</v>
      </c>
      <c r="B114" s="64" t="s">
        <v>295</v>
      </c>
      <c r="C114" s="64"/>
      <c r="D114" s="64" t="s">
        <v>296</v>
      </c>
      <c r="E114" s="74">
        <f t="shared" ref="E114:J114" si="43">SUM(E115:E116)</f>
        <v>25498430</v>
      </c>
      <c r="F114" s="74">
        <f t="shared" si="43"/>
        <v>20642779.5</v>
      </c>
      <c r="G114" s="74">
        <f t="shared" si="43"/>
        <v>18609333.600000001</v>
      </c>
      <c r="H114" s="75">
        <f t="shared" si="40"/>
        <v>0.90149359973544263</v>
      </c>
      <c r="I114" s="74">
        <f t="shared" si="43"/>
        <v>583103.75</v>
      </c>
      <c r="J114" s="74">
        <f t="shared" si="43"/>
        <v>475663.58</v>
      </c>
      <c r="K114" s="75">
        <f t="shared" si="42"/>
        <v>0.81574433366274868</v>
      </c>
      <c r="L114" s="120"/>
      <c r="M114" s="120"/>
      <c r="N114" s="74">
        <f t="shared" si="41"/>
        <v>19084997.18</v>
      </c>
      <c r="P114" s="30"/>
    </row>
    <row r="115" spans="1:16" ht="138.75" thickTop="1" thickBot="1" x14ac:dyDescent="0.25">
      <c r="A115" s="15" t="s">
        <v>297</v>
      </c>
      <c r="B115" s="79" t="s">
        <v>298</v>
      </c>
      <c r="C115" s="79" t="s">
        <v>299</v>
      </c>
      <c r="D115" s="79" t="s">
        <v>300</v>
      </c>
      <c r="E115" s="71">
        <v>19182270</v>
      </c>
      <c r="F115" s="71">
        <v>14587819.5</v>
      </c>
      <c r="G115" s="71">
        <v>14299017.210000001</v>
      </c>
      <c r="H115" s="70">
        <f t="shared" si="40"/>
        <v>0.98020250456211089</v>
      </c>
      <c r="I115" s="71">
        <v>583103.75</v>
      </c>
      <c r="J115" s="71">
        <v>475663.58</v>
      </c>
      <c r="K115" s="70">
        <f t="shared" si="42"/>
        <v>0.81574433366274868</v>
      </c>
      <c r="L115" s="71"/>
      <c r="M115" s="105"/>
      <c r="N115" s="71">
        <f t="shared" si="41"/>
        <v>14774680.790000001</v>
      </c>
      <c r="P115" s="34"/>
    </row>
    <row r="116" spans="1:16" ht="93" thickTop="1" thickBot="1" x14ac:dyDescent="0.25">
      <c r="A116" s="15" t="s">
        <v>301</v>
      </c>
      <c r="B116" s="79" t="s">
        <v>302</v>
      </c>
      <c r="C116" s="79" t="s">
        <v>299</v>
      </c>
      <c r="D116" s="79" t="s">
        <v>303</v>
      </c>
      <c r="E116" s="71">
        <v>6316160</v>
      </c>
      <c r="F116" s="71">
        <v>6054960</v>
      </c>
      <c r="G116" s="71">
        <v>4310316.3899999997</v>
      </c>
      <c r="H116" s="70">
        <f t="shared" si="40"/>
        <v>0.71186537813627171</v>
      </c>
      <c r="I116" s="67"/>
      <c r="J116" s="67"/>
      <c r="K116" s="67"/>
      <c r="L116" s="67"/>
      <c r="M116" s="111"/>
      <c r="N116" s="71">
        <f t="shared" si="41"/>
        <v>4310316.3899999997</v>
      </c>
      <c r="P116" s="34"/>
    </row>
    <row r="117" spans="1:16" ht="77.25" customHeight="1" thickTop="1" thickBot="1" x14ac:dyDescent="0.25">
      <c r="A117" s="8" t="s">
        <v>314</v>
      </c>
      <c r="B117" s="113" t="s">
        <v>315</v>
      </c>
      <c r="C117" s="113"/>
      <c r="D117" s="114" t="s">
        <v>316</v>
      </c>
      <c r="E117" s="115">
        <f>SUM(E118:E131)-E118-E121-E123-E128-E126</f>
        <v>77681852</v>
      </c>
      <c r="F117" s="115">
        <f>SUM(F118:F131)-F118-F121-F123-F128-F126</f>
        <v>61770445</v>
      </c>
      <c r="G117" s="115">
        <f>SUM(G118:G131)-G118-G121-G123-G128-G126</f>
        <v>57035462.880000003</v>
      </c>
      <c r="H117" s="116">
        <f>G117/F117</f>
        <v>0.92334550738625898</v>
      </c>
      <c r="I117" s="115">
        <f>SUM(I118:I131)-I118-I121-I123-I128-I126</f>
        <v>118095350.29999998</v>
      </c>
      <c r="J117" s="115">
        <f>SUM(J118:J131)-J118-J121-J123-J128-J126</f>
        <v>61709194.339999989</v>
      </c>
      <c r="K117" s="116">
        <f>J117/I117</f>
        <v>0.52253703624434733</v>
      </c>
      <c r="L117" s="115"/>
      <c r="M117" s="115"/>
      <c r="N117" s="117">
        <f>J117+G117</f>
        <v>118744657.22</v>
      </c>
      <c r="O117" s="84" t="b">
        <f>N117=N119+N120+N122+N124+N125+N127+N129+N130+N131</f>
        <v>1</v>
      </c>
      <c r="P117" s="30"/>
    </row>
    <row r="118" spans="1:16" s="20" customFormat="1" ht="123" thickTop="1" thickBot="1" x14ac:dyDescent="0.25">
      <c r="A118" s="24" t="s">
        <v>317</v>
      </c>
      <c r="B118" s="64" t="s">
        <v>318</v>
      </c>
      <c r="C118" s="64"/>
      <c r="D118" s="64" t="s">
        <v>319</v>
      </c>
      <c r="E118" s="77">
        <f t="shared" ref="E118:G118" si="44">SUM(E119:E120)</f>
        <v>17074487</v>
      </c>
      <c r="F118" s="77">
        <f t="shared" si="44"/>
        <v>15180683</v>
      </c>
      <c r="G118" s="77">
        <f t="shared" si="44"/>
        <v>13616742.190000001</v>
      </c>
      <c r="H118" s="75">
        <f t="shared" si="40"/>
        <v>0.89697823148009881</v>
      </c>
      <c r="I118" s="122"/>
      <c r="J118" s="122"/>
      <c r="K118" s="121"/>
      <c r="L118" s="122"/>
      <c r="M118" s="122"/>
      <c r="N118" s="74">
        <f t="shared" si="41"/>
        <v>13616742.190000001</v>
      </c>
      <c r="O118" s="60" t="s">
        <v>460</v>
      </c>
      <c r="P118" s="36"/>
    </row>
    <row r="119" spans="1:16" s="39" customFormat="1" ht="138.75" thickTop="1" thickBot="1" x14ac:dyDescent="0.25">
      <c r="A119" s="15" t="s">
        <v>320</v>
      </c>
      <c r="B119" s="79" t="s">
        <v>321</v>
      </c>
      <c r="C119" s="79" t="s">
        <v>322</v>
      </c>
      <c r="D119" s="79" t="s">
        <v>323</v>
      </c>
      <c r="E119" s="69">
        <v>15164902</v>
      </c>
      <c r="F119" s="71">
        <v>13570760</v>
      </c>
      <c r="G119" s="71">
        <v>12084707.890000001</v>
      </c>
      <c r="H119" s="70">
        <f t="shared" si="40"/>
        <v>0.89049602896226887</v>
      </c>
      <c r="I119" s="67"/>
      <c r="J119" s="67"/>
      <c r="K119" s="67"/>
      <c r="L119" s="67"/>
      <c r="M119" s="111"/>
      <c r="N119" s="71">
        <f t="shared" si="41"/>
        <v>12084707.890000001</v>
      </c>
      <c r="O119" s="37"/>
      <c r="P119" s="38"/>
    </row>
    <row r="120" spans="1:16" s="39" customFormat="1" ht="138.75" thickTop="1" thickBot="1" x14ac:dyDescent="0.25">
      <c r="A120" s="15" t="s">
        <v>324</v>
      </c>
      <c r="B120" s="79" t="s">
        <v>325</v>
      </c>
      <c r="C120" s="79" t="s">
        <v>322</v>
      </c>
      <c r="D120" s="79" t="s">
        <v>326</v>
      </c>
      <c r="E120" s="69">
        <v>1909585</v>
      </c>
      <c r="F120" s="71">
        <v>1609923</v>
      </c>
      <c r="G120" s="71">
        <v>1532034.3</v>
      </c>
      <c r="H120" s="70">
        <f t="shared" si="40"/>
        <v>0.95161961162117692</v>
      </c>
      <c r="I120" s="71"/>
      <c r="J120" s="71"/>
      <c r="K120" s="71"/>
      <c r="L120" s="71"/>
      <c r="M120" s="105"/>
      <c r="N120" s="71">
        <f t="shared" si="41"/>
        <v>1532034.3</v>
      </c>
      <c r="O120" s="37"/>
      <c r="P120" s="38"/>
    </row>
    <row r="121" spans="1:16" s="20" customFormat="1" ht="184.5" thickTop="1" thickBot="1" x14ac:dyDescent="0.25">
      <c r="A121" s="24" t="s">
        <v>327</v>
      </c>
      <c r="B121" s="64" t="s">
        <v>328</v>
      </c>
      <c r="C121" s="64"/>
      <c r="D121" s="64" t="s">
        <v>329</v>
      </c>
      <c r="E121" s="77">
        <f t="shared" ref="E121:G121" si="45">E122</f>
        <v>60300</v>
      </c>
      <c r="F121" s="77">
        <f t="shared" si="45"/>
        <v>39160</v>
      </c>
      <c r="G121" s="77">
        <f t="shared" si="45"/>
        <v>3780</v>
      </c>
      <c r="H121" s="75">
        <f t="shared" si="40"/>
        <v>9.6527068437180799E-2</v>
      </c>
      <c r="I121" s="77"/>
      <c r="J121" s="77"/>
      <c r="K121" s="75"/>
      <c r="L121" s="77"/>
      <c r="M121" s="77"/>
      <c r="N121" s="74">
        <f t="shared" si="41"/>
        <v>3780</v>
      </c>
      <c r="O121" s="60" t="s">
        <v>460</v>
      </c>
      <c r="P121" s="40"/>
    </row>
    <row r="122" spans="1:16" s="39" customFormat="1" ht="184.5" thickTop="1" thickBot="1" x14ac:dyDescent="0.25">
      <c r="A122" s="15" t="s">
        <v>330</v>
      </c>
      <c r="B122" s="79" t="s">
        <v>331</v>
      </c>
      <c r="C122" s="79" t="s">
        <v>322</v>
      </c>
      <c r="D122" s="79" t="s">
        <v>332</v>
      </c>
      <c r="E122" s="69">
        <f>(4295+56005)</f>
        <v>60300</v>
      </c>
      <c r="F122" s="69">
        <v>39160</v>
      </c>
      <c r="G122" s="69">
        <v>3780</v>
      </c>
      <c r="H122" s="70">
        <f t="shared" si="40"/>
        <v>9.6527068437180799E-2</v>
      </c>
      <c r="I122" s="71"/>
      <c r="J122" s="69"/>
      <c r="K122" s="69"/>
      <c r="L122" s="69"/>
      <c r="M122" s="105"/>
      <c r="N122" s="71">
        <f t="shared" si="41"/>
        <v>3780</v>
      </c>
      <c r="O122" s="37"/>
      <c r="P122" s="38"/>
    </row>
    <row r="123" spans="1:16" ht="93" thickTop="1" thickBot="1" x14ac:dyDescent="0.25">
      <c r="A123" s="24" t="s">
        <v>333</v>
      </c>
      <c r="B123" s="64" t="s">
        <v>334</v>
      </c>
      <c r="C123" s="64"/>
      <c r="D123" s="64" t="s">
        <v>335</v>
      </c>
      <c r="E123" s="77">
        <f t="shared" ref="E123:J123" si="46">SUM(E124:E125)</f>
        <v>56032394</v>
      </c>
      <c r="F123" s="77">
        <f t="shared" si="46"/>
        <v>42803931</v>
      </c>
      <c r="G123" s="77">
        <f t="shared" si="46"/>
        <v>40522073.940000005</v>
      </c>
      <c r="H123" s="75">
        <f t="shared" si="40"/>
        <v>0.94669047896558856</v>
      </c>
      <c r="I123" s="77">
        <f t="shared" si="46"/>
        <v>5835381.2999999998</v>
      </c>
      <c r="J123" s="77">
        <f t="shared" si="46"/>
        <v>3905898.15</v>
      </c>
      <c r="K123" s="75">
        <f t="shared" ref="K123:K128" si="47">J123/I123</f>
        <v>0.66934754546373865</v>
      </c>
      <c r="L123" s="122"/>
      <c r="M123" s="122"/>
      <c r="N123" s="74">
        <f t="shared" si="41"/>
        <v>44427972.090000004</v>
      </c>
      <c r="P123" s="30"/>
    </row>
    <row r="124" spans="1:16" s="39" customFormat="1" ht="184.5" thickTop="1" thickBot="1" x14ac:dyDescent="0.25">
      <c r="A124" s="15" t="s">
        <v>336</v>
      </c>
      <c r="B124" s="79" t="s">
        <v>337</v>
      </c>
      <c r="C124" s="79" t="s">
        <v>322</v>
      </c>
      <c r="D124" s="79" t="s">
        <v>338</v>
      </c>
      <c r="E124" s="69">
        <v>46954824</v>
      </c>
      <c r="F124" s="69">
        <v>35729421</v>
      </c>
      <c r="G124" s="69">
        <v>33937792.020000003</v>
      </c>
      <c r="H124" s="70">
        <f t="shared" si="40"/>
        <v>0.94985563913840088</v>
      </c>
      <c r="I124" s="69">
        <v>5820181.2999999998</v>
      </c>
      <c r="J124" s="69">
        <v>3890698.15</v>
      </c>
      <c r="K124" s="70">
        <f t="shared" si="47"/>
        <v>0.66848401268874558</v>
      </c>
      <c r="L124" s="69"/>
      <c r="M124" s="105"/>
      <c r="N124" s="71">
        <f t="shared" si="41"/>
        <v>37828490.170000002</v>
      </c>
      <c r="O124" s="37"/>
      <c r="P124" s="38"/>
    </row>
    <row r="125" spans="1:16" s="39" customFormat="1" ht="184.5" thickTop="1" thickBot="1" x14ac:dyDescent="0.25">
      <c r="A125" s="15" t="s">
        <v>339</v>
      </c>
      <c r="B125" s="79" t="s">
        <v>340</v>
      </c>
      <c r="C125" s="79" t="s">
        <v>322</v>
      </c>
      <c r="D125" s="79" t="s">
        <v>341</v>
      </c>
      <c r="E125" s="69">
        <v>9077570</v>
      </c>
      <c r="F125" s="69">
        <v>7074510</v>
      </c>
      <c r="G125" s="69">
        <v>6584281.9199999999</v>
      </c>
      <c r="H125" s="70">
        <f t="shared" si="40"/>
        <v>0.93070501278533779</v>
      </c>
      <c r="I125" s="69">
        <v>15200</v>
      </c>
      <c r="J125" s="69">
        <v>15200</v>
      </c>
      <c r="K125" s="70">
        <f t="shared" si="47"/>
        <v>1</v>
      </c>
      <c r="L125" s="69"/>
      <c r="M125" s="105"/>
      <c r="N125" s="71">
        <f t="shared" si="41"/>
        <v>6599481.9199999999</v>
      </c>
      <c r="O125" s="37"/>
      <c r="P125" s="38"/>
    </row>
    <row r="126" spans="1:16" s="39" customFormat="1" ht="93" thickTop="1" thickBot="1" x14ac:dyDescent="0.25">
      <c r="A126" s="15"/>
      <c r="B126" s="64" t="s">
        <v>400</v>
      </c>
      <c r="C126" s="64"/>
      <c r="D126" s="64" t="s">
        <v>401</v>
      </c>
      <c r="E126" s="77">
        <f t="shared" ref="E126:J126" si="48">E127</f>
        <v>0</v>
      </c>
      <c r="F126" s="77">
        <f t="shared" si="48"/>
        <v>0</v>
      </c>
      <c r="G126" s="77">
        <f t="shared" si="48"/>
        <v>0</v>
      </c>
      <c r="H126" s="75">
        <v>0</v>
      </c>
      <c r="I126" s="77">
        <f t="shared" si="48"/>
        <v>112000000</v>
      </c>
      <c r="J126" s="77">
        <f t="shared" si="48"/>
        <v>57543327.189999998</v>
      </c>
      <c r="K126" s="75">
        <f t="shared" si="47"/>
        <v>0.51377970705357145</v>
      </c>
      <c r="L126" s="77"/>
      <c r="M126" s="77"/>
      <c r="N126" s="74">
        <f t="shared" si="41"/>
        <v>57543327.189999998</v>
      </c>
      <c r="O126" s="37"/>
      <c r="P126" s="38"/>
    </row>
    <row r="127" spans="1:16" s="39" customFormat="1" ht="321.75" thickTop="1" thickBot="1" x14ac:dyDescent="0.25">
      <c r="A127" s="15"/>
      <c r="B127" s="79" t="s">
        <v>402</v>
      </c>
      <c r="C127" s="79" t="s">
        <v>322</v>
      </c>
      <c r="D127" s="79" t="s">
        <v>403</v>
      </c>
      <c r="E127" s="67"/>
      <c r="F127" s="67"/>
      <c r="G127" s="67"/>
      <c r="H127" s="66"/>
      <c r="I127" s="71">
        <v>112000000</v>
      </c>
      <c r="J127" s="71">
        <v>57543327.189999998</v>
      </c>
      <c r="K127" s="70">
        <f t="shared" si="47"/>
        <v>0.51377970705357145</v>
      </c>
      <c r="L127" s="71"/>
      <c r="M127" s="105"/>
      <c r="N127" s="71">
        <f t="shared" si="41"/>
        <v>57543327.189999998</v>
      </c>
      <c r="O127" s="37"/>
      <c r="P127" s="38"/>
    </row>
    <row r="128" spans="1:16" ht="93" thickTop="1" thickBot="1" x14ac:dyDescent="0.25">
      <c r="A128" s="41" t="s">
        <v>342</v>
      </c>
      <c r="B128" s="64" t="s">
        <v>343</v>
      </c>
      <c r="C128" s="64"/>
      <c r="D128" s="64" t="s">
        <v>344</v>
      </c>
      <c r="E128" s="77">
        <f t="shared" ref="E128:J128" si="49">SUM(E129:E131)</f>
        <v>4514671</v>
      </c>
      <c r="F128" s="77">
        <f t="shared" si="49"/>
        <v>3746671</v>
      </c>
      <c r="G128" s="77">
        <f t="shared" si="49"/>
        <v>2892866.75</v>
      </c>
      <c r="H128" s="75">
        <f t="shared" si="40"/>
        <v>0.77211656694703112</v>
      </c>
      <c r="I128" s="77">
        <f t="shared" si="49"/>
        <v>259969</v>
      </c>
      <c r="J128" s="77">
        <f t="shared" si="49"/>
        <v>259969</v>
      </c>
      <c r="K128" s="75">
        <f t="shared" si="47"/>
        <v>1</v>
      </c>
      <c r="L128" s="122"/>
      <c r="M128" s="122"/>
      <c r="N128" s="74">
        <f t="shared" si="41"/>
        <v>3152835.75</v>
      </c>
      <c r="P128" s="30"/>
    </row>
    <row r="129" spans="1:16" s="39" customFormat="1" ht="276" thickTop="1" thickBot="1" x14ac:dyDescent="0.25">
      <c r="A129" s="42" t="s">
        <v>345</v>
      </c>
      <c r="B129" s="63" t="s">
        <v>346</v>
      </c>
      <c r="C129" s="63" t="s">
        <v>322</v>
      </c>
      <c r="D129" s="79" t="s">
        <v>347</v>
      </c>
      <c r="E129" s="69">
        <v>768820</v>
      </c>
      <c r="F129" s="71">
        <v>762580</v>
      </c>
      <c r="G129" s="71">
        <v>409804.14</v>
      </c>
      <c r="H129" s="70">
        <f t="shared" si="40"/>
        <v>0.53739167038212388</v>
      </c>
      <c r="I129" s="71"/>
      <c r="J129" s="71"/>
      <c r="K129" s="71"/>
      <c r="L129" s="71"/>
      <c r="M129" s="105"/>
      <c r="N129" s="71">
        <f t="shared" si="41"/>
        <v>409804.14</v>
      </c>
      <c r="O129" s="37"/>
      <c r="P129" s="38"/>
    </row>
    <row r="130" spans="1:16" s="39" customFormat="1" ht="184.5" thickTop="1" thickBot="1" x14ac:dyDescent="0.25">
      <c r="A130" s="42" t="s">
        <v>348</v>
      </c>
      <c r="B130" s="63" t="s">
        <v>349</v>
      </c>
      <c r="C130" s="63" t="s">
        <v>322</v>
      </c>
      <c r="D130" s="79" t="s">
        <v>350</v>
      </c>
      <c r="E130" s="69">
        <v>1969086</v>
      </c>
      <c r="F130" s="71">
        <v>1611240</v>
      </c>
      <c r="G130" s="71">
        <v>1275289</v>
      </c>
      <c r="H130" s="70">
        <f t="shared" si="40"/>
        <v>0.79149537002557036</v>
      </c>
      <c r="I130" s="71"/>
      <c r="J130" s="71"/>
      <c r="K130" s="71"/>
      <c r="L130" s="71"/>
      <c r="M130" s="105"/>
      <c r="N130" s="71">
        <f t="shared" si="41"/>
        <v>1275289</v>
      </c>
      <c r="O130" s="37"/>
      <c r="P130" s="38"/>
    </row>
    <row r="131" spans="1:16" s="39" customFormat="1" ht="93" thickTop="1" thickBot="1" x14ac:dyDescent="0.25">
      <c r="A131" s="42" t="s">
        <v>351</v>
      </c>
      <c r="B131" s="63" t="s">
        <v>352</v>
      </c>
      <c r="C131" s="63" t="s">
        <v>322</v>
      </c>
      <c r="D131" s="79" t="s">
        <v>353</v>
      </c>
      <c r="E131" s="69">
        <v>1776765</v>
      </c>
      <c r="F131" s="71">
        <v>1372851</v>
      </c>
      <c r="G131" s="71">
        <v>1207773.6100000001</v>
      </c>
      <c r="H131" s="70">
        <f t="shared" si="40"/>
        <v>0.87975578558780243</v>
      </c>
      <c r="I131" s="71">
        <v>259969</v>
      </c>
      <c r="J131" s="71">
        <v>259969</v>
      </c>
      <c r="K131" s="70">
        <f t="shared" ref="K131:K134" si="50">J131/I131</f>
        <v>1</v>
      </c>
      <c r="L131" s="71"/>
      <c r="M131" s="105"/>
      <c r="N131" s="71">
        <f t="shared" si="41"/>
        <v>1467742.61</v>
      </c>
      <c r="O131" s="37"/>
      <c r="P131" s="38"/>
    </row>
    <row r="132" spans="1:16" ht="91.5" thickTop="1" thickBot="1" x14ac:dyDescent="0.25">
      <c r="A132" s="8" t="s">
        <v>356</v>
      </c>
      <c r="B132" s="113" t="s">
        <v>264</v>
      </c>
      <c r="C132" s="113"/>
      <c r="D132" s="114" t="s">
        <v>265</v>
      </c>
      <c r="E132" s="115">
        <f>SUM(E133:E144)-E133-E141</f>
        <v>221796672.53</v>
      </c>
      <c r="F132" s="115">
        <f>SUM(F133:F144)-F133-F141</f>
        <v>180861779.53</v>
      </c>
      <c r="G132" s="115">
        <f>SUM(G133:G144)-G133-G141</f>
        <v>163054876.53</v>
      </c>
      <c r="H132" s="116">
        <f>G132/F132</f>
        <v>0.90154413471837858</v>
      </c>
      <c r="I132" s="115">
        <f>SUM(I133:I144)-I133-I141</f>
        <v>54129374</v>
      </c>
      <c r="J132" s="115">
        <f>SUM(J133:J144)-J133-J141</f>
        <v>26094188.709999997</v>
      </c>
      <c r="K132" s="116">
        <f>J132/I132</f>
        <v>0.48207076457230036</v>
      </c>
      <c r="L132" s="115"/>
      <c r="M132" s="115"/>
      <c r="N132" s="117">
        <f>J132+G132</f>
        <v>189149065.24000001</v>
      </c>
      <c r="O132" s="84" t="b">
        <f>N132=N134+N135+N136+N137+N138+N139+N140+N142+N144+N143</f>
        <v>1</v>
      </c>
      <c r="P132" s="43"/>
    </row>
    <row r="133" spans="1:16" s="20" customFormat="1" ht="184.5" thickTop="1" thickBot="1" x14ac:dyDescent="0.25">
      <c r="A133" s="24" t="s">
        <v>357</v>
      </c>
      <c r="B133" s="126" t="s">
        <v>358</v>
      </c>
      <c r="C133" s="126"/>
      <c r="D133" s="126" t="s">
        <v>359</v>
      </c>
      <c r="E133" s="74">
        <f t="shared" ref="E133:J133" si="51">SUM(E134:E138)</f>
        <v>36586300</v>
      </c>
      <c r="F133" s="74">
        <f t="shared" si="51"/>
        <v>36451300</v>
      </c>
      <c r="G133" s="74">
        <f t="shared" si="51"/>
        <v>35430030.969999999</v>
      </c>
      <c r="H133" s="75">
        <f t="shared" ref="H133:H138" si="52">G133/F133</f>
        <v>0.97198264451473604</v>
      </c>
      <c r="I133" s="74">
        <f t="shared" si="51"/>
        <v>30061901</v>
      </c>
      <c r="J133" s="74">
        <f t="shared" si="51"/>
        <v>13016246.370000001</v>
      </c>
      <c r="K133" s="75">
        <f t="shared" si="50"/>
        <v>0.43298147944802295</v>
      </c>
      <c r="L133" s="120"/>
      <c r="M133" s="120"/>
      <c r="N133" s="74">
        <f t="shared" ref="N133:N178" si="53">G133+J133</f>
        <v>48446277.340000004</v>
      </c>
      <c r="O133" s="22"/>
      <c r="P133" s="43"/>
    </row>
    <row r="134" spans="1:16" ht="138.75" thickTop="1" thickBot="1" x14ac:dyDescent="0.25">
      <c r="A134" s="15" t="s">
        <v>360</v>
      </c>
      <c r="B134" s="79" t="s">
        <v>361</v>
      </c>
      <c r="C134" s="79" t="s">
        <v>268</v>
      </c>
      <c r="D134" s="79" t="s">
        <v>362</v>
      </c>
      <c r="E134" s="69">
        <v>1475300</v>
      </c>
      <c r="F134" s="69">
        <v>1450300</v>
      </c>
      <c r="G134" s="69">
        <v>897965.14</v>
      </c>
      <c r="H134" s="70">
        <f t="shared" si="52"/>
        <v>0.61915820175136183</v>
      </c>
      <c r="I134" s="69">
        <v>8993440</v>
      </c>
      <c r="J134" s="109">
        <v>3886461.64</v>
      </c>
      <c r="K134" s="70">
        <f t="shared" si="50"/>
        <v>0.43214405611201057</v>
      </c>
      <c r="L134" s="109"/>
      <c r="M134" s="105"/>
      <c r="N134" s="71">
        <f t="shared" si="53"/>
        <v>4784426.78</v>
      </c>
      <c r="P134" s="43"/>
    </row>
    <row r="135" spans="1:16" ht="138.75" thickTop="1" thickBot="1" x14ac:dyDescent="0.25">
      <c r="A135" s="15"/>
      <c r="B135" s="79" t="s">
        <v>382</v>
      </c>
      <c r="C135" s="79" t="s">
        <v>365</v>
      </c>
      <c r="D135" s="79" t="s">
        <v>383</v>
      </c>
      <c r="E135" s="69">
        <v>31000000</v>
      </c>
      <c r="F135" s="69">
        <v>31000000</v>
      </c>
      <c r="G135" s="69">
        <v>31000000</v>
      </c>
      <c r="H135" s="70">
        <f t="shared" si="52"/>
        <v>1</v>
      </c>
      <c r="I135" s="69"/>
      <c r="J135" s="109"/>
      <c r="K135" s="109"/>
      <c r="L135" s="109"/>
      <c r="M135" s="105"/>
      <c r="N135" s="71">
        <f t="shared" si="53"/>
        <v>31000000</v>
      </c>
      <c r="P135" s="43"/>
    </row>
    <row r="136" spans="1:16" ht="138.75" thickTop="1" thickBot="1" x14ac:dyDescent="0.25">
      <c r="A136" s="15"/>
      <c r="B136" s="79" t="s">
        <v>384</v>
      </c>
      <c r="C136" s="79" t="s">
        <v>365</v>
      </c>
      <c r="D136" s="79" t="s">
        <v>385</v>
      </c>
      <c r="E136" s="69">
        <v>3561000</v>
      </c>
      <c r="F136" s="69">
        <v>3561000</v>
      </c>
      <c r="G136" s="69">
        <v>3356025.62</v>
      </c>
      <c r="H136" s="70">
        <f t="shared" si="52"/>
        <v>0.94243909575961815</v>
      </c>
      <c r="I136" s="69"/>
      <c r="J136" s="109"/>
      <c r="K136" s="109"/>
      <c r="L136" s="109"/>
      <c r="M136" s="105"/>
      <c r="N136" s="71">
        <f t="shared" si="53"/>
        <v>3356025.62</v>
      </c>
      <c r="P136" s="43"/>
    </row>
    <row r="137" spans="1:16" ht="138.75" thickTop="1" thickBot="1" x14ac:dyDescent="0.25">
      <c r="A137" s="15" t="s">
        <v>363</v>
      </c>
      <c r="B137" s="79" t="s">
        <v>364</v>
      </c>
      <c r="C137" s="79" t="s">
        <v>365</v>
      </c>
      <c r="D137" s="79" t="s">
        <v>366</v>
      </c>
      <c r="E137" s="83"/>
      <c r="F137" s="83"/>
      <c r="G137" s="83"/>
      <c r="H137" s="83"/>
      <c r="I137" s="69">
        <v>8000000</v>
      </c>
      <c r="J137" s="109">
        <v>4802911.92</v>
      </c>
      <c r="K137" s="70">
        <f t="shared" ref="K137:K143" si="54">J137/I137</f>
        <v>0.60036398999999996</v>
      </c>
      <c r="L137" s="109"/>
      <c r="M137" s="105"/>
      <c r="N137" s="71">
        <f t="shared" si="53"/>
        <v>4802911.92</v>
      </c>
      <c r="P137" s="43"/>
    </row>
    <row r="138" spans="1:16" ht="184.5" thickTop="1" thickBot="1" x14ac:dyDescent="0.25">
      <c r="A138" s="15" t="s">
        <v>367</v>
      </c>
      <c r="B138" s="79" t="s">
        <v>368</v>
      </c>
      <c r="C138" s="79" t="s">
        <v>365</v>
      </c>
      <c r="D138" s="79" t="s">
        <v>369</v>
      </c>
      <c r="E138" s="69">
        <v>550000</v>
      </c>
      <c r="F138" s="69">
        <v>440000</v>
      </c>
      <c r="G138" s="69">
        <v>176040.21</v>
      </c>
      <c r="H138" s="70">
        <f t="shared" si="52"/>
        <v>0.40009138636363634</v>
      </c>
      <c r="I138" s="69">
        <v>13068461</v>
      </c>
      <c r="J138" s="109">
        <v>4326872.8099999996</v>
      </c>
      <c r="K138" s="70">
        <f t="shared" si="54"/>
        <v>0.33109275912442937</v>
      </c>
      <c r="L138" s="109"/>
      <c r="M138" s="105"/>
      <c r="N138" s="71">
        <f t="shared" si="53"/>
        <v>4502913.0199999996</v>
      </c>
      <c r="P138" s="43"/>
    </row>
    <row r="139" spans="1:16" ht="230.25" thickTop="1" thickBot="1" x14ac:dyDescent="0.25">
      <c r="A139" s="15" t="s">
        <v>370</v>
      </c>
      <c r="B139" s="79" t="s">
        <v>371</v>
      </c>
      <c r="C139" s="79" t="s">
        <v>365</v>
      </c>
      <c r="D139" s="79" t="s">
        <v>372</v>
      </c>
      <c r="E139" s="69">
        <f>230000+3930000</f>
        <v>4160000</v>
      </c>
      <c r="F139" s="69">
        <v>2635000</v>
      </c>
      <c r="G139" s="69">
        <f>159702.76+1200000</f>
        <v>1359702.76</v>
      </c>
      <c r="H139" s="70">
        <f>G139/F139</f>
        <v>0.51601622770398481</v>
      </c>
      <c r="I139" s="69"/>
      <c r="J139" s="109"/>
      <c r="K139" s="109"/>
      <c r="L139" s="109"/>
      <c r="M139" s="105"/>
      <c r="N139" s="71">
        <f t="shared" si="53"/>
        <v>1359702.76</v>
      </c>
      <c r="O139" s="60"/>
      <c r="P139" s="43"/>
    </row>
    <row r="140" spans="1:16" ht="93" thickTop="1" thickBot="1" x14ac:dyDescent="0.25">
      <c r="A140" s="15"/>
      <c r="B140" s="79" t="s">
        <v>374</v>
      </c>
      <c r="C140" s="79" t="s">
        <v>365</v>
      </c>
      <c r="D140" s="79" t="s">
        <v>375</v>
      </c>
      <c r="E140" s="69">
        <f>14100000+166924948</f>
        <v>181024948</v>
      </c>
      <c r="F140" s="69">
        <v>141750055</v>
      </c>
      <c r="G140" s="69">
        <f>9172170+117092972.8</f>
        <v>126265142.8</v>
      </c>
      <c r="H140" s="70">
        <f t="shared" ref="H140:H141" si="55">G140/F140</f>
        <v>0.89075903921166022</v>
      </c>
      <c r="I140" s="71">
        <v>16490439</v>
      </c>
      <c r="J140" s="69">
        <v>11755136.74</v>
      </c>
      <c r="K140" s="70">
        <f t="shared" si="54"/>
        <v>0.71284559131506442</v>
      </c>
      <c r="L140" s="69"/>
      <c r="M140" s="105"/>
      <c r="N140" s="71">
        <f t="shared" si="53"/>
        <v>138020279.53999999</v>
      </c>
      <c r="O140" s="62"/>
      <c r="P140" s="43"/>
    </row>
    <row r="141" spans="1:16" ht="93" thickTop="1" thickBot="1" x14ac:dyDescent="0.25">
      <c r="A141" s="15"/>
      <c r="B141" s="64" t="s">
        <v>266</v>
      </c>
      <c r="C141" s="64"/>
      <c r="D141" s="64" t="s">
        <v>461</v>
      </c>
      <c r="E141" s="77">
        <f>SUM(E142:E144)</f>
        <v>25424.53</v>
      </c>
      <c r="F141" s="77">
        <f>SUM(F142:F144)</f>
        <v>25424.53</v>
      </c>
      <c r="G141" s="77">
        <f>SUM(G142:G144)</f>
        <v>0</v>
      </c>
      <c r="H141" s="75">
        <f t="shared" si="55"/>
        <v>0</v>
      </c>
      <c r="I141" s="77">
        <f>SUM(I142:I144)</f>
        <v>7577034</v>
      </c>
      <c r="J141" s="77">
        <f>SUM(J142:J144)</f>
        <v>1322805.6000000001</v>
      </c>
      <c r="K141" s="70">
        <f t="shared" si="54"/>
        <v>0.17458092440920817</v>
      </c>
      <c r="L141" s="77"/>
      <c r="M141" s="102"/>
      <c r="N141" s="74">
        <f t="shared" si="53"/>
        <v>1322805.6000000001</v>
      </c>
      <c r="O141" s="60"/>
      <c r="P141" s="43"/>
    </row>
    <row r="142" spans="1:16" ht="138.75" thickTop="1" thickBot="1" x14ac:dyDescent="0.25">
      <c r="A142" s="15" t="s">
        <v>373</v>
      </c>
      <c r="B142" s="79" t="s">
        <v>267</v>
      </c>
      <c r="C142" s="79" t="s">
        <v>268</v>
      </c>
      <c r="D142" s="79" t="s">
        <v>462</v>
      </c>
      <c r="E142" s="83"/>
      <c r="F142" s="83"/>
      <c r="G142" s="83"/>
      <c r="H142" s="66"/>
      <c r="I142" s="71">
        <v>4000000</v>
      </c>
      <c r="J142" s="69">
        <v>1322805.6000000001</v>
      </c>
      <c r="K142" s="70">
        <f t="shared" si="54"/>
        <v>0.33070140000000003</v>
      </c>
      <c r="L142" s="69"/>
      <c r="M142" s="105"/>
      <c r="N142" s="71">
        <f t="shared" si="53"/>
        <v>1322805.6000000001</v>
      </c>
      <c r="P142" s="34"/>
    </row>
    <row r="143" spans="1:16" ht="409.6" thickTop="1" thickBot="1" x14ac:dyDescent="0.25">
      <c r="A143" s="15"/>
      <c r="B143" s="79" t="s">
        <v>523</v>
      </c>
      <c r="C143" s="79" t="s">
        <v>268</v>
      </c>
      <c r="D143" s="79" t="s">
        <v>524</v>
      </c>
      <c r="E143" s="83"/>
      <c r="F143" s="83"/>
      <c r="G143" s="83"/>
      <c r="H143" s="66"/>
      <c r="I143" s="71">
        <v>3577034</v>
      </c>
      <c r="J143" s="69">
        <v>0</v>
      </c>
      <c r="K143" s="70">
        <f t="shared" si="54"/>
        <v>0</v>
      </c>
      <c r="L143" s="69"/>
      <c r="M143" s="105"/>
      <c r="N143" s="71">
        <f t="shared" si="53"/>
        <v>0</v>
      </c>
      <c r="P143" s="34"/>
    </row>
    <row r="144" spans="1:16" ht="276" thickTop="1" thickBot="1" x14ac:dyDescent="0.25">
      <c r="A144" s="15"/>
      <c r="B144" s="63" t="s">
        <v>354</v>
      </c>
      <c r="C144" s="63" t="s">
        <v>268</v>
      </c>
      <c r="D144" s="79" t="s">
        <v>355</v>
      </c>
      <c r="E144" s="69">
        <v>25424.53</v>
      </c>
      <c r="F144" s="71">
        <v>25424.53</v>
      </c>
      <c r="G144" s="71">
        <v>0</v>
      </c>
      <c r="H144" s="70">
        <f>G144/F144</f>
        <v>0</v>
      </c>
      <c r="I144" s="71"/>
      <c r="J144" s="71"/>
      <c r="K144" s="71"/>
      <c r="L144" s="71"/>
      <c r="M144" s="105"/>
      <c r="N144" s="71">
        <f t="shared" si="53"/>
        <v>0</v>
      </c>
      <c r="O144" s="60"/>
      <c r="P144" s="34"/>
    </row>
    <row r="145" spans="1:16" s="44" customFormat="1" ht="101.25" customHeight="1" thickTop="1" thickBot="1" x14ac:dyDescent="0.25">
      <c r="A145" s="59" t="s">
        <v>376</v>
      </c>
      <c r="B145" s="113" t="s">
        <v>35</v>
      </c>
      <c r="C145" s="113"/>
      <c r="D145" s="114" t="s">
        <v>377</v>
      </c>
      <c r="E145" s="115">
        <f>E146+E148+E159+E166+E169</f>
        <v>158940631</v>
      </c>
      <c r="F145" s="115">
        <f>F146+F148+F159+F166+F169</f>
        <v>92698527</v>
      </c>
      <c r="G145" s="115">
        <f>G146+G148+G159+G166+G169</f>
        <v>84825003.74000001</v>
      </c>
      <c r="H145" s="116">
        <f>G145/F145</f>
        <v>0.91506312435795245</v>
      </c>
      <c r="I145" s="115">
        <f>I146+I148+I159+I166+I169</f>
        <v>320471199.69999999</v>
      </c>
      <c r="J145" s="115">
        <f>J146+J148+J159+J166+J169</f>
        <v>199342476.84</v>
      </c>
      <c r="K145" s="116">
        <f>J145/I145</f>
        <v>0.62202930256013267</v>
      </c>
      <c r="L145" s="115"/>
      <c r="M145" s="115"/>
      <c r="N145" s="117">
        <f>J145+G145</f>
        <v>284167480.58000004</v>
      </c>
      <c r="O145" s="84" t="b">
        <f>N145=N147+N149+N151+N153+N154+N158+N163+N165+N167+N170+N173+N174+N175+N176+N177+N179+N181+N161+N172+N157+N152+N155+N168</f>
        <v>1</v>
      </c>
      <c r="P145" s="61"/>
    </row>
    <row r="146" spans="1:16" s="44" customFormat="1" ht="91.5" thickTop="1" thickBot="1" x14ac:dyDescent="0.25">
      <c r="A146" s="59"/>
      <c r="B146" s="89" t="s">
        <v>438</v>
      </c>
      <c r="C146" s="89"/>
      <c r="D146" s="89" t="s">
        <v>439</v>
      </c>
      <c r="E146" s="119"/>
      <c r="F146" s="119"/>
      <c r="G146" s="119"/>
      <c r="H146" s="127"/>
      <c r="I146" s="87">
        <f t="shared" ref="I146:J146" si="56">SUM(I147)</f>
        <v>200000</v>
      </c>
      <c r="J146" s="87">
        <f t="shared" si="56"/>
        <v>89675</v>
      </c>
      <c r="K146" s="100">
        <f t="shared" ref="K146:K148" si="57">J146/I146</f>
        <v>0.44837500000000002</v>
      </c>
      <c r="L146" s="87"/>
      <c r="M146" s="87"/>
      <c r="N146" s="87">
        <f t="shared" si="53"/>
        <v>89675</v>
      </c>
      <c r="O146" s="45"/>
      <c r="P146" s="61"/>
    </row>
    <row r="147" spans="1:16" s="44" customFormat="1" ht="93" thickTop="1" thickBot="1" x14ac:dyDescent="0.25">
      <c r="A147" s="59"/>
      <c r="B147" s="79" t="s">
        <v>440</v>
      </c>
      <c r="C147" s="79" t="s">
        <v>441</v>
      </c>
      <c r="D147" s="79" t="s">
        <v>442</v>
      </c>
      <c r="E147" s="67"/>
      <c r="F147" s="67"/>
      <c r="G147" s="67"/>
      <c r="H147" s="67"/>
      <c r="I147" s="71">
        <v>200000</v>
      </c>
      <c r="J147" s="71">
        <v>89675</v>
      </c>
      <c r="K147" s="70">
        <f>J147/I147</f>
        <v>0.44837500000000002</v>
      </c>
      <c r="L147" s="71"/>
      <c r="M147" s="105"/>
      <c r="N147" s="71">
        <f t="shared" si="53"/>
        <v>89675</v>
      </c>
      <c r="O147" s="45"/>
      <c r="P147" s="61"/>
    </row>
    <row r="148" spans="1:16" s="44" customFormat="1" ht="91.5" thickTop="1" thickBot="1" x14ac:dyDescent="0.25">
      <c r="A148" s="59"/>
      <c r="B148" s="89" t="s">
        <v>269</v>
      </c>
      <c r="C148" s="89"/>
      <c r="D148" s="89" t="s">
        <v>270</v>
      </c>
      <c r="E148" s="128">
        <f>SUM(E149:E158)-E150-E156</f>
        <v>70000</v>
      </c>
      <c r="F148" s="128">
        <f>SUM(F149:F158)-F150-F156</f>
        <v>70000</v>
      </c>
      <c r="G148" s="128">
        <f>SUM(G149:G158)-G150-G156</f>
        <v>3540</v>
      </c>
      <c r="H148" s="100">
        <f>G148/F148</f>
        <v>5.0571428571428573E-2</v>
      </c>
      <c r="I148" s="128">
        <f>SUM(I149:I158)-I150-I156</f>
        <v>158771566.50999999</v>
      </c>
      <c r="J148" s="128">
        <f>SUM(J149:J158)-J150-J156</f>
        <v>104996291.73</v>
      </c>
      <c r="K148" s="100">
        <f t="shared" si="57"/>
        <v>0.66130412414484152</v>
      </c>
      <c r="L148" s="128"/>
      <c r="M148" s="128"/>
      <c r="N148" s="87">
        <f>G148+J148</f>
        <v>104999831.73</v>
      </c>
      <c r="O148" s="45"/>
      <c r="P148" s="61"/>
    </row>
    <row r="149" spans="1:16" s="44" customFormat="1" ht="99.75" thickTop="1" thickBot="1" x14ac:dyDescent="0.25">
      <c r="A149" s="59"/>
      <c r="B149" s="79" t="s">
        <v>386</v>
      </c>
      <c r="C149" s="79" t="s">
        <v>273</v>
      </c>
      <c r="D149" s="79" t="s">
        <v>387</v>
      </c>
      <c r="E149" s="83"/>
      <c r="F149" s="83"/>
      <c r="G149" s="83"/>
      <c r="H149" s="83"/>
      <c r="I149" s="71">
        <f>5300000+36872.51</f>
        <v>5336872.51</v>
      </c>
      <c r="J149" s="69">
        <f>0+36872.51</f>
        <v>36872.51</v>
      </c>
      <c r="K149" s="70">
        <f>J149/I149</f>
        <v>6.9090108356363944E-3</v>
      </c>
      <c r="L149" s="69"/>
      <c r="M149" s="105"/>
      <c r="N149" s="71">
        <f t="shared" si="53"/>
        <v>36872.51</v>
      </c>
      <c r="O149" s="45"/>
      <c r="P149" s="61"/>
    </row>
    <row r="150" spans="1:16" s="44" customFormat="1" ht="146.25" thickTop="1" thickBot="1" x14ac:dyDescent="0.25">
      <c r="A150" s="59"/>
      <c r="B150" s="64" t="s">
        <v>271</v>
      </c>
      <c r="C150" s="64"/>
      <c r="D150" s="64" t="s">
        <v>272</v>
      </c>
      <c r="E150" s="120"/>
      <c r="F150" s="120"/>
      <c r="G150" s="120"/>
      <c r="H150" s="121"/>
      <c r="I150" s="74">
        <f>SUM(I151:I153)</f>
        <v>23790957</v>
      </c>
      <c r="J150" s="74">
        <f>SUM(J151:J153)</f>
        <v>21379396.77</v>
      </c>
      <c r="K150" s="75">
        <f t="shared" ref="K150:K151" si="58">J150/I150</f>
        <v>0.89863542563672405</v>
      </c>
      <c r="L150" s="74"/>
      <c r="M150" s="74"/>
      <c r="N150" s="74">
        <f t="shared" si="53"/>
        <v>21379396.77</v>
      </c>
      <c r="O150" s="45"/>
      <c r="P150" s="61"/>
    </row>
    <row r="151" spans="1:16" s="44" customFormat="1" ht="99.75" thickTop="1" thickBot="1" x14ac:dyDescent="0.25">
      <c r="A151" s="59"/>
      <c r="B151" s="79" t="s">
        <v>404</v>
      </c>
      <c r="C151" s="79" t="s">
        <v>273</v>
      </c>
      <c r="D151" s="79" t="s">
        <v>405</v>
      </c>
      <c r="E151" s="67"/>
      <c r="F151" s="67"/>
      <c r="G151" s="67"/>
      <c r="H151" s="67"/>
      <c r="I151" s="71">
        <v>23370957</v>
      </c>
      <c r="J151" s="71">
        <v>21234380.199999999</v>
      </c>
      <c r="K151" s="70">
        <f t="shared" si="58"/>
        <v>0.90857983265298037</v>
      </c>
      <c r="L151" s="71"/>
      <c r="M151" s="105"/>
      <c r="N151" s="71">
        <f t="shared" si="53"/>
        <v>21234380.199999999</v>
      </c>
      <c r="O151" s="45"/>
      <c r="P151" s="61"/>
    </row>
    <row r="152" spans="1:16" s="44" customFormat="1" ht="93" thickTop="1" thickBot="1" x14ac:dyDescent="0.25">
      <c r="A152" s="59"/>
      <c r="B152" s="79" t="s">
        <v>475</v>
      </c>
      <c r="C152" s="79" t="s">
        <v>273</v>
      </c>
      <c r="D152" s="79" t="s">
        <v>476</v>
      </c>
      <c r="E152" s="67"/>
      <c r="F152" s="67"/>
      <c r="G152" s="67"/>
      <c r="H152" s="67"/>
      <c r="I152" s="71">
        <v>220000</v>
      </c>
      <c r="J152" s="71">
        <v>145016.57</v>
      </c>
      <c r="K152" s="70">
        <f t="shared" ref="K152:K159" si="59">J152/I152</f>
        <v>0.65916622727272733</v>
      </c>
      <c r="L152" s="71"/>
      <c r="M152" s="105"/>
      <c r="N152" s="71">
        <f t="shared" si="53"/>
        <v>145016.57</v>
      </c>
      <c r="O152" s="45"/>
      <c r="P152" s="61"/>
    </row>
    <row r="153" spans="1:16" s="44" customFormat="1" ht="99.75" thickTop="1" thickBot="1" x14ac:dyDescent="0.25">
      <c r="A153" s="59"/>
      <c r="B153" s="79" t="s">
        <v>406</v>
      </c>
      <c r="C153" s="79" t="s">
        <v>273</v>
      </c>
      <c r="D153" s="79" t="s">
        <v>407</v>
      </c>
      <c r="E153" s="67"/>
      <c r="F153" s="67"/>
      <c r="G153" s="67"/>
      <c r="H153" s="67"/>
      <c r="I153" s="71">
        <v>200000</v>
      </c>
      <c r="J153" s="71">
        <v>0</v>
      </c>
      <c r="K153" s="70">
        <f t="shared" si="59"/>
        <v>0</v>
      </c>
      <c r="L153" s="71"/>
      <c r="M153" s="105"/>
      <c r="N153" s="71">
        <f t="shared" si="53"/>
        <v>0</v>
      </c>
      <c r="O153" s="45"/>
      <c r="P153" s="61"/>
    </row>
    <row r="154" spans="1:16" s="44" customFormat="1" ht="99.75" thickTop="1" thickBot="1" x14ac:dyDescent="0.25">
      <c r="A154" s="59"/>
      <c r="B154" s="79" t="s">
        <v>408</v>
      </c>
      <c r="C154" s="79" t="s">
        <v>273</v>
      </c>
      <c r="D154" s="79" t="s">
        <v>409</v>
      </c>
      <c r="E154" s="67"/>
      <c r="F154" s="67"/>
      <c r="G154" s="67"/>
      <c r="H154" s="67"/>
      <c r="I154" s="71">
        <v>15961435</v>
      </c>
      <c r="J154" s="71">
        <v>11924550.4</v>
      </c>
      <c r="K154" s="70">
        <f t="shared" si="59"/>
        <v>0.74708510857576405</v>
      </c>
      <c r="L154" s="71"/>
      <c r="M154" s="105"/>
      <c r="N154" s="71">
        <f t="shared" si="53"/>
        <v>11924550.4</v>
      </c>
      <c r="O154" s="45"/>
      <c r="P154" s="61"/>
    </row>
    <row r="155" spans="1:16" s="44" customFormat="1" ht="184.5" thickTop="1" thickBot="1" x14ac:dyDescent="0.25">
      <c r="A155" s="59"/>
      <c r="B155" s="79" t="s">
        <v>477</v>
      </c>
      <c r="C155" s="79" t="s">
        <v>273</v>
      </c>
      <c r="D155" s="79" t="s">
        <v>478</v>
      </c>
      <c r="E155" s="67"/>
      <c r="F155" s="67"/>
      <c r="G155" s="67"/>
      <c r="H155" s="67"/>
      <c r="I155" s="71">
        <v>611000</v>
      </c>
      <c r="J155" s="71">
        <v>0</v>
      </c>
      <c r="K155" s="70">
        <f t="shared" si="59"/>
        <v>0</v>
      </c>
      <c r="L155" s="71"/>
      <c r="M155" s="105"/>
      <c r="N155" s="71">
        <f t="shared" si="53"/>
        <v>0</v>
      </c>
      <c r="O155" s="45"/>
      <c r="P155" s="61"/>
    </row>
    <row r="156" spans="1:16" s="44" customFormat="1" ht="123" thickTop="1" thickBot="1" x14ac:dyDescent="0.25">
      <c r="A156" s="59"/>
      <c r="B156" s="64" t="s">
        <v>525</v>
      </c>
      <c r="C156" s="64"/>
      <c r="D156" s="64" t="s">
        <v>527</v>
      </c>
      <c r="E156" s="74">
        <f>E157</f>
        <v>0</v>
      </c>
      <c r="F156" s="74">
        <f t="shared" ref="F156:G156" si="60">F157</f>
        <v>0</v>
      </c>
      <c r="G156" s="74">
        <f t="shared" si="60"/>
        <v>0</v>
      </c>
      <c r="H156" s="75">
        <v>0</v>
      </c>
      <c r="I156" s="74">
        <f>I157</f>
        <v>2990000</v>
      </c>
      <c r="J156" s="74">
        <f>J157</f>
        <v>0</v>
      </c>
      <c r="K156" s="70">
        <f t="shared" si="59"/>
        <v>0</v>
      </c>
      <c r="L156" s="120"/>
      <c r="M156" s="120"/>
      <c r="N156" s="74">
        <f t="shared" si="53"/>
        <v>0</v>
      </c>
      <c r="O156" s="60" t="s">
        <v>460</v>
      </c>
      <c r="P156" s="61"/>
    </row>
    <row r="157" spans="1:16" s="44" customFormat="1" ht="230.25" thickTop="1" thickBot="1" x14ac:dyDescent="0.25">
      <c r="A157" s="59"/>
      <c r="B157" s="79" t="s">
        <v>526</v>
      </c>
      <c r="C157" s="79" t="s">
        <v>43</v>
      </c>
      <c r="D157" s="79" t="s">
        <v>528</v>
      </c>
      <c r="E157" s="67"/>
      <c r="F157" s="67"/>
      <c r="G157" s="67"/>
      <c r="H157" s="67"/>
      <c r="I157" s="71">
        <v>2990000</v>
      </c>
      <c r="J157" s="71">
        <v>0</v>
      </c>
      <c r="K157" s="70">
        <f t="shared" si="59"/>
        <v>0</v>
      </c>
      <c r="L157" s="71"/>
      <c r="M157" s="105"/>
      <c r="N157" s="71">
        <f t="shared" si="53"/>
        <v>0</v>
      </c>
      <c r="O157" s="45"/>
      <c r="P157" s="61"/>
    </row>
    <row r="158" spans="1:16" s="44" customFormat="1" ht="138.75" thickTop="1" thickBot="1" x14ac:dyDescent="0.25">
      <c r="A158" s="59"/>
      <c r="B158" s="79" t="s">
        <v>410</v>
      </c>
      <c r="C158" s="79" t="s">
        <v>43</v>
      </c>
      <c r="D158" s="79" t="s">
        <v>411</v>
      </c>
      <c r="E158" s="71">
        <v>70000</v>
      </c>
      <c r="F158" s="71">
        <v>70000</v>
      </c>
      <c r="G158" s="71">
        <v>3540</v>
      </c>
      <c r="H158" s="70">
        <f t="shared" ref="H158:H174" si="61">G158/F158</f>
        <v>5.0571428571428573E-2</v>
      </c>
      <c r="I158" s="71">
        <v>110081302</v>
      </c>
      <c r="J158" s="71">
        <v>71655472.049999997</v>
      </c>
      <c r="K158" s="70">
        <f t="shared" si="59"/>
        <v>0.65093227231269479</v>
      </c>
      <c r="L158" s="71"/>
      <c r="M158" s="105"/>
      <c r="N158" s="71">
        <f t="shared" si="53"/>
        <v>71659012.049999997</v>
      </c>
      <c r="O158" s="45"/>
      <c r="P158" s="61"/>
    </row>
    <row r="159" spans="1:16" s="44" customFormat="1" ht="136.5" thickTop="1" thickBot="1" x14ac:dyDescent="0.25">
      <c r="A159" s="59"/>
      <c r="B159" s="89" t="s">
        <v>388</v>
      </c>
      <c r="C159" s="89"/>
      <c r="D159" s="89" t="s">
        <v>389</v>
      </c>
      <c r="E159" s="87">
        <f>SUM(E160:E165)-E162-E164-E160</f>
        <v>140814987</v>
      </c>
      <c r="F159" s="87">
        <f>SUM(F160:F165)-F162-F164-F160</f>
        <v>77772883</v>
      </c>
      <c r="G159" s="87">
        <f>SUM(G160:G165)-G162-G164-G160</f>
        <v>73539202.900000006</v>
      </c>
      <c r="H159" s="100">
        <f t="shared" si="61"/>
        <v>0.9455635443011674</v>
      </c>
      <c r="I159" s="87">
        <f>SUM(I160:I165)-I162-I164-I160</f>
        <v>64664228.030000001</v>
      </c>
      <c r="J159" s="87">
        <f>SUM(J160:J165)-J162-J164-J160</f>
        <v>37211126.859999999</v>
      </c>
      <c r="K159" s="100">
        <f t="shared" si="59"/>
        <v>0.57545149758435921</v>
      </c>
      <c r="L159" s="87"/>
      <c r="M159" s="87"/>
      <c r="N159" s="87">
        <f>G159+J159</f>
        <v>110750329.76000001</v>
      </c>
      <c r="O159" s="45"/>
      <c r="P159" s="61"/>
    </row>
    <row r="160" spans="1:16" s="44" customFormat="1" ht="138.75" thickTop="1" thickBot="1" x14ac:dyDescent="0.25">
      <c r="A160" s="59"/>
      <c r="B160" s="64" t="s">
        <v>493</v>
      </c>
      <c r="C160" s="64"/>
      <c r="D160" s="64" t="s">
        <v>494</v>
      </c>
      <c r="E160" s="74">
        <f>E161</f>
        <v>2093008</v>
      </c>
      <c r="F160" s="74">
        <f>F161</f>
        <v>2093008</v>
      </c>
      <c r="G160" s="74">
        <f>G161</f>
        <v>0</v>
      </c>
      <c r="H160" s="75">
        <f t="shared" si="61"/>
        <v>0</v>
      </c>
      <c r="I160" s="74">
        <f>I161</f>
        <v>0</v>
      </c>
      <c r="J160" s="74">
        <f>J161</f>
        <v>0</v>
      </c>
      <c r="K160" s="70">
        <v>0</v>
      </c>
      <c r="L160" s="120"/>
      <c r="M160" s="120"/>
      <c r="N160" s="74">
        <f t="shared" si="53"/>
        <v>0</v>
      </c>
      <c r="O160" s="60" t="s">
        <v>460</v>
      </c>
      <c r="P160" s="61"/>
    </row>
    <row r="161" spans="1:16" s="44" customFormat="1" ht="93" thickTop="1" thickBot="1" x14ac:dyDescent="0.25">
      <c r="A161" s="59"/>
      <c r="B161" s="79" t="s">
        <v>495</v>
      </c>
      <c r="C161" s="79" t="s">
        <v>496</v>
      </c>
      <c r="D161" s="79" t="s">
        <v>497</v>
      </c>
      <c r="E161" s="71">
        <v>2093008</v>
      </c>
      <c r="F161" s="71">
        <v>2093008</v>
      </c>
      <c r="G161" s="71">
        <v>0</v>
      </c>
      <c r="H161" s="70">
        <f>G161/F161</f>
        <v>0</v>
      </c>
      <c r="I161" s="67"/>
      <c r="J161" s="67"/>
      <c r="K161" s="67"/>
      <c r="L161" s="67"/>
      <c r="M161" s="111"/>
      <c r="N161" s="71">
        <f t="shared" si="53"/>
        <v>0</v>
      </c>
      <c r="O161" s="45"/>
      <c r="P161" s="61"/>
    </row>
    <row r="162" spans="1:16" s="44" customFormat="1" ht="138.75" thickTop="1" thickBot="1" x14ac:dyDescent="0.25">
      <c r="A162" s="59"/>
      <c r="B162" s="64" t="s">
        <v>412</v>
      </c>
      <c r="C162" s="64"/>
      <c r="D162" s="64" t="s">
        <v>413</v>
      </c>
      <c r="E162" s="74">
        <f t="shared" ref="E162:G162" si="62">E163</f>
        <v>88642613</v>
      </c>
      <c r="F162" s="74">
        <f t="shared" si="62"/>
        <v>59275317</v>
      </c>
      <c r="G162" s="74">
        <f t="shared" si="62"/>
        <v>59274614.170000002</v>
      </c>
      <c r="H162" s="75">
        <f>G162/F162</f>
        <v>0.99998814295670491</v>
      </c>
      <c r="I162" s="120"/>
      <c r="J162" s="120"/>
      <c r="K162" s="121"/>
      <c r="L162" s="120"/>
      <c r="M162" s="120"/>
      <c r="N162" s="74">
        <f t="shared" si="53"/>
        <v>59274614.170000002</v>
      </c>
      <c r="O162" s="60"/>
      <c r="P162" s="61"/>
    </row>
    <row r="163" spans="1:16" s="44" customFormat="1" ht="93" thickTop="1" thickBot="1" x14ac:dyDescent="0.25">
      <c r="A163" s="59"/>
      <c r="B163" s="79" t="s">
        <v>414</v>
      </c>
      <c r="C163" s="79" t="s">
        <v>415</v>
      </c>
      <c r="D163" s="79" t="s">
        <v>416</v>
      </c>
      <c r="E163" s="71">
        <v>88642613</v>
      </c>
      <c r="F163" s="71">
        <v>59275317</v>
      </c>
      <c r="G163" s="71">
        <v>59274614.170000002</v>
      </c>
      <c r="H163" s="70">
        <f>G163/F163</f>
        <v>0.99998814295670491</v>
      </c>
      <c r="I163" s="67"/>
      <c r="J163" s="67"/>
      <c r="K163" s="67"/>
      <c r="L163" s="67"/>
      <c r="M163" s="111"/>
      <c r="N163" s="71">
        <f t="shared" si="53"/>
        <v>59274614.170000002</v>
      </c>
      <c r="O163" s="45"/>
      <c r="P163" s="61"/>
    </row>
    <row r="164" spans="1:16" s="44" customFormat="1" ht="138.75" thickTop="1" thickBot="1" x14ac:dyDescent="0.25">
      <c r="A164" s="59"/>
      <c r="B164" s="64" t="s">
        <v>473</v>
      </c>
      <c r="C164" s="64"/>
      <c r="D164" s="64" t="s">
        <v>474</v>
      </c>
      <c r="E164" s="74">
        <f>E165</f>
        <v>50079366</v>
      </c>
      <c r="F164" s="74">
        <f>F165</f>
        <v>16404558</v>
      </c>
      <c r="G164" s="74">
        <f>G165</f>
        <v>14264588.73</v>
      </c>
      <c r="H164" s="70">
        <f t="shared" si="61"/>
        <v>0.86955032436716673</v>
      </c>
      <c r="I164" s="74">
        <f>I165</f>
        <v>64664228.030000001</v>
      </c>
      <c r="J164" s="74">
        <f>J165</f>
        <v>37211126.859999999</v>
      </c>
      <c r="K164" s="75">
        <f t="shared" ref="K164:K165" si="63">J164/I164</f>
        <v>0.57545149758435921</v>
      </c>
      <c r="L164" s="74"/>
      <c r="M164" s="102"/>
      <c r="N164" s="74">
        <f t="shared" si="53"/>
        <v>51475715.590000004</v>
      </c>
      <c r="O164" s="45"/>
      <c r="P164" s="61"/>
    </row>
    <row r="165" spans="1:16" s="44" customFormat="1" ht="230.25" thickTop="1" thickBot="1" x14ac:dyDescent="0.25">
      <c r="A165" s="59"/>
      <c r="B165" s="79" t="s">
        <v>390</v>
      </c>
      <c r="C165" s="79" t="s">
        <v>391</v>
      </c>
      <c r="D165" s="79" t="s">
        <v>392</v>
      </c>
      <c r="E165" s="69">
        <v>50079366</v>
      </c>
      <c r="F165" s="69">
        <v>16404558</v>
      </c>
      <c r="G165" s="69">
        <v>14264588.73</v>
      </c>
      <c r="H165" s="70">
        <f t="shared" si="61"/>
        <v>0.86955032436716673</v>
      </c>
      <c r="I165" s="69">
        <v>64664228.030000001</v>
      </c>
      <c r="J165" s="109">
        <v>37211126.859999999</v>
      </c>
      <c r="K165" s="70">
        <f t="shared" si="63"/>
        <v>0.57545149758435921</v>
      </c>
      <c r="L165" s="109"/>
      <c r="M165" s="105"/>
      <c r="N165" s="71">
        <f t="shared" si="53"/>
        <v>51475715.590000004</v>
      </c>
      <c r="O165" s="60" t="s">
        <v>460</v>
      </c>
      <c r="P165" s="61"/>
    </row>
    <row r="166" spans="1:16" s="44" customFormat="1" ht="91.5" thickTop="1" thickBot="1" x14ac:dyDescent="0.25">
      <c r="A166" s="59"/>
      <c r="B166" s="89" t="s">
        <v>36</v>
      </c>
      <c r="C166" s="86"/>
      <c r="D166" s="89" t="s">
        <v>37</v>
      </c>
      <c r="E166" s="128">
        <f>E167+E168</f>
        <v>4642400</v>
      </c>
      <c r="F166" s="128">
        <f>F167+F168</f>
        <v>3544900</v>
      </c>
      <c r="G166" s="128">
        <f>G167+G168</f>
        <v>3051885.67</v>
      </c>
      <c r="H166" s="100">
        <f>G166/F166</f>
        <v>0.86092292307258311</v>
      </c>
      <c r="I166" s="128">
        <f>I167+I168</f>
        <v>1500000</v>
      </c>
      <c r="J166" s="128">
        <f>J167+J168</f>
        <v>1478000</v>
      </c>
      <c r="K166" s="100">
        <f>J166/I166</f>
        <v>0.98533333333333328</v>
      </c>
      <c r="L166" s="129"/>
      <c r="M166" s="129"/>
      <c r="N166" s="87">
        <f>G166+J166</f>
        <v>4529885.67</v>
      </c>
      <c r="O166" s="45"/>
      <c r="P166" s="61"/>
    </row>
    <row r="167" spans="1:16" s="44" customFormat="1" ht="93" thickTop="1" thickBot="1" x14ac:dyDescent="0.25">
      <c r="A167" s="59"/>
      <c r="B167" s="65" t="s">
        <v>38</v>
      </c>
      <c r="C167" s="79" t="s">
        <v>529</v>
      </c>
      <c r="D167" s="65" t="s">
        <v>39</v>
      </c>
      <c r="E167" s="69">
        <v>4392400</v>
      </c>
      <c r="F167" s="69">
        <v>3294900</v>
      </c>
      <c r="G167" s="69">
        <v>3051885.67</v>
      </c>
      <c r="H167" s="70">
        <f t="shared" si="61"/>
        <v>0.92624530941758476</v>
      </c>
      <c r="I167" s="69">
        <v>1500000</v>
      </c>
      <c r="J167" s="69">
        <v>1478000</v>
      </c>
      <c r="K167" s="70">
        <f>J167/I167</f>
        <v>0.98533333333333328</v>
      </c>
      <c r="L167" s="129"/>
      <c r="M167" s="129"/>
      <c r="N167" s="71">
        <f t="shared" si="53"/>
        <v>4529885.67</v>
      </c>
      <c r="O167" s="45"/>
      <c r="P167" s="61"/>
    </row>
    <row r="168" spans="1:16" s="44" customFormat="1" ht="230.25" thickTop="1" thickBot="1" x14ac:dyDescent="0.25">
      <c r="A168" s="59"/>
      <c r="B168" s="79" t="s">
        <v>479</v>
      </c>
      <c r="C168" s="79" t="s">
        <v>529</v>
      </c>
      <c r="D168" s="65" t="s">
        <v>480</v>
      </c>
      <c r="E168" s="69">
        <v>250000</v>
      </c>
      <c r="F168" s="69">
        <v>250000</v>
      </c>
      <c r="G168" s="69">
        <v>0</v>
      </c>
      <c r="H168" s="70">
        <f>G168/F168</f>
        <v>0</v>
      </c>
      <c r="I168" s="69">
        <v>0</v>
      </c>
      <c r="J168" s="69">
        <v>0</v>
      </c>
      <c r="K168" s="70">
        <v>0</v>
      </c>
      <c r="L168" s="129"/>
      <c r="M168" s="129"/>
      <c r="N168" s="71">
        <f t="shared" si="53"/>
        <v>0</v>
      </c>
      <c r="O168" s="60" t="s">
        <v>460</v>
      </c>
      <c r="P168" s="61"/>
    </row>
    <row r="169" spans="1:16" s="44" customFormat="1" ht="136.5" thickTop="1" thickBot="1" x14ac:dyDescent="0.25">
      <c r="A169" s="59"/>
      <c r="B169" s="130" t="s">
        <v>40</v>
      </c>
      <c r="C169" s="86"/>
      <c r="D169" s="130" t="s">
        <v>41</v>
      </c>
      <c r="E169" s="128">
        <f>SUM(E170:E181)-E178-E171</f>
        <v>13413244</v>
      </c>
      <c r="F169" s="128">
        <f>SUM(F170:F181)-F178-F171</f>
        <v>11310744</v>
      </c>
      <c r="G169" s="128">
        <f>SUM(G170:G181)-G178-G171</f>
        <v>8230375.169999999</v>
      </c>
      <c r="H169" s="100">
        <f t="shared" si="61"/>
        <v>0.7276599284715487</v>
      </c>
      <c r="I169" s="128">
        <f>SUM(I170:I181)-I178-I171</f>
        <v>95335405.159999996</v>
      </c>
      <c r="J169" s="128">
        <f>SUM(J170:J181)-J178-J171</f>
        <v>55567383.25</v>
      </c>
      <c r="K169" s="100">
        <f>J169/I169</f>
        <v>0.58286198245806042</v>
      </c>
      <c r="L169" s="129"/>
      <c r="M169" s="129"/>
      <c r="N169" s="87">
        <f t="shared" si="53"/>
        <v>63797758.420000002</v>
      </c>
      <c r="O169" s="45"/>
      <c r="P169" s="61"/>
    </row>
    <row r="170" spans="1:16" s="44" customFormat="1" ht="93" thickTop="1" thickBot="1" x14ac:dyDescent="0.25">
      <c r="A170" s="59"/>
      <c r="B170" s="79" t="s">
        <v>417</v>
      </c>
      <c r="C170" s="79" t="s">
        <v>418</v>
      </c>
      <c r="D170" s="79" t="s">
        <v>419</v>
      </c>
      <c r="E170" s="71">
        <v>4602230</v>
      </c>
      <c r="F170" s="71">
        <v>4204030</v>
      </c>
      <c r="G170" s="71">
        <v>2129561.87</v>
      </c>
      <c r="H170" s="70">
        <f t="shared" si="61"/>
        <v>0.50655249130001456</v>
      </c>
      <c r="I170" s="67"/>
      <c r="J170" s="67"/>
      <c r="K170" s="70"/>
      <c r="L170" s="67"/>
      <c r="M170" s="111"/>
      <c r="N170" s="71">
        <f t="shared" si="53"/>
        <v>2129561.87</v>
      </c>
      <c r="O170" s="45"/>
      <c r="P170" s="61"/>
    </row>
    <row r="171" spans="1:16" s="44" customFormat="1" ht="93" thickTop="1" thickBot="1" x14ac:dyDescent="0.25">
      <c r="A171" s="59"/>
      <c r="B171" s="64" t="s">
        <v>498</v>
      </c>
      <c r="C171" s="64"/>
      <c r="D171" s="64" t="s">
        <v>500</v>
      </c>
      <c r="E171" s="74">
        <f>E172</f>
        <v>150000</v>
      </c>
      <c r="F171" s="74">
        <f>F172</f>
        <v>108100</v>
      </c>
      <c r="G171" s="74">
        <f>G172</f>
        <v>88386.23</v>
      </c>
      <c r="H171" s="75">
        <f t="shared" si="61"/>
        <v>0.81763395004625339</v>
      </c>
      <c r="I171" s="74">
        <f>I172</f>
        <v>0</v>
      </c>
      <c r="J171" s="74">
        <f>J172</f>
        <v>0</v>
      </c>
      <c r="K171" s="75">
        <v>0</v>
      </c>
      <c r="L171" s="120"/>
      <c r="M171" s="131"/>
      <c r="N171" s="74">
        <f t="shared" si="53"/>
        <v>88386.23</v>
      </c>
      <c r="O171" s="167" t="s">
        <v>460</v>
      </c>
      <c r="P171" s="168"/>
    </row>
    <row r="172" spans="1:16" s="44" customFormat="1" ht="93" thickTop="1" thickBot="1" x14ac:dyDescent="0.25">
      <c r="A172" s="59"/>
      <c r="B172" s="79" t="s">
        <v>499</v>
      </c>
      <c r="C172" s="79" t="s">
        <v>379</v>
      </c>
      <c r="D172" s="79" t="s">
        <v>501</v>
      </c>
      <c r="E172" s="71">
        <v>150000</v>
      </c>
      <c r="F172" s="71">
        <v>108100</v>
      </c>
      <c r="G172" s="71">
        <v>88386.23</v>
      </c>
      <c r="H172" s="70">
        <f t="shared" si="61"/>
        <v>0.81763395004625339</v>
      </c>
      <c r="I172" s="67"/>
      <c r="J172" s="67"/>
      <c r="K172" s="70"/>
      <c r="L172" s="67"/>
      <c r="M172" s="111"/>
      <c r="N172" s="71">
        <f t="shared" si="53"/>
        <v>88386.23</v>
      </c>
      <c r="O172" s="45"/>
      <c r="P172" s="61"/>
    </row>
    <row r="173" spans="1:16" s="44" customFormat="1" ht="138.75" thickTop="1" thickBot="1" x14ac:dyDescent="0.25">
      <c r="A173" s="59"/>
      <c r="B173" s="79" t="s">
        <v>420</v>
      </c>
      <c r="C173" s="79" t="s">
        <v>379</v>
      </c>
      <c r="D173" s="79" t="s">
        <v>421</v>
      </c>
      <c r="E173" s="71">
        <v>1235000</v>
      </c>
      <c r="F173" s="71">
        <v>1070000</v>
      </c>
      <c r="G173" s="71">
        <v>827047.92</v>
      </c>
      <c r="H173" s="70">
        <f t="shared" si="61"/>
        <v>0.7729419813084113</v>
      </c>
      <c r="I173" s="71"/>
      <c r="J173" s="71"/>
      <c r="K173" s="71"/>
      <c r="L173" s="71"/>
      <c r="M173" s="105"/>
      <c r="N173" s="71">
        <f t="shared" si="53"/>
        <v>827047.92</v>
      </c>
      <c r="O173" s="45"/>
      <c r="P173" s="61"/>
    </row>
    <row r="174" spans="1:16" s="44" customFormat="1" ht="48" thickTop="1" thickBot="1" x14ac:dyDescent="0.25">
      <c r="A174" s="59"/>
      <c r="B174" s="79" t="s">
        <v>378</v>
      </c>
      <c r="C174" s="79" t="s">
        <v>379</v>
      </c>
      <c r="D174" s="79" t="s">
        <v>380</v>
      </c>
      <c r="E174" s="69">
        <v>1150000</v>
      </c>
      <c r="F174" s="69">
        <v>365000</v>
      </c>
      <c r="G174" s="69">
        <v>361844.08</v>
      </c>
      <c r="H174" s="70">
        <f t="shared" si="61"/>
        <v>0.99135364383561653</v>
      </c>
      <c r="I174" s="71">
        <f>50000+20549522.58</f>
        <v>20599522.579999998</v>
      </c>
      <c r="J174" s="69">
        <v>11170153.01</v>
      </c>
      <c r="K174" s="70">
        <f>J174/I174</f>
        <v>0.5422530044868642</v>
      </c>
      <c r="L174" s="69"/>
      <c r="M174" s="105"/>
      <c r="N174" s="71">
        <f t="shared" si="53"/>
        <v>11531997.09</v>
      </c>
      <c r="O174" s="167" t="s">
        <v>460</v>
      </c>
      <c r="P174" s="168"/>
    </row>
    <row r="175" spans="1:16" s="44" customFormat="1" ht="138.75" thickTop="1" thickBot="1" x14ac:dyDescent="0.25">
      <c r="A175" s="59"/>
      <c r="B175" s="79" t="s">
        <v>443</v>
      </c>
      <c r="C175" s="79" t="s">
        <v>43</v>
      </c>
      <c r="D175" s="79" t="s">
        <v>444</v>
      </c>
      <c r="E175" s="67"/>
      <c r="F175" s="67"/>
      <c r="G175" s="67"/>
      <c r="H175" s="67"/>
      <c r="I175" s="71">
        <v>50000</v>
      </c>
      <c r="J175" s="71">
        <v>2500</v>
      </c>
      <c r="K175" s="70">
        <f>J175/I175</f>
        <v>0.05</v>
      </c>
      <c r="L175" s="71"/>
      <c r="M175" s="105"/>
      <c r="N175" s="71">
        <f t="shared" si="53"/>
        <v>2500</v>
      </c>
      <c r="O175" s="45"/>
      <c r="P175" s="61"/>
    </row>
    <row r="176" spans="1:16" s="44" customFormat="1" ht="93" thickTop="1" thickBot="1" x14ac:dyDescent="0.25">
      <c r="A176" s="59"/>
      <c r="B176" s="79" t="s">
        <v>192</v>
      </c>
      <c r="C176" s="79" t="s">
        <v>43</v>
      </c>
      <c r="D176" s="79" t="s">
        <v>193</v>
      </c>
      <c r="E176" s="83"/>
      <c r="F176" s="83"/>
      <c r="G176" s="83"/>
      <c r="H176" s="83"/>
      <c r="I176" s="71">
        <f>21628518+300000+1021474+300000+43568839</f>
        <v>66818831</v>
      </c>
      <c r="J176" s="69">
        <f>18839292.61+997402+300000+21407716.64</f>
        <v>41544411.25</v>
      </c>
      <c r="K176" s="70">
        <f>J176/I176</f>
        <v>0.62174705286298704</v>
      </c>
      <c r="L176" s="69"/>
      <c r="M176" s="105"/>
      <c r="N176" s="71">
        <f t="shared" si="53"/>
        <v>41544411.25</v>
      </c>
      <c r="O176" s="45"/>
      <c r="P176" s="61"/>
    </row>
    <row r="177" spans="1:16" s="44" customFormat="1" ht="138.75" thickTop="1" thickBot="1" x14ac:dyDescent="0.25">
      <c r="A177" s="59"/>
      <c r="B177" s="65" t="s">
        <v>42</v>
      </c>
      <c r="C177" s="79" t="s">
        <v>43</v>
      </c>
      <c r="D177" s="65" t="s">
        <v>44</v>
      </c>
      <c r="E177" s="71">
        <v>290200</v>
      </c>
      <c r="F177" s="71">
        <v>217800</v>
      </c>
      <c r="G177" s="71">
        <v>217612.02</v>
      </c>
      <c r="H177" s="70">
        <f t="shared" ref="H177:H178" si="64">G177/F177</f>
        <v>0.99913691460055087</v>
      </c>
      <c r="I177" s="132"/>
      <c r="J177" s="132"/>
      <c r="K177" s="132"/>
      <c r="L177" s="132"/>
      <c r="M177" s="132"/>
      <c r="N177" s="71">
        <f t="shared" si="53"/>
        <v>217612.02</v>
      </c>
      <c r="O177" s="45"/>
      <c r="P177" s="61"/>
    </row>
    <row r="178" spans="1:16" s="44" customFormat="1" ht="48" thickTop="1" thickBot="1" x14ac:dyDescent="0.25">
      <c r="A178" s="59"/>
      <c r="B178" s="64" t="s">
        <v>45</v>
      </c>
      <c r="C178" s="64"/>
      <c r="D178" s="64" t="s">
        <v>381</v>
      </c>
      <c r="E178" s="77">
        <f>SUM(E179:E181)</f>
        <v>5985814</v>
      </c>
      <c r="F178" s="77">
        <f>SUM(F179:F181)</f>
        <v>5345814</v>
      </c>
      <c r="G178" s="77">
        <f>SUM(G179:G181)</f>
        <v>4605923.05</v>
      </c>
      <c r="H178" s="75">
        <f t="shared" si="64"/>
        <v>0.86159433343546932</v>
      </c>
      <c r="I178" s="77">
        <f>SUM(I179:I181)</f>
        <v>7867051.5800000001</v>
      </c>
      <c r="J178" s="77">
        <f>SUM(J179:J181)</f>
        <v>2850318.99</v>
      </c>
      <c r="K178" s="75">
        <f>J178/I178</f>
        <v>0.3623109574171624</v>
      </c>
      <c r="L178" s="77"/>
      <c r="M178" s="77"/>
      <c r="N178" s="74">
        <f t="shared" si="53"/>
        <v>7456242.04</v>
      </c>
      <c r="O178" s="45"/>
      <c r="P178" s="61"/>
    </row>
    <row r="179" spans="1:16" s="44" customFormat="1" ht="409.6" thickTop="1" thickBot="1" x14ac:dyDescent="0.7">
      <c r="A179" s="59"/>
      <c r="B179" s="177" t="s">
        <v>46</v>
      </c>
      <c r="C179" s="177" t="s">
        <v>43</v>
      </c>
      <c r="D179" s="133" t="s">
        <v>47</v>
      </c>
      <c r="E179" s="178"/>
      <c r="F179" s="178"/>
      <c r="G179" s="178"/>
      <c r="H179" s="179"/>
      <c r="I179" s="173">
        <f>3674644.58+322000+990000+1170522+1500000</f>
        <v>7657166.5800000001</v>
      </c>
      <c r="J179" s="173">
        <f>1894058.37+282945.6+139637.12+34920+393916.4</f>
        <v>2745477.49</v>
      </c>
      <c r="K179" s="181">
        <f>J179/I179</f>
        <v>0.35855005390257555</v>
      </c>
      <c r="L179" s="169"/>
      <c r="M179" s="171"/>
      <c r="N179" s="173">
        <f>J179+G179</f>
        <v>2745477.49</v>
      </c>
      <c r="O179" s="45"/>
      <c r="P179" s="61"/>
    </row>
    <row r="180" spans="1:16" s="44" customFormat="1" ht="184.5" thickTop="1" thickBot="1" x14ac:dyDescent="0.25">
      <c r="A180" s="59"/>
      <c r="B180" s="177"/>
      <c r="C180" s="177"/>
      <c r="D180" s="134" t="s">
        <v>48</v>
      </c>
      <c r="E180" s="178"/>
      <c r="F180" s="178"/>
      <c r="G180" s="178"/>
      <c r="H180" s="180"/>
      <c r="I180" s="173"/>
      <c r="J180" s="173"/>
      <c r="K180" s="181"/>
      <c r="L180" s="170"/>
      <c r="M180" s="172"/>
      <c r="N180" s="173"/>
      <c r="O180" s="45"/>
      <c r="P180" s="61"/>
    </row>
    <row r="181" spans="1:16" s="44" customFormat="1" ht="93" thickTop="1" thickBot="1" x14ac:dyDescent="0.25">
      <c r="A181" s="59"/>
      <c r="B181" s="79" t="s">
        <v>49</v>
      </c>
      <c r="C181" s="79" t="s">
        <v>43</v>
      </c>
      <c r="D181" s="79" t="s">
        <v>50</v>
      </c>
      <c r="E181" s="71">
        <f>1600542.59+4385271.41</f>
        <v>5985814</v>
      </c>
      <c r="F181" s="71">
        <v>5345814</v>
      </c>
      <c r="G181" s="71">
        <f>825923.1+3779999.95</f>
        <v>4605923.05</v>
      </c>
      <c r="H181" s="70">
        <f t="shared" ref="H181:H185" si="65">G181/F181</f>
        <v>0.86159433343546932</v>
      </c>
      <c r="I181" s="71">
        <v>209885</v>
      </c>
      <c r="J181" s="71">
        <v>104841.5</v>
      </c>
      <c r="K181" s="70">
        <f>J181/I181</f>
        <v>0.4995187840960526</v>
      </c>
      <c r="L181" s="71"/>
      <c r="M181" s="105"/>
      <c r="N181" s="71">
        <f t="shared" ref="N181:N202" si="66">G181+J181</f>
        <v>4710764.55</v>
      </c>
      <c r="O181" s="45"/>
      <c r="P181" s="61"/>
    </row>
    <row r="182" spans="1:16" s="44" customFormat="1" ht="107.45" customHeight="1" thickTop="1" thickBot="1" x14ac:dyDescent="0.25">
      <c r="A182" s="59"/>
      <c r="B182" s="113" t="s">
        <v>51</v>
      </c>
      <c r="C182" s="113"/>
      <c r="D182" s="114" t="s">
        <v>52</v>
      </c>
      <c r="E182" s="115">
        <f>SUM(E183:E196)-E183-E186-E192-E195-E187</f>
        <v>13591854</v>
      </c>
      <c r="F182" s="115">
        <f>SUM(F183:F196)-F183-F186-F192-F195-F187</f>
        <v>7697728</v>
      </c>
      <c r="G182" s="115">
        <f>SUM(G183:G196)-G183-G186-G192-G195-G187</f>
        <v>6269385.3000000017</v>
      </c>
      <c r="H182" s="116">
        <f>G182/F182</f>
        <v>0.81444619763130133</v>
      </c>
      <c r="I182" s="115">
        <f>SUM(I183:I196)-I183-I186-I192-I195-I187</f>
        <v>3217138.96</v>
      </c>
      <c r="J182" s="115">
        <f>SUM(J183:J196)-J183-J186-J192-J195-J187</f>
        <v>2272070.5599999996</v>
      </c>
      <c r="K182" s="116">
        <f>J182/I182</f>
        <v>0.70623948429010341</v>
      </c>
      <c r="L182" s="115"/>
      <c r="M182" s="115"/>
      <c r="N182" s="117">
        <f>J182+G182</f>
        <v>8541455.8600000013</v>
      </c>
      <c r="O182" s="84" t="b">
        <f>N182=N184+N185+N188+N189+N190+N191+N193+N194+N196</f>
        <v>1</v>
      </c>
      <c r="P182" s="61"/>
    </row>
    <row r="183" spans="1:16" s="44" customFormat="1" ht="107.45" customHeight="1" thickTop="1" thickBot="1" x14ac:dyDescent="0.25">
      <c r="A183" s="59"/>
      <c r="B183" s="89" t="s">
        <v>393</v>
      </c>
      <c r="C183" s="89"/>
      <c r="D183" s="135" t="s">
        <v>394</v>
      </c>
      <c r="E183" s="87">
        <f>SUM(E184:E185)</f>
        <v>2560578</v>
      </c>
      <c r="F183" s="87">
        <f>SUM(F184:F185)</f>
        <v>1583014</v>
      </c>
      <c r="G183" s="87">
        <f>SUM(G184:G185)</f>
        <v>1401672.84</v>
      </c>
      <c r="H183" s="100">
        <f t="shared" si="65"/>
        <v>0.88544563724641734</v>
      </c>
      <c r="I183" s="87">
        <f>SUM(I184:I185)</f>
        <v>32000</v>
      </c>
      <c r="J183" s="87">
        <f>SUM(J184:J185)</f>
        <v>30643.98</v>
      </c>
      <c r="K183" s="100">
        <f t="shared" ref="K183:K191" si="67">J183/I183</f>
        <v>0.95762437499999997</v>
      </c>
      <c r="L183" s="87"/>
      <c r="M183" s="87"/>
      <c r="N183" s="87">
        <f t="shared" si="66"/>
        <v>1432316.82</v>
      </c>
      <c r="O183" s="167"/>
      <c r="P183" s="168"/>
    </row>
    <row r="184" spans="1:16" s="44" customFormat="1" ht="184.5" thickTop="1" thickBot="1" x14ac:dyDescent="0.25">
      <c r="A184" s="59"/>
      <c r="B184" s="79" t="s">
        <v>395</v>
      </c>
      <c r="C184" s="79" t="s">
        <v>396</v>
      </c>
      <c r="D184" s="79" t="s">
        <v>397</v>
      </c>
      <c r="E184" s="69">
        <v>108400</v>
      </c>
      <c r="F184" s="69">
        <v>0</v>
      </c>
      <c r="G184" s="69">
        <v>0</v>
      </c>
      <c r="H184" s="70">
        <v>0</v>
      </c>
      <c r="I184" s="67"/>
      <c r="J184" s="83"/>
      <c r="K184" s="83"/>
      <c r="L184" s="83"/>
      <c r="M184" s="111"/>
      <c r="N184" s="71">
        <f t="shared" si="66"/>
        <v>0</v>
      </c>
      <c r="O184" s="167" t="s">
        <v>460</v>
      </c>
      <c r="P184" s="168"/>
    </row>
    <row r="185" spans="1:16" s="44" customFormat="1" ht="93" thickTop="1" thickBot="1" x14ac:dyDescent="0.25">
      <c r="A185" s="59"/>
      <c r="B185" s="79" t="s">
        <v>398</v>
      </c>
      <c r="C185" s="79" t="s">
        <v>396</v>
      </c>
      <c r="D185" s="79" t="s">
        <v>399</v>
      </c>
      <c r="E185" s="69">
        <v>2452178</v>
      </c>
      <c r="F185" s="69">
        <v>1583014</v>
      </c>
      <c r="G185" s="69">
        <v>1401672.84</v>
      </c>
      <c r="H185" s="70">
        <f t="shared" si="65"/>
        <v>0.88544563724641734</v>
      </c>
      <c r="I185" s="71">
        <v>32000</v>
      </c>
      <c r="J185" s="71">
        <v>30643.98</v>
      </c>
      <c r="K185" s="70">
        <f t="shared" si="67"/>
        <v>0.95762437499999997</v>
      </c>
      <c r="L185" s="83"/>
      <c r="M185" s="111"/>
      <c r="N185" s="71">
        <f t="shared" si="66"/>
        <v>1432316.82</v>
      </c>
      <c r="O185" s="12"/>
      <c r="P185" s="61"/>
    </row>
    <row r="186" spans="1:16" s="44" customFormat="1" ht="91.5" thickTop="1" thickBot="1" x14ac:dyDescent="0.25">
      <c r="A186" s="59"/>
      <c r="B186" s="89" t="s">
        <v>422</v>
      </c>
      <c r="C186" s="89"/>
      <c r="D186" s="89" t="s">
        <v>423</v>
      </c>
      <c r="E186" s="128">
        <f>SUM(E187:E191)-E187</f>
        <v>0</v>
      </c>
      <c r="F186" s="128">
        <f t="shared" ref="F186:G186" si="68">SUM(F187:F191)-F187</f>
        <v>0</v>
      </c>
      <c r="G186" s="128">
        <f t="shared" si="68"/>
        <v>0</v>
      </c>
      <c r="H186" s="100">
        <v>0</v>
      </c>
      <c r="I186" s="128">
        <f t="shared" ref="I186:J186" si="69">SUM(I187:I191)-I187</f>
        <v>3185138.96</v>
      </c>
      <c r="J186" s="128">
        <f t="shared" si="69"/>
        <v>2241426.5799999996</v>
      </c>
      <c r="K186" s="100">
        <f t="shared" si="67"/>
        <v>0.70371390640991049</v>
      </c>
      <c r="L186" s="128"/>
      <c r="M186" s="128"/>
      <c r="N186" s="87">
        <f t="shared" si="66"/>
        <v>2241426.5799999996</v>
      </c>
      <c r="O186" s="167" t="s">
        <v>460</v>
      </c>
      <c r="P186" s="168"/>
    </row>
    <row r="187" spans="1:16" s="44" customFormat="1" ht="138.75" thickTop="1" thickBot="1" x14ac:dyDescent="0.25">
      <c r="A187" s="59"/>
      <c r="B187" s="64" t="s">
        <v>424</v>
      </c>
      <c r="C187" s="64"/>
      <c r="D187" s="64" t="s">
        <v>425</v>
      </c>
      <c r="E187" s="77">
        <f t="shared" ref="E187:G187" si="70">SUM(E188:E189)</f>
        <v>0</v>
      </c>
      <c r="F187" s="77">
        <f t="shared" si="70"/>
        <v>0</v>
      </c>
      <c r="G187" s="77">
        <f t="shared" si="70"/>
        <v>0</v>
      </c>
      <c r="H187" s="75">
        <v>0</v>
      </c>
      <c r="I187" s="77">
        <f t="shared" ref="I187:J187" si="71">SUM(I188:I189)</f>
        <v>765138.96</v>
      </c>
      <c r="J187" s="77">
        <f t="shared" si="71"/>
        <v>197297.64</v>
      </c>
      <c r="K187" s="75">
        <f t="shared" si="67"/>
        <v>0.25785857251341643</v>
      </c>
      <c r="L187" s="77"/>
      <c r="M187" s="77"/>
      <c r="N187" s="74">
        <f t="shared" si="66"/>
        <v>197297.64</v>
      </c>
      <c r="O187" s="45"/>
      <c r="P187" s="61"/>
    </row>
    <row r="188" spans="1:16" s="44" customFormat="1" ht="138.75" thickTop="1" thickBot="1" x14ac:dyDescent="0.25">
      <c r="A188" s="59"/>
      <c r="B188" s="79" t="s">
        <v>426</v>
      </c>
      <c r="C188" s="79" t="s">
        <v>427</v>
      </c>
      <c r="D188" s="79" t="s">
        <v>428</v>
      </c>
      <c r="E188" s="67"/>
      <c r="F188" s="67"/>
      <c r="G188" s="67"/>
      <c r="H188" s="67"/>
      <c r="I188" s="71">
        <v>403900</v>
      </c>
      <c r="J188" s="71">
        <v>104053.64</v>
      </c>
      <c r="K188" s="70">
        <f t="shared" si="67"/>
        <v>0.25762228274325327</v>
      </c>
      <c r="L188" s="71"/>
      <c r="M188" s="105"/>
      <c r="N188" s="71">
        <f t="shared" si="66"/>
        <v>104053.64</v>
      </c>
      <c r="O188" s="45"/>
      <c r="P188" s="61"/>
    </row>
    <row r="189" spans="1:16" s="44" customFormat="1" ht="48" thickTop="1" thickBot="1" x14ac:dyDescent="0.25">
      <c r="A189" s="59"/>
      <c r="B189" s="79" t="s">
        <v>429</v>
      </c>
      <c r="C189" s="79" t="s">
        <v>430</v>
      </c>
      <c r="D189" s="79" t="s">
        <v>431</v>
      </c>
      <c r="E189" s="67"/>
      <c r="F189" s="67"/>
      <c r="G189" s="67"/>
      <c r="H189" s="67"/>
      <c r="I189" s="71">
        <v>361238.96</v>
      </c>
      <c r="J189" s="71">
        <v>93244</v>
      </c>
      <c r="K189" s="70">
        <f t="shared" si="67"/>
        <v>0.25812276726740657</v>
      </c>
      <c r="L189" s="71"/>
      <c r="M189" s="105"/>
      <c r="N189" s="71">
        <f t="shared" si="66"/>
        <v>93244</v>
      </c>
      <c r="O189" s="45"/>
      <c r="P189" s="61"/>
    </row>
    <row r="190" spans="1:16" s="44" customFormat="1" ht="93" thickTop="1" thickBot="1" x14ac:dyDescent="0.25">
      <c r="A190" s="59"/>
      <c r="B190" s="79" t="s">
        <v>432</v>
      </c>
      <c r="C190" s="79" t="s">
        <v>433</v>
      </c>
      <c r="D190" s="79" t="s">
        <v>434</v>
      </c>
      <c r="E190" s="67"/>
      <c r="F190" s="67"/>
      <c r="G190" s="67"/>
      <c r="H190" s="67"/>
      <c r="I190" s="71">
        <v>175000</v>
      </c>
      <c r="J190" s="71">
        <v>64944.5</v>
      </c>
      <c r="K190" s="70">
        <f t="shared" si="67"/>
        <v>0.37111142857142859</v>
      </c>
      <c r="L190" s="71"/>
      <c r="M190" s="105"/>
      <c r="N190" s="71">
        <f t="shared" si="66"/>
        <v>64944.5</v>
      </c>
      <c r="O190" s="45"/>
      <c r="P190" s="61"/>
    </row>
    <row r="191" spans="1:16" s="44" customFormat="1" ht="93" thickTop="1" thickBot="1" x14ac:dyDescent="0.25">
      <c r="A191" s="59"/>
      <c r="B191" s="79" t="s">
        <v>435</v>
      </c>
      <c r="C191" s="79" t="s">
        <v>436</v>
      </c>
      <c r="D191" s="79" t="s">
        <v>437</v>
      </c>
      <c r="E191" s="67"/>
      <c r="F191" s="67"/>
      <c r="G191" s="67"/>
      <c r="H191" s="67"/>
      <c r="I191" s="71">
        <v>2245000</v>
      </c>
      <c r="J191" s="71">
        <v>1979184.44</v>
      </c>
      <c r="K191" s="70">
        <f t="shared" si="67"/>
        <v>0.88159663251670373</v>
      </c>
      <c r="L191" s="71"/>
      <c r="M191" s="105"/>
      <c r="N191" s="71">
        <f t="shared" si="66"/>
        <v>1979184.44</v>
      </c>
      <c r="O191" s="45"/>
      <c r="P191" s="61"/>
    </row>
    <row r="192" spans="1:16" s="44" customFormat="1" ht="47.25" thickTop="1" thickBot="1" x14ac:dyDescent="0.25">
      <c r="A192" s="59"/>
      <c r="B192" s="89" t="s">
        <v>53</v>
      </c>
      <c r="C192" s="89"/>
      <c r="D192" s="89" t="s">
        <v>54</v>
      </c>
      <c r="E192" s="87">
        <f>SUM(E193)</f>
        <v>6359300</v>
      </c>
      <c r="F192" s="87">
        <f t="shared" ref="F192:J192" si="72">SUM(F193)</f>
        <v>4380000</v>
      </c>
      <c r="G192" s="87">
        <f t="shared" si="72"/>
        <v>4355665.9400000004</v>
      </c>
      <c r="H192" s="100">
        <f t="shared" ref="H192:H194" si="73">G192/F192</f>
        <v>0.9944442785388129</v>
      </c>
      <c r="I192" s="87">
        <f t="shared" si="72"/>
        <v>0</v>
      </c>
      <c r="J192" s="87">
        <f t="shared" si="72"/>
        <v>0</v>
      </c>
      <c r="K192" s="100">
        <v>0</v>
      </c>
      <c r="L192" s="87"/>
      <c r="M192" s="87"/>
      <c r="N192" s="87">
        <f t="shared" si="66"/>
        <v>4355665.9400000004</v>
      </c>
      <c r="O192" s="167" t="s">
        <v>460</v>
      </c>
      <c r="P192" s="168"/>
    </row>
    <row r="193" spans="1:17" s="44" customFormat="1" ht="93" thickTop="1" thickBot="1" x14ac:dyDescent="0.25">
      <c r="A193" s="59"/>
      <c r="B193" s="65" t="s">
        <v>55</v>
      </c>
      <c r="C193" s="65" t="s">
        <v>56</v>
      </c>
      <c r="D193" s="65" t="s">
        <v>57</v>
      </c>
      <c r="E193" s="71">
        <v>6359300</v>
      </c>
      <c r="F193" s="71">
        <v>4380000</v>
      </c>
      <c r="G193" s="71">
        <v>4355665.9400000004</v>
      </c>
      <c r="H193" s="70">
        <f t="shared" si="73"/>
        <v>0.9944442785388129</v>
      </c>
      <c r="I193" s="67"/>
      <c r="J193" s="67"/>
      <c r="K193" s="67"/>
      <c r="L193" s="67"/>
      <c r="M193" s="111"/>
      <c r="N193" s="71">
        <f t="shared" si="66"/>
        <v>4355665.9400000004</v>
      </c>
      <c r="O193" s="45"/>
      <c r="P193" s="61"/>
    </row>
    <row r="194" spans="1:17" s="44" customFormat="1" ht="91.5" thickTop="1" thickBot="1" x14ac:dyDescent="0.25">
      <c r="A194" s="59"/>
      <c r="B194" s="88">
        <v>8600</v>
      </c>
      <c r="C194" s="89" t="s">
        <v>28</v>
      </c>
      <c r="D194" s="88" t="s">
        <v>445</v>
      </c>
      <c r="E194" s="87">
        <v>3821976</v>
      </c>
      <c r="F194" s="87">
        <v>1734714</v>
      </c>
      <c r="G194" s="87">
        <v>512046.52</v>
      </c>
      <c r="H194" s="100">
        <f t="shared" si="73"/>
        <v>0.2951763345427546</v>
      </c>
      <c r="I194" s="119"/>
      <c r="J194" s="119"/>
      <c r="K194" s="119"/>
      <c r="L194" s="119"/>
      <c r="M194" s="136"/>
      <c r="N194" s="87">
        <f t="shared" si="66"/>
        <v>512046.52</v>
      </c>
      <c r="O194" s="45"/>
      <c r="P194" s="61"/>
    </row>
    <row r="195" spans="1:17" s="44" customFormat="1" ht="47.25" thickTop="1" thickBot="1" x14ac:dyDescent="0.25">
      <c r="A195" s="59"/>
      <c r="B195" s="88">
        <v>8700</v>
      </c>
      <c r="C195" s="89"/>
      <c r="D195" s="88" t="s">
        <v>446</v>
      </c>
      <c r="E195" s="87">
        <f t="shared" ref="E195:J195" si="74">E196</f>
        <v>850000</v>
      </c>
      <c r="F195" s="87">
        <f t="shared" si="74"/>
        <v>0</v>
      </c>
      <c r="G195" s="87">
        <f t="shared" si="74"/>
        <v>0</v>
      </c>
      <c r="H195" s="100">
        <v>0</v>
      </c>
      <c r="I195" s="87">
        <f t="shared" si="74"/>
        <v>0</v>
      </c>
      <c r="J195" s="87">
        <f t="shared" si="74"/>
        <v>0</v>
      </c>
      <c r="K195" s="100">
        <v>0</v>
      </c>
      <c r="L195" s="87"/>
      <c r="M195" s="87"/>
      <c r="N195" s="87">
        <f t="shared" si="66"/>
        <v>0</v>
      </c>
      <c r="O195" s="167" t="s">
        <v>460</v>
      </c>
      <c r="P195" s="168"/>
    </row>
    <row r="196" spans="1:17" s="44" customFormat="1" ht="93" thickTop="1" thickBot="1" x14ac:dyDescent="0.25">
      <c r="A196" s="59"/>
      <c r="B196" s="82">
        <v>8710</v>
      </c>
      <c r="C196" s="79" t="s">
        <v>33</v>
      </c>
      <c r="D196" s="28" t="s">
        <v>447</v>
      </c>
      <c r="E196" s="71">
        <v>850000</v>
      </c>
      <c r="F196" s="71">
        <v>0</v>
      </c>
      <c r="G196" s="71">
        <v>0</v>
      </c>
      <c r="H196" s="70">
        <v>0</v>
      </c>
      <c r="I196" s="71"/>
      <c r="J196" s="71"/>
      <c r="K196" s="71"/>
      <c r="L196" s="71"/>
      <c r="M196" s="105"/>
      <c r="N196" s="71">
        <f t="shared" si="66"/>
        <v>0</v>
      </c>
      <c r="O196" s="167" t="s">
        <v>460</v>
      </c>
      <c r="P196" s="168"/>
    </row>
    <row r="197" spans="1:17" s="44" customFormat="1" ht="103.7" customHeight="1" thickTop="1" thickBot="1" x14ac:dyDescent="0.25">
      <c r="A197" s="59"/>
      <c r="B197" s="113" t="s">
        <v>58</v>
      </c>
      <c r="C197" s="113"/>
      <c r="D197" s="114" t="s">
        <v>59</v>
      </c>
      <c r="E197" s="115">
        <f>SUM(E198:E203)-E198-E200</f>
        <v>79612137</v>
      </c>
      <c r="F197" s="115">
        <f>SUM(F198:F203)-F198-F200</f>
        <v>61257337</v>
      </c>
      <c r="G197" s="115">
        <f>SUM(G198:G203)-G198-G200</f>
        <v>61177337</v>
      </c>
      <c r="H197" s="116">
        <f>G197/F197</f>
        <v>0.99869403398975698</v>
      </c>
      <c r="I197" s="115">
        <f>SUM(I198:I203)-I198-I200</f>
        <v>6887046.1799999997</v>
      </c>
      <c r="J197" s="115">
        <f>SUM(J198:J203)-J198-J200</f>
        <v>2340000</v>
      </c>
      <c r="K197" s="116">
        <f>J197/I197</f>
        <v>0.33976830397846991</v>
      </c>
      <c r="L197" s="115"/>
      <c r="M197" s="115"/>
      <c r="N197" s="117">
        <f>J197+G197</f>
        <v>63517337</v>
      </c>
      <c r="O197" s="84" t="b">
        <f>N197=N199+N201+N202+N203</f>
        <v>1</v>
      </c>
      <c r="P197" s="167"/>
      <c r="Q197" s="168"/>
    </row>
    <row r="198" spans="1:17" s="44" customFormat="1" ht="103.7" customHeight="1" thickTop="1" thickBot="1" x14ac:dyDescent="0.25">
      <c r="A198" s="59"/>
      <c r="B198" s="89" t="s">
        <v>448</v>
      </c>
      <c r="C198" s="89"/>
      <c r="D198" s="89" t="s">
        <v>449</v>
      </c>
      <c r="E198" s="87">
        <f t="shared" ref="E198:J198" si="75">E199</f>
        <v>73303900</v>
      </c>
      <c r="F198" s="87">
        <f t="shared" si="75"/>
        <v>54978300</v>
      </c>
      <c r="G198" s="87">
        <f t="shared" si="75"/>
        <v>54978300</v>
      </c>
      <c r="H198" s="100">
        <f t="shared" ref="H198:H202" si="76">G198/F198</f>
        <v>1</v>
      </c>
      <c r="I198" s="87">
        <f t="shared" si="75"/>
        <v>0</v>
      </c>
      <c r="J198" s="87">
        <f t="shared" si="75"/>
        <v>0</v>
      </c>
      <c r="K198" s="100">
        <v>0</v>
      </c>
      <c r="L198" s="87"/>
      <c r="M198" s="87"/>
      <c r="N198" s="87">
        <f t="shared" si="66"/>
        <v>54978300</v>
      </c>
      <c r="O198" s="167" t="s">
        <v>460</v>
      </c>
      <c r="P198" s="168"/>
    </row>
    <row r="199" spans="1:17" s="44" customFormat="1" ht="103.7" customHeight="1" thickTop="1" thickBot="1" x14ac:dyDescent="0.25">
      <c r="A199" s="59"/>
      <c r="B199" s="82">
        <v>9110</v>
      </c>
      <c r="C199" s="79" t="s">
        <v>32</v>
      </c>
      <c r="D199" s="28" t="s">
        <v>450</v>
      </c>
      <c r="E199" s="71">
        <v>73303900</v>
      </c>
      <c r="F199" s="71">
        <v>54978300</v>
      </c>
      <c r="G199" s="71">
        <v>54978300</v>
      </c>
      <c r="H199" s="70">
        <f t="shared" si="76"/>
        <v>1</v>
      </c>
      <c r="I199" s="67"/>
      <c r="J199" s="67"/>
      <c r="K199" s="67"/>
      <c r="L199" s="67"/>
      <c r="M199" s="111"/>
      <c r="N199" s="71">
        <f t="shared" si="66"/>
        <v>54978300</v>
      </c>
      <c r="O199" s="12"/>
    </row>
    <row r="200" spans="1:17" s="44" customFormat="1" ht="271.5" thickTop="1" thickBot="1" x14ac:dyDescent="0.25">
      <c r="A200" s="59"/>
      <c r="B200" s="89" t="s">
        <v>60</v>
      </c>
      <c r="C200" s="89"/>
      <c r="D200" s="89" t="s">
        <v>61</v>
      </c>
      <c r="E200" s="87">
        <f>SUM(E201:E202)</f>
        <v>2678237</v>
      </c>
      <c r="F200" s="87">
        <f t="shared" ref="F200:G200" si="77">SUM(F201:F202)</f>
        <v>2649037</v>
      </c>
      <c r="G200" s="87">
        <f t="shared" si="77"/>
        <v>2649037</v>
      </c>
      <c r="H200" s="100">
        <f t="shared" si="76"/>
        <v>1</v>
      </c>
      <c r="I200" s="87">
        <f t="shared" ref="I200:J200" si="78">SUM(I201:I202)</f>
        <v>5547046.1799999997</v>
      </c>
      <c r="J200" s="87">
        <f t="shared" si="78"/>
        <v>1000000</v>
      </c>
      <c r="K200" s="100">
        <v>0</v>
      </c>
      <c r="L200" s="87"/>
      <c r="M200" s="87"/>
      <c r="N200" s="87">
        <f t="shared" si="66"/>
        <v>3649037</v>
      </c>
      <c r="O200" s="167" t="s">
        <v>460</v>
      </c>
      <c r="P200" s="168"/>
    </row>
    <row r="201" spans="1:17" s="44" customFormat="1" ht="276" thickTop="1" thickBot="1" x14ac:dyDescent="0.25">
      <c r="A201" s="59"/>
      <c r="B201" s="79" t="s">
        <v>62</v>
      </c>
      <c r="C201" s="79" t="s">
        <v>32</v>
      </c>
      <c r="D201" s="79" t="s">
        <v>63</v>
      </c>
      <c r="E201" s="71">
        <v>300000</v>
      </c>
      <c r="F201" s="71">
        <v>300000</v>
      </c>
      <c r="G201" s="71">
        <v>300000</v>
      </c>
      <c r="H201" s="70">
        <f t="shared" si="76"/>
        <v>1</v>
      </c>
      <c r="I201" s="67"/>
      <c r="J201" s="67"/>
      <c r="K201" s="67"/>
      <c r="L201" s="67"/>
      <c r="M201" s="111"/>
      <c r="N201" s="71">
        <f t="shared" si="66"/>
        <v>300000</v>
      </c>
      <c r="O201" s="45"/>
      <c r="P201" s="61"/>
    </row>
    <row r="202" spans="1:17" s="44" customFormat="1" ht="93" thickTop="1" thickBot="1" x14ac:dyDescent="0.8">
      <c r="A202" s="59"/>
      <c r="B202" s="79" t="s">
        <v>64</v>
      </c>
      <c r="C202" s="79" t="s">
        <v>32</v>
      </c>
      <c r="D202" s="79" t="s">
        <v>65</v>
      </c>
      <c r="E202" s="71">
        <f>120100+558137+1700000</f>
        <v>2378237</v>
      </c>
      <c r="F202" s="71">
        <v>2349037</v>
      </c>
      <c r="G202" s="71">
        <f>90900+558137+1700000</f>
        <v>2349037</v>
      </c>
      <c r="H202" s="70">
        <f t="shared" si="76"/>
        <v>1</v>
      </c>
      <c r="I202" s="71">
        <f>4547046.18+1000000</f>
        <v>5547046.1799999997</v>
      </c>
      <c r="J202" s="71">
        <v>1000000</v>
      </c>
      <c r="K202" s="70">
        <f t="shared" ref="K202" si="79">J202/I202</f>
        <v>0.18027612670785445</v>
      </c>
      <c r="L202" s="71"/>
      <c r="M202" s="105"/>
      <c r="N202" s="71">
        <f t="shared" si="66"/>
        <v>3349037</v>
      </c>
      <c r="O202" s="92"/>
      <c r="P202" s="61"/>
    </row>
    <row r="203" spans="1:17" s="44" customFormat="1" ht="271.5" thickTop="1" thickBot="1" x14ac:dyDescent="0.25">
      <c r="A203" s="59"/>
      <c r="B203" s="89" t="s">
        <v>66</v>
      </c>
      <c r="C203" s="89" t="s">
        <v>32</v>
      </c>
      <c r="D203" s="89" t="s">
        <v>67</v>
      </c>
      <c r="E203" s="90">
        <v>3630000</v>
      </c>
      <c r="F203" s="90">
        <v>3630000</v>
      </c>
      <c r="G203" s="90">
        <v>3550000</v>
      </c>
      <c r="H203" s="91">
        <f t="shared" ref="H203" si="80">G203/F203</f>
        <v>0.97796143250688705</v>
      </c>
      <c r="I203" s="90">
        <v>1340000</v>
      </c>
      <c r="J203" s="90">
        <v>1340000</v>
      </c>
      <c r="K203" s="91">
        <f t="shared" ref="K203" si="81">J203/I203</f>
        <v>1</v>
      </c>
      <c r="L203" s="119"/>
      <c r="M203" s="119"/>
      <c r="N203" s="90">
        <f t="shared" ref="N203" si="82">G203+J203</f>
        <v>4890000</v>
      </c>
      <c r="O203" s="45"/>
      <c r="P203" s="61"/>
    </row>
    <row r="204" spans="1:17" s="44" customFormat="1" ht="71.45" customHeight="1" thickTop="1" thickBot="1" x14ac:dyDescent="0.25">
      <c r="A204" s="59"/>
      <c r="B204" s="46" t="s">
        <v>451</v>
      </c>
      <c r="C204" s="46" t="s">
        <v>451</v>
      </c>
      <c r="D204" s="47" t="s">
        <v>463</v>
      </c>
      <c r="E204" s="48">
        <f>E16+E21+E52+E65+E109+E117+E132+E145+E182+E197</f>
        <v>2745851606.48</v>
      </c>
      <c r="F204" s="48">
        <f>F16+F21+F52+F65+F109+F117+F132+F145+F182+F197</f>
        <v>2060677900.4900002</v>
      </c>
      <c r="G204" s="48">
        <f>G16+G21+G52+G65+G109+G117+G132+G145+G182+G197</f>
        <v>1964625838.5799994</v>
      </c>
      <c r="H204" s="78">
        <f>G204/F204</f>
        <v>0.95338812441907539</v>
      </c>
      <c r="I204" s="48">
        <f>I16+I21+I52+I65+I109+I117+I132+I145+I182+I197</f>
        <v>750339840.28999984</v>
      </c>
      <c r="J204" s="48">
        <f>J16+J21+J52+J65+J109+J117+J132+J145+J182+J197</f>
        <v>413490367.37999994</v>
      </c>
      <c r="K204" s="78">
        <f>J204/I204</f>
        <v>0.55107078843126533</v>
      </c>
      <c r="L204" s="68" t="e">
        <f>#REF!+#REF!+#REF!+#REF!+#REF!+#REF!++L125+L133+L193+L153+L173+L185+L141+#REF!+#REF!</f>
        <v>#REF!</v>
      </c>
      <c r="M204" s="68" t="e">
        <f>#REF!+#REF!+#REF!+#REF!+#REF!+#REF!++M125+M133+M193+M153+M173+M185+M141+#REF!+#REF!</f>
        <v>#REF!</v>
      </c>
      <c r="N204" s="48">
        <f>N16+N21+N52+N65+N109+N117+N132+N145+N182+N197</f>
        <v>2378116205.9599996</v>
      </c>
      <c r="O204" s="84" t="b">
        <f>N204=J204+G204</f>
        <v>1</v>
      </c>
      <c r="P204" s="61"/>
    </row>
    <row r="205" spans="1:17" s="44" customFormat="1" ht="47.25" thickTop="1" thickBot="1" x14ac:dyDescent="0.25">
      <c r="A205" s="59"/>
      <c r="B205" s="86" t="s">
        <v>51</v>
      </c>
      <c r="C205" s="93"/>
      <c r="D205" s="94" t="s">
        <v>468</v>
      </c>
      <c r="E205" s="95">
        <f t="shared" ref="E205:G206" si="83">E206</f>
        <v>200000</v>
      </c>
      <c r="F205" s="95">
        <f t="shared" si="83"/>
        <v>200000</v>
      </c>
      <c r="G205" s="95">
        <f t="shared" si="83"/>
        <v>0</v>
      </c>
      <c r="H205" s="96">
        <v>0</v>
      </c>
      <c r="I205" s="95">
        <f>I206</f>
        <v>123742.20000000001</v>
      </c>
      <c r="J205" s="95">
        <f>J206</f>
        <v>-273545.83</v>
      </c>
      <c r="K205" s="91"/>
      <c r="L205" s="95"/>
      <c r="M205" s="95"/>
      <c r="N205" s="90">
        <f t="shared" ref="N205:N209" si="84">G205+J205</f>
        <v>-273545.83</v>
      </c>
      <c r="O205" s="167" t="s">
        <v>460</v>
      </c>
      <c r="P205" s="168"/>
    </row>
    <row r="206" spans="1:17" s="44" customFormat="1" ht="47.25" thickTop="1" thickBot="1" x14ac:dyDescent="0.25">
      <c r="A206" s="59"/>
      <c r="B206" s="89" t="s">
        <v>466</v>
      </c>
      <c r="C206" s="93"/>
      <c r="D206" s="97" t="s">
        <v>469</v>
      </c>
      <c r="E206" s="98">
        <f t="shared" si="83"/>
        <v>200000</v>
      </c>
      <c r="F206" s="98">
        <f t="shared" si="83"/>
        <v>200000</v>
      </c>
      <c r="G206" s="98">
        <f t="shared" si="83"/>
        <v>0</v>
      </c>
      <c r="H206" s="99">
        <v>0</v>
      </c>
      <c r="I206" s="98">
        <f>I207</f>
        <v>123742.20000000001</v>
      </c>
      <c r="J206" s="98">
        <f>J207</f>
        <v>-273545.83</v>
      </c>
      <c r="K206" s="100"/>
      <c r="L206" s="98"/>
      <c r="M206" s="98"/>
      <c r="N206" s="87">
        <f t="shared" si="84"/>
        <v>-273545.83</v>
      </c>
      <c r="O206" s="167" t="s">
        <v>460</v>
      </c>
      <c r="P206" s="168"/>
    </row>
    <row r="207" spans="1:17" s="44" customFormat="1" ht="321.75" thickTop="1" thickBot="1" x14ac:dyDescent="0.25">
      <c r="A207" s="59"/>
      <c r="B207" s="64" t="s">
        <v>467</v>
      </c>
      <c r="C207" s="93"/>
      <c r="D207" s="101" t="s">
        <v>470</v>
      </c>
      <c r="E207" s="102">
        <f>E208+E209</f>
        <v>200000</v>
      </c>
      <c r="F207" s="102">
        <f>F208+F209</f>
        <v>200000</v>
      </c>
      <c r="G207" s="102">
        <f>G208+G209</f>
        <v>0</v>
      </c>
      <c r="H207" s="75">
        <v>0</v>
      </c>
      <c r="I207" s="102">
        <f>I208+I209</f>
        <v>123742.20000000001</v>
      </c>
      <c r="J207" s="102">
        <f>J208+J209</f>
        <v>-273545.83</v>
      </c>
      <c r="K207" s="70"/>
      <c r="L207" s="102"/>
      <c r="M207" s="102"/>
      <c r="N207" s="74">
        <f t="shared" si="84"/>
        <v>-273545.83</v>
      </c>
      <c r="O207" s="167" t="s">
        <v>460</v>
      </c>
      <c r="P207" s="168"/>
    </row>
    <row r="208" spans="1:17" s="44" customFormat="1" ht="276" thickTop="1" thickBot="1" x14ac:dyDescent="0.25">
      <c r="A208" s="59"/>
      <c r="B208" s="103" t="s">
        <v>464</v>
      </c>
      <c r="C208" s="93"/>
      <c r="D208" s="104" t="s">
        <v>471</v>
      </c>
      <c r="E208" s="105">
        <v>200000</v>
      </c>
      <c r="F208" s="105">
        <v>200000</v>
      </c>
      <c r="G208" s="105">
        <v>0</v>
      </c>
      <c r="H208" s="70">
        <v>0</v>
      </c>
      <c r="I208" s="105">
        <v>223742.2</v>
      </c>
      <c r="J208" s="105">
        <v>0</v>
      </c>
      <c r="K208" s="70">
        <f t="shared" ref="K208:K209" si="85">J208/I208</f>
        <v>0</v>
      </c>
      <c r="L208" s="95"/>
      <c r="M208" s="95"/>
      <c r="N208" s="71">
        <f t="shared" si="84"/>
        <v>0</v>
      </c>
      <c r="O208" s="167" t="s">
        <v>460</v>
      </c>
      <c r="P208" s="168"/>
    </row>
    <row r="209" spans="1:27" s="44" customFormat="1" ht="321.75" thickTop="1" thickBot="1" x14ac:dyDescent="1.2">
      <c r="A209" s="59"/>
      <c r="B209" s="103" t="s">
        <v>465</v>
      </c>
      <c r="C209" s="93"/>
      <c r="D209" s="104" t="s">
        <v>472</v>
      </c>
      <c r="E209" s="106"/>
      <c r="F209" s="106"/>
      <c r="G209" s="106"/>
      <c r="H209" s="107"/>
      <c r="I209" s="105">
        <v>-100000</v>
      </c>
      <c r="J209" s="105">
        <v>-273545.83</v>
      </c>
      <c r="K209" s="70">
        <f t="shared" si="85"/>
        <v>2.7354583000000003</v>
      </c>
      <c r="L209" s="95"/>
      <c r="M209" s="95"/>
      <c r="N209" s="71">
        <f t="shared" si="84"/>
        <v>-273545.83</v>
      </c>
      <c r="O209" s="45"/>
      <c r="P209" s="61"/>
      <c r="AA209" s="137"/>
    </row>
    <row r="210" spans="1:27" s="44" customFormat="1" ht="119.25" customHeight="1" thickTop="1" thickBot="1" x14ac:dyDescent="0.25">
      <c r="A210" s="59"/>
      <c r="B210" s="46" t="s">
        <v>451</v>
      </c>
      <c r="C210" s="46" t="s">
        <v>451</v>
      </c>
      <c r="D210" s="47" t="s">
        <v>452</v>
      </c>
      <c r="E210" s="48">
        <f>E204+E205</f>
        <v>2746051606.48</v>
      </c>
      <c r="F210" s="48">
        <f>F204+F205</f>
        <v>2060877900.4900002</v>
      </c>
      <c r="G210" s="48">
        <f>G204+G205</f>
        <v>1964625838.5799994</v>
      </c>
      <c r="H210" s="78">
        <f>G210/F210</f>
        <v>0.95329560189513618</v>
      </c>
      <c r="I210" s="48">
        <f>I204+I205</f>
        <v>750463582.48999989</v>
      </c>
      <c r="J210" s="48">
        <f>J204+J205</f>
        <v>413216821.54999995</v>
      </c>
      <c r="K210" s="78">
        <f>J210/I210</f>
        <v>0.55061542117602513</v>
      </c>
      <c r="L210" s="68" t="e">
        <f>#REF!+#REF!+#REF!+#REF!+#REF!+#REF!++L131+L139+L199+L165+L179+L190+L148+#REF!+#REF!</f>
        <v>#REF!</v>
      </c>
      <c r="M210" s="68" t="e">
        <f>#REF!+#REF!+#REF!+#REF!+#REF!+#REF!++M131+M139+M199+M165+M179+M190+M148+#REF!+#REF!</f>
        <v>#REF!</v>
      </c>
      <c r="N210" s="48">
        <f>N204+N205</f>
        <v>2377842660.1299996</v>
      </c>
      <c r="O210" s="84" t="b">
        <f>N210=J210+G210</f>
        <v>1</v>
      </c>
      <c r="P210" s="61"/>
    </row>
    <row r="211" spans="1:27" ht="58.7" customHeight="1" thickTop="1" x14ac:dyDescent="0.2">
      <c r="A211" s="161" t="s">
        <v>453</v>
      </c>
      <c r="B211" s="162"/>
      <c r="C211" s="162"/>
      <c r="D211" s="162"/>
      <c r="E211" s="162"/>
      <c r="F211" s="162"/>
      <c r="G211" s="162"/>
      <c r="H211" s="162"/>
      <c r="I211" s="162"/>
      <c r="J211" s="162"/>
      <c r="K211" s="162"/>
      <c r="L211" s="162"/>
      <c r="M211" s="162"/>
      <c r="N211" s="162"/>
      <c r="O211" s="49"/>
    </row>
    <row r="212" spans="1:27" ht="45.75" x14ac:dyDescent="0.65">
      <c r="A212" s="50"/>
      <c r="B212" s="51"/>
      <c r="C212" s="51"/>
      <c r="D212" s="52"/>
      <c r="E212" s="53"/>
      <c r="F212" s="53"/>
      <c r="G212" s="52"/>
      <c r="H212" s="54"/>
      <c r="I212" s="52"/>
      <c r="J212" s="54"/>
      <c r="K212" s="54"/>
      <c r="L212" s="54"/>
      <c r="M212" s="54"/>
      <c r="N212" s="54"/>
      <c r="O212" s="49"/>
    </row>
    <row r="213" spans="1:27" ht="45.75" x14ac:dyDescent="0.65">
      <c r="A213" s="50"/>
      <c r="B213" s="51"/>
      <c r="C213" s="51"/>
      <c r="D213" s="163"/>
      <c r="E213" s="163"/>
      <c r="F213" s="163"/>
      <c r="G213" s="163"/>
      <c r="H213" s="163"/>
      <c r="I213" s="163"/>
      <c r="J213" s="163"/>
      <c r="K213" s="163"/>
      <c r="L213" s="163"/>
      <c r="M213" s="163"/>
      <c r="N213" s="163"/>
      <c r="O213" s="49"/>
    </row>
    <row r="214" spans="1:27" ht="45.75" x14ac:dyDescent="0.65">
      <c r="A214" s="50"/>
      <c r="B214" s="51"/>
      <c r="C214" s="51"/>
      <c r="D214" s="52" t="s">
        <v>534</v>
      </c>
      <c r="E214" s="53"/>
      <c r="F214" s="53"/>
      <c r="G214" s="52"/>
      <c r="H214" s="54"/>
      <c r="I214" s="52" t="s">
        <v>535</v>
      </c>
      <c r="J214" s="54"/>
      <c r="K214" s="54"/>
      <c r="L214" s="54"/>
      <c r="M214" s="54"/>
      <c r="N214" s="54"/>
      <c r="O214" s="49"/>
    </row>
    <row r="215" spans="1:27" ht="45.75" hidden="1" x14ac:dyDescent="0.65">
      <c r="A215" s="2"/>
      <c r="B215" s="2"/>
      <c r="C215" s="2"/>
      <c r="D215" s="163"/>
      <c r="E215" s="163"/>
      <c r="F215" s="163"/>
      <c r="G215" s="163"/>
      <c r="H215" s="163"/>
      <c r="I215" s="163"/>
      <c r="J215" s="163"/>
      <c r="K215" s="163"/>
      <c r="L215" s="163"/>
      <c r="M215" s="163"/>
      <c r="N215" s="163"/>
      <c r="O215" s="55"/>
    </row>
    <row r="216" spans="1:27" hidden="1" x14ac:dyDescent="0.2"/>
    <row r="217" spans="1:27" hidden="1" x14ac:dyDescent="0.2"/>
    <row r="218" spans="1:27" hidden="1" x14ac:dyDescent="0.2"/>
    <row r="219" spans="1:27" hidden="1" x14ac:dyDescent="0.2"/>
    <row r="220" spans="1:27" hidden="1" x14ac:dyDescent="0.2"/>
    <row r="221" spans="1:27" hidden="1" x14ac:dyDescent="0.2"/>
    <row r="222" spans="1:27" hidden="1" x14ac:dyDescent="0.2"/>
    <row r="223" spans="1:27" hidden="1" x14ac:dyDescent="0.2"/>
    <row r="224" spans="1:27" hidden="1" x14ac:dyDescent="0.2"/>
    <row r="225" spans="5:9" hidden="1" x14ac:dyDescent="0.2"/>
    <row r="226" spans="5:9" hidden="1" x14ac:dyDescent="0.2"/>
    <row r="227" spans="5:9" hidden="1" x14ac:dyDescent="0.2"/>
    <row r="228" spans="5:9" hidden="1" x14ac:dyDescent="0.2"/>
    <row r="229" spans="5:9" hidden="1" x14ac:dyDescent="0.2"/>
    <row r="230" spans="5:9" hidden="1" x14ac:dyDescent="0.2"/>
    <row r="231" spans="5:9" ht="13.5" hidden="1" thickBot="1" x14ac:dyDescent="0.25"/>
    <row r="232" spans="5:9" ht="47.25" hidden="1" thickTop="1" thickBot="1" x14ac:dyDescent="0.25">
      <c r="E232" s="108" t="b">
        <f>2665389469.48=E204-E197-E195</f>
        <v>1</v>
      </c>
      <c r="I232" s="108" t="b">
        <f>743452794.11=I204-I197-I195</f>
        <v>1</v>
      </c>
    </row>
    <row r="233" spans="5:9" ht="13.5" hidden="1" thickTop="1" x14ac:dyDescent="0.2"/>
    <row r="234" spans="5:9" hidden="1" x14ac:dyDescent="0.2"/>
    <row r="235" spans="5:9" hidden="1" x14ac:dyDescent="0.2"/>
    <row r="236" spans="5:9" hidden="1" x14ac:dyDescent="0.2"/>
    <row r="237" spans="5:9" ht="21.75" hidden="1" customHeight="1" x14ac:dyDescent="0.2"/>
    <row r="238" spans="5:9" hidden="1" x14ac:dyDescent="0.2"/>
    <row r="239" spans="5:9" hidden="1" x14ac:dyDescent="0.2"/>
    <row r="240" spans="5:9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</sheetData>
  <mergeCells count="105">
    <mergeCell ref="O200:P200"/>
    <mergeCell ref="P197:Q197"/>
    <mergeCell ref="O208:P208"/>
    <mergeCell ref="O207:P207"/>
    <mergeCell ref="O206:P206"/>
    <mergeCell ref="O205:P205"/>
    <mergeCell ref="O184:P184"/>
    <mergeCell ref="O196:P196"/>
    <mergeCell ref="O195:P195"/>
    <mergeCell ref="B179:B180"/>
    <mergeCell ref="C179:C180"/>
    <mergeCell ref="E179:E180"/>
    <mergeCell ref="F179:F180"/>
    <mergeCell ref="G179:G180"/>
    <mergeCell ref="H179:H180"/>
    <mergeCell ref="I179:I180"/>
    <mergeCell ref="J179:J180"/>
    <mergeCell ref="K179:K180"/>
    <mergeCell ref="O183:P183"/>
    <mergeCell ref="O186:P186"/>
    <mergeCell ref="O192:P192"/>
    <mergeCell ref="D215:N215"/>
    <mergeCell ref="F13:F14"/>
    <mergeCell ref="G13:G14"/>
    <mergeCell ref="K13:K14"/>
    <mergeCell ref="L179:L180"/>
    <mergeCell ref="M179:M180"/>
    <mergeCell ref="N179:N180"/>
    <mergeCell ref="L29:L30"/>
    <mergeCell ref="M29:M30"/>
    <mergeCell ref="N29:N30"/>
    <mergeCell ref="G29:G30"/>
    <mergeCell ref="H29:H30"/>
    <mergeCell ref="I29:I30"/>
    <mergeCell ref="J29:J30"/>
    <mergeCell ref="K29:K30"/>
    <mergeCell ref="O171:P171"/>
    <mergeCell ref="I103:I105"/>
    <mergeCell ref="J103:J105"/>
    <mergeCell ref="K103:K105"/>
    <mergeCell ref="O174:P174"/>
    <mergeCell ref="O198:P198"/>
    <mergeCell ref="A29:A30"/>
    <mergeCell ref="B29:B30"/>
    <mergeCell ref="C29:C30"/>
    <mergeCell ref="E29:E30"/>
    <mergeCell ref="F29:F30"/>
    <mergeCell ref="A211:N211"/>
    <mergeCell ref="D213:N213"/>
    <mergeCell ref="M4:N4"/>
    <mergeCell ref="A6:N6"/>
    <mergeCell ref="A7:N7"/>
    <mergeCell ref="A9:B9"/>
    <mergeCell ref="B103:B105"/>
    <mergeCell ref="C103:C105"/>
    <mergeCell ref="E93:E95"/>
    <mergeCell ref="K93:K95"/>
    <mergeCell ref="F93:F95"/>
    <mergeCell ref="G93:G95"/>
    <mergeCell ref="H93:H95"/>
    <mergeCell ref="I93:I95"/>
    <mergeCell ref="J93:J95"/>
    <mergeCell ref="B93:B95"/>
    <mergeCell ref="C93:C95"/>
    <mergeCell ref="B96:B99"/>
    <mergeCell ref="C96:C99"/>
    <mergeCell ref="K2:N2"/>
    <mergeCell ref="J3:N3"/>
    <mergeCell ref="A10:B10"/>
    <mergeCell ref="A12:A14"/>
    <mergeCell ref="B12:B14"/>
    <mergeCell ref="C12:C14"/>
    <mergeCell ref="D12:D14"/>
    <mergeCell ref="M13:M14"/>
    <mergeCell ref="I12:M12"/>
    <mergeCell ref="N12:N14"/>
    <mergeCell ref="E13:E14"/>
    <mergeCell ref="H13:H14"/>
    <mergeCell ref="I13:I14"/>
    <mergeCell ref="J13:J14"/>
    <mergeCell ref="E12:H12"/>
    <mergeCell ref="B100:B102"/>
    <mergeCell ref="C100:C102"/>
    <mergeCell ref="N93:N95"/>
    <mergeCell ref="E96:E99"/>
    <mergeCell ref="E100:E102"/>
    <mergeCell ref="E103:E105"/>
    <mergeCell ref="F96:F99"/>
    <mergeCell ref="G96:G99"/>
    <mergeCell ref="H96:H99"/>
    <mergeCell ref="I96:I99"/>
    <mergeCell ref="J96:J99"/>
    <mergeCell ref="N96:N99"/>
    <mergeCell ref="F100:F102"/>
    <mergeCell ref="G100:G102"/>
    <mergeCell ref="H100:H102"/>
    <mergeCell ref="I100:I102"/>
    <mergeCell ref="J100:J102"/>
    <mergeCell ref="N100:N102"/>
    <mergeCell ref="K100:K102"/>
    <mergeCell ref="K96:K99"/>
    <mergeCell ref="N103:N105"/>
    <mergeCell ref="F103:F105"/>
    <mergeCell ref="G103:G105"/>
    <mergeCell ref="H103:H105"/>
  </mergeCells>
  <pageMargins left="0.23622047244094491" right="0.27559055118110237" top="0.27559055118110237" bottom="0.15748031496062992" header="0.23622047244094491" footer="0.27559055118110237"/>
  <pageSetup paperSize="9" scale="21" orientation="landscape" r:id="rId1"/>
  <headerFooter alignWithMargins="0">
    <oddFooter>&amp;C&amp;"Times New Roman Cyr,курсив"Сторінка &amp;P з &amp;N</oddFooter>
  </headerFooter>
  <rowBreaks count="1" manualBreakCount="1">
    <brk id="24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d2</vt:lpstr>
      <vt:lpstr>'d2'!Заголовки_для_друку</vt:lpstr>
      <vt:lpstr>'d2'!Область_друку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Ковтун Денис Леонідович</dc:creator>
  <cp:lastModifiedBy>Мот Поліна Сергіївна</cp:lastModifiedBy>
  <cp:lastPrinted>2021-08-11T12:51:56Z</cp:lastPrinted>
  <dcterms:created xsi:type="dcterms:W3CDTF">2021-05-18T12:47:38Z</dcterms:created>
  <dcterms:modified xsi:type="dcterms:W3CDTF">2021-11-12T07:29:59Z</dcterms:modified>
</cp:coreProperties>
</file>