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BUDJET\2021\Рішення звіт за І квартал\"/>
    </mc:Choice>
  </mc:AlternateContent>
  <xr:revisionPtr revIDLastSave="0" documentId="13_ncr:1_{47F311E5-FCF9-4D8D-901E-4008A5187383}" xr6:coauthVersionLast="45" xr6:coauthVersionMax="45" xr10:uidLastSave="{00000000-0000-0000-0000-000000000000}"/>
  <bookViews>
    <workbookView xWindow="-120" yWindow="480" windowWidth="29040" windowHeight="15840" xr2:uid="{E2294C74-4547-4948-9FA4-3018BD205FD2}"/>
  </bookViews>
  <sheets>
    <sheet name="d2" sheetId="1" r:id="rId1"/>
  </sheets>
  <definedNames>
    <definedName name="_xlnm.Print_Titles" localSheetId="0">'d2'!$12:$15</definedName>
    <definedName name="_xlnm.Print_Area" localSheetId="0">'d2'!$B$1:$N$187</definedName>
    <definedName name="С16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7" i="1" l="1"/>
  <c r="I18" i="1"/>
  <c r="E206" i="1"/>
  <c r="K73" i="1"/>
  <c r="I180" i="1" l="1"/>
  <c r="K182" i="1"/>
  <c r="K181" i="1"/>
  <c r="K164" i="1" l="1"/>
  <c r="K163" i="1"/>
  <c r="K162" i="1"/>
  <c r="K161" i="1"/>
  <c r="K153" i="1"/>
  <c r="K151" i="1"/>
  <c r="K148" i="1"/>
  <c r="K147" i="1"/>
  <c r="K146" i="1"/>
  <c r="K142" i="1"/>
  <c r="H141" i="1"/>
  <c r="K140" i="1"/>
  <c r="K139" i="1"/>
  <c r="J139" i="1"/>
  <c r="J136" i="1" s="1"/>
  <c r="I139" i="1"/>
  <c r="I136" i="1" s="1"/>
  <c r="G139" i="1"/>
  <c r="F139" i="1"/>
  <c r="E139" i="1"/>
  <c r="E136" i="1" s="1"/>
  <c r="G136" i="1"/>
  <c r="F136" i="1"/>
  <c r="N139" i="1" l="1"/>
  <c r="K136" i="1"/>
  <c r="K135" i="1"/>
  <c r="K134" i="1"/>
  <c r="K133" i="1"/>
  <c r="K132" i="1"/>
  <c r="K130" i="1"/>
  <c r="K128" i="1"/>
  <c r="K127" i="1"/>
  <c r="K124" i="1"/>
  <c r="K122" i="1"/>
  <c r="K120" i="1"/>
  <c r="K119" i="1"/>
  <c r="K116" i="1"/>
  <c r="K113" i="1"/>
  <c r="K110" i="1"/>
  <c r="K109" i="1"/>
  <c r="K108" i="1"/>
  <c r="K107" i="1"/>
  <c r="K106" i="1"/>
  <c r="K97" i="1"/>
  <c r="K95" i="1"/>
  <c r="K94" i="1"/>
  <c r="K93" i="1"/>
  <c r="K90" i="1"/>
  <c r="K89" i="1"/>
  <c r="K72" i="1"/>
  <c r="K63" i="1"/>
  <c r="K62" i="1"/>
  <c r="K59" i="1"/>
  <c r="K45" i="1"/>
  <c r="K44" i="1"/>
  <c r="K43" i="1"/>
  <c r="K37" i="1"/>
  <c r="K34" i="1"/>
  <c r="K32" i="1"/>
  <c r="K31" i="1"/>
  <c r="K25" i="1"/>
  <c r="K24" i="1"/>
  <c r="K22" i="1"/>
  <c r="K18" i="1"/>
  <c r="K17" i="1"/>
  <c r="N182" i="1" l="1"/>
  <c r="N181" i="1"/>
  <c r="J180" i="1"/>
  <c r="J179" i="1" s="1"/>
  <c r="J178" i="1" s="1"/>
  <c r="G180" i="1"/>
  <c r="G179" i="1" s="1"/>
  <c r="G178" i="1" s="1"/>
  <c r="F180" i="1"/>
  <c r="F179" i="1" s="1"/>
  <c r="F178" i="1" s="1"/>
  <c r="E180" i="1"/>
  <c r="E179" i="1" s="1"/>
  <c r="E178" i="1" s="1"/>
  <c r="N178" i="1" l="1"/>
  <c r="I179" i="1"/>
  <c r="N179" i="1"/>
  <c r="N180" i="1"/>
  <c r="I178" i="1" l="1"/>
  <c r="M183" i="1"/>
  <c r="L183" i="1"/>
  <c r="M177" i="1"/>
  <c r="L177" i="1"/>
  <c r="N175" i="1"/>
  <c r="N174" i="1"/>
  <c r="N172" i="1"/>
  <c r="N176" i="1"/>
  <c r="H175" i="1"/>
  <c r="H174" i="1"/>
  <c r="H172" i="1"/>
  <c r="J171" i="1"/>
  <c r="I171" i="1"/>
  <c r="G171" i="1"/>
  <c r="F171" i="1"/>
  <c r="E171" i="1"/>
  <c r="J173" i="1"/>
  <c r="I173" i="1"/>
  <c r="G173" i="1"/>
  <c r="F173" i="1"/>
  <c r="E173" i="1"/>
  <c r="N169" i="1"/>
  <c r="N167" i="1"/>
  <c r="N166" i="1"/>
  <c r="N158" i="1"/>
  <c r="N157" i="1"/>
  <c r="N156" i="1"/>
  <c r="H167" i="1"/>
  <c r="J168" i="1"/>
  <c r="I168" i="1"/>
  <c r="G168" i="1"/>
  <c r="F168" i="1"/>
  <c r="E168" i="1"/>
  <c r="H166" i="1"/>
  <c r="E165" i="1"/>
  <c r="N171" i="1" l="1"/>
  <c r="I170" i="1"/>
  <c r="F170" i="1"/>
  <c r="E170" i="1"/>
  <c r="J170" i="1"/>
  <c r="N173" i="1"/>
  <c r="G170" i="1"/>
  <c r="N170" i="1" s="1"/>
  <c r="O170" i="1" s="1"/>
  <c r="H173" i="1"/>
  <c r="H171" i="1"/>
  <c r="N168" i="1"/>
  <c r="J165" i="1"/>
  <c r="I165" i="1"/>
  <c r="G165" i="1"/>
  <c r="F165" i="1"/>
  <c r="N164" i="1"/>
  <c r="N162" i="1"/>
  <c r="I160" i="1"/>
  <c r="G160" i="1"/>
  <c r="F160" i="1"/>
  <c r="F159" i="1" s="1"/>
  <c r="E160" i="1"/>
  <c r="E159" i="1" s="1"/>
  <c r="H158" i="1"/>
  <c r="H157" i="1"/>
  <c r="J155" i="1"/>
  <c r="I155" i="1"/>
  <c r="G155" i="1"/>
  <c r="F155" i="1"/>
  <c r="E155" i="1"/>
  <c r="E154" i="1" s="1"/>
  <c r="N153" i="1"/>
  <c r="N151" i="1"/>
  <c r="N149" i="1"/>
  <c r="N148" i="1"/>
  <c r="N147" i="1"/>
  <c r="N146" i="1"/>
  <c r="N145" i="1"/>
  <c r="N144" i="1"/>
  <c r="N142" i="1"/>
  <c r="N140" i="1"/>
  <c r="N138" i="1"/>
  <c r="N135" i="1"/>
  <c r="N134" i="1"/>
  <c r="N133" i="1"/>
  <c r="N132" i="1"/>
  <c r="N130" i="1"/>
  <c r="N128" i="1"/>
  <c r="J150" i="1"/>
  <c r="J143" i="1" s="1"/>
  <c r="G150" i="1"/>
  <c r="G143" i="1" s="1"/>
  <c r="F150" i="1"/>
  <c r="F143" i="1" s="1"/>
  <c r="E150" i="1"/>
  <c r="E143" i="1" s="1"/>
  <c r="H153" i="1"/>
  <c r="I153" i="1"/>
  <c r="I150" i="1" s="1"/>
  <c r="H149" i="1"/>
  <c r="H145" i="1"/>
  <c r="H144" i="1"/>
  <c r="H142" i="1"/>
  <c r="J141" i="1"/>
  <c r="I141" i="1"/>
  <c r="G141" i="1"/>
  <c r="F141" i="1"/>
  <c r="E141" i="1"/>
  <c r="I159" i="1" l="1"/>
  <c r="I143" i="1"/>
  <c r="K150" i="1"/>
  <c r="K143" i="1"/>
  <c r="K141" i="1"/>
  <c r="N143" i="1"/>
  <c r="F154" i="1"/>
  <c r="N163" i="1"/>
  <c r="H170" i="1"/>
  <c r="N141" i="1"/>
  <c r="H150" i="1"/>
  <c r="G159" i="1"/>
  <c r="I154" i="1"/>
  <c r="N150" i="1"/>
  <c r="J160" i="1"/>
  <c r="J159" i="1" s="1"/>
  <c r="J154" i="1" s="1"/>
  <c r="N161" i="1"/>
  <c r="N155" i="1"/>
  <c r="N165" i="1"/>
  <c r="H165" i="1"/>
  <c r="G154" i="1"/>
  <c r="H155" i="1"/>
  <c r="H143" i="1"/>
  <c r="E131" i="1"/>
  <c r="E129" i="1" s="1"/>
  <c r="F131" i="1"/>
  <c r="F129" i="1" s="1"/>
  <c r="G131" i="1"/>
  <c r="G129" i="1" s="1"/>
  <c r="H138" i="1"/>
  <c r="J137" i="1"/>
  <c r="I137" i="1"/>
  <c r="G137" i="1"/>
  <c r="F137" i="1"/>
  <c r="E137" i="1"/>
  <c r="I131" i="1"/>
  <c r="J131" i="1"/>
  <c r="J127" i="1"/>
  <c r="I127" i="1"/>
  <c r="G127" i="1"/>
  <c r="F127" i="1"/>
  <c r="E127" i="1"/>
  <c r="N125" i="1"/>
  <c r="N124" i="1"/>
  <c r="N122" i="1"/>
  <c r="N121" i="1"/>
  <c r="N120" i="1"/>
  <c r="N119" i="1"/>
  <c r="N118" i="1"/>
  <c r="N117" i="1"/>
  <c r="N116" i="1"/>
  <c r="J123" i="1"/>
  <c r="I123" i="1"/>
  <c r="G123" i="1"/>
  <c r="F123" i="1"/>
  <c r="E123" i="1"/>
  <c r="H122" i="1"/>
  <c r="H120" i="1"/>
  <c r="H118" i="1"/>
  <c r="H117" i="1"/>
  <c r="H116" i="1"/>
  <c r="N113" i="1"/>
  <c r="N112" i="1"/>
  <c r="N111" i="1"/>
  <c r="N109" i="1"/>
  <c r="N107" i="1"/>
  <c r="N104" i="1"/>
  <c r="N102" i="1"/>
  <c r="N101" i="1"/>
  <c r="H113" i="1"/>
  <c r="H112" i="1"/>
  <c r="H111" i="1"/>
  <c r="I109" i="1"/>
  <c r="I108" i="1" s="1"/>
  <c r="J108" i="1"/>
  <c r="G108" i="1"/>
  <c r="F108" i="1"/>
  <c r="E108" i="1"/>
  <c r="H107" i="1"/>
  <c r="H106" i="1"/>
  <c r="H104" i="1"/>
  <c r="H102" i="1"/>
  <c r="H101" i="1"/>
  <c r="N98" i="1"/>
  <c r="N92" i="1"/>
  <c r="H98" i="1"/>
  <c r="H97" i="1"/>
  <c r="H95" i="1"/>
  <c r="H94" i="1"/>
  <c r="H93" i="1"/>
  <c r="H92" i="1"/>
  <c r="H32" i="1"/>
  <c r="N32" i="1"/>
  <c r="E32" i="1"/>
  <c r="N90" i="1"/>
  <c r="N87" i="1"/>
  <c r="N85" i="1"/>
  <c r="N83" i="1"/>
  <c r="N82" i="1"/>
  <c r="N80" i="1"/>
  <c r="N79" i="1"/>
  <c r="N78" i="1"/>
  <c r="N75" i="1"/>
  <c r="N73" i="1"/>
  <c r="N70" i="1"/>
  <c r="N69" i="1"/>
  <c r="N68" i="1"/>
  <c r="N67" i="1"/>
  <c r="N66" i="1"/>
  <c r="N65" i="1"/>
  <c r="N64" i="1"/>
  <c r="N63" i="1"/>
  <c r="H90" i="1"/>
  <c r="H89" i="1"/>
  <c r="H87" i="1"/>
  <c r="H85" i="1"/>
  <c r="H83" i="1"/>
  <c r="H82" i="1"/>
  <c r="H80" i="1"/>
  <c r="H78" i="1"/>
  <c r="H77" i="1"/>
  <c r="H75" i="1"/>
  <c r="N77" i="1"/>
  <c r="I76" i="1"/>
  <c r="F76" i="1"/>
  <c r="G74" i="1"/>
  <c r="E74" i="1"/>
  <c r="J74" i="1"/>
  <c r="I74" i="1"/>
  <c r="F74" i="1"/>
  <c r="H73" i="1"/>
  <c r="H72" i="1"/>
  <c r="H70" i="1"/>
  <c r="H68" i="1"/>
  <c r="H67" i="1"/>
  <c r="H65" i="1"/>
  <c r="H64" i="1"/>
  <c r="H63" i="1"/>
  <c r="K160" i="1" l="1"/>
  <c r="K159" i="1"/>
  <c r="K154" i="1"/>
  <c r="J129" i="1"/>
  <c r="J126" i="1" s="1"/>
  <c r="K131" i="1"/>
  <c r="K123" i="1"/>
  <c r="H154" i="1"/>
  <c r="N159" i="1"/>
  <c r="N123" i="1"/>
  <c r="E126" i="1"/>
  <c r="N160" i="1"/>
  <c r="I129" i="1"/>
  <c r="K129" i="1" s="1"/>
  <c r="N154" i="1"/>
  <c r="O154" i="1" s="1"/>
  <c r="N131" i="1"/>
  <c r="N129" i="1"/>
  <c r="N127" i="1"/>
  <c r="N137" i="1"/>
  <c r="F126" i="1"/>
  <c r="H137" i="1"/>
  <c r="N136" i="1"/>
  <c r="N108" i="1"/>
  <c r="N74" i="1"/>
  <c r="J76" i="1"/>
  <c r="H74" i="1"/>
  <c r="G76" i="1"/>
  <c r="E76" i="1"/>
  <c r="N60" i="1"/>
  <c r="N59" i="1"/>
  <c r="N57" i="1"/>
  <c r="N55" i="1"/>
  <c r="N53" i="1"/>
  <c r="H60" i="1"/>
  <c r="H59" i="1"/>
  <c r="I126" i="1" l="1"/>
  <c r="K126" i="1" s="1"/>
  <c r="H136" i="1"/>
  <c r="G126" i="1"/>
  <c r="N126" i="1" s="1"/>
  <c r="O126" i="1" s="1"/>
  <c r="H76" i="1"/>
  <c r="N76" i="1"/>
  <c r="H57" i="1"/>
  <c r="H55" i="1"/>
  <c r="H53" i="1"/>
  <c r="N52" i="1"/>
  <c r="N51" i="1"/>
  <c r="N50" i="1"/>
  <c r="N49" i="1"/>
  <c r="N45" i="1"/>
  <c r="N44" i="1"/>
  <c r="N42" i="1"/>
  <c r="N41" i="1"/>
  <c r="N40" i="1"/>
  <c r="N38" i="1"/>
  <c r="N35" i="1"/>
  <c r="H52" i="1"/>
  <c r="H51" i="1"/>
  <c r="H50" i="1"/>
  <c r="H49" i="1"/>
  <c r="N46" i="1"/>
  <c r="H45" i="1"/>
  <c r="H42" i="1"/>
  <c r="H41" i="1"/>
  <c r="H40" i="1"/>
  <c r="H38" i="1"/>
  <c r="H37" i="1"/>
  <c r="H35" i="1"/>
  <c r="H34" i="1"/>
  <c r="H31" i="1"/>
  <c r="N30" i="1"/>
  <c r="I28" i="1"/>
  <c r="N27" i="1"/>
  <c r="G23" i="1"/>
  <c r="H27" i="1"/>
  <c r="H25" i="1"/>
  <c r="H24" i="1"/>
  <c r="N20" i="1"/>
  <c r="N19" i="1"/>
  <c r="N18" i="1"/>
  <c r="N17" i="1"/>
  <c r="H22" i="1"/>
  <c r="H20" i="1"/>
  <c r="H19" i="1"/>
  <c r="E16" i="1"/>
  <c r="H18" i="1"/>
  <c r="H17" i="1"/>
  <c r="I120" i="1"/>
  <c r="E115" i="1"/>
  <c r="E114" i="1" s="1"/>
  <c r="J115" i="1"/>
  <c r="G115" i="1"/>
  <c r="G114" i="1" s="1"/>
  <c r="F115" i="1"/>
  <c r="F114" i="1" s="1"/>
  <c r="I113" i="1"/>
  <c r="E113" i="1"/>
  <c r="J110" i="1"/>
  <c r="G110" i="1"/>
  <c r="F110" i="1"/>
  <c r="N106" i="1"/>
  <c r="G105" i="1"/>
  <c r="E105" i="1"/>
  <c r="F105" i="1"/>
  <c r="E104" i="1"/>
  <c r="E103" i="1" s="1"/>
  <c r="J103" i="1"/>
  <c r="I103" i="1"/>
  <c r="G103" i="1"/>
  <c r="F103" i="1"/>
  <c r="J100" i="1"/>
  <c r="I100" i="1"/>
  <c r="G100" i="1"/>
  <c r="F100" i="1"/>
  <c r="E98" i="1"/>
  <c r="G96" i="1"/>
  <c r="I96" i="1"/>
  <c r="F96" i="1"/>
  <c r="N95" i="1"/>
  <c r="N94" i="1"/>
  <c r="E94" i="1"/>
  <c r="N93" i="1"/>
  <c r="G88" i="1"/>
  <c r="F88" i="1"/>
  <c r="J86" i="1"/>
  <c r="I86" i="1"/>
  <c r="G86" i="1"/>
  <c r="F86" i="1"/>
  <c r="E86" i="1"/>
  <c r="E85" i="1"/>
  <c r="E84" i="1" s="1"/>
  <c r="J84" i="1"/>
  <c r="I84" i="1"/>
  <c r="G84" i="1"/>
  <c r="F84" i="1"/>
  <c r="J81" i="1"/>
  <c r="I81" i="1"/>
  <c r="G81" i="1"/>
  <c r="F81" i="1"/>
  <c r="E81" i="1"/>
  <c r="F71" i="1"/>
  <c r="N72" i="1"/>
  <c r="E71" i="1"/>
  <c r="E67" i="1"/>
  <c r="J62" i="1"/>
  <c r="I62" i="1"/>
  <c r="G62" i="1"/>
  <c r="F62" i="1"/>
  <c r="E60" i="1"/>
  <c r="G58" i="1"/>
  <c r="F58" i="1"/>
  <c r="E59" i="1"/>
  <c r="J58" i="1"/>
  <c r="I58" i="1"/>
  <c r="K58" i="1" s="1"/>
  <c r="E56" i="1"/>
  <c r="J56" i="1"/>
  <c r="I56" i="1"/>
  <c r="G56" i="1"/>
  <c r="F56" i="1"/>
  <c r="E54" i="1"/>
  <c r="J54" i="1"/>
  <c r="I54" i="1"/>
  <c r="G54" i="1"/>
  <c r="F54" i="1"/>
  <c r="E47" i="1"/>
  <c r="J47" i="1"/>
  <c r="I47" i="1"/>
  <c r="G47" i="1"/>
  <c r="F47" i="1"/>
  <c r="E45" i="1"/>
  <c r="E44" i="1"/>
  <c r="E43" i="1" s="1"/>
  <c r="J43" i="1"/>
  <c r="I43" i="1"/>
  <c r="G43" i="1"/>
  <c r="F43" i="1"/>
  <c r="G39" i="1"/>
  <c r="J39" i="1"/>
  <c r="I39" i="1"/>
  <c r="N37" i="1"/>
  <c r="G36" i="1"/>
  <c r="F36" i="1"/>
  <c r="E36" i="1"/>
  <c r="I36" i="1"/>
  <c r="K36" i="1" s="1"/>
  <c r="N34" i="1"/>
  <c r="G33" i="1"/>
  <c r="F33" i="1"/>
  <c r="E33" i="1"/>
  <c r="N31" i="1"/>
  <c r="J28" i="1"/>
  <c r="G28" i="1"/>
  <c r="F28" i="1"/>
  <c r="E28" i="1"/>
  <c r="J26" i="1"/>
  <c r="I26" i="1"/>
  <c r="G26" i="1"/>
  <c r="F26" i="1"/>
  <c r="E26" i="1"/>
  <c r="N25" i="1"/>
  <c r="N24" i="1"/>
  <c r="G16" i="1"/>
  <c r="J16" i="1"/>
  <c r="H126" i="1" l="1"/>
  <c r="J114" i="1"/>
  <c r="K115" i="1"/>
  <c r="N86" i="1"/>
  <c r="N100" i="1"/>
  <c r="N115" i="1"/>
  <c r="H115" i="1"/>
  <c r="N103" i="1"/>
  <c r="H103" i="1"/>
  <c r="F61" i="1"/>
  <c r="H96" i="1"/>
  <c r="H105" i="1"/>
  <c r="H100" i="1"/>
  <c r="G99" i="1"/>
  <c r="N110" i="1"/>
  <c r="F99" i="1"/>
  <c r="H110" i="1"/>
  <c r="J96" i="1"/>
  <c r="N96" i="1" s="1"/>
  <c r="N97" i="1"/>
  <c r="N22" i="1"/>
  <c r="G21" i="1"/>
  <c r="N81" i="1"/>
  <c r="J88" i="1"/>
  <c r="N88" i="1" s="1"/>
  <c r="N89" i="1"/>
  <c r="N62" i="1"/>
  <c r="H84" i="1"/>
  <c r="N84" i="1"/>
  <c r="H88" i="1"/>
  <c r="H86" i="1"/>
  <c r="H81" i="1"/>
  <c r="N26" i="1"/>
  <c r="N39" i="1"/>
  <c r="N16" i="1"/>
  <c r="O16" i="1" s="1"/>
  <c r="N54" i="1"/>
  <c r="H62" i="1"/>
  <c r="H54" i="1"/>
  <c r="N43" i="1"/>
  <c r="H56" i="1"/>
  <c r="N56" i="1"/>
  <c r="N58" i="1"/>
  <c r="H33" i="1"/>
  <c r="H58" i="1"/>
  <c r="N28" i="1"/>
  <c r="H36" i="1"/>
  <c r="H26" i="1"/>
  <c r="I33" i="1"/>
  <c r="J48" i="1"/>
  <c r="F39" i="1"/>
  <c r="H39" i="1" s="1"/>
  <c r="E23" i="1"/>
  <c r="I88" i="1"/>
  <c r="K88" i="1" s="1"/>
  <c r="I23" i="1"/>
  <c r="K23" i="1" s="1"/>
  <c r="E58" i="1"/>
  <c r="E48" i="1" s="1"/>
  <c r="I105" i="1"/>
  <c r="F23" i="1"/>
  <c r="E88" i="1"/>
  <c r="E39" i="1"/>
  <c r="I48" i="1"/>
  <c r="F91" i="1"/>
  <c r="J36" i="1"/>
  <c r="N36" i="1" s="1"/>
  <c r="F48" i="1"/>
  <c r="E96" i="1"/>
  <c r="E91" i="1" s="1"/>
  <c r="N47" i="1"/>
  <c r="F16" i="1"/>
  <c r="G91" i="1"/>
  <c r="I115" i="1"/>
  <c r="I114" i="1" s="1"/>
  <c r="G48" i="1"/>
  <c r="I110" i="1"/>
  <c r="G71" i="1"/>
  <c r="G61" i="1" s="1"/>
  <c r="J23" i="1"/>
  <c r="N23" i="1" s="1"/>
  <c r="J33" i="1"/>
  <c r="N33" i="1" s="1"/>
  <c r="E110" i="1"/>
  <c r="E62" i="1"/>
  <c r="I71" i="1"/>
  <c r="I16" i="1"/>
  <c r="J71" i="1"/>
  <c r="J61" i="1" s="1"/>
  <c r="I91" i="1"/>
  <c r="E100" i="1"/>
  <c r="J105" i="1"/>
  <c r="J99" i="1" s="1"/>
  <c r="G177" i="1" l="1"/>
  <c r="G183" i="1" s="1"/>
  <c r="K105" i="1"/>
  <c r="K96" i="1"/>
  <c r="I61" i="1"/>
  <c r="K61" i="1" s="1"/>
  <c r="K71" i="1"/>
  <c r="K33" i="1"/>
  <c r="F21" i="1"/>
  <c r="K16" i="1"/>
  <c r="F177" i="1"/>
  <c r="F183" i="1" s="1"/>
  <c r="N114" i="1"/>
  <c r="O114" i="1" s="1"/>
  <c r="J91" i="1"/>
  <c r="K91" i="1" s="1"/>
  <c r="K114" i="1"/>
  <c r="N99" i="1"/>
  <c r="O99" i="1" s="1"/>
  <c r="I21" i="1"/>
  <c r="H114" i="1"/>
  <c r="I99" i="1"/>
  <c r="K99" i="1" s="1"/>
  <c r="N105" i="1"/>
  <c r="E99" i="1"/>
  <c r="H99" i="1"/>
  <c r="H91" i="1"/>
  <c r="K48" i="1"/>
  <c r="E21" i="1"/>
  <c r="J21" i="1"/>
  <c r="E61" i="1"/>
  <c r="N71" i="1"/>
  <c r="N48" i="1"/>
  <c r="O48" i="1" s="1"/>
  <c r="H71" i="1"/>
  <c r="N61" i="1"/>
  <c r="O61" i="1" s="1"/>
  <c r="H61" i="1"/>
  <c r="H48" i="1"/>
  <c r="H23" i="1"/>
  <c r="H16" i="1"/>
  <c r="H21" i="1"/>
  <c r="H183" i="1" l="1"/>
  <c r="I177" i="1"/>
  <c r="N91" i="1"/>
  <c r="O91" i="1" s="1"/>
  <c r="J177" i="1"/>
  <c r="J183" i="1" s="1"/>
  <c r="N21" i="1"/>
  <c r="O21" i="1" s="1"/>
  <c r="H177" i="1"/>
  <c r="E177" i="1"/>
  <c r="E183" i="1" s="1"/>
  <c r="K21" i="1"/>
  <c r="I183" i="1" l="1"/>
  <c r="K177" i="1"/>
  <c r="K183" i="1"/>
  <c r="N177" i="1"/>
  <c r="N183" i="1" s="1"/>
  <c r="O183" i="1" s="1"/>
  <c r="O177" i="1" l="1"/>
</calcChain>
</file>

<file path=xl/sharedStrings.xml><?xml version="1.0" encoding="utf-8"?>
<sst xmlns="http://schemas.openxmlformats.org/spreadsheetml/2006/main" count="601" uniqueCount="493">
  <si>
    <t>(код бюджету)</t>
  </si>
  <si>
    <t>(грн)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</si>
  <si>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</si>
  <si>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</si>
  <si>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</si>
  <si>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Загальний фонд</t>
  </si>
  <si>
    <t>Спеціальний фонд</t>
  </si>
  <si>
    <t>1</t>
  </si>
  <si>
    <t>2</t>
  </si>
  <si>
    <t>3</t>
  </si>
  <si>
    <t>4</t>
  </si>
  <si>
    <t>5</t>
  </si>
  <si>
    <t>6</t>
  </si>
  <si>
    <t>11</t>
  </si>
  <si>
    <t>12</t>
  </si>
  <si>
    <t>13</t>
  </si>
  <si>
    <t>16</t>
  </si>
  <si>
    <t>0210100</t>
  </si>
  <si>
    <t>0100</t>
  </si>
  <si>
    <t>Державне управління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</si>
  <si>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</si>
  <si>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</si>
  <si>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</si>
  <si>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</si>
  <si>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0210160</t>
  </si>
  <si>
    <t>0160</t>
  </si>
  <si>
    <t>Керівництво і управління у відповідній сфері у містах (місті Києві), селищах, селах, об’єднаних територіальних громадах</t>
  </si>
  <si>
    <t>0210170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</si>
  <si>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</si>
  <si>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</si>
  <si>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</si>
  <si>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0210180</t>
  </si>
  <si>
    <t>0180</t>
  </si>
  <si>
    <t>0133</t>
  </si>
  <si>
    <t>Інша діяльність у сфері державного управління</t>
  </si>
  <si>
    <t>7000</t>
  </si>
  <si>
    <t>7500</t>
  </si>
  <si>
    <t>Зв'язок, телекомунікації та інформатика</t>
  </si>
  <si>
    <t>7520</t>
  </si>
  <si>
    <t>Реалізація Національної програми інформатизації</t>
  </si>
  <si>
    <t>7600</t>
  </si>
  <si>
    <t>Інші програми та заходи, пов'язані з економічною діяльністю</t>
  </si>
  <si>
    <t>7680</t>
  </si>
  <si>
    <t>0490</t>
  </si>
  <si>
    <t>Членські внески до асоціацій органів місцевого самоврядування</t>
  </si>
  <si>
    <t>7690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</si>
  <si>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</si>
  <si>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</si>
  <si>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</si>
  <si>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7693</t>
  </si>
  <si>
    <t>Інші заходи, пов'язані з економічною діяльністю</t>
  </si>
  <si>
    <t>8000</t>
  </si>
  <si>
    <t>Інша діяльність</t>
  </si>
  <si>
    <t>8400</t>
  </si>
  <si>
    <t>Засоби масової інформації</t>
  </si>
  <si>
    <t>8410</t>
  </si>
  <si>
    <t>0830</t>
  </si>
  <si>
    <t>Фінансова підтримка засобів масової інформації</t>
  </si>
  <si>
    <t>9000</t>
  </si>
  <si>
    <t>Міжбюджетні трансферти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</si>
  <si>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</si>
  <si>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</si>
  <si>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9710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</si>
  <si>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</si>
  <si>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</si>
  <si>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</si>
  <si>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</si>
  <si>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</si>
  <si>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0611000</t>
  </si>
  <si>
    <t>1000</t>
  </si>
  <si>
    <t>Освіта</t>
  </si>
  <si>
    <t>0611010</t>
  </si>
  <si>
    <t>1010</t>
  </si>
  <si>
    <t>0910</t>
  </si>
  <si>
    <t>Надання дошкільної освіти</t>
  </si>
  <si>
    <t>0611020</t>
  </si>
  <si>
    <t>1020</t>
  </si>
  <si>
    <t>Надання загальної середньої освіти за рахунок коштів місцевого бюджету</t>
  </si>
  <si>
    <t>0611021</t>
  </si>
  <si>
    <t>1021</t>
  </si>
  <si>
    <t>0921</t>
  </si>
  <si>
    <t>Надання загальної середньої освіти закладами загальної середньої освіти</t>
  </si>
  <si>
    <t>0611022</t>
  </si>
  <si>
    <t>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</si>
  <si>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</si>
  <si>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</si>
  <si>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</si>
  <si>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1030</t>
  </si>
  <si>
    <t>Надання загальної середньої освіти за рахунок освітньої субвенції</t>
  </si>
  <si>
    <t>0611031</t>
  </si>
  <si>
    <t>1031</t>
  </si>
  <si>
    <t>0611060</t>
  </si>
  <si>
    <t>1060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</si>
  <si>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</si>
  <si>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</si>
  <si>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>0611061</t>
  </si>
  <si>
    <t>1061</t>
  </si>
  <si>
    <t xml:space="preserve"> Надання загальної середньої освіти закладами загальної середньої освіти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</si>
  <si>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</si>
  <si>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</si>
  <si>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</si>
  <si>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</si>
  <si>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0611090</t>
  </si>
  <si>
    <t>1090</t>
  </si>
  <si>
    <t>Підготовка кадрів закладами професійної (професійно-технічної) освіти та іншими закладами освіти</t>
  </si>
  <si>
    <t>0611091</t>
  </si>
  <si>
    <t>1091</t>
  </si>
  <si>
    <t>0930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</si>
  <si>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</si>
  <si>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0611092</t>
  </si>
  <si>
    <t>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</si>
  <si>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</si>
  <si>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0611140</t>
  </si>
  <si>
    <t>1140</t>
  </si>
  <si>
    <t>Інші програми, заклади та заходи у сфері освіти</t>
  </si>
  <si>
    <t>0611141</t>
  </si>
  <si>
    <t>1141</t>
  </si>
  <si>
    <t>0990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</si>
  <si>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</si>
  <si>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</si>
  <si>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</si>
  <si>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</si>
  <si>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0611150</t>
  </si>
  <si>
    <t>1150</t>
  </si>
  <si>
    <t>Забезпечення діяльності інклюзивно-ресурсних центрів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</si>
  <si>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</si>
  <si>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</si>
  <si>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</si>
  <si>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</si>
  <si>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</si>
  <si>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</si>
  <si>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0611160</t>
  </si>
  <si>
    <t>1160</t>
  </si>
  <si>
    <t>Забезпечення діяльності центрів професійного розвитку педагогічних працівників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</si>
  <si>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</si>
  <si>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</si>
  <si>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</si>
  <si>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</si>
  <si>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</si>
  <si>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</si>
  <si>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</si>
  <si>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</si>
  <si>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</si>
  <si>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</si>
  <si>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</si>
  <si>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</si>
  <si>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0613000</t>
  </si>
  <si>
    <t>3000</t>
  </si>
  <si>
    <t>Соціальний захист та соціальне забезпечення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</si>
  <si>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</si>
  <si>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</si>
  <si>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</si>
  <si>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0712000</t>
  </si>
  <si>
    <t>2000</t>
  </si>
  <si>
    <t>Охорона здоров’я</t>
  </si>
  <si>
    <t>0712010</t>
  </si>
  <si>
    <t>2010</t>
  </si>
  <si>
    <t>0731</t>
  </si>
  <si>
    <t>Багатопрофільна стаціонарна медична допомога населенню</t>
  </si>
  <si>
    <t>0712020</t>
  </si>
  <si>
    <t>2020</t>
  </si>
  <si>
    <t>0732</t>
  </si>
  <si>
    <t>Спеціалізована стаціонарна медична допомога населенню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</si>
  <si>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</si>
  <si>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</si>
  <si>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</si>
  <si>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</si>
  <si>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</si>
  <si>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</si>
  <si>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</si>
  <si>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Амбулаторно-поліклінічна допомога населенню, крім первинної медичної допомоги</t>
  </si>
  <si>
    <t>0712100</t>
  </si>
  <si>
    <t>2100</t>
  </si>
  <si>
    <t>0722</t>
  </si>
  <si>
    <t>Стоматологічна допомога населенню</t>
  </si>
  <si>
    <t>0712110</t>
  </si>
  <si>
    <t>2110</t>
  </si>
  <si>
    <t>Первинна медична допомога населенню</t>
  </si>
  <si>
    <t>0712111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</si>
  <si>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</si>
  <si>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</si>
  <si>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</si>
  <si>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0712140</t>
  </si>
  <si>
    <t>2140</t>
  </si>
  <si>
    <t>Програми і централізовані заходи у галузі охорони здоров’я</t>
  </si>
  <si>
    <t>0712144</t>
  </si>
  <si>
    <t>2144</t>
  </si>
  <si>
    <t>0763</t>
  </si>
  <si>
    <t>Централізовані заходи з лікування хворих на цукровий та нецукровий діабет</t>
  </si>
  <si>
    <t>0712150</t>
  </si>
  <si>
    <t>2150</t>
  </si>
  <si>
    <t>Інші програми, заклади та заходи у сфері охорони здоров’я</t>
  </si>
  <si>
    <t>0712151</t>
  </si>
  <si>
    <t>2151</t>
  </si>
  <si>
    <t>Забезпечення діяльності інших закладів у сфері охорони здоров’я</t>
  </si>
  <si>
    <t>0712152</t>
  </si>
  <si>
    <t>2152</t>
  </si>
  <si>
    <t>Інші програми та заходи у сфері охорони здоров’я</t>
  </si>
  <si>
    <t>7670</t>
  </si>
  <si>
    <t>Внески до статутного капіталу суб’єктів господарювання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</si>
  <si>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</si>
  <si>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</si>
  <si>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</si>
  <si>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</si>
  <si>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</si>
  <si>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</si>
  <si>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</si>
  <si>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</si>
  <si>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</si>
  <si>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Надання пільг окремим категоріям громадян з оплати послуг зв'язку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</si>
  <si>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</si>
  <si>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</si>
  <si>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</si>
  <si>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0813035</t>
  </si>
  <si>
    <t>3035</t>
  </si>
  <si>
    <t>Компенсаційні виплати за пільговий проїзд окремих категорій громадян на залізничному транспорті</t>
  </si>
  <si>
    <t>0813036</t>
  </si>
  <si>
    <t>3036</t>
  </si>
  <si>
    <t>Компенсаційні виплати на пільговий проїзд електротранспортом окремим категоріям громадян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</si>
  <si>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</si>
  <si>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</si>
  <si>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</si>
  <si>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0813060</t>
  </si>
  <si>
    <t>3060</t>
  </si>
  <si>
    <t>Оздоровлення громадян,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</si>
  <si>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</si>
  <si>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</si>
  <si>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</si>
  <si>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</si>
  <si>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</si>
  <si>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</si>
  <si>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0813104</t>
  </si>
  <si>
    <t>3104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</si>
  <si>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</si>
  <si>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0813105</t>
  </si>
  <si>
    <t>3105</t>
  </si>
  <si>
    <t>Надання реабілітаційних послуг особам з інвалідністю та дітям з інвалідністю</t>
  </si>
  <si>
    <t>0813160</t>
  </si>
  <si>
    <t>3160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</si>
  <si>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</si>
  <si>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0813170</t>
  </si>
  <si>
    <t>3170</t>
  </si>
  <si>
    <t>Забезпечення реалізації окремих програм для осіб з інвалідністю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</si>
  <si>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</si>
  <si>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</si>
  <si>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</si>
  <si>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>0813180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</si>
  <si>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</si>
  <si>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</si>
  <si>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0813190</t>
  </si>
  <si>
    <t>3190</t>
  </si>
  <si>
    <t>Соціальний захист ветеранів війни та праці</t>
  </si>
  <si>
    <t>0813192</t>
  </si>
  <si>
    <t>3192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</si>
  <si>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</si>
  <si>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0813200</t>
  </si>
  <si>
    <t>3200</t>
  </si>
  <si>
    <t>Забезпечення обробки інформації з нарахування та виплати допомог і компенсацій</t>
  </si>
  <si>
    <t>0813210</t>
  </si>
  <si>
    <t>3210</t>
  </si>
  <si>
    <t>1050</t>
  </si>
  <si>
    <t>Організація та проведення громадських робіт</t>
  </si>
  <si>
    <t>0813240</t>
  </si>
  <si>
    <t>3240</t>
  </si>
  <si>
    <t xml:space="preserve"> Інші заклади та заходи</t>
  </si>
  <si>
    <t>0813241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</si>
  <si>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</si>
  <si>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</si>
  <si>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</si>
  <si>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</si>
  <si>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</si>
  <si>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6000</t>
  </si>
  <si>
    <t>Житлово-комунальне господарство</t>
  </si>
  <si>
    <t>6080</t>
  </si>
  <si>
    <t>6082</t>
  </si>
  <si>
    <t>0610</t>
  </si>
  <si>
    <t>7300</t>
  </si>
  <si>
    <t>Будівництво та регіональний розвиток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</si>
  <si>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</si>
  <si>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</si>
  <si>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0443</t>
  </si>
  <si>
    <t>1080</t>
  </si>
  <si>
    <t>Надання спеціальної освіти мистецькими школами</t>
  </si>
  <si>
    <t>1014000</t>
  </si>
  <si>
    <t>4000</t>
  </si>
  <si>
    <t>Культура i мистецтво</t>
  </si>
  <si>
    <t>1014010</t>
  </si>
  <si>
    <t>4010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</si>
  <si>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</si>
  <si>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</si>
  <si>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</si>
  <si>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</si>
  <si>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</si>
  <si>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</si>
  <si>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</si>
  <si>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</si>
  <si>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Забезпечення діяльності музеїв i виставок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</si>
  <si>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</si>
  <si>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</si>
  <si>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</si>
  <si>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</si>
  <si>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1014080</t>
  </si>
  <si>
    <t>4080</t>
  </si>
  <si>
    <t>Інші заклади та заходи в галузі культури і мистецтва</t>
  </si>
  <si>
    <t>1014081</t>
  </si>
  <si>
    <t>4081</t>
  </si>
  <si>
    <t>0829</t>
  </si>
  <si>
    <t>Забезпечення діяльності інших закладів в галузі культури і мистецтва</t>
  </si>
  <si>
    <t>1014082</t>
  </si>
  <si>
    <t>4082</t>
  </si>
  <si>
    <t>Інші заходи в галузі культури і мистецтва</t>
  </si>
  <si>
    <t>3120</t>
  </si>
  <si>
    <t>Здійснення соціальної роботи з вразливими категоріями населення</t>
  </si>
  <si>
    <t>3121</t>
  </si>
  <si>
    <t>Утримання та забезпечення діяльності центрів соціальних служб</t>
  </si>
  <si>
    <t>3130</t>
  </si>
  <si>
    <t>Реалізація державної політики у молодіжній сфері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</si>
  <si>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</si>
  <si>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</si>
  <si>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</si>
  <si>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</si>
  <si>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</si>
  <si>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</si>
  <si>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</si>
  <si>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</si>
  <si>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</si>
  <si>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</si>
  <si>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1115011</t>
  </si>
  <si>
    <t>5011</t>
  </si>
  <si>
    <t>0810</t>
  </si>
  <si>
    <t>Проведення навчально-тренувальних зборів і змагань з олімпійських видів спорту</t>
  </si>
  <si>
    <t>1115012</t>
  </si>
  <si>
    <t>5012</t>
  </si>
  <si>
    <t>Проведення навчально-тренувальних зборів і змагань з неолімпійських видів спорту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</si>
  <si>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</si>
  <si>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</si>
  <si>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</si>
  <si>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1115022</t>
  </si>
  <si>
    <t>5022</t>
  </si>
  <si>
    <t>Проведення навчально-тренувальних зборів і змагань та заходів зі спорту осіб з інвалідністю</t>
  </si>
  <si>
    <t>1115030</t>
  </si>
  <si>
    <t>5030</t>
  </si>
  <si>
    <t xml:space="preserve"> Розвиток дитячо-юнацького та резервного спорту</t>
  </si>
  <si>
    <t>1115031</t>
  </si>
  <si>
    <t>5031</t>
  </si>
  <si>
    <t>Утримання та навчально-тренувальна робота комунальних дитячо-юнацьких спортивних шкіл</t>
  </si>
  <si>
    <t>1115032</t>
  </si>
  <si>
    <t>5032</t>
  </si>
  <si>
    <t>Фінансова підтримка дитячо-юнацьких спортивних шкіл фізкультурно-спортивних товариств</t>
  </si>
  <si>
    <t>1115060</t>
  </si>
  <si>
    <t>5060</t>
  </si>
  <si>
    <t>Інші заходи з розвитку фізичної культури та спорту</t>
  </si>
  <si>
    <t>1115061</t>
  </si>
  <si>
    <t>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</si>
  <si>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</si>
  <si>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1115062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</si>
  <si>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</si>
  <si>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</si>
  <si>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1115063</t>
  </si>
  <si>
    <t>5063</t>
  </si>
  <si>
    <t>Забезпечення діяльності централізованої бухгалтерії</t>
  </si>
  <si>
    <t>6084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</si>
  <si>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</si>
  <si>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</si>
  <si>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</si>
  <si>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</si>
  <si>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</si>
  <si>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1216011</t>
  </si>
  <si>
    <t>6011</t>
  </si>
  <si>
    <t>Експлуатація та технічне обслуговування житлового фонду</t>
  </si>
  <si>
    <t>1216015</t>
  </si>
  <si>
    <t>6015</t>
  </si>
  <si>
    <t>0620</t>
  </si>
  <si>
    <t>Забезпечення надійної та безперебійної експлуатації ліфтів</t>
  </si>
  <si>
    <t>1216017</t>
  </si>
  <si>
    <t>6017</t>
  </si>
  <si>
    <t>Інша діяльність, пов’язана з експлуатацією об’єктів житлово-комунального господарства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</si>
  <si>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</si>
  <si>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</si>
  <si>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</si>
  <si>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</si>
  <si>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</si>
  <si>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</si>
  <si>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1217000</t>
  </si>
  <si>
    <t>Економічна діяльність</t>
  </si>
  <si>
    <t>7640</t>
  </si>
  <si>
    <t>0470</t>
  </si>
  <si>
    <t>Заходи з енергозбереження</t>
  </si>
  <si>
    <t xml:space="preserve"> Інша економічна діяльність</t>
  </si>
  <si>
    <t>6012</t>
  </si>
  <si>
    <t>Забезпечення діяльності з виробництва, транспортування, постачання теплової енергії</t>
  </si>
  <si>
    <t>6013</t>
  </si>
  <si>
    <t>Забезпечення діяльності водопровідно-каналізаційного господарства</t>
  </si>
  <si>
    <t>7310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</si>
  <si>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</si>
  <si>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t>7400</t>
  </si>
  <si>
    <t>Транспорт та транспортна інфраструктура, дорожнє господарство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</si>
  <si>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</si>
  <si>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</si>
  <si>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</si>
  <si>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8100</t>
  </si>
  <si>
    <t>Захист населення і територій від надзвичайних ситуацій техногенного та природного характеру</t>
  </si>
  <si>
    <t>8110</t>
  </si>
  <si>
    <t>0320</t>
  </si>
  <si>
    <t>Заходи із запобігання та ліквідації надзвичайних ситуацій та наслідків стихійного лиха</t>
  </si>
  <si>
    <t>8120</t>
  </si>
  <si>
    <t>Заходи з організації рятування на водах</t>
  </si>
  <si>
    <t>8130</t>
  </si>
  <si>
    <t>Забезпечення діяльності місцевої пожежної охорони</t>
  </si>
  <si>
    <t>5040</t>
  </si>
  <si>
    <t>Підтримка і розвиток спортивної інфраструктури</t>
  </si>
  <si>
    <t>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</si>
  <si>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</si>
  <si>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7321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</si>
  <si>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</si>
  <si>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t>7324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</si>
  <si>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</si>
  <si>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t>7330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</si>
  <si>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</si>
  <si>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7370</t>
  </si>
  <si>
    <t>Реалізація інших заходів щодо соціально-економічного розвитку територій</t>
  </si>
  <si>
    <t>7420</t>
  </si>
  <si>
    <t>Забезпечення надання послуг з перевезення пасажирів електротранспортом</t>
  </si>
  <si>
    <t>7426</t>
  </si>
  <si>
    <t>0453</t>
  </si>
  <si>
    <t>Інші заходи у сфері електротранспорту</t>
  </si>
  <si>
    <t>7610</t>
  </si>
  <si>
    <t>0411</t>
  </si>
  <si>
    <t>Сприяння розвитку малого та середнього підприємництва</t>
  </si>
  <si>
    <t>7630</t>
  </si>
  <si>
    <t>Реалізація програм і заходів в галузі зовнішньоекономічної діяльності</t>
  </si>
  <si>
    <t>8300</t>
  </si>
  <si>
    <t>Охорона навколишнього природного середовища</t>
  </si>
  <si>
    <t>8310</t>
  </si>
  <si>
    <t xml:space="preserve"> Запобігання та ліквідація забруднення навколишнього природного середовища</t>
  </si>
  <si>
    <t>8311</t>
  </si>
  <si>
    <t>0511</t>
  </si>
  <si>
    <t>Охорона та раціональне використання природних ресурсів</t>
  </si>
  <si>
    <t>8312</t>
  </si>
  <si>
    <t>0512</t>
  </si>
  <si>
    <t>Утилізація відходів</t>
  </si>
  <si>
    <t>8320</t>
  </si>
  <si>
    <t>0520</t>
  </si>
  <si>
    <t>Збереження природно-заповідного фонду</t>
  </si>
  <si>
    <t>8330</t>
  </si>
  <si>
    <t>0540</t>
  </si>
  <si>
    <t>Інша діяльність у сфері екології та охорони природних ресурсів</t>
  </si>
  <si>
    <t>7100</t>
  </si>
  <si>
    <t>Сільське, лісове, рибне господарство та мисливство</t>
  </si>
  <si>
    <t>7130</t>
  </si>
  <si>
    <t>0421</t>
  </si>
  <si>
    <t>Здійснення заходів із землеустрою</t>
  </si>
  <si>
    <t>7650</t>
  </si>
  <si>
    <t>Проведення експертної грошової оцінки земельної ділянки чи права на неї</t>
  </si>
  <si>
    <t>Обслуговування місцевого боргу</t>
  </si>
  <si>
    <t>Резервний фонд</t>
  </si>
  <si>
    <t>Резервний фонд місцевого бюджету</t>
  </si>
  <si>
    <t>9100</t>
  </si>
  <si>
    <t>Дотації з місцевого бюджету іншим бюджетам</t>
  </si>
  <si>
    <t>Реверсна дотація</t>
  </si>
  <si>
    <t>Х</t>
  </si>
  <si>
    <t>УСЬОГО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</si>
  <si>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реставрація, капітальний ремонт об'єктів виробничої, комунікаційної та соціальної інфраструктури за рахунок власних коштів місцевих бюджетів.</t>
    </r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</si>
  <si>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</si>
  <si>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</si>
  <si>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</si>
  <si>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>Додаток 2</t>
  </si>
  <si>
    <t xml:space="preserve">до рішення  №    від        .2021 року </t>
  </si>
  <si>
    <t>Звіт про виконання видатків загального та спеціального фондів бюджету Хмельницької міської територіальної громади</t>
  </si>
  <si>
    <t>за І квартал 2021 року</t>
  </si>
  <si>
    <t>Найменування бюджетної програми згідно з Типовою програмною класифікацією видатків та кредитування місцевого бюджету</t>
  </si>
  <si>
    <t>Затверджено на 2021 рік з урахуванням змін</t>
  </si>
  <si>
    <t>Затверджено на І квартал 2021 року з урахуванням змін</t>
  </si>
  <si>
    <t>Виконано за І квартал 2021 року</t>
  </si>
  <si>
    <t>% виконання</t>
  </si>
  <si>
    <t>Виконано за І квартал 2021 року разом по загальному та спеціальному фондах</t>
  </si>
  <si>
    <t>Відсоток вручну</t>
  </si>
  <si>
    <t xml:space="preserve"> Реалізація державних та місцевих житлових програм</t>
  </si>
  <si>
    <t xml:space="preserve"> Придбання житла для окремих категорій населення відповідно до законодавства</t>
  </si>
  <si>
    <t>Всього</t>
  </si>
  <si>
    <t>8821</t>
  </si>
  <si>
    <t>8822</t>
  </si>
  <si>
    <t>8800</t>
  </si>
  <si>
    <t>8820</t>
  </si>
  <si>
    <t xml:space="preserve"> Інша діяльність</t>
  </si>
  <si>
    <t>Кредитування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</si>
  <si>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</si>
  <si>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</si>
  <si>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</si>
  <si>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>Керуючий справами виконавчого комітету</t>
  </si>
  <si>
    <t>Ю. САБІЙ</t>
  </si>
  <si>
    <t>7460</t>
  </si>
  <si>
    <t>Утримання та розвиток автомобільних доріг та дорожньої інфраструктури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</si>
</sst>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7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 Cyr"/>
      <family val="1"/>
      <charset val="204"/>
    </font>
    <font>
      <sz val="36"/>
      <name val="Times New Roman"/>
      <family val="1"/>
      <charset val="204"/>
    </font>
    <font>
      <b/>
      <sz val="36"/>
      <name val="Times New Roman"/>
      <family val="1"/>
      <charset val="204"/>
    </font>
    <font>
      <sz val="10"/>
      <color rgb="FFFF0000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sz val="36"/>
      <color indexed="8"/>
      <name val="Times New Roman"/>
      <family val="1"/>
      <charset val="204"/>
    </font>
    <font>
      <sz val="36"/>
      <name val="Arial Cyr"/>
      <charset val="204"/>
    </font>
    <font>
      <b/>
      <sz val="10"/>
      <name val="Arial Cyr"/>
      <charset val="204"/>
    </font>
    <font>
      <sz val="36"/>
      <color rgb="FFFF0000"/>
      <name val="Times New Roman"/>
      <family val="1"/>
      <charset val="204"/>
    </font>
    <font>
      <sz val="10"/>
      <name val="MS Sans Serif"/>
      <family val="2"/>
      <charset val="204"/>
    </font>
    <font>
      <b/>
      <i/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b/>
      <i/>
      <sz val="10"/>
      <name val="Arial Cyr"/>
      <charset val="204"/>
    </font>
    <font>
      <sz val="37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37"/>
      <color theme="1"/>
      <name val="Times New Roman"/>
      <family val="1"/>
      <charset val="204"/>
    </font>
    <font>
      <b/>
      <sz val="36"/>
      <color rgb="FFFF0000"/>
      <name val="Times New Roman"/>
      <family val="1"/>
      <charset val="204"/>
    </font>
    <font>
      <b/>
      <i/>
      <sz val="37"/>
      <name val="Times New Roman"/>
      <family val="1"/>
      <charset val="204"/>
    </font>
    <font>
      <i/>
      <sz val="10"/>
      <name val="Arial Cyr"/>
      <charset val="204"/>
    </font>
    <font>
      <b/>
      <i/>
      <sz val="36"/>
      <color theme="1"/>
      <name val="Times New Roman"/>
      <family val="1"/>
      <charset val="204"/>
    </font>
    <font>
      <i/>
      <sz val="36"/>
      <color theme="1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i/>
      <sz val="36"/>
      <name val="Times New Roman"/>
      <family val="1"/>
      <charset val="204"/>
    </font>
    <font>
      <sz val="28"/>
      <name val="Arial Cyr"/>
      <charset val="204"/>
    </font>
    <font>
      <b/>
      <sz val="36"/>
      <color rgb="FFFF0000"/>
      <name val="Arial Cyr"/>
      <charset val="204"/>
    </font>
    <font>
      <b/>
      <sz val="37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b/>
      <vertAlign val="superscript"/>
      <sz val="36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 Cyr"/>
      <family val="1"/>
      <charset val="204"/>
    </font>
    <font>
      <b/>
      <sz val="48"/>
      <name val="Times New Roman"/>
      <family val="1"/>
      <charset val="204"/>
    </font>
    <font>
      <b/>
      <sz val="37"/>
      <color rgb="FF00B05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FFFFCC"/>
        </stop>
      </gradient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CC99FF"/>
        </stop>
      </gradientFill>
    </fill>
  </fills>
  <borders count="5">
    <border>
      <left/>
      <right/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</borders>
  <cellStyleXfs count="5">
    <xf numFmtId="0" fontId="0" fillId="0" borderId="0"/>
    <xf numFmtId="0" fontId="12" fillId="0" borderId="0" applyNumberFormat="0" applyFont="0" applyFill="0" applyBorder="0" applyAlignment="0" applyProtection="0">
      <alignment vertical="top"/>
    </xf>
    <xf numFmtId="0" fontId="42" fillId="0" borderId="0" applyNumberFormat="0" applyFont="0" applyFill="0" applyBorder="0" applyAlignment="0" applyProtection="0">
      <alignment vertical="top"/>
    </xf>
    <xf numFmtId="0" fontId="43" fillId="0" borderId="0"/>
    <xf numFmtId="0" fontId="43" fillId="0" borderId="0"/>
  </cellStyleXfs>
  <cellXfs count="17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13" fillId="0" borderId="0" xfId="0" applyNumberFormat="1" applyFont="1" applyAlignment="1">
      <alignment horizontal="left" vertical="center"/>
    </xf>
    <xf numFmtId="0" fontId="15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4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/>
    <xf numFmtId="4" fontId="18" fillId="0" borderId="0" xfId="0" applyNumberFormat="1" applyFont="1" applyAlignment="1">
      <alignment horizontal="left" vertical="center"/>
    </xf>
    <xf numFmtId="49" fontId="19" fillId="0" borderId="1" xfId="0" applyNumberFormat="1" applyFont="1" applyBorder="1" applyAlignment="1">
      <alignment horizontal="center" vertical="center" wrapText="1"/>
    </xf>
    <xf numFmtId="4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2" fillId="0" borderId="0" xfId="0" applyNumberFormat="1" applyFont="1" applyAlignment="1">
      <alignment horizontal="left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24" fillId="0" borderId="0" xfId="0" applyFont="1"/>
    <xf numFmtId="49" fontId="25" fillId="0" borderId="1" xfId="0" applyNumberFormat="1" applyFont="1" applyBorder="1" applyAlignment="1">
      <alignment horizontal="center" vertical="center" wrapText="1"/>
    </xf>
    <xf numFmtId="49" fontId="26" fillId="0" borderId="1" xfId="0" applyNumberFormat="1" applyFont="1" applyBorder="1" applyAlignment="1">
      <alignment horizontal="center" vertical="center" wrapText="1"/>
    </xf>
    <xf numFmtId="4" fontId="11" fillId="0" borderId="0" xfId="0" applyNumberFormat="1" applyFont="1" applyAlignment="1">
      <alignment horizontal="left" vertical="center"/>
    </xf>
    <xf numFmtId="0" fontId="28" fillId="0" borderId="0" xfId="0" applyFont="1"/>
    <xf numFmtId="4" fontId="29" fillId="0" borderId="0" xfId="0" applyNumberFormat="1" applyFont="1"/>
    <xf numFmtId="49" fontId="30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left" vertical="center"/>
    </xf>
    <xf numFmtId="4" fontId="31" fillId="0" borderId="0" xfId="0" applyNumberFormat="1" applyFont="1"/>
    <xf numFmtId="49" fontId="30" fillId="0" borderId="0" xfId="0" applyNumberFormat="1" applyFont="1" applyAlignment="1">
      <alignment horizontal="center" wrapText="1"/>
    </xf>
    <xf numFmtId="49" fontId="30" fillId="0" borderId="3" xfId="0" applyNumberFormat="1" applyFont="1" applyBorder="1" applyAlignment="1">
      <alignment horizontal="center" vertical="top" wrapText="1"/>
    </xf>
    <xf numFmtId="4" fontId="32" fillId="0" borderId="0" xfId="0" applyNumberFormat="1" applyFont="1" applyAlignment="1">
      <alignment horizontal="left" vertical="center"/>
    </xf>
    <xf numFmtId="0" fontId="3" fillId="0" borderId="1" xfId="1" applyFont="1" applyFill="1" applyBorder="1" applyAlignment="1" applyProtection="1">
      <alignment horizontal="center" vertical="center" wrapText="1"/>
      <protection locked="0"/>
    </xf>
    <xf numFmtId="4" fontId="14" fillId="0" borderId="0" xfId="0" applyNumberFormat="1" applyFont="1" applyAlignment="1">
      <alignment horizontal="center" vertical="center" wrapText="1"/>
    </xf>
    <xf numFmtId="4" fontId="14" fillId="0" borderId="0" xfId="0" applyNumberFormat="1" applyFont="1" applyAlignment="1">
      <alignment horizontal="left" vertical="center" wrapText="1"/>
    </xf>
    <xf numFmtId="4" fontId="34" fillId="0" borderId="0" xfId="0" applyNumberFormat="1" applyFont="1" applyAlignment="1">
      <alignment horizontal="center" vertical="center" wrapText="1"/>
    </xf>
    <xf numFmtId="4" fontId="16" fillId="0" borderId="0" xfId="0" applyNumberFormat="1" applyFont="1" applyAlignment="1">
      <alignment horizontal="left" vertical="center" wrapText="1"/>
    </xf>
    <xf numFmtId="4" fontId="16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3" fillId="0" borderId="0" xfId="0" applyNumberFormat="1" applyFont="1" applyAlignment="1">
      <alignment horizontal="left" vertical="center" wrapText="1"/>
    </xf>
    <xf numFmtId="4" fontId="35" fillId="0" borderId="0" xfId="0" applyNumberFormat="1" applyFont="1" applyAlignment="1">
      <alignment horizontal="left" vertical="center" wrapText="1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30" fillId="0" borderId="1" xfId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Alignment="1">
      <alignment horizontal="left" vertical="center" wrapText="1"/>
    </xf>
    <xf numFmtId="0" fontId="3" fillId="0" borderId="0" xfId="1" applyFont="1" applyFill="1" applyBorder="1" applyAlignment="1" applyProtection="1">
      <alignment horizontal="center" wrapText="1"/>
      <protection locked="0"/>
    </xf>
    <xf numFmtId="0" fontId="3" fillId="0" borderId="3" xfId="1" applyFont="1" applyFill="1" applyBorder="1" applyAlignment="1" applyProtection="1">
      <alignment horizontal="center" vertical="top" wrapText="1"/>
      <protection locked="0"/>
    </xf>
    <xf numFmtId="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4" fontId="14" fillId="3" borderId="0" xfId="0" applyNumberFormat="1" applyFont="1" applyFill="1" applyAlignment="1">
      <alignment horizontal="left" vertical="center" wrapText="1"/>
    </xf>
    <xf numFmtId="0" fontId="0" fillId="3" borderId="0" xfId="0" applyFill="1"/>
    <xf numFmtId="4" fontId="23" fillId="0" borderId="0" xfId="0" applyNumberFormat="1" applyFont="1" applyAlignment="1">
      <alignment horizontal="left" vertical="center" wrapText="1"/>
    </xf>
    <xf numFmtId="49" fontId="30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0" fillId="0" borderId="0" xfId="0" applyNumberFormat="1" applyFont="1" applyAlignment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top" wrapText="1"/>
      <protection locked="0"/>
    </xf>
    <xf numFmtId="4" fontId="14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4" borderId="1" xfId="0" applyNumberFormat="1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5" fillId="4" borderId="0" xfId="0" applyFont="1" applyFill="1"/>
    <xf numFmtId="0" fontId="13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4" fontId="14" fillId="5" borderId="1" xfId="0" applyNumberFormat="1" applyFont="1" applyFill="1" applyBorder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" fillId="0" borderId="0" xfId="3" applyFont="1"/>
    <xf numFmtId="0" fontId="1" fillId="0" borderId="0" xfId="0" applyFont="1"/>
    <xf numFmtId="0" fontId="3" fillId="0" borderId="0" xfId="0" applyFont="1" applyAlignment="1">
      <alignment horizontal="left" vertical="center"/>
    </xf>
    <xf numFmtId="0" fontId="29" fillId="0" borderId="0" xfId="0" applyFont="1"/>
    <xf numFmtId="0" fontId="44" fillId="0" borderId="0" xfId="0" applyFont="1" applyAlignment="1">
      <alignment vertical="center"/>
    </xf>
    <xf numFmtId="4" fontId="14" fillId="3" borderId="1" xfId="0" applyNumberFormat="1" applyFont="1" applyFill="1" applyBorder="1" applyAlignment="1">
      <alignment horizontal="center" vertical="center" wrapText="1"/>
    </xf>
    <xf numFmtId="4" fontId="16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3" borderId="1" xfId="1" applyNumberFormat="1" applyFont="1" applyFill="1" applyBorder="1" applyAlignment="1">
      <alignment horizontal="center" vertical="center" wrapText="1"/>
    </xf>
    <xf numFmtId="4" fontId="14" fillId="3" borderId="1" xfId="1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/>
    </xf>
    <xf numFmtId="4" fontId="20" fillId="3" borderId="1" xfId="1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 wrapText="1"/>
    </xf>
    <xf numFmtId="4" fontId="16" fillId="3" borderId="1" xfId="0" applyNumberFormat="1" applyFont="1" applyFill="1" applyBorder="1" applyAlignment="1">
      <alignment horizontal="center" vertical="center" wrapText="1"/>
    </xf>
    <xf numFmtId="4" fontId="27" fillId="3" borderId="1" xfId="0" applyNumberFormat="1" applyFont="1" applyFill="1" applyBorder="1" applyAlignment="1">
      <alignment horizontal="center" vertical="center"/>
    </xf>
    <xf numFmtId="4" fontId="30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38" fillId="3" borderId="1" xfId="0" applyNumberFormat="1" applyFont="1" applyFill="1" applyBorder="1" applyAlignment="1">
      <alignment horizontal="center" vertical="center" wrapText="1"/>
    </xf>
    <xf numFmtId="4" fontId="2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164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1" fillId="0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13" fillId="4" borderId="1" xfId="0" applyNumberFormat="1" applyFont="1" applyFill="1" applyBorder="1" applyAlignment="1">
      <alignment horizontal="center" vertical="center" wrapText="1"/>
    </xf>
    <xf numFmtId="4" fontId="23" fillId="4" borderId="1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 wrapText="1"/>
    </xf>
    <xf numFmtId="4" fontId="21" fillId="4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 wrapText="1"/>
    </xf>
    <xf numFmtId="164" fontId="2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7" fillId="0" borderId="1" xfId="0" applyNumberFormat="1" applyFont="1" applyFill="1" applyBorder="1" applyAlignment="1">
      <alignment horizontal="center" vertical="center" wrapText="1"/>
    </xf>
    <xf numFmtId="49" fontId="45" fillId="0" borderId="1" xfId="0" applyNumberFormat="1" applyFont="1" applyBorder="1" applyAlignment="1">
      <alignment horizontal="center" vertical="center" wrapText="1"/>
    </xf>
    <xf numFmtId="4" fontId="30" fillId="0" borderId="1" xfId="1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" fontId="27" fillId="4" borderId="1" xfId="1" applyNumberFormat="1" applyFont="1" applyFill="1" applyBorder="1" applyAlignment="1" applyProtection="1">
      <alignment horizontal="center" vertical="center" wrapText="1"/>
      <protection locked="0"/>
    </xf>
    <xf numFmtId="4" fontId="38" fillId="0" borderId="1" xfId="0" applyNumberFormat="1" applyFont="1" applyFill="1" applyBorder="1" applyAlignment="1">
      <alignment horizontal="center" vertical="center" wrapText="1"/>
    </xf>
    <xf numFmtId="4" fontId="33" fillId="4" borderId="0" xfId="0" applyNumberFormat="1" applyFont="1" applyFill="1" applyAlignment="1">
      <alignment horizontal="left" vertical="center" wrapText="1"/>
    </xf>
    <xf numFmtId="49" fontId="45" fillId="0" borderId="0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" fontId="16" fillId="0" borderId="1" xfId="0" applyNumberFormat="1" applyFont="1" applyFill="1" applyBorder="1" applyAlignment="1">
      <alignment horizontal="center" vertical="center"/>
    </xf>
    <xf numFmtId="164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23" fillId="0" borderId="1" xfId="0" applyNumberFormat="1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64" fontId="14" fillId="5" borderId="1" xfId="0" applyNumberFormat="1" applyFont="1" applyFill="1" applyBorder="1" applyAlignment="1">
      <alignment horizontal="center" vertical="center"/>
    </xf>
    <xf numFmtId="0" fontId="13" fillId="0" borderId="1" xfId="1" applyFont="1" applyFill="1" applyBorder="1" applyAlignment="1" applyProtection="1">
      <alignment horizontal="center" vertical="center" wrapText="1"/>
      <protection locked="0"/>
    </xf>
    <xf numFmtId="49" fontId="3" fillId="0" borderId="1" xfId="4" applyNumberFormat="1" applyFont="1" applyBorder="1" applyAlignment="1">
      <alignment horizontal="center" vertical="center" wrapText="1"/>
    </xf>
    <xf numFmtId="0" fontId="3" fillId="0" borderId="1" xfId="4" applyFont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164" fontId="23" fillId="0" borderId="1" xfId="0" applyNumberFormat="1" applyFont="1" applyFill="1" applyBorder="1" applyAlignment="1">
      <alignment horizontal="center" vertical="center"/>
    </xf>
    <xf numFmtId="4" fontId="27" fillId="0" borderId="1" xfId="0" applyNumberFormat="1" applyFont="1" applyFill="1" applyBorder="1" applyAlignment="1">
      <alignment horizontal="center" vertical="center"/>
    </xf>
    <xf numFmtId="4" fontId="16" fillId="0" borderId="1" xfId="1" applyNumberFormat="1" applyFont="1" applyFill="1" applyBorder="1" applyAlignment="1">
      <alignment horizontal="center" vertical="center" wrapText="1"/>
    </xf>
    <xf numFmtId="4" fontId="21" fillId="0" borderId="1" xfId="1" applyNumberFormat="1" applyFont="1" applyFill="1" applyBorder="1" applyAlignment="1">
      <alignment horizontal="center" vertical="center" wrapText="1"/>
    </xf>
    <xf numFmtId="4" fontId="20" fillId="0" borderId="1" xfId="1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14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4" fontId="27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9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3" fillId="0" borderId="0" xfId="0" applyFont="1"/>
    <xf numFmtId="4" fontId="3" fillId="4" borderId="2" xfId="0" applyNumberFormat="1" applyFont="1" applyFill="1" applyBorder="1" applyAlignment="1">
      <alignment horizontal="center" vertical="center" wrapText="1"/>
    </xf>
    <xf numFmtId="4" fontId="3" fillId="4" borderId="3" xfId="0" applyNumberFormat="1" applyFont="1" applyFill="1" applyBorder="1" applyAlignment="1">
      <alignment horizontal="center" vertical="center" wrapText="1"/>
    </xf>
    <xf numFmtId="4" fontId="16" fillId="4" borderId="2" xfId="0" applyNumberFormat="1" applyFont="1" applyFill="1" applyBorder="1" applyAlignment="1">
      <alignment horizontal="center" vertical="center"/>
    </xf>
    <xf numFmtId="4" fontId="16" fillId="4" borderId="3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27" fillId="3" borderId="3" xfId="0" applyNumberFormat="1" applyFont="1" applyFill="1" applyBorder="1" applyAlignment="1">
      <alignment horizontal="center" vertical="center" wrapText="1"/>
    </xf>
    <xf numFmtId="49" fontId="4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" fontId="46" fillId="5" borderId="1" xfId="0" applyNumberFormat="1" applyFont="1" applyFill="1" applyBorder="1" applyAlignment="1">
      <alignment horizontal="center" vertical="center"/>
    </xf>
  </cellXfs>
  <cellStyles count="5">
    <cellStyle name="Звичайний" xfId="0" builtinId="0"/>
    <cellStyle name="Обычный 3" xfId="4" xr:uid="{FAE42B79-D075-49E8-8954-45D6D602BC6A}"/>
    <cellStyle name="Обычный_Plan_kapbud_2006 уточн." xfId="2" xr:uid="{67669288-13C4-492D-B13E-83B7E4ED42A6}"/>
    <cellStyle name="Обычный_Додаток 2 до бюджету 2000 року" xfId="1" xr:uid="{3881C0DD-B08F-4076-8A0D-26296E1A6497}"/>
    <cellStyle name="Обычный_Додаток №1" xfId="3" xr:uid="{2FBDD1F8-2071-411F-9113-D66D0C53D6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C650E-8802-4ABA-9729-C0AB9CBAEC31}">
  <dimension ref="A2:R208"/>
  <sheetViews>
    <sheetView tabSelected="1" view="pageBreakPreview" topLeftCell="B1" zoomScale="25" zoomScaleNormal="25" zoomScaleSheetLayoutView="25" zoomScalePageLayoutView="10" workbookViewId="0">
      <pane ySplit="15" topLeftCell="A181" activePane="bottomLeft" state="frozen"/>
      <selection activeCell="F175" sqref="F175"/>
      <selection pane="bottomLeft" activeCell="D183" sqref="D183"/>
    </sheetView>
  </sheetViews>
  <sheetFormatPr defaultColWidth="9.140625" defaultRowHeight="12.75" x14ac:dyDescent="0.2"/>
  <cols>
    <col min="1" max="1" width="48" style="1" hidden="1" customWidth="1"/>
    <col min="2" max="2" width="52.5703125" style="1" customWidth="1"/>
    <col min="3" max="3" width="65.7109375" style="1" hidden="1" customWidth="1"/>
    <col min="4" max="4" width="106.28515625" style="1" customWidth="1"/>
    <col min="5" max="5" width="62.5703125" style="1" customWidth="1"/>
    <col min="6" max="6" width="59.7109375" style="1" customWidth="1"/>
    <col min="7" max="7" width="48.140625" style="1" customWidth="1"/>
    <col min="8" max="8" width="41.85546875" style="1" customWidth="1"/>
    <col min="9" max="9" width="52.5703125" style="80" customWidth="1"/>
    <col min="10" max="10" width="56.140625" style="1" customWidth="1"/>
    <col min="11" max="11" width="54.85546875" style="1" customWidth="1"/>
    <col min="12" max="12" width="45.28515625" style="1" hidden="1" customWidth="1"/>
    <col min="13" max="13" width="56.140625" style="1" hidden="1" customWidth="1"/>
    <col min="14" max="14" width="86.28515625" style="80" customWidth="1"/>
    <col min="15" max="15" width="52.140625" style="5" customWidth="1"/>
    <col min="16" max="16" width="44.7109375" style="5" customWidth="1"/>
    <col min="17" max="17" width="25.85546875" bestFit="1" customWidth="1"/>
    <col min="18" max="18" width="43.5703125" bestFit="1" customWidth="1"/>
  </cols>
  <sheetData>
    <row r="2" spans="1:16" ht="45.75" x14ac:dyDescent="0.2">
      <c r="D2" s="2"/>
      <c r="E2" s="4"/>
      <c r="F2" s="3"/>
      <c r="G2" s="3"/>
      <c r="H2" s="3"/>
      <c r="I2" s="3"/>
      <c r="J2" s="4"/>
      <c r="K2" s="140" t="s">
        <v>466</v>
      </c>
      <c r="L2" s="144"/>
      <c r="M2" s="144"/>
      <c r="N2" s="144"/>
      <c r="O2" s="98"/>
    </row>
    <row r="3" spans="1:16" ht="45.75" x14ac:dyDescent="0.2">
      <c r="A3" s="2"/>
      <c r="B3" s="2"/>
      <c r="C3" s="2"/>
      <c r="D3" s="2"/>
      <c r="E3" s="4"/>
      <c r="F3" s="3"/>
      <c r="G3" s="3"/>
      <c r="H3" s="3"/>
      <c r="I3" s="3"/>
      <c r="J3" s="145" t="s">
        <v>467</v>
      </c>
      <c r="K3" s="146"/>
      <c r="L3" s="146"/>
      <c r="M3" s="146"/>
      <c r="N3" s="146"/>
      <c r="O3" s="99"/>
    </row>
    <row r="4" spans="1:16" ht="40.700000000000003" customHeight="1" x14ac:dyDescent="0.2">
      <c r="A4" s="2"/>
      <c r="B4" s="2"/>
      <c r="C4" s="2"/>
      <c r="D4" s="2"/>
      <c r="E4" s="4"/>
      <c r="F4" s="3"/>
      <c r="G4" s="3"/>
      <c r="H4" s="3"/>
      <c r="I4" s="3"/>
      <c r="J4" s="3"/>
      <c r="K4" s="3"/>
      <c r="L4" s="3"/>
      <c r="M4" s="140"/>
      <c r="N4" s="140"/>
    </row>
    <row r="5" spans="1:16" ht="45.75" hidden="1" x14ac:dyDescent="0.2">
      <c r="A5" s="2"/>
      <c r="B5" s="2"/>
      <c r="C5" s="2"/>
      <c r="D5" s="2"/>
      <c r="E5" s="4"/>
      <c r="F5" s="3"/>
      <c r="G5" s="3"/>
      <c r="H5" s="3"/>
      <c r="I5" s="3"/>
      <c r="J5" s="3"/>
      <c r="K5" s="3"/>
      <c r="L5" s="3"/>
      <c r="M5" s="2"/>
      <c r="N5" s="4"/>
    </row>
    <row r="6" spans="1:16" ht="45" x14ac:dyDescent="0.2">
      <c r="A6" s="141" t="s">
        <v>468</v>
      </c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</row>
    <row r="7" spans="1:16" ht="45" x14ac:dyDescent="0.2">
      <c r="A7" s="141" t="s">
        <v>469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</row>
    <row r="8" spans="1:16" ht="45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6" ht="45.75" x14ac:dyDescent="0.65">
      <c r="A9" s="142">
        <v>22564000000</v>
      </c>
      <c r="B9" s="14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6" ht="45.75" x14ac:dyDescent="0.2">
      <c r="A10" s="147" t="s">
        <v>0</v>
      </c>
      <c r="B10" s="14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</row>
    <row r="11" spans="1:16" ht="53.45" customHeight="1" thickBot="1" x14ac:dyDescent="0.25">
      <c r="A11" s="3"/>
      <c r="B11" s="3"/>
      <c r="C11" s="3"/>
      <c r="D11" s="3"/>
      <c r="E11" s="4"/>
      <c r="F11" s="3"/>
      <c r="G11" s="3"/>
      <c r="H11" s="3"/>
      <c r="I11" s="3"/>
      <c r="J11" s="3"/>
      <c r="K11" s="3"/>
      <c r="L11" s="3"/>
      <c r="M11" s="3"/>
      <c r="N11" s="6" t="s">
        <v>1</v>
      </c>
    </row>
    <row r="12" spans="1:16" ht="62.45" customHeight="1" thickTop="1" thickBot="1" x14ac:dyDescent="0.25">
      <c r="A12" s="149" t="s">
        <v>2</v>
      </c>
      <c r="B12" s="149" t="s">
        <v>3</v>
      </c>
      <c r="C12" s="149" t="s">
        <v>4</v>
      </c>
      <c r="D12" s="149" t="s">
        <v>470</v>
      </c>
      <c r="E12" s="150" t="s">
        <v>5</v>
      </c>
      <c r="F12" s="150"/>
      <c r="G12" s="150"/>
      <c r="H12" s="150"/>
      <c r="I12" s="150" t="s">
        <v>6</v>
      </c>
      <c r="J12" s="150"/>
      <c r="K12" s="150"/>
      <c r="L12" s="150"/>
      <c r="M12" s="154"/>
      <c r="N12" s="149" t="s">
        <v>475</v>
      </c>
    </row>
    <row r="13" spans="1:16" ht="96" customHeight="1" thickTop="1" thickBot="1" x14ac:dyDescent="0.25">
      <c r="A13" s="150"/>
      <c r="B13" s="151"/>
      <c r="C13" s="151"/>
      <c r="D13" s="150"/>
      <c r="E13" s="149" t="s">
        <v>471</v>
      </c>
      <c r="F13" s="149" t="s">
        <v>472</v>
      </c>
      <c r="G13" s="149" t="s">
        <v>473</v>
      </c>
      <c r="H13" s="152" t="s">
        <v>474</v>
      </c>
      <c r="I13" s="149" t="s">
        <v>471</v>
      </c>
      <c r="J13" s="149" t="s">
        <v>473</v>
      </c>
      <c r="K13" s="152" t="s">
        <v>474</v>
      </c>
      <c r="L13" s="7"/>
      <c r="M13" s="152"/>
      <c r="N13" s="149"/>
    </row>
    <row r="14" spans="1:16" ht="208.5" customHeight="1" thickTop="1" thickBot="1" x14ac:dyDescent="0.25">
      <c r="A14" s="151"/>
      <c r="B14" s="151"/>
      <c r="C14" s="151"/>
      <c r="D14" s="151"/>
      <c r="E14" s="149"/>
      <c r="F14" s="149"/>
      <c r="G14" s="149"/>
      <c r="H14" s="153"/>
      <c r="I14" s="149"/>
      <c r="J14" s="149"/>
      <c r="K14" s="153"/>
      <c r="L14" s="7"/>
      <c r="M14" s="153"/>
      <c r="N14" s="149"/>
    </row>
    <row r="15" spans="1:16" s="11" customFormat="1" ht="47.25" thickTop="1" thickBot="1" x14ac:dyDescent="0.25">
      <c r="A15" s="8" t="s">
        <v>7</v>
      </c>
      <c r="B15" s="8" t="s">
        <v>7</v>
      </c>
      <c r="C15" s="8" t="s">
        <v>9</v>
      </c>
      <c r="D15" s="8" t="s">
        <v>8</v>
      </c>
      <c r="E15" s="8" t="s">
        <v>9</v>
      </c>
      <c r="F15" s="8" t="s">
        <v>10</v>
      </c>
      <c r="G15" s="8" t="s">
        <v>11</v>
      </c>
      <c r="H15" s="8" t="s">
        <v>12</v>
      </c>
      <c r="I15" s="8" t="s">
        <v>13</v>
      </c>
      <c r="J15" s="8" t="s">
        <v>14</v>
      </c>
      <c r="K15" s="8" t="s">
        <v>15</v>
      </c>
      <c r="L15" s="8"/>
      <c r="M15" s="8"/>
      <c r="N15" s="8" t="s">
        <v>16</v>
      </c>
      <c r="O15" s="9"/>
      <c r="P15" s="10"/>
    </row>
    <row r="16" spans="1:16" s="18" customFormat="1" ht="88.5" customHeight="1" thickTop="1" thickBot="1" x14ac:dyDescent="0.25">
      <c r="A16" s="8" t="s">
        <v>17</v>
      </c>
      <c r="B16" s="12" t="s">
        <v>18</v>
      </c>
      <c r="C16" s="12"/>
      <c r="D16" s="13" t="s">
        <v>19</v>
      </c>
      <c r="E16" s="14">
        <f>SUM(E17:E20)</f>
        <v>215459040</v>
      </c>
      <c r="F16" s="14">
        <f t="shared" ref="F16:J16" si="0">SUM(F17:F20)</f>
        <v>57144270</v>
      </c>
      <c r="G16" s="14">
        <f t="shared" si="0"/>
        <v>49589139.780000009</v>
      </c>
      <c r="H16" s="100">
        <f t="shared" ref="H16:H27" si="1">G16/F16</f>
        <v>0.86778849007958292</v>
      </c>
      <c r="I16" s="14">
        <f t="shared" si="0"/>
        <v>2912907.1199999996</v>
      </c>
      <c r="J16" s="14">
        <f t="shared" si="0"/>
        <v>722404</v>
      </c>
      <c r="K16" s="100">
        <f>J16/I16</f>
        <v>0.24800104165353548</v>
      </c>
      <c r="L16" s="14"/>
      <c r="M16" s="14"/>
      <c r="N16" s="15">
        <f t="shared" ref="N16:N27" si="2">G16+J16</f>
        <v>50311543.780000009</v>
      </c>
      <c r="O16" s="17" t="b">
        <f>N16=N17+N18+N19+N20</f>
        <v>1</v>
      </c>
      <c r="P16" s="17"/>
    </row>
    <row r="17" spans="1:18" ht="321.75" thickTop="1" thickBot="1" x14ac:dyDescent="0.25">
      <c r="A17" s="19" t="s">
        <v>20</v>
      </c>
      <c r="B17" s="19" t="s">
        <v>21</v>
      </c>
      <c r="C17" s="19" t="s">
        <v>22</v>
      </c>
      <c r="D17" s="19" t="s">
        <v>23</v>
      </c>
      <c r="E17" s="20">
        <v>102125000</v>
      </c>
      <c r="F17" s="20">
        <v>24198400</v>
      </c>
      <c r="G17" s="20">
        <v>23152404.050000001</v>
      </c>
      <c r="H17" s="101">
        <f t="shared" si="1"/>
        <v>0.95677416895331924</v>
      </c>
      <c r="I17" s="20">
        <v>1583406.47</v>
      </c>
      <c r="J17" s="134">
        <v>38840</v>
      </c>
      <c r="K17" s="101">
        <f t="shared" ref="K17:K18" si="3">J17/I17</f>
        <v>2.452939326438397E-2</v>
      </c>
      <c r="L17" s="84"/>
      <c r="M17" s="85"/>
      <c r="N17" s="108">
        <f t="shared" si="2"/>
        <v>23191244.050000001</v>
      </c>
      <c r="O17" s="21"/>
      <c r="P17" s="22"/>
    </row>
    <row r="18" spans="1:18" ht="230.25" thickTop="1" thickBot="1" x14ac:dyDescent="0.25">
      <c r="A18" s="19" t="s">
        <v>24</v>
      </c>
      <c r="B18" s="19" t="s">
        <v>25</v>
      </c>
      <c r="C18" s="19" t="s">
        <v>22</v>
      </c>
      <c r="D18" s="19" t="s">
        <v>26</v>
      </c>
      <c r="E18" s="20">
        <v>110019210</v>
      </c>
      <c r="F18" s="20">
        <v>32458520</v>
      </c>
      <c r="G18" s="20">
        <v>26059763.460000001</v>
      </c>
      <c r="H18" s="101">
        <f t="shared" si="1"/>
        <v>0.80286357665106112</v>
      </c>
      <c r="I18" s="20">
        <f>911000+36000+144000+140000+18000+18000</f>
        <v>1267000</v>
      </c>
      <c r="J18" s="134">
        <v>683564</v>
      </c>
      <c r="K18" s="101">
        <f t="shared" si="3"/>
        <v>0.53951381215469618</v>
      </c>
      <c r="L18" s="84"/>
      <c r="M18" s="85"/>
      <c r="N18" s="108">
        <f t="shared" si="2"/>
        <v>26743327.460000001</v>
      </c>
      <c r="O18" s="21"/>
      <c r="P18" s="22"/>
    </row>
    <row r="19" spans="1:18" ht="184.5" thickTop="1" thickBot="1" x14ac:dyDescent="0.25">
      <c r="A19" s="23" t="s">
        <v>27</v>
      </c>
      <c r="B19" s="23" t="s">
        <v>28</v>
      </c>
      <c r="C19" s="23" t="s">
        <v>29</v>
      </c>
      <c r="D19" s="23" t="s">
        <v>30</v>
      </c>
      <c r="E19" s="24">
        <v>104080</v>
      </c>
      <c r="F19" s="24">
        <v>40840</v>
      </c>
      <c r="G19" s="24">
        <v>0</v>
      </c>
      <c r="H19" s="101">
        <f t="shared" si="1"/>
        <v>0</v>
      </c>
      <c r="I19" s="24"/>
      <c r="J19" s="135"/>
      <c r="K19" s="136"/>
      <c r="L19" s="86"/>
      <c r="M19" s="87"/>
      <c r="N19" s="108">
        <f t="shared" si="2"/>
        <v>0</v>
      </c>
      <c r="O19" s="21"/>
      <c r="P19" s="25"/>
    </row>
    <row r="20" spans="1:18" ht="111" customHeight="1" thickTop="1" thickBot="1" x14ac:dyDescent="0.25">
      <c r="A20" s="23" t="s">
        <v>31</v>
      </c>
      <c r="B20" s="23" t="s">
        <v>32</v>
      </c>
      <c r="C20" s="23" t="s">
        <v>33</v>
      </c>
      <c r="D20" s="23" t="s">
        <v>34</v>
      </c>
      <c r="E20" s="102">
        <v>3210750</v>
      </c>
      <c r="F20" s="102">
        <v>446510</v>
      </c>
      <c r="G20" s="102">
        <v>376972.27</v>
      </c>
      <c r="H20" s="101">
        <f t="shared" si="1"/>
        <v>0.84426389106626953</v>
      </c>
      <c r="I20" s="102">
        <v>62500.65</v>
      </c>
      <c r="J20" s="102"/>
      <c r="K20" s="102"/>
      <c r="L20" s="88"/>
      <c r="M20" s="87"/>
      <c r="N20" s="108">
        <f t="shared" si="2"/>
        <v>376972.27</v>
      </c>
      <c r="O20" s="21"/>
      <c r="P20" s="25"/>
    </row>
    <row r="21" spans="1:18" ht="83.25" customHeight="1" thickTop="1" thickBot="1" x14ac:dyDescent="0.25">
      <c r="A21" s="8" t="s">
        <v>68</v>
      </c>
      <c r="B21" s="12" t="s">
        <v>69</v>
      </c>
      <c r="C21" s="12"/>
      <c r="D21" s="13" t="s">
        <v>70</v>
      </c>
      <c r="E21" s="14">
        <f>SUM(E22:E45)-E23-E26-E33-E36-E39-E43</f>
        <v>1648694154</v>
      </c>
      <c r="F21" s="14">
        <f>SUM(F22:F45)-F23-F26-F33-F36-F39-F43</f>
        <v>398954157</v>
      </c>
      <c r="G21" s="14">
        <f>SUM(G22:G45)-G23-G26-G33-G36-G39-G43</f>
        <v>389866398.33999991</v>
      </c>
      <c r="H21" s="100">
        <f t="shared" si="1"/>
        <v>0.97722104532426246</v>
      </c>
      <c r="I21" s="14">
        <f>SUM(I22:I45)-I23-I26-I33-I36-I39-I43</f>
        <v>175202183.87</v>
      </c>
      <c r="J21" s="14">
        <f>SUM(J22:J45)-J23-J26-J33-J36-J39-J43</f>
        <v>32305318.380000003</v>
      </c>
      <c r="K21" s="100">
        <f>J21/I21</f>
        <v>0.18438878823548538</v>
      </c>
      <c r="L21" s="14"/>
      <c r="M21" s="14"/>
      <c r="N21" s="15">
        <f t="shared" si="2"/>
        <v>422171716.71999991</v>
      </c>
      <c r="O21" s="16" t="b">
        <f>N21=N22+N24+N25+N27+N30+N31+N34+N35+N37+N38+N40+N41+N42+N44+N45+N46+N32</f>
        <v>1</v>
      </c>
      <c r="P21" s="16"/>
    </row>
    <row r="22" spans="1:18" ht="99" customHeight="1" thickTop="1" thickBot="1" x14ac:dyDescent="0.6">
      <c r="A22" s="19" t="s">
        <v>71</v>
      </c>
      <c r="B22" s="19" t="s">
        <v>72</v>
      </c>
      <c r="C22" s="19" t="s">
        <v>73</v>
      </c>
      <c r="D22" s="19" t="s">
        <v>74</v>
      </c>
      <c r="E22" s="108">
        <v>464944839</v>
      </c>
      <c r="F22" s="108">
        <v>112243631</v>
      </c>
      <c r="G22" s="108">
        <v>109899335.06</v>
      </c>
      <c r="H22" s="101">
        <f t="shared" si="1"/>
        <v>0.97911421860541914</v>
      </c>
      <c r="I22" s="108">
        <v>69596140.109999999</v>
      </c>
      <c r="J22" s="108">
        <v>12101874.189999999</v>
      </c>
      <c r="K22" s="101">
        <f t="shared" ref="K22:K25" si="4">J22/I22</f>
        <v>0.1738871461962174</v>
      </c>
      <c r="L22" s="91"/>
      <c r="M22" s="85"/>
      <c r="N22" s="108">
        <f t="shared" si="2"/>
        <v>122001209.25</v>
      </c>
      <c r="O22" s="32"/>
      <c r="P22" s="16"/>
    </row>
    <row r="23" spans="1:18" ht="138.75" thickTop="1" thickBot="1" x14ac:dyDescent="0.6">
      <c r="A23" s="33" t="s">
        <v>75</v>
      </c>
      <c r="B23" s="33" t="s">
        <v>76</v>
      </c>
      <c r="C23" s="33"/>
      <c r="D23" s="33" t="s">
        <v>77</v>
      </c>
      <c r="E23" s="110">
        <f>E24+E25</f>
        <v>315414759</v>
      </c>
      <c r="F23" s="110">
        <f t="shared" ref="F23:J23" si="5">F24+F25</f>
        <v>93817315</v>
      </c>
      <c r="G23" s="110">
        <f>G24+G25</f>
        <v>90310030.019999996</v>
      </c>
      <c r="H23" s="109">
        <f t="shared" si="1"/>
        <v>0.96261580306364547</v>
      </c>
      <c r="I23" s="110">
        <f t="shared" si="5"/>
        <v>64353616.350000001</v>
      </c>
      <c r="J23" s="110">
        <f t="shared" si="5"/>
        <v>11477959.620000001</v>
      </c>
      <c r="K23" s="109">
        <f t="shared" si="4"/>
        <v>0.17835764749528332</v>
      </c>
      <c r="L23" s="90"/>
      <c r="M23" s="92"/>
      <c r="N23" s="110">
        <f t="shared" si="2"/>
        <v>101787989.64</v>
      </c>
      <c r="O23" s="32"/>
      <c r="P23" s="34"/>
    </row>
    <row r="24" spans="1:18" ht="138.75" thickTop="1" thickBot="1" x14ac:dyDescent="0.6">
      <c r="A24" s="19" t="s">
        <v>78</v>
      </c>
      <c r="B24" s="19" t="s">
        <v>79</v>
      </c>
      <c r="C24" s="19" t="s">
        <v>80</v>
      </c>
      <c r="D24" s="19" t="s">
        <v>81</v>
      </c>
      <c r="E24" s="108">
        <v>293431677</v>
      </c>
      <c r="F24" s="108">
        <v>88280129</v>
      </c>
      <c r="G24" s="108">
        <v>84942427.299999997</v>
      </c>
      <c r="H24" s="101">
        <f t="shared" si="1"/>
        <v>0.96219192543318555</v>
      </c>
      <c r="I24" s="108">
        <v>63683861.350000001</v>
      </c>
      <c r="J24" s="108">
        <v>11376903.66</v>
      </c>
      <c r="K24" s="101">
        <f t="shared" si="4"/>
        <v>0.17864657416851185</v>
      </c>
      <c r="L24" s="91"/>
      <c r="M24" s="85"/>
      <c r="N24" s="108">
        <f t="shared" si="2"/>
        <v>96319330.959999993</v>
      </c>
      <c r="O24" s="32"/>
      <c r="P24" s="17"/>
      <c r="R24" s="35"/>
    </row>
    <row r="25" spans="1:18" ht="276" thickTop="1" thickBot="1" x14ac:dyDescent="0.25">
      <c r="A25" s="19" t="s">
        <v>82</v>
      </c>
      <c r="B25" s="19" t="s">
        <v>83</v>
      </c>
      <c r="C25" s="19" t="s">
        <v>84</v>
      </c>
      <c r="D25" s="19" t="s">
        <v>85</v>
      </c>
      <c r="E25" s="108">
        <v>21983082</v>
      </c>
      <c r="F25" s="108">
        <v>5537186</v>
      </c>
      <c r="G25" s="108">
        <v>5367602.72</v>
      </c>
      <c r="H25" s="101">
        <f t="shared" si="1"/>
        <v>0.96937374326959569</v>
      </c>
      <c r="I25" s="108">
        <v>669755</v>
      </c>
      <c r="J25" s="108">
        <v>101055.96</v>
      </c>
      <c r="K25" s="101">
        <f t="shared" si="4"/>
        <v>0.15088496539779472</v>
      </c>
      <c r="L25" s="91"/>
      <c r="M25" s="85"/>
      <c r="N25" s="108">
        <f t="shared" si="2"/>
        <v>5468658.6799999997</v>
      </c>
      <c r="P25" s="17"/>
    </row>
    <row r="26" spans="1:18" ht="138.75" thickTop="1" thickBot="1" x14ac:dyDescent="0.25">
      <c r="A26" s="33" t="s">
        <v>86</v>
      </c>
      <c r="B26" s="33" t="s">
        <v>87</v>
      </c>
      <c r="C26" s="33"/>
      <c r="D26" s="33" t="s">
        <v>88</v>
      </c>
      <c r="E26" s="110">
        <f>E27</f>
        <v>608795058</v>
      </c>
      <c r="F26" s="110">
        <f t="shared" ref="F26:J26" si="6">F27</f>
        <v>127914363</v>
      </c>
      <c r="G26" s="110">
        <f t="shared" si="6"/>
        <v>127874188.78</v>
      </c>
      <c r="H26" s="109">
        <f t="shared" si="1"/>
        <v>0.99968592878033569</v>
      </c>
      <c r="I26" s="110">
        <f t="shared" si="6"/>
        <v>0</v>
      </c>
      <c r="J26" s="110">
        <f t="shared" si="6"/>
        <v>0</v>
      </c>
      <c r="K26" s="101">
        <v>0</v>
      </c>
      <c r="L26" s="90"/>
      <c r="M26" s="90"/>
      <c r="N26" s="110">
        <f t="shared" si="2"/>
        <v>127874188.78</v>
      </c>
      <c r="O26" s="111" t="s">
        <v>476</v>
      </c>
      <c r="P26" s="30"/>
    </row>
    <row r="27" spans="1:18" ht="138.75" thickTop="1" thickBot="1" x14ac:dyDescent="0.25">
      <c r="A27" s="19" t="s">
        <v>89</v>
      </c>
      <c r="B27" s="19" t="s">
        <v>90</v>
      </c>
      <c r="C27" s="19" t="s">
        <v>80</v>
      </c>
      <c r="D27" s="19" t="s">
        <v>81</v>
      </c>
      <c r="E27" s="108">
        <v>608795058</v>
      </c>
      <c r="F27" s="108">
        <v>127914363</v>
      </c>
      <c r="G27" s="108">
        <v>127874188.78</v>
      </c>
      <c r="H27" s="101">
        <f t="shared" si="1"/>
        <v>0.99968592878033569</v>
      </c>
      <c r="I27" s="108"/>
      <c r="J27" s="108"/>
      <c r="K27" s="108"/>
      <c r="L27" s="91"/>
      <c r="M27" s="85"/>
      <c r="N27" s="108">
        <f t="shared" si="2"/>
        <v>127874188.78</v>
      </c>
      <c r="P27" s="25"/>
    </row>
    <row r="28" spans="1:18" ht="409.6" hidden="1" thickTop="1" x14ac:dyDescent="0.65">
      <c r="A28" s="157" t="s">
        <v>91</v>
      </c>
      <c r="B28" s="157" t="s">
        <v>92</v>
      </c>
      <c r="C28" s="157"/>
      <c r="D28" s="36" t="s">
        <v>93</v>
      </c>
      <c r="E28" s="155">
        <f t="shared" ref="E28:J28" si="7">E30</f>
        <v>0</v>
      </c>
      <c r="F28" s="155">
        <f t="shared" si="7"/>
        <v>0</v>
      </c>
      <c r="G28" s="155">
        <f t="shared" si="7"/>
        <v>0</v>
      </c>
      <c r="H28" s="155"/>
      <c r="I28" s="155">
        <f t="shared" si="7"/>
        <v>0</v>
      </c>
      <c r="J28" s="155">
        <f t="shared" si="7"/>
        <v>0</v>
      </c>
      <c r="K28" s="155"/>
      <c r="L28" s="155"/>
      <c r="M28" s="155"/>
      <c r="N28" s="155">
        <f>J28+G28</f>
        <v>0</v>
      </c>
      <c r="P28" s="25"/>
    </row>
    <row r="29" spans="1:18" ht="183.75" hidden="1" thickBot="1" x14ac:dyDescent="0.25">
      <c r="A29" s="158"/>
      <c r="B29" s="158"/>
      <c r="C29" s="158"/>
      <c r="D29" s="37" t="s">
        <v>94</v>
      </c>
      <c r="E29" s="156"/>
      <c r="F29" s="156"/>
      <c r="G29" s="156"/>
      <c r="H29" s="167"/>
      <c r="I29" s="156"/>
      <c r="J29" s="156"/>
      <c r="K29" s="156"/>
      <c r="L29" s="167"/>
      <c r="M29" s="167"/>
      <c r="N29" s="156"/>
      <c r="P29" s="25"/>
    </row>
    <row r="30" spans="1:18" ht="138.75" hidden="1" thickTop="1" thickBot="1" x14ac:dyDescent="0.25">
      <c r="A30" s="19" t="s">
        <v>95</v>
      </c>
      <c r="B30" s="19" t="s">
        <v>96</v>
      </c>
      <c r="C30" s="19" t="s">
        <v>80</v>
      </c>
      <c r="D30" s="19" t="s">
        <v>97</v>
      </c>
      <c r="E30" s="91"/>
      <c r="F30" s="91"/>
      <c r="G30" s="91"/>
      <c r="H30" s="91"/>
      <c r="I30" s="91"/>
      <c r="J30" s="91"/>
      <c r="K30" s="91"/>
      <c r="L30" s="91"/>
      <c r="M30" s="85"/>
      <c r="N30" s="91">
        <f t="shared" ref="N30:N36" si="8">G30+J30</f>
        <v>0</v>
      </c>
      <c r="P30" s="16"/>
    </row>
    <row r="31" spans="1:18" ht="184.5" thickTop="1" thickBot="1" x14ac:dyDescent="0.25">
      <c r="A31" s="19" t="s">
        <v>98</v>
      </c>
      <c r="B31" s="19" t="s">
        <v>99</v>
      </c>
      <c r="C31" s="19" t="s">
        <v>100</v>
      </c>
      <c r="D31" s="19" t="s">
        <v>101</v>
      </c>
      <c r="E31" s="108">
        <v>30368708</v>
      </c>
      <c r="F31" s="108">
        <v>7719546</v>
      </c>
      <c r="G31" s="108">
        <v>6813459.6200000001</v>
      </c>
      <c r="H31" s="101">
        <f t="shared" ref="H31:H36" si="9">G31/F31</f>
        <v>0.88262439526884096</v>
      </c>
      <c r="I31" s="108">
        <v>6677085.8200000003</v>
      </c>
      <c r="J31" s="108">
        <v>173419.09</v>
      </c>
      <c r="K31" s="101">
        <f t="shared" ref="K31:K37" si="10">J31/I31</f>
        <v>2.597227213712823E-2</v>
      </c>
      <c r="L31" s="91"/>
      <c r="M31" s="85"/>
      <c r="N31" s="108">
        <f t="shared" si="8"/>
        <v>6986878.71</v>
      </c>
      <c r="P31" s="16"/>
    </row>
    <row r="32" spans="1:18" ht="93" thickTop="1" thickBot="1" x14ac:dyDescent="0.25">
      <c r="A32" s="19"/>
      <c r="B32" s="19" t="s">
        <v>281</v>
      </c>
      <c r="C32" s="19" t="s">
        <v>100</v>
      </c>
      <c r="D32" s="19" t="s">
        <v>282</v>
      </c>
      <c r="E32" s="108">
        <f>(54164900+11916270+176295+394855+51550+1849900+30235+235500+100600+31580+17900)</f>
        <v>68969585</v>
      </c>
      <c r="F32" s="108">
        <v>16650761</v>
      </c>
      <c r="G32" s="108">
        <v>16057980.93</v>
      </c>
      <c r="H32" s="101">
        <f t="shared" si="9"/>
        <v>0.96439922055214167</v>
      </c>
      <c r="I32" s="108">
        <v>9089477.7899999991</v>
      </c>
      <c r="J32" s="108">
        <v>1857484.38</v>
      </c>
      <c r="K32" s="101">
        <f t="shared" si="10"/>
        <v>0.20435545615651921</v>
      </c>
      <c r="L32" s="91"/>
      <c r="M32" s="85"/>
      <c r="N32" s="108">
        <f t="shared" si="8"/>
        <v>17915465.309999999</v>
      </c>
      <c r="P32" s="16"/>
    </row>
    <row r="33" spans="1:16" ht="184.5" thickTop="1" thickBot="1" x14ac:dyDescent="0.25">
      <c r="A33" s="33" t="s">
        <v>102</v>
      </c>
      <c r="B33" s="33" t="s">
        <v>103</v>
      </c>
      <c r="C33" s="33"/>
      <c r="D33" s="33" t="s">
        <v>104</v>
      </c>
      <c r="E33" s="110">
        <f t="shared" ref="E33:J33" si="11">E34+E35</f>
        <v>116920686</v>
      </c>
      <c r="F33" s="110">
        <f t="shared" si="11"/>
        <v>32145074</v>
      </c>
      <c r="G33" s="110">
        <f t="shared" si="11"/>
        <v>31533029.060000002</v>
      </c>
      <c r="H33" s="109">
        <f t="shared" si="9"/>
        <v>0.98095991504017077</v>
      </c>
      <c r="I33" s="110">
        <f t="shared" si="11"/>
        <v>20659298.800000001</v>
      </c>
      <c r="J33" s="110">
        <f t="shared" si="11"/>
        <v>6652842.9199999999</v>
      </c>
      <c r="K33" s="109">
        <f t="shared" si="10"/>
        <v>0.32202655977849548</v>
      </c>
      <c r="L33" s="90"/>
      <c r="M33" s="90"/>
      <c r="N33" s="110">
        <f t="shared" si="8"/>
        <v>38185871.980000004</v>
      </c>
      <c r="P33" s="30"/>
    </row>
    <row r="34" spans="1:16" ht="230.25" thickTop="1" thickBot="1" x14ac:dyDescent="0.25">
      <c r="A34" s="19" t="s">
        <v>105</v>
      </c>
      <c r="B34" s="19" t="s">
        <v>106</v>
      </c>
      <c r="C34" s="19" t="s">
        <v>107</v>
      </c>
      <c r="D34" s="19" t="s">
        <v>108</v>
      </c>
      <c r="E34" s="108">
        <v>99149586</v>
      </c>
      <c r="F34" s="108">
        <v>27612474</v>
      </c>
      <c r="G34" s="108">
        <v>27552125.350000001</v>
      </c>
      <c r="H34" s="101">
        <f t="shared" si="9"/>
        <v>0.99781444248711659</v>
      </c>
      <c r="I34" s="108">
        <v>20659298.800000001</v>
      </c>
      <c r="J34" s="108">
        <v>6652842.9199999999</v>
      </c>
      <c r="K34" s="101">
        <f t="shared" si="10"/>
        <v>0.32202655977849548</v>
      </c>
      <c r="L34" s="91"/>
      <c r="M34" s="85"/>
      <c r="N34" s="108">
        <f t="shared" si="8"/>
        <v>34204968.270000003</v>
      </c>
      <c r="P34" s="16"/>
    </row>
    <row r="35" spans="1:16" ht="230.25" thickTop="1" thickBot="1" x14ac:dyDescent="0.25">
      <c r="A35" s="19" t="s">
        <v>109</v>
      </c>
      <c r="B35" s="19" t="s">
        <v>110</v>
      </c>
      <c r="C35" s="19" t="s">
        <v>107</v>
      </c>
      <c r="D35" s="19" t="s">
        <v>111</v>
      </c>
      <c r="E35" s="108">
        <v>17771100</v>
      </c>
      <c r="F35" s="108">
        <v>4532600</v>
      </c>
      <c r="G35" s="108">
        <v>3980903.71</v>
      </c>
      <c r="H35" s="101">
        <f t="shared" si="9"/>
        <v>0.878282599391078</v>
      </c>
      <c r="I35" s="108"/>
      <c r="J35" s="108"/>
      <c r="K35" s="108"/>
      <c r="L35" s="91"/>
      <c r="M35" s="85"/>
      <c r="N35" s="108">
        <f t="shared" si="8"/>
        <v>3980903.71</v>
      </c>
      <c r="P35" s="25"/>
    </row>
    <row r="36" spans="1:16" ht="93" thickTop="1" thickBot="1" x14ac:dyDescent="0.25">
      <c r="A36" s="33" t="s">
        <v>112</v>
      </c>
      <c r="B36" s="33" t="s">
        <v>113</v>
      </c>
      <c r="C36" s="33"/>
      <c r="D36" s="33" t="s">
        <v>114</v>
      </c>
      <c r="E36" s="110">
        <f t="shared" ref="E36:J36" si="12">E37+E38</f>
        <v>27743700</v>
      </c>
      <c r="F36" s="110">
        <f t="shared" si="12"/>
        <v>6160139</v>
      </c>
      <c r="G36" s="110">
        <f t="shared" si="12"/>
        <v>5711899.8200000003</v>
      </c>
      <c r="H36" s="109">
        <f t="shared" si="9"/>
        <v>0.92723554127593555</v>
      </c>
      <c r="I36" s="110">
        <f t="shared" si="12"/>
        <v>430367</v>
      </c>
      <c r="J36" s="110">
        <f t="shared" si="12"/>
        <v>41738.18</v>
      </c>
      <c r="K36" s="109">
        <f t="shared" si="10"/>
        <v>9.6982761224722158E-2</v>
      </c>
      <c r="L36" s="90"/>
      <c r="M36" s="90"/>
      <c r="N36" s="110">
        <f t="shared" si="8"/>
        <v>5753638</v>
      </c>
      <c r="P36" s="30"/>
    </row>
    <row r="37" spans="1:16" ht="93" thickTop="1" thickBot="1" x14ac:dyDescent="0.25">
      <c r="A37" s="19" t="s">
        <v>115</v>
      </c>
      <c r="B37" s="19" t="s">
        <v>116</v>
      </c>
      <c r="C37" s="19" t="s">
        <v>117</v>
      </c>
      <c r="D37" s="19" t="s">
        <v>118</v>
      </c>
      <c r="E37" s="108">
        <v>27543700</v>
      </c>
      <c r="F37" s="108">
        <v>6058039</v>
      </c>
      <c r="G37" s="108">
        <v>5625245.9199999999</v>
      </c>
      <c r="H37" s="101">
        <f t="shared" ref="H37:H45" si="13">G37/F37</f>
        <v>0.92855888184278768</v>
      </c>
      <c r="I37" s="108">
        <v>430367</v>
      </c>
      <c r="J37" s="108">
        <v>41738.18</v>
      </c>
      <c r="K37" s="101">
        <f t="shared" si="10"/>
        <v>9.6982761224722158E-2</v>
      </c>
      <c r="L37" s="91"/>
      <c r="M37" s="85"/>
      <c r="N37" s="108">
        <f t="shared" ref="N37:N45" si="14">G37+J37</f>
        <v>5666984.0999999996</v>
      </c>
      <c r="P37" s="25"/>
    </row>
    <row r="38" spans="1:16" ht="93" thickTop="1" thickBot="1" x14ac:dyDescent="0.25">
      <c r="A38" s="19" t="s">
        <v>119</v>
      </c>
      <c r="B38" s="19" t="s">
        <v>120</v>
      </c>
      <c r="C38" s="19" t="s">
        <v>117</v>
      </c>
      <c r="D38" s="19" t="s">
        <v>121</v>
      </c>
      <c r="E38" s="108">
        <v>200000</v>
      </c>
      <c r="F38" s="108">
        <v>102100</v>
      </c>
      <c r="G38" s="108">
        <v>86653.9</v>
      </c>
      <c r="H38" s="101">
        <f t="shared" si="13"/>
        <v>0.84871596474045052</v>
      </c>
      <c r="I38" s="108"/>
      <c r="J38" s="108"/>
      <c r="K38" s="108"/>
      <c r="L38" s="108"/>
      <c r="M38" s="119"/>
      <c r="N38" s="108">
        <f t="shared" si="14"/>
        <v>86653.9</v>
      </c>
      <c r="P38" s="25"/>
    </row>
    <row r="39" spans="1:16" ht="123" thickTop="1" thickBot="1" x14ac:dyDescent="0.25">
      <c r="A39" s="33" t="s">
        <v>122</v>
      </c>
      <c r="B39" s="33" t="s">
        <v>123</v>
      </c>
      <c r="C39" s="33"/>
      <c r="D39" s="33" t="s">
        <v>124</v>
      </c>
      <c r="E39" s="110">
        <f>E40+E41</f>
        <v>4918485</v>
      </c>
      <c r="F39" s="110">
        <f t="shared" ref="F39:J39" si="15">F40+F41</f>
        <v>1158278</v>
      </c>
      <c r="G39" s="110">
        <f t="shared" si="15"/>
        <v>624279.74</v>
      </c>
      <c r="H39" s="109">
        <f>G39/F39</f>
        <v>0.53897228471921244</v>
      </c>
      <c r="I39" s="110">
        <f t="shared" si="15"/>
        <v>0</v>
      </c>
      <c r="J39" s="110">
        <f t="shared" si="15"/>
        <v>0</v>
      </c>
      <c r="K39" s="109">
        <v>0</v>
      </c>
      <c r="L39" s="110"/>
      <c r="M39" s="110"/>
      <c r="N39" s="110">
        <f t="shared" si="14"/>
        <v>624279.74</v>
      </c>
      <c r="O39" s="111" t="s">
        <v>476</v>
      </c>
      <c r="P39" s="30"/>
    </row>
    <row r="40" spans="1:16" ht="184.5" thickTop="1" thickBot="1" x14ac:dyDescent="0.25">
      <c r="A40" s="19" t="s">
        <v>125</v>
      </c>
      <c r="B40" s="19" t="s">
        <v>126</v>
      </c>
      <c r="C40" s="19" t="s">
        <v>117</v>
      </c>
      <c r="D40" s="19" t="s">
        <v>127</v>
      </c>
      <c r="E40" s="108">
        <v>1031685</v>
      </c>
      <c r="F40" s="108">
        <v>257648</v>
      </c>
      <c r="G40" s="108">
        <v>167942.93</v>
      </c>
      <c r="H40" s="101">
        <f t="shared" si="13"/>
        <v>0.65183090883686268</v>
      </c>
      <c r="I40" s="108"/>
      <c r="J40" s="108"/>
      <c r="K40" s="108"/>
      <c r="L40" s="108"/>
      <c r="M40" s="119"/>
      <c r="N40" s="108">
        <f t="shared" si="14"/>
        <v>167942.93</v>
      </c>
      <c r="P40" s="16"/>
    </row>
    <row r="41" spans="1:16" ht="138.75" thickTop="1" thickBot="1" x14ac:dyDescent="0.25">
      <c r="A41" s="19" t="s">
        <v>128</v>
      </c>
      <c r="B41" s="19" t="s">
        <v>129</v>
      </c>
      <c r="C41" s="19" t="s">
        <v>117</v>
      </c>
      <c r="D41" s="19" t="s">
        <v>130</v>
      </c>
      <c r="E41" s="108">
        <v>3886800</v>
      </c>
      <c r="F41" s="108">
        <v>900630</v>
      </c>
      <c r="G41" s="108">
        <v>456336.81</v>
      </c>
      <c r="H41" s="101">
        <f t="shared" si="13"/>
        <v>0.5066862196462476</v>
      </c>
      <c r="I41" s="108"/>
      <c r="J41" s="108"/>
      <c r="K41" s="108"/>
      <c r="L41" s="108"/>
      <c r="M41" s="119"/>
      <c r="N41" s="108">
        <f t="shared" si="14"/>
        <v>456336.81</v>
      </c>
      <c r="P41" s="25"/>
    </row>
    <row r="42" spans="1:16" ht="138.75" thickTop="1" thickBot="1" x14ac:dyDescent="0.25">
      <c r="A42" s="19" t="s">
        <v>131</v>
      </c>
      <c r="B42" s="19" t="s">
        <v>132</v>
      </c>
      <c r="C42" s="19" t="s">
        <v>117</v>
      </c>
      <c r="D42" s="19" t="s">
        <v>133</v>
      </c>
      <c r="E42" s="108">
        <v>2996350</v>
      </c>
      <c r="F42" s="108">
        <v>87007</v>
      </c>
      <c r="G42" s="108">
        <v>0</v>
      </c>
      <c r="H42" s="101">
        <f t="shared" si="13"/>
        <v>0</v>
      </c>
      <c r="I42" s="108"/>
      <c r="J42" s="108"/>
      <c r="K42" s="108"/>
      <c r="L42" s="91"/>
      <c r="M42" s="85"/>
      <c r="N42" s="108">
        <f t="shared" si="14"/>
        <v>0</v>
      </c>
      <c r="P42" s="16"/>
    </row>
    <row r="43" spans="1:16" s="27" customFormat="1" ht="230.25" thickTop="1" thickBot="1" x14ac:dyDescent="0.25">
      <c r="A43" s="33" t="s">
        <v>134</v>
      </c>
      <c r="B43" s="33" t="s">
        <v>135</v>
      </c>
      <c r="C43" s="33"/>
      <c r="D43" s="33" t="s">
        <v>136</v>
      </c>
      <c r="E43" s="110">
        <f>E44</f>
        <v>2900000</v>
      </c>
      <c r="F43" s="110">
        <f t="shared" ref="F43:G43" si="16">F44</f>
        <v>0</v>
      </c>
      <c r="G43" s="110">
        <f t="shared" si="16"/>
        <v>0</v>
      </c>
      <c r="H43" s="109">
        <v>0</v>
      </c>
      <c r="I43" s="110">
        <f>I44</f>
        <v>2000000</v>
      </c>
      <c r="J43" s="110">
        <f t="shared" ref="J43" si="17">J44</f>
        <v>0</v>
      </c>
      <c r="K43" s="109">
        <f t="shared" ref="K43:K44" si="18">J43/I43</f>
        <v>0</v>
      </c>
      <c r="L43" s="90"/>
      <c r="M43" s="90"/>
      <c r="N43" s="110">
        <f t="shared" si="14"/>
        <v>0</v>
      </c>
      <c r="O43" s="111" t="s">
        <v>476</v>
      </c>
      <c r="P43" s="34"/>
    </row>
    <row r="44" spans="1:16" s="27" customFormat="1" ht="367.5" thickTop="1" thickBot="1" x14ac:dyDescent="0.25">
      <c r="A44" s="19" t="s">
        <v>137</v>
      </c>
      <c r="B44" s="19" t="s">
        <v>138</v>
      </c>
      <c r="C44" s="19" t="s">
        <v>117</v>
      </c>
      <c r="D44" s="19" t="s">
        <v>139</v>
      </c>
      <c r="E44" s="108">
        <f>(2300000+600000)</f>
        <v>2900000</v>
      </c>
      <c r="F44" s="108">
        <v>0</v>
      </c>
      <c r="G44" s="108">
        <v>0</v>
      </c>
      <c r="H44" s="101">
        <v>0</v>
      </c>
      <c r="I44" s="108">
        <v>2000000</v>
      </c>
      <c r="J44" s="108">
        <v>0</v>
      </c>
      <c r="K44" s="101">
        <f t="shared" si="18"/>
        <v>0</v>
      </c>
      <c r="L44" s="91"/>
      <c r="M44" s="85"/>
      <c r="N44" s="108">
        <f t="shared" si="14"/>
        <v>0</v>
      </c>
      <c r="O44" s="111" t="s">
        <v>476</v>
      </c>
      <c r="P44" s="16"/>
    </row>
    <row r="45" spans="1:16" s="27" customFormat="1" ht="321.75" thickTop="1" thickBot="1" x14ac:dyDescent="0.25">
      <c r="A45" s="19" t="s">
        <v>140</v>
      </c>
      <c r="B45" s="19" t="s">
        <v>141</v>
      </c>
      <c r="C45" s="19" t="s">
        <v>117</v>
      </c>
      <c r="D45" s="19" t="s">
        <v>142</v>
      </c>
      <c r="E45" s="108">
        <f>4721984</f>
        <v>4721984</v>
      </c>
      <c r="F45" s="108">
        <v>1058043</v>
      </c>
      <c r="G45" s="108">
        <v>1042195.31</v>
      </c>
      <c r="H45" s="101">
        <f t="shared" si="13"/>
        <v>0.98502169571558063</v>
      </c>
      <c r="I45" s="108">
        <v>2396198</v>
      </c>
      <c r="J45" s="108">
        <v>0</v>
      </c>
      <c r="K45" s="101">
        <f>J45/I45</f>
        <v>0</v>
      </c>
      <c r="L45" s="91"/>
      <c r="M45" s="85"/>
      <c r="N45" s="108">
        <f t="shared" si="14"/>
        <v>1042195.31</v>
      </c>
      <c r="O45" s="31"/>
      <c r="P45" s="16"/>
    </row>
    <row r="46" spans="1:16" s="27" customFormat="1" ht="321.75" hidden="1" thickTop="1" thickBot="1" x14ac:dyDescent="0.25">
      <c r="A46" s="19" t="s">
        <v>143</v>
      </c>
      <c r="B46" s="19" t="s">
        <v>144</v>
      </c>
      <c r="C46" s="19" t="s">
        <v>117</v>
      </c>
      <c r="D46" s="19" t="s">
        <v>145</v>
      </c>
      <c r="E46" s="91"/>
      <c r="F46" s="91"/>
      <c r="G46" s="91"/>
      <c r="H46" s="91"/>
      <c r="I46" s="91"/>
      <c r="J46" s="91"/>
      <c r="K46" s="91"/>
      <c r="L46" s="91"/>
      <c r="M46" s="85"/>
      <c r="N46" s="81">
        <f>J46+G46</f>
        <v>0</v>
      </c>
      <c r="O46" s="31"/>
      <c r="P46" s="16"/>
    </row>
    <row r="47" spans="1:16" s="27" customFormat="1" ht="91.5" hidden="1" thickTop="1" thickBot="1" x14ac:dyDescent="0.25">
      <c r="A47" s="8" t="s">
        <v>146</v>
      </c>
      <c r="B47" s="8" t="s">
        <v>147</v>
      </c>
      <c r="C47" s="8"/>
      <c r="D47" s="8" t="s">
        <v>148</v>
      </c>
      <c r="E47" s="81" t="e">
        <f>SUM(#REF!)</f>
        <v>#REF!</v>
      </c>
      <c r="F47" s="81" t="e">
        <f>SUM(#REF!)</f>
        <v>#REF!</v>
      </c>
      <c r="G47" s="81" t="e">
        <f>SUM(#REF!)</f>
        <v>#REF!</v>
      </c>
      <c r="H47" s="81"/>
      <c r="I47" s="81" t="e">
        <f>SUM(#REF!)</f>
        <v>#REF!</v>
      </c>
      <c r="J47" s="81" t="e">
        <f>SUM(#REF!)</f>
        <v>#REF!</v>
      </c>
      <c r="K47" s="81"/>
      <c r="L47" s="81"/>
      <c r="M47" s="81"/>
      <c r="N47" s="81" t="e">
        <f>SUM(#REF!)</f>
        <v>#REF!</v>
      </c>
      <c r="O47" s="31"/>
      <c r="P47" s="16"/>
    </row>
    <row r="48" spans="1:16" ht="103.5" customHeight="1" thickTop="1" thickBot="1" x14ac:dyDescent="0.25">
      <c r="A48" s="8" t="s">
        <v>152</v>
      </c>
      <c r="B48" s="12" t="s">
        <v>153</v>
      </c>
      <c r="C48" s="12"/>
      <c r="D48" s="13" t="s">
        <v>154</v>
      </c>
      <c r="E48" s="14">
        <f t="shared" ref="E48:J48" si="19">SUM(E49:E60)-E54-E56-E58</f>
        <v>66536800</v>
      </c>
      <c r="F48" s="14">
        <f t="shared" si="19"/>
        <v>22207162</v>
      </c>
      <c r="G48" s="14">
        <f t="shared" si="19"/>
        <v>18582803.82</v>
      </c>
      <c r="H48" s="100">
        <f>G48/F48</f>
        <v>0.83679327507044798</v>
      </c>
      <c r="I48" s="14">
        <f t="shared" si="19"/>
        <v>22000</v>
      </c>
      <c r="J48" s="14">
        <f t="shared" si="19"/>
        <v>0</v>
      </c>
      <c r="K48" s="100">
        <f>J48/I48</f>
        <v>0</v>
      </c>
      <c r="L48" s="14"/>
      <c r="M48" s="14"/>
      <c r="N48" s="15">
        <f>J48+G48</f>
        <v>18582803.82</v>
      </c>
      <c r="O48" s="16" t="b">
        <f>N48=N49+N50+N51+N52+N53+N55+N57+N59+N60</f>
        <v>1</v>
      </c>
      <c r="P48" s="38"/>
    </row>
    <row r="49" spans="1:18" ht="93" thickTop="1" thickBot="1" x14ac:dyDescent="0.25">
      <c r="A49" s="19" t="s">
        <v>155</v>
      </c>
      <c r="B49" s="19" t="s">
        <v>156</v>
      </c>
      <c r="C49" s="19" t="s">
        <v>157</v>
      </c>
      <c r="D49" s="19" t="s">
        <v>158</v>
      </c>
      <c r="E49" s="108">
        <v>14541455</v>
      </c>
      <c r="F49" s="108">
        <v>5686905</v>
      </c>
      <c r="G49" s="108">
        <v>5082131.33</v>
      </c>
      <c r="H49" s="101">
        <f t="shared" ref="H49:H90" si="20">G49/F49</f>
        <v>0.89365504259346695</v>
      </c>
      <c r="I49" s="108"/>
      <c r="J49" s="108"/>
      <c r="K49" s="108"/>
      <c r="L49" s="91"/>
      <c r="M49" s="85"/>
      <c r="N49" s="108">
        <f t="shared" ref="N49:N90" si="21">G49+J49</f>
        <v>5082131.33</v>
      </c>
      <c r="P49" s="25"/>
    </row>
    <row r="50" spans="1:18" ht="93" thickTop="1" thickBot="1" x14ac:dyDescent="0.25">
      <c r="A50" s="19" t="s">
        <v>159</v>
      </c>
      <c r="B50" s="19" t="s">
        <v>160</v>
      </c>
      <c r="C50" s="19" t="s">
        <v>161</v>
      </c>
      <c r="D50" s="19" t="s">
        <v>162</v>
      </c>
      <c r="E50" s="108">
        <v>6542320</v>
      </c>
      <c r="F50" s="108">
        <v>1915100</v>
      </c>
      <c r="G50" s="108">
        <v>1801951.48</v>
      </c>
      <c r="H50" s="101">
        <f t="shared" si="20"/>
        <v>0.94091769620385357</v>
      </c>
      <c r="I50" s="108"/>
      <c r="J50" s="108"/>
      <c r="K50" s="108"/>
      <c r="L50" s="91"/>
      <c r="M50" s="85"/>
      <c r="N50" s="108">
        <f t="shared" si="21"/>
        <v>1801951.48</v>
      </c>
      <c r="P50" s="38"/>
    </row>
    <row r="51" spans="1:18" ht="138.75" thickTop="1" thickBot="1" x14ac:dyDescent="0.25">
      <c r="A51" s="19" t="s">
        <v>163</v>
      </c>
      <c r="B51" s="19" t="s">
        <v>164</v>
      </c>
      <c r="C51" s="19" t="s">
        <v>165</v>
      </c>
      <c r="D51" s="19" t="s">
        <v>166</v>
      </c>
      <c r="E51" s="108">
        <v>4451200</v>
      </c>
      <c r="F51" s="108">
        <v>1839000</v>
      </c>
      <c r="G51" s="108">
        <v>1824818.48</v>
      </c>
      <c r="H51" s="101">
        <f t="shared" si="20"/>
        <v>0.99228846112017399</v>
      </c>
      <c r="I51" s="108"/>
      <c r="J51" s="108"/>
      <c r="K51" s="108"/>
      <c r="L51" s="91"/>
      <c r="M51" s="85"/>
      <c r="N51" s="108">
        <f t="shared" si="21"/>
        <v>1824818.48</v>
      </c>
      <c r="P51" s="38"/>
    </row>
    <row r="52" spans="1:18" ht="138.75" thickTop="1" thickBot="1" x14ac:dyDescent="0.25">
      <c r="A52" s="19" t="s">
        <v>167</v>
      </c>
      <c r="B52" s="19" t="s">
        <v>168</v>
      </c>
      <c r="C52" s="19" t="s">
        <v>169</v>
      </c>
      <c r="D52" s="19" t="s">
        <v>170</v>
      </c>
      <c r="E52" s="108">
        <v>7589750</v>
      </c>
      <c r="F52" s="108">
        <v>2170220</v>
      </c>
      <c r="G52" s="108">
        <v>1960661.02</v>
      </c>
      <c r="H52" s="101">
        <f t="shared" si="20"/>
        <v>0.90343883108624934</v>
      </c>
      <c r="I52" s="108"/>
      <c r="J52" s="108"/>
      <c r="K52" s="108"/>
      <c r="L52" s="91"/>
      <c r="M52" s="85"/>
      <c r="N52" s="108">
        <f t="shared" si="21"/>
        <v>1960661.02</v>
      </c>
      <c r="P52" s="38"/>
    </row>
    <row r="53" spans="1:18" ht="93" thickTop="1" thickBot="1" x14ac:dyDescent="0.25">
      <c r="A53" s="19" t="s">
        <v>171</v>
      </c>
      <c r="B53" s="19" t="s">
        <v>172</v>
      </c>
      <c r="C53" s="19" t="s">
        <v>173</v>
      </c>
      <c r="D53" s="19" t="s">
        <v>174</v>
      </c>
      <c r="E53" s="108">
        <v>6881935</v>
      </c>
      <c r="F53" s="108">
        <v>1841000</v>
      </c>
      <c r="G53" s="108">
        <v>1801830.36</v>
      </c>
      <c r="H53" s="101">
        <f t="shared" si="20"/>
        <v>0.97872371537208047</v>
      </c>
      <c r="I53" s="108"/>
      <c r="J53" s="108"/>
      <c r="K53" s="108"/>
      <c r="L53" s="91"/>
      <c r="M53" s="85"/>
      <c r="N53" s="108">
        <f t="shared" si="21"/>
        <v>1801830.36</v>
      </c>
      <c r="P53" s="38"/>
    </row>
    <row r="54" spans="1:18" ht="123" thickTop="1" thickBot="1" x14ac:dyDescent="0.25">
      <c r="A54" s="19" t="s">
        <v>175</v>
      </c>
      <c r="B54" s="33" t="s">
        <v>176</v>
      </c>
      <c r="C54" s="33"/>
      <c r="D54" s="33" t="s">
        <v>177</v>
      </c>
      <c r="E54" s="110">
        <f t="shared" ref="E54:J54" si="22">E55</f>
        <v>11147515</v>
      </c>
      <c r="F54" s="110">
        <f t="shared" si="22"/>
        <v>3224840</v>
      </c>
      <c r="G54" s="110">
        <f t="shared" si="22"/>
        <v>2614729.2400000002</v>
      </c>
      <c r="H54" s="109">
        <f t="shared" si="20"/>
        <v>0.81080898277123836</v>
      </c>
      <c r="I54" s="110">
        <f t="shared" si="22"/>
        <v>0</v>
      </c>
      <c r="J54" s="110">
        <f t="shared" si="22"/>
        <v>0</v>
      </c>
      <c r="K54" s="109">
        <v>0</v>
      </c>
      <c r="L54" s="90"/>
      <c r="M54" s="90"/>
      <c r="N54" s="110">
        <f t="shared" si="21"/>
        <v>2614729.2400000002</v>
      </c>
      <c r="O54" s="111" t="s">
        <v>476</v>
      </c>
      <c r="P54" s="38"/>
    </row>
    <row r="55" spans="1:18" ht="184.5" thickTop="1" thickBot="1" x14ac:dyDescent="0.25">
      <c r="A55" s="19" t="s">
        <v>178</v>
      </c>
      <c r="B55" s="19" t="s">
        <v>179</v>
      </c>
      <c r="C55" s="19" t="s">
        <v>180</v>
      </c>
      <c r="D55" s="19" t="s">
        <v>181</v>
      </c>
      <c r="E55" s="108">
        <v>11147515</v>
      </c>
      <c r="F55" s="108">
        <v>3224840</v>
      </c>
      <c r="G55" s="108">
        <v>2614729.2400000002</v>
      </c>
      <c r="H55" s="101">
        <f t="shared" si="20"/>
        <v>0.81080898277123836</v>
      </c>
      <c r="I55" s="108"/>
      <c r="J55" s="108"/>
      <c r="K55" s="108"/>
      <c r="L55" s="91"/>
      <c r="M55" s="85"/>
      <c r="N55" s="108">
        <f t="shared" si="21"/>
        <v>2614729.2400000002</v>
      </c>
      <c r="P55" s="38"/>
    </row>
    <row r="56" spans="1:18" ht="138.75" thickTop="1" thickBot="1" x14ac:dyDescent="0.25">
      <c r="A56" s="33" t="s">
        <v>182</v>
      </c>
      <c r="B56" s="33" t="s">
        <v>183</v>
      </c>
      <c r="C56" s="33"/>
      <c r="D56" s="33" t="s">
        <v>184</v>
      </c>
      <c r="E56" s="110">
        <f t="shared" ref="E56:J56" si="23">E57</f>
        <v>9137200</v>
      </c>
      <c r="F56" s="110">
        <f t="shared" si="23"/>
        <v>4568652</v>
      </c>
      <c r="G56" s="110">
        <f t="shared" si="23"/>
        <v>2578165.7400000002</v>
      </c>
      <c r="H56" s="109">
        <f t="shared" si="20"/>
        <v>0.56431650736366001</v>
      </c>
      <c r="I56" s="110">
        <f t="shared" si="23"/>
        <v>0</v>
      </c>
      <c r="J56" s="110">
        <f t="shared" si="23"/>
        <v>0</v>
      </c>
      <c r="K56" s="109">
        <v>0</v>
      </c>
      <c r="L56" s="90"/>
      <c r="M56" s="90"/>
      <c r="N56" s="110">
        <f t="shared" si="21"/>
        <v>2578165.7400000002</v>
      </c>
      <c r="O56" s="111" t="s">
        <v>476</v>
      </c>
      <c r="P56" s="38"/>
    </row>
    <row r="57" spans="1:18" ht="138.75" thickTop="1" thickBot="1" x14ac:dyDescent="0.25">
      <c r="A57" s="19" t="s">
        <v>185</v>
      </c>
      <c r="B57" s="19" t="s">
        <v>186</v>
      </c>
      <c r="C57" s="19" t="s">
        <v>187</v>
      </c>
      <c r="D57" s="19" t="s">
        <v>188</v>
      </c>
      <c r="E57" s="108">
        <v>9137200</v>
      </c>
      <c r="F57" s="108">
        <v>4568652</v>
      </c>
      <c r="G57" s="108">
        <v>2578165.7400000002</v>
      </c>
      <c r="H57" s="101">
        <f t="shared" si="20"/>
        <v>0.56431650736366001</v>
      </c>
      <c r="I57" s="108"/>
      <c r="J57" s="108"/>
      <c r="K57" s="108"/>
      <c r="L57" s="91"/>
      <c r="M57" s="85"/>
      <c r="N57" s="108">
        <f t="shared" si="21"/>
        <v>2578165.7400000002</v>
      </c>
      <c r="P57" s="38"/>
    </row>
    <row r="58" spans="1:18" ht="138.75" thickTop="1" thickBot="1" x14ac:dyDescent="0.25">
      <c r="A58" s="19" t="s">
        <v>189</v>
      </c>
      <c r="B58" s="33" t="s">
        <v>190</v>
      </c>
      <c r="C58" s="33"/>
      <c r="D58" s="33" t="s">
        <v>191</v>
      </c>
      <c r="E58" s="110">
        <f t="shared" ref="E58:J58" si="24">SUM(E59:E60)</f>
        <v>6245425</v>
      </c>
      <c r="F58" s="110">
        <f t="shared" si="24"/>
        <v>961445</v>
      </c>
      <c r="G58" s="110">
        <f t="shared" si="24"/>
        <v>918516.16999999993</v>
      </c>
      <c r="H58" s="109">
        <f t="shared" si="20"/>
        <v>0.95534967678858373</v>
      </c>
      <c r="I58" s="110">
        <f t="shared" si="24"/>
        <v>22000</v>
      </c>
      <c r="J58" s="110">
        <f t="shared" si="24"/>
        <v>0</v>
      </c>
      <c r="K58" s="101">
        <f>J58/I58</f>
        <v>0</v>
      </c>
      <c r="L58" s="90"/>
      <c r="M58" s="90"/>
      <c r="N58" s="110">
        <f t="shared" si="21"/>
        <v>918516.16999999993</v>
      </c>
      <c r="P58" s="38"/>
    </row>
    <row r="59" spans="1:18" s="27" customFormat="1" ht="138.75" thickTop="1" thickBot="1" x14ac:dyDescent="0.25">
      <c r="A59" s="19" t="s">
        <v>192</v>
      </c>
      <c r="B59" s="19" t="s">
        <v>193</v>
      </c>
      <c r="C59" s="19" t="s">
        <v>187</v>
      </c>
      <c r="D59" s="39" t="s">
        <v>194</v>
      </c>
      <c r="E59" s="108">
        <f>(2365000+520300+93000+157000+3220+90905)</f>
        <v>3229425</v>
      </c>
      <c r="F59" s="108">
        <v>702945</v>
      </c>
      <c r="G59" s="108">
        <v>666804.56999999995</v>
      </c>
      <c r="H59" s="101">
        <f t="shared" si="20"/>
        <v>0.94858711563493581</v>
      </c>
      <c r="I59" s="108">
        <v>22000</v>
      </c>
      <c r="J59" s="108">
        <v>0</v>
      </c>
      <c r="K59" s="101">
        <f>J59/I59</f>
        <v>0</v>
      </c>
      <c r="L59" s="91"/>
      <c r="M59" s="85"/>
      <c r="N59" s="108">
        <f t="shared" si="21"/>
        <v>666804.56999999995</v>
      </c>
      <c r="O59" s="31"/>
      <c r="P59" s="38"/>
    </row>
    <row r="60" spans="1:18" s="27" customFormat="1" ht="93" thickTop="1" thickBot="1" x14ac:dyDescent="0.25">
      <c r="A60" s="19" t="s">
        <v>195</v>
      </c>
      <c r="B60" s="19" t="s">
        <v>196</v>
      </c>
      <c r="C60" s="19" t="s">
        <v>187</v>
      </c>
      <c r="D60" s="39" t="s">
        <v>197</v>
      </c>
      <c r="E60" s="108">
        <f>(3016000)</f>
        <v>3016000</v>
      </c>
      <c r="F60" s="108">
        <v>258500</v>
      </c>
      <c r="G60" s="108">
        <v>251711.6</v>
      </c>
      <c r="H60" s="101">
        <f t="shared" si="20"/>
        <v>0.97373926499032881</v>
      </c>
      <c r="I60" s="108"/>
      <c r="J60" s="108"/>
      <c r="K60" s="108"/>
      <c r="L60" s="91"/>
      <c r="M60" s="85"/>
      <c r="N60" s="108">
        <f t="shared" si="21"/>
        <v>251711.6</v>
      </c>
      <c r="O60" s="31"/>
      <c r="P60" s="38"/>
    </row>
    <row r="61" spans="1:18" ht="91.5" thickTop="1" thickBot="1" x14ac:dyDescent="0.25">
      <c r="A61" s="8" t="s">
        <v>200</v>
      </c>
      <c r="B61" s="12" t="s">
        <v>147</v>
      </c>
      <c r="C61" s="12"/>
      <c r="D61" s="13" t="s">
        <v>148</v>
      </c>
      <c r="E61" s="14">
        <f>SUM(E62:E90)-E62-E71-E84-E86-E88-E81-E74-E76</f>
        <v>183126672</v>
      </c>
      <c r="F61" s="14">
        <f>SUM(F62:F90)-F62-F71-F84-F86-F88-F81-F74-F76</f>
        <v>48128859.099999994</v>
      </c>
      <c r="G61" s="14">
        <f>SUM(G62:G90)-G62-G71-G84-G86-G88-G81-G74-G76</f>
        <v>44343992.259999998</v>
      </c>
      <c r="H61" s="100">
        <f>G61/F61</f>
        <v>0.92135972240405761</v>
      </c>
      <c r="I61" s="14">
        <f>SUM(I62:I90)-I62-I71-I84-I86-I88-I81-I74-I76</f>
        <v>2299478.4599999995</v>
      </c>
      <c r="J61" s="14">
        <f>SUM(J62:J90)-J62-J71-J84-J86-J88-J81-J74-J76</f>
        <v>653506.46</v>
      </c>
      <c r="K61" s="100">
        <f>J61/I61</f>
        <v>0.28419768715728699</v>
      </c>
      <c r="L61" s="14"/>
      <c r="M61" s="14"/>
      <c r="N61" s="15">
        <f>J61+G61</f>
        <v>44997498.719999999</v>
      </c>
      <c r="O61" s="16" t="b">
        <f>N61=N63+N64+N65+N66+N67+N68+N70+N72+N73+N75+N77+N78+N79+N80+N82+N83+N85+N87+N89+N90</f>
        <v>1</v>
      </c>
      <c r="P61" s="41"/>
      <c r="R61" s="40"/>
    </row>
    <row r="62" spans="1:18" ht="276" thickTop="1" thickBot="1" x14ac:dyDescent="0.25">
      <c r="A62" s="33" t="s">
        <v>201</v>
      </c>
      <c r="B62" s="33" t="s">
        <v>202</v>
      </c>
      <c r="C62" s="33"/>
      <c r="D62" s="33" t="s">
        <v>203</v>
      </c>
      <c r="E62" s="110">
        <f t="shared" ref="E62:J62" si="25">SUM(E63:E67)</f>
        <v>88312240</v>
      </c>
      <c r="F62" s="110">
        <f t="shared" si="25"/>
        <v>18560460.850000001</v>
      </c>
      <c r="G62" s="110">
        <f t="shared" si="25"/>
        <v>18531754.100000001</v>
      </c>
      <c r="H62" s="109">
        <f t="shared" si="20"/>
        <v>0.99845333851179674</v>
      </c>
      <c r="I62" s="110">
        <f t="shared" si="25"/>
        <v>199000</v>
      </c>
      <c r="J62" s="110">
        <f t="shared" si="25"/>
        <v>0</v>
      </c>
      <c r="K62" s="109">
        <f t="shared" ref="K62:K63" si="26">J62/I62</f>
        <v>0</v>
      </c>
      <c r="L62" s="90"/>
      <c r="M62" s="90"/>
      <c r="N62" s="110">
        <f t="shared" si="21"/>
        <v>18531754.100000001</v>
      </c>
      <c r="O62" s="42"/>
      <c r="P62" s="43"/>
      <c r="R62" s="44"/>
    </row>
    <row r="63" spans="1:18" s="27" customFormat="1" ht="138.75" thickTop="1" thickBot="1" x14ac:dyDescent="0.25">
      <c r="A63" s="19" t="s">
        <v>204</v>
      </c>
      <c r="B63" s="19" t="s">
        <v>205</v>
      </c>
      <c r="C63" s="19" t="s">
        <v>87</v>
      </c>
      <c r="D63" s="45" t="s">
        <v>206</v>
      </c>
      <c r="E63" s="108">
        <v>270000</v>
      </c>
      <c r="F63" s="108">
        <v>3771.93</v>
      </c>
      <c r="G63" s="108">
        <v>3566.68</v>
      </c>
      <c r="H63" s="101">
        <f t="shared" si="20"/>
        <v>0.94558488625186576</v>
      </c>
      <c r="I63" s="108">
        <v>199000</v>
      </c>
      <c r="J63" s="108">
        <v>0</v>
      </c>
      <c r="K63" s="101">
        <f t="shared" si="26"/>
        <v>0</v>
      </c>
      <c r="L63" s="91"/>
      <c r="M63" s="85"/>
      <c r="N63" s="108">
        <f t="shared" si="21"/>
        <v>3566.68</v>
      </c>
      <c r="O63" s="31"/>
      <c r="P63" s="41"/>
    </row>
    <row r="64" spans="1:18" s="27" customFormat="1" ht="138.75" thickTop="1" thickBot="1" x14ac:dyDescent="0.25">
      <c r="A64" s="19" t="s">
        <v>207</v>
      </c>
      <c r="B64" s="19" t="s">
        <v>208</v>
      </c>
      <c r="C64" s="19" t="s">
        <v>99</v>
      </c>
      <c r="D64" s="19" t="s">
        <v>209</v>
      </c>
      <c r="E64" s="108">
        <v>1350000</v>
      </c>
      <c r="F64" s="108">
        <v>272430.74</v>
      </c>
      <c r="G64" s="108">
        <v>272430.74</v>
      </c>
      <c r="H64" s="101">
        <f t="shared" si="20"/>
        <v>1</v>
      </c>
      <c r="I64" s="108"/>
      <c r="J64" s="108"/>
      <c r="K64" s="108"/>
      <c r="L64" s="108"/>
      <c r="M64" s="119"/>
      <c r="N64" s="108">
        <f t="shared" si="21"/>
        <v>272430.74</v>
      </c>
      <c r="O64" s="31"/>
      <c r="P64" s="46"/>
    </row>
    <row r="65" spans="1:16" s="27" customFormat="1" ht="184.5" thickTop="1" thickBot="1" x14ac:dyDescent="0.25">
      <c r="A65" s="19" t="s">
        <v>210</v>
      </c>
      <c r="B65" s="19" t="s">
        <v>211</v>
      </c>
      <c r="C65" s="19" t="s">
        <v>99</v>
      </c>
      <c r="D65" s="19" t="s">
        <v>212</v>
      </c>
      <c r="E65" s="108">
        <v>11250000</v>
      </c>
      <c r="F65" s="108">
        <v>2769178.18</v>
      </c>
      <c r="G65" s="108">
        <v>2769178.18</v>
      </c>
      <c r="H65" s="101">
        <f t="shared" si="20"/>
        <v>1</v>
      </c>
      <c r="I65" s="108"/>
      <c r="J65" s="108"/>
      <c r="K65" s="108"/>
      <c r="L65" s="108"/>
      <c r="M65" s="119"/>
      <c r="N65" s="108">
        <f t="shared" si="21"/>
        <v>2769178.18</v>
      </c>
      <c r="O65" s="31"/>
      <c r="P65" s="46"/>
    </row>
    <row r="66" spans="1:16" s="27" customFormat="1" ht="184.5" thickTop="1" thickBot="1" x14ac:dyDescent="0.25">
      <c r="A66" s="19" t="s">
        <v>213</v>
      </c>
      <c r="B66" s="19" t="s">
        <v>214</v>
      </c>
      <c r="C66" s="19" t="s">
        <v>99</v>
      </c>
      <c r="D66" s="19" t="s">
        <v>215</v>
      </c>
      <c r="E66" s="108">
        <v>500000</v>
      </c>
      <c r="F66" s="108">
        <v>0</v>
      </c>
      <c r="G66" s="108">
        <v>0</v>
      </c>
      <c r="H66" s="101">
        <v>0</v>
      </c>
      <c r="I66" s="108"/>
      <c r="J66" s="108"/>
      <c r="K66" s="108"/>
      <c r="L66" s="108"/>
      <c r="M66" s="119"/>
      <c r="N66" s="108">
        <f t="shared" si="21"/>
        <v>0</v>
      </c>
      <c r="O66" s="111" t="s">
        <v>476</v>
      </c>
      <c r="P66" s="46"/>
    </row>
    <row r="67" spans="1:16" s="27" customFormat="1" ht="184.5" thickTop="1" thickBot="1" x14ac:dyDescent="0.25">
      <c r="A67" s="19" t="s">
        <v>216</v>
      </c>
      <c r="B67" s="19" t="s">
        <v>217</v>
      </c>
      <c r="C67" s="19" t="s">
        <v>99</v>
      </c>
      <c r="D67" s="19" t="s">
        <v>218</v>
      </c>
      <c r="E67" s="108">
        <f>74942240</f>
        <v>74942240</v>
      </c>
      <c r="F67" s="108">
        <v>15515080</v>
      </c>
      <c r="G67" s="108">
        <v>15486578.5</v>
      </c>
      <c r="H67" s="101">
        <f t="shared" si="20"/>
        <v>0.99816298079030208</v>
      </c>
      <c r="I67" s="108"/>
      <c r="J67" s="108"/>
      <c r="K67" s="108"/>
      <c r="L67" s="108"/>
      <c r="M67" s="119"/>
      <c r="N67" s="108">
        <f t="shared" si="21"/>
        <v>15486578.5</v>
      </c>
      <c r="O67" s="31"/>
      <c r="P67" s="46"/>
    </row>
    <row r="68" spans="1:16" s="27" customFormat="1" ht="184.5" thickTop="1" thickBot="1" x14ac:dyDescent="0.25">
      <c r="A68" s="19" t="s">
        <v>219</v>
      </c>
      <c r="B68" s="19" t="s">
        <v>220</v>
      </c>
      <c r="C68" s="19" t="s">
        <v>99</v>
      </c>
      <c r="D68" s="19" t="s">
        <v>221</v>
      </c>
      <c r="E68" s="108">
        <v>206796</v>
      </c>
      <c r="F68" s="108">
        <v>51699</v>
      </c>
      <c r="G68" s="108">
        <v>37534.300000000003</v>
      </c>
      <c r="H68" s="101">
        <f t="shared" si="20"/>
        <v>0.72601597709820309</v>
      </c>
      <c r="I68" s="108"/>
      <c r="J68" s="108"/>
      <c r="K68" s="108"/>
      <c r="L68" s="108"/>
      <c r="M68" s="119"/>
      <c r="N68" s="108">
        <f t="shared" si="21"/>
        <v>37534.300000000003</v>
      </c>
      <c r="O68" s="31"/>
      <c r="P68" s="46"/>
    </row>
    <row r="69" spans="1:16" s="27" customFormat="1" ht="138.75" hidden="1" thickTop="1" thickBot="1" x14ac:dyDescent="0.25">
      <c r="A69" s="19" t="s">
        <v>222</v>
      </c>
      <c r="B69" s="19" t="s">
        <v>223</v>
      </c>
      <c r="C69" s="19" t="s">
        <v>99</v>
      </c>
      <c r="D69" s="19" t="s">
        <v>224</v>
      </c>
      <c r="E69" s="108"/>
      <c r="F69" s="108"/>
      <c r="G69" s="108"/>
      <c r="H69" s="108"/>
      <c r="I69" s="108"/>
      <c r="J69" s="108"/>
      <c r="K69" s="108"/>
      <c r="L69" s="108"/>
      <c r="M69" s="119"/>
      <c r="N69" s="108">
        <f t="shared" si="21"/>
        <v>0</v>
      </c>
      <c r="O69" s="31"/>
      <c r="P69" s="46"/>
    </row>
    <row r="70" spans="1:16" ht="138.75" thickTop="1" thickBot="1" x14ac:dyDescent="0.25">
      <c r="A70" s="19" t="s">
        <v>225</v>
      </c>
      <c r="B70" s="19" t="s">
        <v>226</v>
      </c>
      <c r="C70" s="19" t="s">
        <v>87</v>
      </c>
      <c r="D70" s="19" t="s">
        <v>227</v>
      </c>
      <c r="E70" s="108">
        <v>353047</v>
      </c>
      <c r="F70" s="108">
        <v>88261</v>
      </c>
      <c r="G70" s="108">
        <v>24601</v>
      </c>
      <c r="H70" s="101">
        <f t="shared" si="20"/>
        <v>0.27873012995547297</v>
      </c>
      <c r="I70" s="108"/>
      <c r="J70" s="108"/>
      <c r="K70" s="108"/>
      <c r="L70" s="108"/>
      <c r="M70" s="119"/>
      <c r="N70" s="108">
        <f t="shared" si="21"/>
        <v>24601</v>
      </c>
      <c r="P70" s="46"/>
    </row>
    <row r="71" spans="1:16" s="27" customFormat="1" ht="276" thickTop="1" thickBot="1" x14ac:dyDescent="0.25">
      <c r="A71" s="33" t="s">
        <v>228</v>
      </c>
      <c r="B71" s="33" t="s">
        <v>229</v>
      </c>
      <c r="C71" s="33"/>
      <c r="D71" s="33" t="s">
        <v>230</v>
      </c>
      <c r="E71" s="110">
        <f t="shared" ref="E71:J71" si="27">SUM(E72:E73)</f>
        <v>35259000</v>
      </c>
      <c r="F71" s="110">
        <f t="shared" si="27"/>
        <v>7670851</v>
      </c>
      <c r="G71" s="110">
        <f t="shared" si="27"/>
        <v>7227720.29</v>
      </c>
      <c r="H71" s="109">
        <f t="shared" si="20"/>
        <v>0.94223187101405048</v>
      </c>
      <c r="I71" s="110">
        <f t="shared" si="27"/>
        <v>186387.47999999998</v>
      </c>
      <c r="J71" s="110">
        <f t="shared" si="27"/>
        <v>153268.26</v>
      </c>
      <c r="K71" s="109">
        <f t="shared" ref="K71:K73" si="28">J71/I71</f>
        <v>0.82230984613344216</v>
      </c>
      <c r="L71" s="110"/>
      <c r="M71" s="110"/>
      <c r="N71" s="110">
        <f t="shared" si="21"/>
        <v>7380988.5499999998</v>
      </c>
      <c r="O71" s="31"/>
      <c r="P71" s="47"/>
    </row>
    <row r="72" spans="1:16" ht="276" thickTop="1" thickBot="1" x14ac:dyDescent="0.25">
      <c r="A72" s="19" t="s">
        <v>231</v>
      </c>
      <c r="B72" s="19" t="s">
        <v>232</v>
      </c>
      <c r="C72" s="19" t="s">
        <v>76</v>
      </c>
      <c r="D72" s="19" t="s">
        <v>233</v>
      </c>
      <c r="E72" s="108">
        <v>27960820</v>
      </c>
      <c r="F72" s="108">
        <v>5811210</v>
      </c>
      <c r="G72" s="108">
        <v>5506938.6500000004</v>
      </c>
      <c r="H72" s="101">
        <f t="shared" si="20"/>
        <v>0.94764062045598085</v>
      </c>
      <c r="I72" s="108">
        <v>159494.46</v>
      </c>
      <c r="J72" s="108">
        <v>129718.26</v>
      </c>
      <c r="K72" s="101">
        <f t="shared" si="28"/>
        <v>0.81330887605751323</v>
      </c>
      <c r="L72" s="108"/>
      <c r="M72" s="119"/>
      <c r="N72" s="108">
        <f t="shared" si="21"/>
        <v>5636656.9100000001</v>
      </c>
      <c r="P72" s="41"/>
    </row>
    <row r="73" spans="1:16" ht="138.75" thickTop="1" thickBot="1" x14ac:dyDescent="0.25">
      <c r="A73" s="19" t="s">
        <v>234</v>
      </c>
      <c r="B73" s="19" t="s">
        <v>235</v>
      </c>
      <c r="C73" s="19" t="s">
        <v>72</v>
      </c>
      <c r="D73" s="19" t="s">
        <v>236</v>
      </c>
      <c r="E73" s="108">
        <v>7298180</v>
      </c>
      <c r="F73" s="108">
        <v>1859641</v>
      </c>
      <c r="G73" s="108">
        <v>1720781.64</v>
      </c>
      <c r="H73" s="101">
        <f t="shared" si="20"/>
        <v>0.92533001799809744</v>
      </c>
      <c r="I73" s="108">
        <v>26893.02</v>
      </c>
      <c r="J73" s="108">
        <v>23550</v>
      </c>
      <c r="K73" s="101">
        <f t="shared" si="28"/>
        <v>0.8756919081605562</v>
      </c>
      <c r="L73" s="108"/>
      <c r="M73" s="119"/>
      <c r="N73" s="108">
        <f t="shared" si="21"/>
        <v>1744331.64</v>
      </c>
      <c r="P73" s="41"/>
    </row>
    <row r="74" spans="1:16" ht="138.75" thickTop="1" thickBot="1" x14ac:dyDescent="0.25">
      <c r="A74" s="19"/>
      <c r="B74" s="33" t="s">
        <v>311</v>
      </c>
      <c r="C74" s="33"/>
      <c r="D74" s="33" t="s">
        <v>312</v>
      </c>
      <c r="E74" s="112">
        <f t="shared" ref="E74:J74" si="29">E75</f>
        <v>5299595</v>
      </c>
      <c r="F74" s="112">
        <f t="shared" si="29"/>
        <v>1333020</v>
      </c>
      <c r="G74" s="112">
        <f t="shared" si="29"/>
        <v>1114000.98</v>
      </c>
      <c r="H74" s="109">
        <f t="shared" si="20"/>
        <v>0.83569712382409866</v>
      </c>
      <c r="I74" s="112">
        <f t="shared" si="29"/>
        <v>0</v>
      </c>
      <c r="J74" s="112">
        <f t="shared" si="29"/>
        <v>0</v>
      </c>
      <c r="K74" s="101">
        <v>0</v>
      </c>
      <c r="L74" s="93"/>
      <c r="M74" s="93"/>
      <c r="N74" s="110">
        <f t="shared" si="21"/>
        <v>1114000.98</v>
      </c>
      <c r="O74" s="111" t="s">
        <v>476</v>
      </c>
      <c r="P74" s="41"/>
    </row>
    <row r="75" spans="1:16" ht="138.75" thickTop="1" thickBot="1" x14ac:dyDescent="0.25">
      <c r="A75" s="19"/>
      <c r="B75" s="19" t="s">
        <v>313</v>
      </c>
      <c r="C75" s="19" t="s">
        <v>150</v>
      </c>
      <c r="D75" s="19" t="s">
        <v>314</v>
      </c>
      <c r="E75" s="20">
        <v>5299595</v>
      </c>
      <c r="F75" s="20">
        <v>1333020</v>
      </c>
      <c r="G75" s="20">
        <v>1114000.98</v>
      </c>
      <c r="H75" s="101">
        <f t="shared" si="20"/>
        <v>0.83569712382409866</v>
      </c>
      <c r="I75" s="20"/>
      <c r="J75" s="134"/>
      <c r="K75" s="134"/>
      <c r="L75" s="83"/>
      <c r="M75" s="85"/>
      <c r="N75" s="108">
        <f t="shared" si="21"/>
        <v>1114000.98</v>
      </c>
      <c r="P75" s="41"/>
    </row>
    <row r="76" spans="1:16" ht="93" thickTop="1" thickBot="1" x14ac:dyDescent="0.25">
      <c r="A76" s="19"/>
      <c r="B76" s="33" t="s">
        <v>315</v>
      </c>
      <c r="C76" s="33"/>
      <c r="D76" s="33" t="s">
        <v>316</v>
      </c>
      <c r="E76" s="53">
        <f t="shared" ref="E76:G76" si="30">SUM(E77:E78)</f>
        <v>11204170</v>
      </c>
      <c r="F76" s="53">
        <f t="shared" si="30"/>
        <v>3127528</v>
      </c>
      <c r="G76" s="53">
        <f t="shared" si="30"/>
        <v>2290400.12</v>
      </c>
      <c r="H76" s="109">
        <f t="shared" si="20"/>
        <v>0.73233560818640153</v>
      </c>
      <c r="I76" s="53">
        <f t="shared" ref="I76:J76" si="31">SUM(I77:I78)</f>
        <v>1061957</v>
      </c>
      <c r="J76" s="53">
        <f t="shared" si="31"/>
        <v>294902.27</v>
      </c>
      <c r="K76" s="109">
        <v>0</v>
      </c>
      <c r="L76" s="94"/>
      <c r="M76" s="94"/>
      <c r="N76" s="110">
        <f t="shared" si="21"/>
        <v>2585302.39</v>
      </c>
      <c r="P76" s="41"/>
    </row>
    <row r="77" spans="1:16" ht="93" thickTop="1" thickBot="1" x14ac:dyDescent="0.25">
      <c r="A77" s="19"/>
      <c r="B77" s="19" t="s">
        <v>317</v>
      </c>
      <c r="C77" s="19" t="s">
        <v>150</v>
      </c>
      <c r="D77" s="19" t="s">
        <v>318</v>
      </c>
      <c r="E77" s="20">
        <v>4435310</v>
      </c>
      <c r="F77" s="20">
        <v>1290322</v>
      </c>
      <c r="G77" s="20">
        <v>1025300.04</v>
      </c>
      <c r="H77" s="101">
        <f t="shared" si="20"/>
        <v>0.79460788857354991</v>
      </c>
      <c r="I77" s="20">
        <v>1058957</v>
      </c>
      <c r="J77" s="134">
        <v>294902.27</v>
      </c>
      <c r="K77" s="101">
        <v>0</v>
      </c>
      <c r="L77" s="83"/>
      <c r="M77" s="85"/>
      <c r="N77" s="108">
        <f t="shared" si="21"/>
        <v>1320202.31</v>
      </c>
      <c r="P77" s="41"/>
    </row>
    <row r="78" spans="1:16" ht="93" thickTop="1" thickBot="1" x14ac:dyDescent="0.25">
      <c r="A78" s="19"/>
      <c r="B78" s="19" t="s">
        <v>319</v>
      </c>
      <c r="C78" s="19" t="s">
        <v>150</v>
      </c>
      <c r="D78" s="19" t="s">
        <v>320</v>
      </c>
      <c r="E78" s="20">
        <v>6768860</v>
      </c>
      <c r="F78" s="20">
        <v>1837206</v>
      </c>
      <c r="G78" s="20">
        <v>1265100.08</v>
      </c>
      <c r="H78" s="101">
        <f t="shared" si="20"/>
        <v>0.68860001545825567</v>
      </c>
      <c r="I78" s="20">
        <v>3000</v>
      </c>
      <c r="J78" s="134">
        <v>0</v>
      </c>
      <c r="K78" s="101">
        <v>0</v>
      </c>
      <c r="L78" s="83"/>
      <c r="M78" s="85"/>
      <c r="N78" s="108">
        <f t="shared" si="21"/>
        <v>1265100.08</v>
      </c>
      <c r="P78" s="41"/>
    </row>
    <row r="79" spans="1:16" ht="367.5" thickTop="1" thickBot="1" x14ac:dyDescent="0.25">
      <c r="A79" s="19"/>
      <c r="B79" s="113" t="s">
        <v>149</v>
      </c>
      <c r="C79" s="113" t="s">
        <v>150</v>
      </c>
      <c r="D79" s="113" t="s">
        <v>151</v>
      </c>
      <c r="E79" s="108">
        <v>2688000</v>
      </c>
      <c r="F79" s="108">
        <v>0</v>
      </c>
      <c r="G79" s="108">
        <v>0</v>
      </c>
      <c r="H79" s="101">
        <v>0</v>
      </c>
      <c r="I79" s="108"/>
      <c r="J79" s="108"/>
      <c r="K79" s="108"/>
      <c r="L79" s="65"/>
      <c r="M79" s="66"/>
      <c r="N79" s="108">
        <f t="shared" si="21"/>
        <v>0</v>
      </c>
      <c r="O79" s="111" t="s">
        <v>476</v>
      </c>
      <c r="P79" s="41"/>
    </row>
    <row r="80" spans="1:16" ht="409.6" thickTop="1" thickBot="1" x14ac:dyDescent="0.25">
      <c r="A80" s="19" t="s">
        <v>237</v>
      </c>
      <c r="B80" s="19" t="s">
        <v>238</v>
      </c>
      <c r="C80" s="19" t="s">
        <v>72</v>
      </c>
      <c r="D80" s="19" t="s">
        <v>239</v>
      </c>
      <c r="E80" s="108">
        <v>1242695</v>
      </c>
      <c r="F80" s="108">
        <v>390225</v>
      </c>
      <c r="G80" s="108">
        <v>358203.91</v>
      </c>
      <c r="H80" s="101">
        <f t="shared" si="20"/>
        <v>0.9179419821897622</v>
      </c>
      <c r="I80" s="137"/>
      <c r="J80" s="108"/>
      <c r="K80" s="108"/>
      <c r="L80" s="91"/>
      <c r="M80" s="85"/>
      <c r="N80" s="108">
        <f t="shared" si="21"/>
        <v>358203.91</v>
      </c>
      <c r="P80" s="46"/>
    </row>
    <row r="81" spans="1:16" ht="138.75" thickTop="1" thickBot="1" x14ac:dyDescent="0.25">
      <c r="A81" s="33" t="s">
        <v>240</v>
      </c>
      <c r="B81" s="33" t="s">
        <v>241</v>
      </c>
      <c r="C81" s="33"/>
      <c r="D81" s="33" t="s">
        <v>242</v>
      </c>
      <c r="E81" s="110">
        <f>E82</f>
        <v>147491</v>
      </c>
      <c r="F81" s="110">
        <f t="shared" ref="F81:G81" si="32">F82</f>
        <v>73745</v>
      </c>
      <c r="G81" s="110">
        <f t="shared" si="32"/>
        <v>0</v>
      </c>
      <c r="H81" s="109">
        <f t="shared" si="20"/>
        <v>0</v>
      </c>
      <c r="I81" s="110">
        <f t="shared" ref="I81:J81" si="33">I82</f>
        <v>0</v>
      </c>
      <c r="J81" s="110">
        <f t="shared" si="33"/>
        <v>0</v>
      </c>
      <c r="K81" s="109">
        <v>0</v>
      </c>
      <c r="L81" s="90"/>
      <c r="M81" s="90"/>
      <c r="N81" s="110">
        <f t="shared" si="21"/>
        <v>0</v>
      </c>
      <c r="O81" s="111" t="s">
        <v>476</v>
      </c>
      <c r="P81" s="46"/>
    </row>
    <row r="82" spans="1:16" ht="276" thickTop="1" thickBot="1" x14ac:dyDescent="0.25">
      <c r="A82" s="19" t="s">
        <v>243</v>
      </c>
      <c r="B82" s="19" t="s">
        <v>244</v>
      </c>
      <c r="C82" s="19" t="s">
        <v>72</v>
      </c>
      <c r="D82" s="19" t="s">
        <v>245</v>
      </c>
      <c r="E82" s="108">
        <v>147491</v>
      </c>
      <c r="F82" s="108">
        <v>73745</v>
      </c>
      <c r="G82" s="108">
        <v>0</v>
      </c>
      <c r="H82" s="101">
        <f t="shared" si="20"/>
        <v>0</v>
      </c>
      <c r="I82" s="137"/>
      <c r="J82" s="108"/>
      <c r="K82" s="108"/>
      <c r="L82" s="91"/>
      <c r="M82" s="85"/>
      <c r="N82" s="108">
        <f t="shared" si="21"/>
        <v>0</v>
      </c>
      <c r="P82" s="46"/>
    </row>
    <row r="83" spans="1:16" ht="367.5" thickTop="1" thickBot="1" x14ac:dyDescent="0.25">
      <c r="A83" s="19" t="s">
        <v>246</v>
      </c>
      <c r="B83" s="19" t="s">
        <v>247</v>
      </c>
      <c r="C83" s="19" t="s">
        <v>92</v>
      </c>
      <c r="D83" s="19" t="s">
        <v>248</v>
      </c>
      <c r="E83" s="108">
        <v>2625425</v>
      </c>
      <c r="F83" s="108">
        <v>780000</v>
      </c>
      <c r="G83" s="108">
        <v>779951.92</v>
      </c>
      <c r="H83" s="101">
        <f t="shared" si="20"/>
        <v>0.99993835897435901</v>
      </c>
      <c r="I83" s="137"/>
      <c r="J83" s="108"/>
      <c r="K83" s="108"/>
      <c r="L83" s="91"/>
      <c r="M83" s="85"/>
      <c r="N83" s="108">
        <f t="shared" si="21"/>
        <v>779951.92</v>
      </c>
      <c r="P83" s="46"/>
    </row>
    <row r="84" spans="1:16" s="27" customFormat="1" ht="123" thickTop="1" thickBot="1" x14ac:dyDescent="0.25">
      <c r="A84" s="33" t="s">
        <v>249</v>
      </c>
      <c r="B84" s="33" t="s">
        <v>250</v>
      </c>
      <c r="C84" s="33"/>
      <c r="D84" s="33" t="s">
        <v>251</v>
      </c>
      <c r="E84" s="110">
        <f t="shared" ref="E84:J84" si="34">E85</f>
        <v>500000</v>
      </c>
      <c r="F84" s="110">
        <f t="shared" si="34"/>
        <v>124998</v>
      </c>
      <c r="G84" s="110">
        <f t="shared" si="34"/>
        <v>0</v>
      </c>
      <c r="H84" s="109">
        <f t="shared" si="20"/>
        <v>0</v>
      </c>
      <c r="I84" s="110">
        <f t="shared" si="34"/>
        <v>0</v>
      </c>
      <c r="J84" s="110">
        <f t="shared" si="34"/>
        <v>0</v>
      </c>
      <c r="K84" s="109">
        <v>0</v>
      </c>
      <c r="L84" s="90"/>
      <c r="M84" s="90"/>
      <c r="N84" s="110">
        <f>G84+J84</f>
        <v>0</v>
      </c>
      <c r="O84" s="111" t="s">
        <v>476</v>
      </c>
      <c r="P84" s="47"/>
    </row>
    <row r="85" spans="1:16" ht="230.25" thickTop="1" thickBot="1" x14ac:dyDescent="0.25">
      <c r="A85" s="19" t="s">
        <v>252</v>
      </c>
      <c r="B85" s="19" t="s">
        <v>253</v>
      </c>
      <c r="C85" s="19" t="s">
        <v>87</v>
      </c>
      <c r="D85" s="19" t="s">
        <v>254</v>
      </c>
      <c r="E85" s="108">
        <f>(500000)</f>
        <v>500000</v>
      </c>
      <c r="F85" s="108">
        <v>124998</v>
      </c>
      <c r="G85" s="108">
        <v>0</v>
      </c>
      <c r="H85" s="101">
        <f t="shared" si="20"/>
        <v>0</v>
      </c>
      <c r="I85" s="108"/>
      <c r="J85" s="108"/>
      <c r="K85" s="108"/>
      <c r="L85" s="91"/>
      <c r="M85" s="85"/>
      <c r="N85" s="108">
        <f t="shared" si="21"/>
        <v>0</v>
      </c>
      <c r="P85" s="46"/>
    </row>
    <row r="86" spans="1:16" s="27" customFormat="1" ht="184.5" thickTop="1" thickBot="1" x14ac:dyDescent="0.25">
      <c r="A86" s="33" t="s">
        <v>255</v>
      </c>
      <c r="B86" s="33" t="s">
        <v>256</v>
      </c>
      <c r="C86" s="33"/>
      <c r="D86" s="33" t="s">
        <v>257</v>
      </c>
      <c r="E86" s="110">
        <f t="shared" ref="E86:J86" si="35">E87</f>
        <v>100040</v>
      </c>
      <c r="F86" s="110">
        <f t="shared" si="35"/>
        <v>66692</v>
      </c>
      <c r="G86" s="110">
        <f t="shared" si="35"/>
        <v>0</v>
      </c>
      <c r="H86" s="109">
        <f t="shared" si="20"/>
        <v>0</v>
      </c>
      <c r="I86" s="110">
        <f t="shared" si="35"/>
        <v>0</v>
      </c>
      <c r="J86" s="110">
        <f t="shared" si="35"/>
        <v>0</v>
      </c>
      <c r="K86" s="109">
        <v>0</v>
      </c>
      <c r="L86" s="90"/>
      <c r="M86" s="90"/>
      <c r="N86" s="110">
        <f t="shared" si="21"/>
        <v>0</v>
      </c>
      <c r="O86" s="111" t="s">
        <v>476</v>
      </c>
      <c r="P86" s="47"/>
    </row>
    <row r="87" spans="1:16" ht="93" thickTop="1" thickBot="1" x14ac:dyDescent="0.25">
      <c r="A87" s="19" t="s">
        <v>258</v>
      </c>
      <c r="B87" s="19" t="s">
        <v>259</v>
      </c>
      <c r="C87" s="19" t="s">
        <v>260</v>
      </c>
      <c r="D87" s="19" t="s">
        <v>261</v>
      </c>
      <c r="E87" s="108">
        <v>100040</v>
      </c>
      <c r="F87" s="108">
        <v>66692</v>
      </c>
      <c r="G87" s="108">
        <v>0</v>
      </c>
      <c r="H87" s="101">
        <f t="shared" si="20"/>
        <v>0</v>
      </c>
      <c r="I87" s="108"/>
      <c r="J87" s="108"/>
      <c r="K87" s="108"/>
      <c r="L87" s="91"/>
      <c r="M87" s="85"/>
      <c r="N87" s="108">
        <f t="shared" si="21"/>
        <v>0</v>
      </c>
      <c r="P87" s="46"/>
    </row>
    <row r="88" spans="1:16" s="27" customFormat="1" ht="48" thickTop="1" thickBot="1" x14ac:dyDescent="0.25">
      <c r="A88" s="33" t="s">
        <v>262</v>
      </c>
      <c r="B88" s="33" t="s">
        <v>263</v>
      </c>
      <c r="C88" s="33"/>
      <c r="D88" s="33" t="s">
        <v>264</v>
      </c>
      <c r="E88" s="110">
        <f t="shared" ref="E88:J88" si="36">SUM(E89:E90)</f>
        <v>35188173</v>
      </c>
      <c r="F88" s="110">
        <f t="shared" si="36"/>
        <v>15861379.25</v>
      </c>
      <c r="G88" s="110">
        <f t="shared" si="36"/>
        <v>13979825.640000001</v>
      </c>
      <c r="H88" s="109">
        <f t="shared" si="20"/>
        <v>0.8813751578381811</v>
      </c>
      <c r="I88" s="110">
        <f t="shared" si="36"/>
        <v>852133.98</v>
      </c>
      <c r="J88" s="110">
        <f t="shared" si="36"/>
        <v>205335.93</v>
      </c>
      <c r="K88" s="109">
        <f t="shared" ref="K88:K90" si="37">J88/I88</f>
        <v>0.24096671981089171</v>
      </c>
      <c r="L88" s="90"/>
      <c r="M88" s="90"/>
      <c r="N88" s="110">
        <f t="shared" si="21"/>
        <v>14185161.57</v>
      </c>
      <c r="O88" s="31"/>
      <c r="P88" s="47"/>
    </row>
    <row r="89" spans="1:16" ht="184.5" thickTop="1" thickBot="1" x14ac:dyDescent="0.25">
      <c r="A89" s="19" t="s">
        <v>265</v>
      </c>
      <c r="B89" s="19" t="s">
        <v>266</v>
      </c>
      <c r="C89" s="19" t="s">
        <v>103</v>
      </c>
      <c r="D89" s="39" t="s">
        <v>267</v>
      </c>
      <c r="E89" s="108">
        <v>7785022</v>
      </c>
      <c r="F89" s="20">
        <v>2079837</v>
      </c>
      <c r="G89" s="20">
        <v>1822654.5</v>
      </c>
      <c r="H89" s="101">
        <f t="shared" si="20"/>
        <v>0.87634487702642083</v>
      </c>
      <c r="I89" s="108">
        <v>702133.98</v>
      </c>
      <c r="J89" s="108">
        <v>205335.93</v>
      </c>
      <c r="K89" s="101">
        <f t="shared" si="37"/>
        <v>0.29244551018596193</v>
      </c>
      <c r="L89" s="91"/>
      <c r="M89" s="85"/>
      <c r="N89" s="108">
        <f t="shared" si="21"/>
        <v>2027990.43</v>
      </c>
      <c r="P89" s="41"/>
    </row>
    <row r="90" spans="1:16" ht="138.75" thickTop="1" thickBot="1" x14ac:dyDescent="0.25">
      <c r="A90" s="19" t="s">
        <v>268</v>
      </c>
      <c r="B90" s="19" t="s">
        <v>269</v>
      </c>
      <c r="C90" s="19" t="s">
        <v>103</v>
      </c>
      <c r="D90" s="39" t="s">
        <v>270</v>
      </c>
      <c r="E90" s="108">
        <v>27403151</v>
      </c>
      <c r="F90" s="108">
        <v>13781542.25</v>
      </c>
      <c r="G90" s="108">
        <v>12157171.140000001</v>
      </c>
      <c r="H90" s="101">
        <f t="shared" si="20"/>
        <v>0.88213430104312174</v>
      </c>
      <c r="I90" s="108">
        <v>150000</v>
      </c>
      <c r="J90" s="108">
        <v>0</v>
      </c>
      <c r="K90" s="101">
        <f t="shared" si="37"/>
        <v>0</v>
      </c>
      <c r="L90" s="91"/>
      <c r="M90" s="85"/>
      <c r="N90" s="108">
        <f t="shared" si="21"/>
        <v>12157171.140000001</v>
      </c>
      <c r="P90" s="41"/>
    </row>
    <row r="91" spans="1:16" s="11" customFormat="1" ht="92.25" customHeight="1" thickTop="1" thickBot="1" x14ac:dyDescent="0.25">
      <c r="A91" s="8" t="s">
        <v>283</v>
      </c>
      <c r="B91" s="12" t="s">
        <v>284</v>
      </c>
      <c r="C91" s="12"/>
      <c r="D91" s="13" t="s">
        <v>285</v>
      </c>
      <c r="E91" s="14">
        <f>SUM(E92:E98)-E96</f>
        <v>52129795</v>
      </c>
      <c r="F91" s="14">
        <f t="shared" ref="F91:J91" si="38">SUM(F92:F98)-F96</f>
        <v>12604500</v>
      </c>
      <c r="G91" s="14">
        <f t="shared" si="38"/>
        <v>10667760.800000001</v>
      </c>
      <c r="H91" s="100">
        <f>G91/F91</f>
        <v>0.8463454163195685</v>
      </c>
      <c r="I91" s="14">
        <f t="shared" si="38"/>
        <v>4310411.05</v>
      </c>
      <c r="J91" s="14">
        <f t="shared" si="38"/>
        <v>1400376.49</v>
      </c>
      <c r="K91" s="100">
        <f>J91/I91</f>
        <v>0.32488235431746121</v>
      </c>
      <c r="L91" s="14"/>
      <c r="M91" s="14"/>
      <c r="N91" s="15">
        <f>J91+G91</f>
        <v>12068137.290000001</v>
      </c>
      <c r="O91" s="16" t="b">
        <f>N91=N92+N93+N94+N95+N97+N98</f>
        <v>1</v>
      </c>
      <c r="P91" s="46"/>
    </row>
    <row r="92" spans="1:16" ht="48" thickTop="1" thickBot="1" x14ac:dyDescent="0.25">
      <c r="A92" s="19" t="s">
        <v>286</v>
      </c>
      <c r="B92" s="19" t="s">
        <v>287</v>
      </c>
      <c r="C92" s="19" t="s">
        <v>288</v>
      </c>
      <c r="D92" s="19" t="s">
        <v>289</v>
      </c>
      <c r="E92" s="108">
        <v>964300</v>
      </c>
      <c r="F92" s="108">
        <v>241080</v>
      </c>
      <c r="G92" s="108">
        <v>204525.56</v>
      </c>
      <c r="H92" s="101">
        <f t="shared" ref="H92:H113" si="39">G92/F92</f>
        <v>0.8483721586195454</v>
      </c>
      <c r="I92" s="108"/>
      <c r="J92" s="108"/>
      <c r="K92" s="108"/>
      <c r="L92" s="91"/>
      <c r="M92" s="85"/>
      <c r="N92" s="108">
        <f t="shared" ref="N92:N113" si="40">G92+J92</f>
        <v>204525.56</v>
      </c>
      <c r="P92" s="46"/>
    </row>
    <row r="93" spans="1:16" ht="93" thickTop="1" thickBot="1" x14ac:dyDescent="0.25">
      <c r="A93" s="19" t="s">
        <v>290</v>
      </c>
      <c r="B93" s="19" t="s">
        <v>291</v>
      </c>
      <c r="C93" s="19" t="s">
        <v>292</v>
      </c>
      <c r="D93" s="19" t="s">
        <v>293</v>
      </c>
      <c r="E93" s="108">
        <v>13745895</v>
      </c>
      <c r="F93" s="108">
        <v>3615951</v>
      </c>
      <c r="G93" s="108">
        <v>3156704.26</v>
      </c>
      <c r="H93" s="101">
        <f t="shared" si="39"/>
        <v>0.87299420263161742</v>
      </c>
      <c r="I93" s="108">
        <v>402416</v>
      </c>
      <c r="J93" s="108">
        <v>183760.8</v>
      </c>
      <c r="K93" s="101">
        <f t="shared" ref="K93:K97" si="41">J93/I93</f>
        <v>0.45664387101904497</v>
      </c>
      <c r="L93" s="91"/>
      <c r="M93" s="85"/>
      <c r="N93" s="108">
        <f t="shared" si="40"/>
        <v>3340465.0599999996</v>
      </c>
      <c r="P93" s="41"/>
    </row>
    <row r="94" spans="1:16" ht="93" thickTop="1" thickBot="1" x14ac:dyDescent="0.25">
      <c r="A94" s="19" t="s">
        <v>294</v>
      </c>
      <c r="B94" s="19" t="s">
        <v>295</v>
      </c>
      <c r="C94" s="19" t="s">
        <v>292</v>
      </c>
      <c r="D94" s="19" t="s">
        <v>296</v>
      </c>
      <c r="E94" s="108">
        <f>(1328500+292270+14055+20330+139800+4305+53715+3980)</f>
        <v>1856955</v>
      </c>
      <c r="F94" s="108">
        <v>471379</v>
      </c>
      <c r="G94" s="108">
        <v>441644.77</v>
      </c>
      <c r="H94" s="101">
        <f t="shared" si="39"/>
        <v>0.93692075803122332</v>
      </c>
      <c r="I94" s="108">
        <v>3080200</v>
      </c>
      <c r="J94" s="108">
        <v>1022332.4</v>
      </c>
      <c r="K94" s="101">
        <f t="shared" si="41"/>
        <v>0.33190455165249011</v>
      </c>
      <c r="L94" s="91"/>
      <c r="M94" s="85"/>
      <c r="N94" s="108">
        <f t="shared" si="40"/>
        <v>1463977.17</v>
      </c>
      <c r="P94" s="41"/>
    </row>
    <row r="95" spans="1:16" ht="184.5" thickTop="1" thickBot="1" x14ac:dyDescent="0.25">
      <c r="A95" s="19" t="s">
        <v>297</v>
      </c>
      <c r="B95" s="19" t="s">
        <v>298</v>
      </c>
      <c r="C95" s="19" t="s">
        <v>299</v>
      </c>
      <c r="D95" s="19" t="s">
        <v>300</v>
      </c>
      <c r="E95" s="108">
        <v>12109215</v>
      </c>
      <c r="F95" s="108">
        <v>3098530</v>
      </c>
      <c r="G95" s="108">
        <v>2197487.35</v>
      </c>
      <c r="H95" s="101">
        <f t="shared" si="39"/>
        <v>0.7092031866723898</v>
      </c>
      <c r="I95" s="108">
        <v>580600</v>
      </c>
      <c r="J95" s="108">
        <v>83828.240000000005</v>
      </c>
      <c r="K95" s="101">
        <f t="shared" si="41"/>
        <v>0.14438208749569412</v>
      </c>
      <c r="L95" s="91"/>
      <c r="M95" s="85"/>
      <c r="N95" s="108">
        <f t="shared" si="40"/>
        <v>2281315.5900000003</v>
      </c>
      <c r="P95" s="41"/>
    </row>
    <row r="96" spans="1:16" ht="93" thickTop="1" thickBot="1" x14ac:dyDescent="0.25">
      <c r="A96" s="33" t="s">
        <v>301</v>
      </c>
      <c r="B96" s="33" t="s">
        <v>302</v>
      </c>
      <c r="C96" s="33"/>
      <c r="D96" s="33" t="s">
        <v>303</v>
      </c>
      <c r="E96" s="110">
        <f t="shared" ref="E96:J96" si="42">SUM(E97:E98)</f>
        <v>23453430</v>
      </c>
      <c r="F96" s="110">
        <f t="shared" si="42"/>
        <v>5177560</v>
      </c>
      <c r="G96" s="110">
        <f t="shared" si="42"/>
        <v>4667398.8600000003</v>
      </c>
      <c r="H96" s="109">
        <f t="shared" si="39"/>
        <v>0.90146688015204079</v>
      </c>
      <c r="I96" s="110">
        <f t="shared" si="42"/>
        <v>247195.05</v>
      </c>
      <c r="J96" s="110">
        <f t="shared" si="42"/>
        <v>110455.05</v>
      </c>
      <c r="K96" s="109">
        <f t="shared" si="41"/>
        <v>0.44683358343947427</v>
      </c>
      <c r="L96" s="90"/>
      <c r="M96" s="90"/>
      <c r="N96" s="110">
        <f t="shared" si="40"/>
        <v>4777853.91</v>
      </c>
      <c r="P96" s="41"/>
    </row>
    <row r="97" spans="1:16" ht="138.75" thickTop="1" thickBot="1" x14ac:dyDescent="0.25">
      <c r="A97" s="19" t="s">
        <v>304</v>
      </c>
      <c r="B97" s="19" t="s">
        <v>305</v>
      </c>
      <c r="C97" s="19" t="s">
        <v>306</v>
      </c>
      <c r="D97" s="19" t="s">
        <v>307</v>
      </c>
      <c r="E97" s="108">
        <v>19137270</v>
      </c>
      <c r="F97" s="108">
        <v>4501960</v>
      </c>
      <c r="G97" s="108">
        <v>4382290.45</v>
      </c>
      <c r="H97" s="101">
        <f t="shared" si="39"/>
        <v>0.97341834445441544</v>
      </c>
      <c r="I97" s="108">
        <v>247195.05</v>
      </c>
      <c r="J97" s="108">
        <v>110455.05</v>
      </c>
      <c r="K97" s="101">
        <f t="shared" si="41"/>
        <v>0.44683358343947427</v>
      </c>
      <c r="L97" s="91"/>
      <c r="M97" s="85"/>
      <c r="N97" s="108">
        <f t="shared" si="40"/>
        <v>4492745.5</v>
      </c>
      <c r="P97" s="46"/>
    </row>
    <row r="98" spans="1:16" ht="93" thickTop="1" thickBot="1" x14ac:dyDescent="0.25">
      <c r="A98" s="19" t="s">
        <v>308</v>
      </c>
      <c r="B98" s="19" t="s">
        <v>309</v>
      </c>
      <c r="C98" s="19" t="s">
        <v>306</v>
      </c>
      <c r="D98" s="19" t="s">
        <v>310</v>
      </c>
      <c r="E98" s="108">
        <f>(1195320+2805840+315000)</f>
        <v>4316160</v>
      </c>
      <c r="F98" s="108">
        <v>675600</v>
      </c>
      <c r="G98" s="108">
        <v>285108.40999999997</v>
      </c>
      <c r="H98" s="101">
        <f t="shared" si="39"/>
        <v>0.42200771166370632</v>
      </c>
      <c r="I98" s="108"/>
      <c r="J98" s="108"/>
      <c r="K98" s="108"/>
      <c r="L98" s="91"/>
      <c r="M98" s="85"/>
      <c r="N98" s="108">
        <f t="shared" si="40"/>
        <v>285108.40999999997</v>
      </c>
      <c r="P98" s="46"/>
    </row>
    <row r="99" spans="1:16" ht="77.25" customHeight="1" thickTop="1" thickBot="1" x14ac:dyDescent="0.25">
      <c r="A99" s="8" t="s">
        <v>321</v>
      </c>
      <c r="B99" s="12" t="s">
        <v>322</v>
      </c>
      <c r="C99" s="12"/>
      <c r="D99" s="13" t="s">
        <v>323</v>
      </c>
      <c r="E99" s="14">
        <f>SUM(E100:E113)-E100-E103-E105-E110-E108</f>
        <v>69494042</v>
      </c>
      <c r="F99" s="14">
        <f>SUM(F100:F113)-F100-F103-F105-F110-F108</f>
        <v>19552640</v>
      </c>
      <c r="G99" s="14">
        <f>SUM(G100:G113)-G100-G103-G105-G110-G108</f>
        <v>17074323.620000001</v>
      </c>
      <c r="H99" s="100">
        <f>G99/F99</f>
        <v>0.87324901496677687</v>
      </c>
      <c r="I99" s="14">
        <f>SUM(I100:I113)-I100-I103-I105-I110-I108</f>
        <v>19448425</v>
      </c>
      <c r="J99" s="14">
        <f>SUM(J100:J113)-J100-J103-J105-J110-J108</f>
        <v>6267681.6800000006</v>
      </c>
      <c r="K99" s="100">
        <f>J99/I99</f>
        <v>0.32227194130115938</v>
      </c>
      <c r="L99" s="14"/>
      <c r="M99" s="14"/>
      <c r="N99" s="15">
        <f>J99+G99</f>
        <v>23342005.300000001</v>
      </c>
      <c r="O99" s="16" t="b">
        <f>N99=N101+N102+N104+N106+N107+N109+N111+N112+N113</f>
        <v>1</v>
      </c>
      <c r="P99" s="41"/>
    </row>
    <row r="100" spans="1:16" s="27" customFormat="1" ht="123" thickTop="1" thickBot="1" x14ac:dyDescent="0.25">
      <c r="A100" s="33" t="s">
        <v>324</v>
      </c>
      <c r="B100" s="33" t="s">
        <v>325</v>
      </c>
      <c r="C100" s="33"/>
      <c r="D100" s="33" t="s">
        <v>326</v>
      </c>
      <c r="E100" s="53">
        <f t="shared" ref="E100:J100" si="43">SUM(E101:E102)</f>
        <v>13476415</v>
      </c>
      <c r="F100" s="53">
        <f t="shared" si="43"/>
        <v>4223653</v>
      </c>
      <c r="G100" s="53">
        <f t="shared" si="43"/>
        <v>3696681.46</v>
      </c>
      <c r="H100" s="109">
        <f t="shared" si="39"/>
        <v>0.87523323057078783</v>
      </c>
      <c r="I100" s="53">
        <f t="shared" si="43"/>
        <v>0</v>
      </c>
      <c r="J100" s="53">
        <f t="shared" si="43"/>
        <v>0</v>
      </c>
      <c r="K100" s="109">
        <v>0</v>
      </c>
      <c r="L100" s="53"/>
      <c r="M100" s="53"/>
      <c r="N100" s="110">
        <f t="shared" si="40"/>
        <v>3696681.46</v>
      </c>
      <c r="O100" s="111" t="s">
        <v>476</v>
      </c>
      <c r="P100" s="50"/>
    </row>
    <row r="101" spans="1:16" s="56" customFormat="1" ht="138.75" thickTop="1" thickBot="1" x14ac:dyDescent="0.25">
      <c r="A101" s="19" t="s">
        <v>327</v>
      </c>
      <c r="B101" s="19" t="s">
        <v>328</v>
      </c>
      <c r="C101" s="19" t="s">
        <v>329</v>
      </c>
      <c r="D101" s="19" t="s">
        <v>330</v>
      </c>
      <c r="E101" s="20">
        <v>11566830</v>
      </c>
      <c r="F101" s="108">
        <v>3667590</v>
      </c>
      <c r="G101" s="108">
        <v>3208562.5</v>
      </c>
      <c r="H101" s="101">
        <f t="shared" si="39"/>
        <v>0.87484219882811332</v>
      </c>
      <c r="I101" s="108"/>
      <c r="J101" s="108"/>
      <c r="K101" s="108"/>
      <c r="L101" s="91"/>
      <c r="M101" s="85"/>
      <c r="N101" s="108">
        <f t="shared" si="40"/>
        <v>3208562.5</v>
      </c>
      <c r="O101" s="54"/>
      <c r="P101" s="55"/>
    </row>
    <row r="102" spans="1:16" s="56" customFormat="1" ht="138.75" thickTop="1" thickBot="1" x14ac:dyDescent="0.25">
      <c r="A102" s="19" t="s">
        <v>331</v>
      </c>
      <c r="B102" s="19" t="s">
        <v>332</v>
      </c>
      <c r="C102" s="19" t="s">
        <v>329</v>
      </c>
      <c r="D102" s="19" t="s">
        <v>333</v>
      </c>
      <c r="E102" s="20">
        <v>1909585</v>
      </c>
      <c r="F102" s="108">
        <v>556063</v>
      </c>
      <c r="G102" s="108">
        <v>488118.96</v>
      </c>
      <c r="H102" s="101">
        <f t="shared" si="39"/>
        <v>0.87781233421392901</v>
      </c>
      <c r="I102" s="108"/>
      <c r="J102" s="108"/>
      <c r="K102" s="108"/>
      <c r="L102" s="91"/>
      <c r="M102" s="85"/>
      <c r="N102" s="108">
        <f t="shared" si="40"/>
        <v>488118.96</v>
      </c>
      <c r="O102" s="54"/>
      <c r="P102" s="55"/>
    </row>
    <row r="103" spans="1:16" s="27" customFormat="1" ht="184.5" thickTop="1" thickBot="1" x14ac:dyDescent="0.25">
      <c r="A103" s="33" t="s">
        <v>334</v>
      </c>
      <c r="B103" s="33" t="s">
        <v>335</v>
      </c>
      <c r="C103" s="33"/>
      <c r="D103" s="33" t="s">
        <v>336</v>
      </c>
      <c r="E103" s="53">
        <f t="shared" ref="E103:J103" si="44">E104</f>
        <v>60300</v>
      </c>
      <c r="F103" s="53">
        <f t="shared" si="44"/>
        <v>16000</v>
      </c>
      <c r="G103" s="53">
        <f t="shared" si="44"/>
        <v>0</v>
      </c>
      <c r="H103" s="109">
        <f t="shared" si="39"/>
        <v>0</v>
      </c>
      <c r="I103" s="53">
        <f t="shared" si="44"/>
        <v>0</v>
      </c>
      <c r="J103" s="53">
        <f t="shared" si="44"/>
        <v>0</v>
      </c>
      <c r="K103" s="109">
        <v>0</v>
      </c>
      <c r="L103" s="53"/>
      <c r="M103" s="53"/>
      <c r="N103" s="110">
        <f t="shared" si="40"/>
        <v>0</v>
      </c>
      <c r="O103" s="111" t="s">
        <v>476</v>
      </c>
      <c r="P103" s="57"/>
    </row>
    <row r="104" spans="1:16" s="56" customFormat="1" ht="184.5" thickTop="1" thickBot="1" x14ac:dyDescent="0.25">
      <c r="A104" s="19" t="s">
        <v>337</v>
      </c>
      <c r="B104" s="19" t="s">
        <v>338</v>
      </c>
      <c r="C104" s="19" t="s">
        <v>329</v>
      </c>
      <c r="D104" s="19" t="s">
        <v>339</v>
      </c>
      <c r="E104" s="20">
        <f>(4295+56005)</f>
        <v>60300</v>
      </c>
      <c r="F104" s="20">
        <v>16000</v>
      </c>
      <c r="G104" s="20">
        <v>0</v>
      </c>
      <c r="H104" s="101">
        <f t="shared" si="39"/>
        <v>0</v>
      </c>
      <c r="I104" s="108"/>
      <c r="J104" s="20"/>
      <c r="K104" s="20"/>
      <c r="L104" s="20"/>
      <c r="M104" s="119"/>
      <c r="N104" s="108">
        <f t="shared" si="40"/>
        <v>0</v>
      </c>
      <c r="O104" s="54"/>
      <c r="P104" s="55"/>
    </row>
    <row r="105" spans="1:16" ht="93" thickTop="1" thickBot="1" x14ac:dyDescent="0.25">
      <c r="A105" s="33" t="s">
        <v>340</v>
      </c>
      <c r="B105" s="33" t="s">
        <v>341</v>
      </c>
      <c r="C105" s="33"/>
      <c r="D105" s="33" t="s">
        <v>342</v>
      </c>
      <c r="E105" s="53">
        <f t="shared" ref="E105:J105" si="45">SUM(E106:E107)</f>
        <v>52163915</v>
      </c>
      <c r="F105" s="53">
        <f t="shared" si="45"/>
        <v>14321837</v>
      </c>
      <c r="G105" s="53">
        <f t="shared" si="45"/>
        <v>12629141.899999999</v>
      </c>
      <c r="H105" s="109">
        <f t="shared" si="39"/>
        <v>0.88181019655509263</v>
      </c>
      <c r="I105" s="53">
        <f t="shared" si="45"/>
        <v>2418425</v>
      </c>
      <c r="J105" s="53">
        <f t="shared" si="45"/>
        <v>472629.37</v>
      </c>
      <c r="K105" s="109">
        <f t="shared" ref="K105:K110" si="46">J105/I105</f>
        <v>0.19542858265193255</v>
      </c>
      <c r="L105" s="94"/>
      <c r="M105" s="94"/>
      <c r="N105" s="110">
        <f t="shared" si="40"/>
        <v>13101771.269999998</v>
      </c>
      <c r="P105" s="41"/>
    </row>
    <row r="106" spans="1:16" s="56" customFormat="1" ht="184.5" thickTop="1" thickBot="1" x14ac:dyDescent="0.25">
      <c r="A106" s="19" t="s">
        <v>343</v>
      </c>
      <c r="B106" s="19" t="s">
        <v>344</v>
      </c>
      <c r="C106" s="19" t="s">
        <v>329</v>
      </c>
      <c r="D106" s="19" t="s">
        <v>345</v>
      </c>
      <c r="E106" s="20">
        <v>44066325</v>
      </c>
      <c r="F106" s="20">
        <v>12064005</v>
      </c>
      <c r="G106" s="20">
        <v>10497965.529999999</v>
      </c>
      <c r="H106" s="101">
        <f t="shared" si="39"/>
        <v>0.87018908977574194</v>
      </c>
      <c r="I106" s="20">
        <v>2403225</v>
      </c>
      <c r="J106" s="20">
        <v>457429.37</v>
      </c>
      <c r="K106" s="101">
        <f t="shared" si="46"/>
        <v>0.19033980172476567</v>
      </c>
      <c r="L106" s="82"/>
      <c r="M106" s="85"/>
      <c r="N106" s="108">
        <f t="shared" si="40"/>
        <v>10955394.899999999</v>
      </c>
      <c r="O106" s="54"/>
      <c r="P106" s="55"/>
    </row>
    <row r="107" spans="1:16" s="56" customFormat="1" ht="184.5" thickTop="1" thickBot="1" x14ac:dyDescent="0.25">
      <c r="A107" s="19" t="s">
        <v>346</v>
      </c>
      <c r="B107" s="19" t="s">
        <v>347</v>
      </c>
      <c r="C107" s="19" t="s">
        <v>329</v>
      </c>
      <c r="D107" s="19" t="s">
        <v>348</v>
      </c>
      <c r="E107" s="20">
        <v>8097590</v>
      </c>
      <c r="F107" s="20">
        <v>2257832</v>
      </c>
      <c r="G107" s="20">
        <v>2131176.37</v>
      </c>
      <c r="H107" s="101">
        <f t="shared" si="39"/>
        <v>0.9439038732731222</v>
      </c>
      <c r="I107" s="20">
        <v>15200</v>
      </c>
      <c r="J107" s="20">
        <v>15200</v>
      </c>
      <c r="K107" s="101">
        <f t="shared" si="46"/>
        <v>1</v>
      </c>
      <c r="L107" s="82"/>
      <c r="M107" s="85"/>
      <c r="N107" s="108">
        <f t="shared" si="40"/>
        <v>2146376.37</v>
      </c>
      <c r="O107" s="54"/>
      <c r="P107" s="55"/>
    </row>
    <row r="108" spans="1:16" s="56" customFormat="1" ht="93" thickTop="1" thickBot="1" x14ac:dyDescent="0.25">
      <c r="A108" s="19"/>
      <c r="B108" s="33" t="s">
        <v>409</v>
      </c>
      <c r="C108" s="33"/>
      <c r="D108" s="33" t="s">
        <v>410</v>
      </c>
      <c r="E108" s="53">
        <f t="shared" ref="E108:J108" si="47">E109</f>
        <v>0</v>
      </c>
      <c r="F108" s="53">
        <f t="shared" si="47"/>
        <v>0</v>
      </c>
      <c r="G108" s="53">
        <f t="shared" si="47"/>
        <v>0</v>
      </c>
      <c r="H108" s="109">
        <v>0</v>
      </c>
      <c r="I108" s="53">
        <f t="shared" si="47"/>
        <v>17000000</v>
      </c>
      <c r="J108" s="53">
        <f t="shared" si="47"/>
        <v>5765052.3099999996</v>
      </c>
      <c r="K108" s="109">
        <f t="shared" si="46"/>
        <v>0.33912072411764704</v>
      </c>
      <c r="L108" s="94"/>
      <c r="M108" s="94"/>
      <c r="N108" s="110">
        <f t="shared" si="40"/>
        <v>5765052.3099999996</v>
      </c>
      <c r="O108" s="54"/>
      <c r="P108" s="55"/>
    </row>
    <row r="109" spans="1:16" s="56" customFormat="1" ht="321.75" thickTop="1" thickBot="1" x14ac:dyDescent="0.25">
      <c r="A109" s="19"/>
      <c r="B109" s="19" t="s">
        <v>411</v>
      </c>
      <c r="C109" s="19" t="s">
        <v>329</v>
      </c>
      <c r="D109" s="19" t="s">
        <v>412</v>
      </c>
      <c r="E109" s="108"/>
      <c r="F109" s="108"/>
      <c r="G109" s="108"/>
      <c r="H109" s="101"/>
      <c r="I109" s="108">
        <f>(8000000+2000000+7000000)</f>
        <v>17000000</v>
      </c>
      <c r="J109" s="108">
        <v>5765052.3099999996</v>
      </c>
      <c r="K109" s="101">
        <f t="shared" si="46"/>
        <v>0.33912072411764704</v>
      </c>
      <c r="L109" s="91"/>
      <c r="M109" s="85"/>
      <c r="N109" s="108">
        <f t="shared" si="40"/>
        <v>5765052.3099999996</v>
      </c>
      <c r="O109" s="54"/>
      <c r="P109" s="55"/>
    </row>
    <row r="110" spans="1:16" ht="93" thickTop="1" thickBot="1" x14ac:dyDescent="0.25">
      <c r="A110" s="58" t="s">
        <v>349</v>
      </c>
      <c r="B110" s="33" t="s">
        <v>350</v>
      </c>
      <c r="C110" s="33"/>
      <c r="D110" s="33" t="s">
        <v>351</v>
      </c>
      <c r="E110" s="53">
        <f t="shared" ref="E110:J110" si="48">SUM(E111:E113)</f>
        <v>3793412</v>
      </c>
      <c r="F110" s="53">
        <f t="shared" si="48"/>
        <v>991150</v>
      </c>
      <c r="G110" s="53">
        <f t="shared" si="48"/>
        <v>748500.26</v>
      </c>
      <c r="H110" s="109">
        <f t="shared" si="39"/>
        <v>0.75518363517126574</v>
      </c>
      <c r="I110" s="53">
        <f t="shared" si="48"/>
        <v>30000</v>
      </c>
      <c r="J110" s="53">
        <f t="shared" si="48"/>
        <v>30000</v>
      </c>
      <c r="K110" s="109">
        <f t="shared" si="46"/>
        <v>1</v>
      </c>
      <c r="L110" s="94"/>
      <c r="M110" s="94"/>
      <c r="N110" s="110">
        <f t="shared" si="40"/>
        <v>778500.26</v>
      </c>
      <c r="P110" s="41"/>
    </row>
    <row r="111" spans="1:16" s="56" customFormat="1" ht="276" thickTop="1" thickBot="1" x14ac:dyDescent="0.25">
      <c r="A111" s="59" t="s">
        <v>352</v>
      </c>
      <c r="B111" s="59" t="s">
        <v>353</v>
      </c>
      <c r="C111" s="59" t="s">
        <v>329</v>
      </c>
      <c r="D111" s="19" t="s">
        <v>354</v>
      </c>
      <c r="E111" s="20">
        <v>112820</v>
      </c>
      <c r="F111" s="108">
        <v>58540</v>
      </c>
      <c r="G111" s="108">
        <v>2140</v>
      </c>
      <c r="H111" s="101">
        <f t="shared" si="39"/>
        <v>3.6556200888281515E-2</v>
      </c>
      <c r="I111" s="108"/>
      <c r="J111" s="108"/>
      <c r="K111" s="108"/>
      <c r="L111" s="91"/>
      <c r="M111" s="85"/>
      <c r="N111" s="108">
        <f t="shared" si="40"/>
        <v>2140</v>
      </c>
      <c r="O111" s="54"/>
      <c r="P111" s="55"/>
    </row>
    <row r="112" spans="1:16" s="56" customFormat="1" ht="184.5" thickTop="1" thickBot="1" x14ac:dyDescent="0.25">
      <c r="A112" s="59" t="s">
        <v>355</v>
      </c>
      <c r="B112" s="59" t="s">
        <v>356</v>
      </c>
      <c r="C112" s="59" t="s">
        <v>329</v>
      </c>
      <c r="D112" s="19" t="s">
        <v>357</v>
      </c>
      <c r="E112" s="20">
        <v>1968927</v>
      </c>
      <c r="F112" s="108">
        <v>520710</v>
      </c>
      <c r="G112" s="108">
        <v>364470</v>
      </c>
      <c r="H112" s="101">
        <f t="shared" si="39"/>
        <v>0.69994814772138048</v>
      </c>
      <c r="I112" s="108"/>
      <c r="J112" s="108"/>
      <c r="K112" s="108"/>
      <c r="L112" s="91"/>
      <c r="M112" s="85"/>
      <c r="N112" s="108">
        <f t="shared" si="40"/>
        <v>364470</v>
      </c>
      <c r="O112" s="54"/>
      <c r="P112" s="55"/>
    </row>
    <row r="113" spans="1:16" s="56" customFormat="1" ht="93" thickTop="1" thickBot="1" x14ac:dyDescent="0.25">
      <c r="A113" s="59" t="s">
        <v>358</v>
      </c>
      <c r="B113" s="59" t="s">
        <v>359</v>
      </c>
      <c r="C113" s="59" t="s">
        <v>329</v>
      </c>
      <c r="D113" s="19" t="s">
        <v>360</v>
      </c>
      <c r="E113" s="20">
        <f>(1206730+265480+98410+141045)</f>
        <v>1711665</v>
      </c>
      <c r="F113" s="108">
        <v>411900</v>
      </c>
      <c r="G113" s="108">
        <v>381890.26</v>
      </c>
      <c r="H113" s="101">
        <f t="shared" si="39"/>
        <v>0.92714314153920852</v>
      </c>
      <c r="I113" s="108">
        <f>(30000)</f>
        <v>30000</v>
      </c>
      <c r="J113" s="108">
        <v>30000</v>
      </c>
      <c r="K113" s="101">
        <f t="shared" ref="K113:K116" si="49">J113/I113</f>
        <v>1</v>
      </c>
      <c r="L113" s="91"/>
      <c r="M113" s="85"/>
      <c r="N113" s="108">
        <f t="shared" si="40"/>
        <v>411890.26</v>
      </c>
      <c r="O113" s="54"/>
      <c r="P113" s="55"/>
    </row>
    <row r="114" spans="1:16" ht="91.5" thickTop="1" thickBot="1" x14ac:dyDescent="0.25">
      <c r="A114" s="8" t="s">
        <v>363</v>
      </c>
      <c r="B114" s="12" t="s">
        <v>271</v>
      </c>
      <c r="C114" s="12"/>
      <c r="D114" s="13" t="s">
        <v>272</v>
      </c>
      <c r="E114" s="14">
        <f>SUM(E115:E125)-E115-E123</f>
        <v>202210323</v>
      </c>
      <c r="F114" s="14">
        <f>SUM(F115:F125)-F115-F123</f>
        <v>65086507</v>
      </c>
      <c r="G114" s="14">
        <f>SUM(G115:G125)-G115-G123</f>
        <v>63496905.660000004</v>
      </c>
      <c r="H114" s="100">
        <f>G114/F114</f>
        <v>0.97557709864503872</v>
      </c>
      <c r="I114" s="14">
        <f>SUM(I115:I125)-I115-I123</f>
        <v>48381165</v>
      </c>
      <c r="J114" s="14">
        <f>SUM(J115:J125)-J115-J123</f>
        <v>1117567.8999999999</v>
      </c>
      <c r="K114" s="100">
        <f>J114/I114</f>
        <v>2.3099235001885546E-2</v>
      </c>
      <c r="L114" s="14"/>
      <c r="M114" s="14"/>
      <c r="N114" s="15">
        <f>J114+G114</f>
        <v>64614473.560000002</v>
      </c>
      <c r="O114" s="16" t="b">
        <f>N114=N116+N117+N118+N119+N120+N121+N122+N124+N125</f>
        <v>1</v>
      </c>
      <c r="P114" s="61"/>
    </row>
    <row r="115" spans="1:16" s="27" customFormat="1" ht="184.5" thickTop="1" thickBot="1" x14ac:dyDescent="0.25">
      <c r="A115" s="33" t="s">
        <v>364</v>
      </c>
      <c r="B115" s="29" t="s">
        <v>365</v>
      </c>
      <c r="C115" s="29"/>
      <c r="D115" s="29" t="s">
        <v>366</v>
      </c>
      <c r="E115" s="115">
        <f t="shared" ref="E115:J115" si="50">SUM(E116:E120)</f>
        <v>34976300</v>
      </c>
      <c r="F115" s="115">
        <f t="shared" si="50"/>
        <v>31224000</v>
      </c>
      <c r="G115" s="115">
        <f t="shared" si="50"/>
        <v>31097253.039999999</v>
      </c>
      <c r="H115" s="109">
        <f t="shared" ref="H115:H120" si="51">G115/F115</f>
        <v>0.9959407199590059</v>
      </c>
      <c r="I115" s="115">
        <f t="shared" si="50"/>
        <v>28466001</v>
      </c>
      <c r="J115" s="115">
        <f t="shared" si="50"/>
        <v>336004.87</v>
      </c>
      <c r="K115" s="109">
        <f t="shared" si="49"/>
        <v>1.1803725785016308E-2</v>
      </c>
      <c r="L115" s="96"/>
      <c r="M115" s="96"/>
      <c r="N115" s="110">
        <f t="shared" ref="N115:N150" si="52">G115+J115</f>
        <v>31433257.91</v>
      </c>
      <c r="O115" s="31"/>
      <c r="P115" s="61"/>
    </row>
    <row r="116" spans="1:16" ht="138.75" thickTop="1" thickBot="1" x14ac:dyDescent="0.25">
      <c r="A116" s="19" t="s">
        <v>367</v>
      </c>
      <c r="B116" s="19" t="s">
        <v>368</v>
      </c>
      <c r="C116" s="19" t="s">
        <v>275</v>
      </c>
      <c r="D116" s="19" t="s">
        <v>369</v>
      </c>
      <c r="E116" s="20">
        <v>2675300</v>
      </c>
      <c r="F116" s="20">
        <v>45000</v>
      </c>
      <c r="G116" s="20">
        <v>0</v>
      </c>
      <c r="H116" s="101">
        <f t="shared" si="51"/>
        <v>0</v>
      </c>
      <c r="I116" s="20">
        <v>10345240</v>
      </c>
      <c r="J116" s="134">
        <v>11353</v>
      </c>
      <c r="K116" s="101">
        <f t="shared" si="49"/>
        <v>1.09741291647173E-3</v>
      </c>
      <c r="L116" s="83"/>
      <c r="M116" s="85"/>
      <c r="N116" s="108">
        <f t="shared" si="52"/>
        <v>11353</v>
      </c>
      <c r="P116" s="61"/>
    </row>
    <row r="117" spans="1:16" ht="138.75" thickTop="1" thickBot="1" x14ac:dyDescent="0.25">
      <c r="A117" s="19"/>
      <c r="B117" s="19" t="s">
        <v>389</v>
      </c>
      <c r="C117" s="19" t="s">
        <v>372</v>
      </c>
      <c r="D117" s="19" t="s">
        <v>390</v>
      </c>
      <c r="E117" s="20">
        <v>28000000</v>
      </c>
      <c r="F117" s="20">
        <v>28000000</v>
      </c>
      <c r="G117" s="20">
        <v>28000000</v>
      </c>
      <c r="H117" s="101">
        <f t="shared" si="51"/>
        <v>1</v>
      </c>
      <c r="I117" s="20"/>
      <c r="J117" s="134"/>
      <c r="K117" s="134"/>
      <c r="L117" s="83"/>
      <c r="M117" s="85"/>
      <c r="N117" s="108">
        <f t="shared" si="52"/>
        <v>28000000</v>
      </c>
      <c r="P117" s="61"/>
    </row>
    <row r="118" spans="1:16" ht="138.75" thickTop="1" thickBot="1" x14ac:dyDescent="0.25">
      <c r="A118" s="19"/>
      <c r="B118" s="19" t="s">
        <v>391</v>
      </c>
      <c r="C118" s="19" t="s">
        <v>372</v>
      </c>
      <c r="D118" s="113" t="s">
        <v>392</v>
      </c>
      <c r="E118" s="20">
        <v>3751000</v>
      </c>
      <c r="F118" s="20">
        <v>3159000</v>
      </c>
      <c r="G118" s="20">
        <v>3078907.73</v>
      </c>
      <c r="H118" s="101">
        <f t="shared" si="51"/>
        <v>0.97464632162076603</v>
      </c>
      <c r="I118" s="20"/>
      <c r="J118" s="134"/>
      <c r="K118" s="134"/>
      <c r="L118" s="83"/>
      <c r="M118" s="85"/>
      <c r="N118" s="108">
        <f t="shared" si="52"/>
        <v>3078907.73</v>
      </c>
      <c r="P118" s="61"/>
    </row>
    <row r="119" spans="1:16" ht="138.75" thickTop="1" thickBot="1" x14ac:dyDescent="0.25">
      <c r="A119" s="19" t="s">
        <v>370</v>
      </c>
      <c r="B119" s="19" t="s">
        <v>371</v>
      </c>
      <c r="C119" s="19" t="s">
        <v>372</v>
      </c>
      <c r="D119" s="19" t="s">
        <v>373</v>
      </c>
      <c r="E119" s="20"/>
      <c r="F119" s="20"/>
      <c r="G119" s="20"/>
      <c r="H119" s="20"/>
      <c r="I119" s="20">
        <v>5000000</v>
      </c>
      <c r="J119" s="134">
        <v>298925.87</v>
      </c>
      <c r="K119" s="101">
        <f t="shared" ref="K119:K124" si="53">J119/I119</f>
        <v>5.9785173999999996E-2</v>
      </c>
      <c r="L119" s="83"/>
      <c r="M119" s="85"/>
      <c r="N119" s="108">
        <f t="shared" si="52"/>
        <v>298925.87</v>
      </c>
      <c r="P119" s="61"/>
    </row>
    <row r="120" spans="1:16" ht="184.5" thickTop="1" thickBot="1" x14ac:dyDescent="0.25">
      <c r="A120" s="19" t="s">
        <v>374</v>
      </c>
      <c r="B120" s="19" t="s">
        <v>375</v>
      </c>
      <c r="C120" s="19" t="s">
        <v>372</v>
      </c>
      <c r="D120" s="19" t="s">
        <v>376</v>
      </c>
      <c r="E120" s="20">
        <v>550000</v>
      </c>
      <c r="F120" s="20">
        <v>20000</v>
      </c>
      <c r="G120" s="20">
        <v>18345.310000000001</v>
      </c>
      <c r="H120" s="101">
        <f t="shared" si="51"/>
        <v>0.91726550000000007</v>
      </c>
      <c r="I120" s="20">
        <f>13120761</f>
        <v>13120761</v>
      </c>
      <c r="J120" s="134">
        <v>25726</v>
      </c>
      <c r="K120" s="101">
        <f t="shared" si="53"/>
        <v>1.9607094436062053E-3</v>
      </c>
      <c r="L120" s="83"/>
      <c r="M120" s="85"/>
      <c r="N120" s="108">
        <f t="shared" si="52"/>
        <v>44071.31</v>
      </c>
      <c r="P120" s="61"/>
    </row>
    <row r="121" spans="1:16" ht="230.25" thickTop="1" thickBot="1" x14ac:dyDescent="0.25">
      <c r="A121" s="19" t="s">
        <v>377</v>
      </c>
      <c r="B121" s="19" t="s">
        <v>378</v>
      </c>
      <c r="C121" s="19" t="s">
        <v>372</v>
      </c>
      <c r="D121" s="19" t="s">
        <v>379</v>
      </c>
      <c r="E121" s="20">
        <v>3430000</v>
      </c>
      <c r="F121" s="20">
        <v>0</v>
      </c>
      <c r="G121" s="20">
        <v>0</v>
      </c>
      <c r="H121" s="101">
        <v>0</v>
      </c>
      <c r="I121" s="20"/>
      <c r="J121" s="134"/>
      <c r="K121" s="134"/>
      <c r="L121" s="83"/>
      <c r="M121" s="85"/>
      <c r="N121" s="108">
        <f t="shared" si="52"/>
        <v>0</v>
      </c>
      <c r="O121" s="111" t="s">
        <v>476</v>
      </c>
      <c r="P121" s="61"/>
    </row>
    <row r="122" spans="1:16" ht="93" thickTop="1" thickBot="1" x14ac:dyDescent="0.25">
      <c r="A122" s="19"/>
      <c r="B122" s="19" t="s">
        <v>381</v>
      </c>
      <c r="C122" s="19" t="s">
        <v>372</v>
      </c>
      <c r="D122" s="19" t="s">
        <v>382</v>
      </c>
      <c r="E122" s="20">
        <v>163786023</v>
      </c>
      <c r="F122" s="20">
        <v>33862507</v>
      </c>
      <c r="G122" s="20">
        <v>32399652.620000001</v>
      </c>
      <c r="H122" s="101">
        <f t="shared" ref="H122" si="54">G122/F122</f>
        <v>0.95680017489549729</v>
      </c>
      <c r="I122" s="108">
        <v>15915164</v>
      </c>
      <c r="J122" s="20">
        <v>781563.03</v>
      </c>
      <c r="K122" s="101">
        <f t="shared" si="53"/>
        <v>4.9108072653225567E-2</v>
      </c>
      <c r="L122" s="82"/>
      <c r="M122" s="85"/>
      <c r="N122" s="108">
        <f t="shared" si="52"/>
        <v>33181215.650000002</v>
      </c>
      <c r="O122" s="117"/>
      <c r="P122" s="61"/>
    </row>
    <row r="123" spans="1:16" ht="123" thickTop="1" thickBot="1" x14ac:dyDescent="0.25">
      <c r="A123" s="19"/>
      <c r="B123" s="33" t="s">
        <v>273</v>
      </c>
      <c r="C123" s="33"/>
      <c r="D123" s="33" t="s">
        <v>477</v>
      </c>
      <c r="E123" s="53">
        <f>SUM(E124:E125)</f>
        <v>18000</v>
      </c>
      <c r="F123" s="53">
        <f>SUM(F124:F125)</f>
        <v>0</v>
      </c>
      <c r="G123" s="53">
        <f>SUM(G124:G125)</f>
        <v>0</v>
      </c>
      <c r="H123" s="101">
        <v>0</v>
      </c>
      <c r="I123" s="53">
        <f>SUM(I124:I125)</f>
        <v>4000000</v>
      </c>
      <c r="J123" s="53">
        <f>SUM(J124:J125)</f>
        <v>0</v>
      </c>
      <c r="K123" s="101">
        <f t="shared" si="53"/>
        <v>0</v>
      </c>
      <c r="L123" s="94"/>
      <c r="M123" s="92"/>
      <c r="N123" s="110">
        <f t="shared" si="52"/>
        <v>0</v>
      </c>
      <c r="O123" s="111" t="s">
        <v>476</v>
      </c>
      <c r="P123" s="61"/>
    </row>
    <row r="124" spans="1:16" ht="138.75" thickTop="1" thickBot="1" x14ac:dyDescent="0.25">
      <c r="A124" s="19" t="s">
        <v>380</v>
      </c>
      <c r="B124" s="19" t="s">
        <v>274</v>
      </c>
      <c r="C124" s="19"/>
      <c r="D124" s="19" t="s">
        <v>478</v>
      </c>
      <c r="E124" s="20"/>
      <c r="F124" s="20"/>
      <c r="G124" s="20"/>
      <c r="H124" s="101"/>
      <c r="I124" s="108">
        <v>4000000</v>
      </c>
      <c r="J124" s="20">
        <v>0</v>
      </c>
      <c r="K124" s="101">
        <f t="shared" si="53"/>
        <v>0</v>
      </c>
      <c r="L124" s="82"/>
      <c r="M124" s="85"/>
      <c r="N124" s="108">
        <f t="shared" si="52"/>
        <v>0</v>
      </c>
      <c r="P124" s="46"/>
    </row>
    <row r="125" spans="1:16" ht="276" thickTop="1" thickBot="1" x14ac:dyDescent="0.25">
      <c r="A125" s="19"/>
      <c r="B125" s="118" t="s">
        <v>361</v>
      </c>
      <c r="C125" s="118" t="s">
        <v>275</v>
      </c>
      <c r="D125" s="113" t="s">
        <v>362</v>
      </c>
      <c r="E125" s="20">
        <v>18000</v>
      </c>
      <c r="F125" s="108">
        <v>0</v>
      </c>
      <c r="G125" s="108">
        <v>0</v>
      </c>
      <c r="H125" s="101">
        <v>0</v>
      </c>
      <c r="I125" s="108"/>
      <c r="J125" s="108"/>
      <c r="K125" s="108"/>
      <c r="L125" s="108"/>
      <c r="M125" s="119"/>
      <c r="N125" s="108">
        <f t="shared" si="52"/>
        <v>0</v>
      </c>
      <c r="O125" s="111" t="s">
        <v>476</v>
      </c>
      <c r="P125" s="46"/>
    </row>
    <row r="126" spans="1:16" s="67" customFormat="1" ht="101.25" customHeight="1" thickTop="1" thickBot="1" x14ac:dyDescent="0.25">
      <c r="A126" s="103" t="s">
        <v>383</v>
      </c>
      <c r="B126" s="12" t="s">
        <v>35</v>
      </c>
      <c r="C126" s="12"/>
      <c r="D126" s="13" t="s">
        <v>384</v>
      </c>
      <c r="E126" s="14">
        <f>E127+E129+E136+E141+E143</f>
        <v>117144011</v>
      </c>
      <c r="F126" s="14">
        <f>F127+F129+F136+F141+F143</f>
        <v>24149945</v>
      </c>
      <c r="G126" s="14">
        <f>G127+G129+G136+G141+G143</f>
        <v>23034248.240000002</v>
      </c>
      <c r="H126" s="100">
        <f>G126/F126</f>
        <v>0.95380127118301938</v>
      </c>
      <c r="I126" s="14">
        <f>I127+I129+I136+I141+I143</f>
        <v>183743071.57999998</v>
      </c>
      <c r="J126" s="14">
        <f>J127+J129+J136+J141+J143</f>
        <v>20475409.550000001</v>
      </c>
      <c r="K126" s="100">
        <f>J126/I126</f>
        <v>0.11143500200542365</v>
      </c>
      <c r="L126" s="14"/>
      <c r="M126" s="14"/>
      <c r="N126" s="15">
        <f>J126+G126</f>
        <v>43509657.790000007</v>
      </c>
      <c r="O126" s="16" t="b">
        <f>N126=N128+N130+N132+N133+N134+N135+N138+N140+N142+N144+N145+N146+N147+N148+N149+N151+N153</f>
        <v>1</v>
      </c>
      <c r="P126" s="116"/>
    </row>
    <row r="127" spans="1:16" s="67" customFormat="1" ht="91.5" thickTop="1" thickBot="1" x14ac:dyDescent="0.25">
      <c r="A127" s="103"/>
      <c r="B127" s="26" t="s">
        <v>447</v>
      </c>
      <c r="C127" s="26"/>
      <c r="D127" s="26" t="s">
        <v>448</v>
      </c>
      <c r="E127" s="121">
        <f t="shared" ref="E127:J127" si="55">SUM(E128)</f>
        <v>0</v>
      </c>
      <c r="F127" s="121">
        <f t="shared" si="55"/>
        <v>0</v>
      </c>
      <c r="G127" s="121">
        <f t="shared" si="55"/>
        <v>0</v>
      </c>
      <c r="H127" s="120">
        <v>0</v>
      </c>
      <c r="I127" s="121">
        <f t="shared" si="55"/>
        <v>200000</v>
      </c>
      <c r="J127" s="121">
        <f t="shared" si="55"/>
        <v>16700</v>
      </c>
      <c r="K127" s="120">
        <f t="shared" ref="K127:K129" si="56">J127/I127</f>
        <v>8.3500000000000005E-2</v>
      </c>
      <c r="L127" s="89"/>
      <c r="M127" s="89"/>
      <c r="N127" s="121">
        <f t="shared" si="52"/>
        <v>16700</v>
      </c>
      <c r="O127" s="68"/>
      <c r="P127" s="116"/>
    </row>
    <row r="128" spans="1:16" s="67" customFormat="1" ht="93" thickTop="1" thickBot="1" x14ac:dyDescent="0.25">
      <c r="A128" s="103"/>
      <c r="B128" s="19" t="s">
        <v>449</v>
      </c>
      <c r="C128" s="19" t="s">
        <v>450</v>
      </c>
      <c r="D128" s="19" t="s">
        <v>451</v>
      </c>
      <c r="E128" s="108"/>
      <c r="F128" s="108"/>
      <c r="G128" s="108"/>
      <c r="H128" s="108"/>
      <c r="I128" s="108">
        <v>200000</v>
      </c>
      <c r="J128" s="108">
        <v>16700</v>
      </c>
      <c r="K128" s="101">
        <f>J128/I128</f>
        <v>8.3500000000000005E-2</v>
      </c>
      <c r="L128" s="91"/>
      <c r="M128" s="85"/>
      <c r="N128" s="108">
        <f t="shared" si="52"/>
        <v>16700</v>
      </c>
      <c r="O128" s="68"/>
      <c r="P128" s="116"/>
    </row>
    <row r="129" spans="1:16" s="67" customFormat="1" ht="91.5" thickTop="1" thickBot="1" x14ac:dyDescent="0.25">
      <c r="A129" s="103"/>
      <c r="B129" s="26" t="s">
        <v>276</v>
      </c>
      <c r="C129" s="26"/>
      <c r="D129" s="26" t="s">
        <v>277</v>
      </c>
      <c r="E129" s="60">
        <f>SUM(E130:E135)-E131</f>
        <v>0</v>
      </c>
      <c r="F129" s="60">
        <f>SUM(F130:F135)-F131</f>
        <v>0</v>
      </c>
      <c r="G129" s="60">
        <f>SUM(G130:G135)-G131</f>
        <v>0</v>
      </c>
      <c r="H129" s="120">
        <v>0</v>
      </c>
      <c r="I129" s="60">
        <f>SUM(I130:I135)-I131</f>
        <v>56834125</v>
      </c>
      <c r="J129" s="60">
        <f>SUM(J130:J135)-J131</f>
        <v>17379047.649999999</v>
      </c>
      <c r="K129" s="120">
        <f t="shared" si="56"/>
        <v>0.30578543524686969</v>
      </c>
      <c r="L129" s="95"/>
      <c r="M129" s="95"/>
      <c r="N129" s="121">
        <f t="shared" si="52"/>
        <v>17379047.649999999</v>
      </c>
      <c r="O129" s="68"/>
      <c r="P129" s="116"/>
    </row>
    <row r="130" spans="1:16" s="67" customFormat="1" ht="99.75" thickTop="1" thickBot="1" x14ac:dyDescent="0.25">
      <c r="A130" s="103"/>
      <c r="B130" s="19" t="s">
        <v>393</v>
      </c>
      <c r="C130" s="19" t="s">
        <v>280</v>
      </c>
      <c r="D130" s="19" t="s">
        <v>394</v>
      </c>
      <c r="E130" s="20"/>
      <c r="F130" s="20"/>
      <c r="G130" s="20"/>
      <c r="H130" s="20"/>
      <c r="I130" s="108">
        <v>5200000</v>
      </c>
      <c r="J130" s="20">
        <v>0</v>
      </c>
      <c r="K130" s="101">
        <f>J130/I130</f>
        <v>0</v>
      </c>
      <c r="L130" s="82"/>
      <c r="M130" s="85"/>
      <c r="N130" s="108">
        <f t="shared" si="52"/>
        <v>0</v>
      </c>
      <c r="O130" s="68"/>
      <c r="P130" s="116"/>
    </row>
    <row r="131" spans="1:16" s="67" customFormat="1" ht="146.25" thickTop="1" thickBot="1" x14ac:dyDescent="0.25">
      <c r="A131" s="103"/>
      <c r="B131" s="33" t="s">
        <v>278</v>
      </c>
      <c r="C131" s="33"/>
      <c r="D131" s="33" t="s">
        <v>279</v>
      </c>
      <c r="E131" s="110">
        <f t="shared" ref="E131:G131" si="57">SUM(E132:E133)</f>
        <v>0</v>
      </c>
      <c r="F131" s="110">
        <f t="shared" si="57"/>
        <v>0</v>
      </c>
      <c r="G131" s="110">
        <f t="shared" si="57"/>
        <v>0</v>
      </c>
      <c r="H131" s="109">
        <v>0</v>
      </c>
      <c r="I131" s="110">
        <f t="shared" ref="I131:J131" si="58">SUM(I132:I133)</f>
        <v>7055987</v>
      </c>
      <c r="J131" s="110">
        <f t="shared" si="58"/>
        <v>4293552.79</v>
      </c>
      <c r="K131" s="109">
        <f t="shared" ref="K131:K132" si="59">J131/I131</f>
        <v>0.60849783169951988</v>
      </c>
      <c r="L131" s="90"/>
      <c r="M131" s="90"/>
      <c r="N131" s="110">
        <f t="shared" si="52"/>
        <v>4293552.79</v>
      </c>
      <c r="O131" s="68"/>
      <c r="P131" s="116"/>
    </row>
    <row r="132" spans="1:16" s="67" customFormat="1" ht="99.75" thickTop="1" thickBot="1" x14ac:dyDescent="0.25">
      <c r="A132" s="103"/>
      <c r="B132" s="19" t="s">
        <v>413</v>
      </c>
      <c r="C132" s="19" t="s">
        <v>280</v>
      </c>
      <c r="D132" s="19" t="s">
        <v>414</v>
      </c>
      <c r="E132" s="108"/>
      <c r="F132" s="108"/>
      <c r="G132" s="108"/>
      <c r="H132" s="108"/>
      <c r="I132" s="108">
        <v>6855987</v>
      </c>
      <c r="J132" s="108">
        <v>4293552.79</v>
      </c>
      <c r="K132" s="101">
        <f t="shared" si="59"/>
        <v>0.62624867725099242</v>
      </c>
      <c r="L132" s="91"/>
      <c r="M132" s="85"/>
      <c r="N132" s="108">
        <f t="shared" si="52"/>
        <v>4293552.79</v>
      </c>
      <c r="O132" s="68"/>
      <c r="P132" s="116"/>
    </row>
    <row r="133" spans="1:16" s="67" customFormat="1" ht="99.75" thickTop="1" thickBot="1" x14ac:dyDescent="0.25">
      <c r="A133" s="103"/>
      <c r="B133" s="19" t="s">
        <v>415</v>
      </c>
      <c r="C133" s="19" t="s">
        <v>280</v>
      </c>
      <c r="D133" s="19" t="s">
        <v>416</v>
      </c>
      <c r="E133" s="108"/>
      <c r="F133" s="108"/>
      <c r="G133" s="108"/>
      <c r="H133" s="108"/>
      <c r="I133" s="108">
        <v>200000</v>
      </c>
      <c r="J133" s="108">
        <v>0</v>
      </c>
      <c r="K133" s="101">
        <f>J133/I133</f>
        <v>0</v>
      </c>
      <c r="L133" s="91"/>
      <c r="M133" s="85"/>
      <c r="N133" s="108">
        <f t="shared" si="52"/>
        <v>0</v>
      </c>
      <c r="O133" s="68"/>
      <c r="P133" s="116"/>
    </row>
    <row r="134" spans="1:16" s="67" customFormat="1" ht="99.75" thickTop="1" thickBot="1" x14ac:dyDescent="0.25">
      <c r="A134" s="103"/>
      <c r="B134" s="19" t="s">
        <v>417</v>
      </c>
      <c r="C134" s="19" t="s">
        <v>280</v>
      </c>
      <c r="D134" s="19" t="s">
        <v>418</v>
      </c>
      <c r="E134" s="108"/>
      <c r="F134" s="108"/>
      <c r="G134" s="108"/>
      <c r="H134" s="108"/>
      <c r="I134" s="108">
        <v>14496836</v>
      </c>
      <c r="J134" s="108">
        <v>404740.04</v>
      </c>
      <c r="K134" s="101">
        <f>J134/I134</f>
        <v>2.7919198368526757E-2</v>
      </c>
      <c r="L134" s="91"/>
      <c r="M134" s="85"/>
      <c r="N134" s="108">
        <f t="shared" si="52"/>
        <v>404740.04</v>
      </c>
      <c r="O134" s="68"/>
      <c r="P134" s="116"/>
    </row>
    <row r="135" spans="1:16" s="67" customFormat="1" ht="138.75" thickTop="1" thickBot="1" x14ac:dyDescent="0.25">
      <c r="A135" s="103"/>
      <c r="B135" s="19" t="s">
        <v>419</v>
      </c>
      <c r="C135" s="19" t="s">
        <v>43</v>
      </c>
      <c r="D135" s="19" t="s">
        <v>420</v>
      </c>
      <c r="E135" s="108"/>
      <c r="F135" s="108"/>
      <c r="G135" s="108"/>
      <c r="H135" s="108"/>
      <c r="I135" s="108">
        <v>30081302</v>
      </c>
      <c r="J135" s="108">
        <v>12680754.82</v>
      </c>
      <c r="K135" s="101">
        <f>J135/I135</f>
        <v>0.42154940035507771</v>
      </c>
      <c r="L135" s="91"/>
      <c r="M135" s="85"/>
      <c r="N135" s="108">
        <f t="shared" si="52"/>
        <v>12680754.82</v>
      </c>
      <c r="O135" s="68"/>
      <c r="P135" s="116"/>
    </row>
    <row r="136" spans="1:16" s="67" customFormat="1" ht="136.5" thickTop="1" thickBot="1" x14ac:dyDescent="0.25">
      <c r="A136" s="103"/>
      <c r="B136" s="26" t="s">
        <v>395</v>
      </c>
      <c r="C136" s="26"/>
      <c r="D136" s="26" t="s">
        <v>396</v>
      </c>
      <c r="E136" s="121">
        <f>SUM(E137:E140)-E137-E139</f>
        <v>102778631</v>
      </c>
      <c r="F136" s="121">
        <f>SUM(F137:F140)-F137-F139</f>
        <v>21320045</v>
      </c>
      <c r="G136" s="121">
        <f>SUM(G137:G140)-G137-G139</f>
        <v>21320042.960000001</v>
      </c>
      <c r="H136" s="120">
        <f t="shared" ref="H136:H145" si="60">G136/F136</f>
        <v>0.99999990431539898</v>
      </c>
      <c r="I136" s="121">
        <f>SUM(I137:I140)-I137-I139</f>
        <v>76932021</v>
      </c>
      <c r="J136" s="121">
        <f>SUM(J137:J140)-J137-J139</f>
        <v>127423.69</v>
      </c>
      <c r="K136" s="120">
        <f>J136/I136</f>
        <v>1.656315385241212E-3</v>
      </c>
      <c r="L136" s="89"/>
      <c r="M136" s="89"/>
      <c r="N136" s="121">
        <f t="shared" si="52"/>
        <v>21447466.650000002</v>
      </c>
      <c r="O136" s="68"/>
      <c r="P136" s="116"/>
    </row>
    <row r="137" spans="1:16" s="67" customFormat="1" ht="138.75" thickTop="1" thickBot="1" x14ac:dyDescent="0.25">
      <c r="A137" s="103"/>
      <c r="B137" s="33" t="s">
        <v>421</v>
      </c>
      <c r="C137" s="33"/>
      <c r="D137" s="33" t="s">
        <v>422</v>
      </c>
      <c r="E137" s="110">
        <f t="shared" ref="E137:J137" si="61">E138</f>
        <v>54505073</v>
      </c>
      <c r="F137" s="110">
        <f t="shared" si="61"/>
        <v>21320045</v>
      </c>
      <c r="G137" s="110">
        <f t="shared" si="61"/>
        <v>21320042.960000001</v>
      </c>
      <c r="H137" s="109">
        <f t="shared" si="60"/>
        <v>0.99999990431539898</v>
      </c>
      <c r="I137" s="110">
        <f t="shared" si="61"/>
        <v>0</v>
      </c>
      <c r="J137" s="110">
        <f t="shared" si="61"/>
        <v>0</v>
      </c>
      <c r="K137" s="109">
        <v>0</v>
      </c>
      <c r="L137" s="90"/>
      <c r="M137" s="90"/>
      <c r="N137" s="110">
        <f t="shared" si="52"/>
        <v>21320042.960000001</v>
      </c>
      <c r="O137" s="111" t="s">
        <v>476</v>
      </c>
      <c r="P137" s="116"/>
    </row>
    <row r="138" spans="1:16" s="67" customFormat="1" ht="93" thickTop="1" thickBot="1" x14ac:dyDescent="0.25">
      <c r="A138" s="103"/>
      <c r="B138" s="19" t="s">
        <v>423</v>
      </c>
      <c r="C138" s="19" t="s">
        <v>424</v>
      </c>
      <c r="D138" s="19" t="s">
        <v>425</v>
      </c>
      <c r="E138" s="108">
        <v>54505073</v>
      </c>
      <c r="F138" s="108">
        <v>21320045</v>
      </c>
      <c r="G138" s="108">
        <v>21320042.960000001</v>
      </c>
      <c r="H138" s="101">
        <f t="shared" si="60"/>
        <v>0.99999990431539898</v>
      </c>
      <c r="I138" s="108"/>
      <c r="J138" s="108"/>
      <c r="K138" s="108"/>
      <c r="L138" s="91"/>
      <c r="M138" s="85"/>
      <c r="N138" s="108">
        <f t="shared" si="52"/>
        <v>21320042.960000001</v>
      </c>
      <c r="O138" s="68"/>
      <c r="P138" s="116"/>
    </row>
    <row r="139" spans="1:16" s="67" customFormat="1" ht="138.75" thickTop="1" thickBot="1" x14ac:dyDescent="0.25">
      <c r="A139" s="103"/>
      <c r="B139" s="33" t="s">
        <v>491</v>
      </c>
      <c r="C139" s="33"/>
      <c r="D139" s="33" t="s">
        <v>492</v>
      </c>
      <c r="E139" s="110">
        <f>E140</f>
        <v>48273558</v>
      </c>
      <c r="F139" s="110">
        <f>F140</f>
        <v>0</v>
      </c>
      <c r="G139" s="110">
        <f>G140</f>
        <v>0</v>
      </c>
      <c r="H139" s="109">
        <v>0</v>
      </c>
      <c r="I139" s="110">
        <f>I140</f>
        <v>76932021</v>
      </c>
      <c r="J139" s="110">
        <f>J140</f>
        <v>127423.69</v>
      </c>
      <c r="K139" s="109">
        <f t="shared" ref="K139:K140" si="62">J139/I139</f>
        <v>1.656315385241212E-3</v>
      </c>
      <c r="L139" s="90"/>
      <c r="M139" s="92"/>
      <c r="N139" s="110">
        <f t="shared" si="52"/>
        <v>127423.69</v>
      </c>
      <c r="O139" s="68"/>
      <c r="P139" s="116"/>
    </row>
    <row r="140" spans="1:16" s="67" customFormat="1" ht="230.25" thickTop="1" thickBot="1" x14ac:dyDescent="0.25">
      <c r="A140" s="103"/>
      <c r="B140" s="19" t="s">
        <v>397</v>
      </c>
      <c r="C140" s="19" t="s">
        <v>398</v>
      </c>
      <c r="D140" s="19" t="s">
        <v>399</v>
      </c>
      <c r="E140" s="20">
        <v>48273558</v>
      </c>
      <c r="F140" s="20">
        <v>0</v>
      </c>
      <c r="G140" s="20">
        <v>0</v>
      </c>
      <c r="H140" s="101">
        <v>0</v>
      </c>
      <c r="I140" s="20">
        <v>76932021</v>
      </c>
      <c r="J140" s="134">
        <v>127423.69</v>
      </c>
      <c r="K140" s="101">
        <f t="shared" si="62"/>
        <v>1.656315385241212E-3</v>
      </c>
      <c r="L140" s="83"/>
      <c r="M140" s="85"/>
      <c r="N140" s="108">
        <f t="shared" si="52"/>
        <v>127423.69</v>
      </c>
      <c r="O140" s="111" t="s">
        <v>476</v>
      </c>
      <c r="P140" s="116"/>
    </row>
    <row r="141" spans="1:16" s="67" customFormat="1" ht="91.5" thickTop="1" thickBot="1" x14ac:dyDescent="0.25">
      <c r="A141" s="103"/>
      <c r="B141" s="26" t="s">
        <v>36</v>
      </c>
      <c r="C141" s="103"/>
      <c r="D141" s="26" t="s">
        <v>37</v>
      </c>
      <c r="E141" s="60">
        <f>E142</f>
        <v>4392400</v>
      </c>
      <c r="F141" s="60">
        <f>F142</f>
        <v>964300</v>
      </c>
      <c r="G141" s="60">
        <f>G142</f>
        <v>963328.8</v>
      </c>
      <c r="H141" s="120">
        <f>G141/F141</f>
        <v>0.99899284455045112</v>
      </c>
      <c r="I141" s="60">
        <f>I142</f>
        <v>1500000</v>
      </c>
      <c r="J141" s="60">
        <f>J142</f>
        <v>0</v>
      </c>
      <c r="K141" s="120">
        <f>J141/I141</f>
        <v>0</v>
      </c>
      <c r="L141" s="63"/>
      <c r="M141" s="63"/>
      <c r="N141" s="121">
        <f t="shared" si="52"/>
        <v>963328.8</v>
      </c>
      <c r="O141" s="68"/>
      <c r="P141" s="116"/>
    </row>
    <row r="142" spans="1:16" s="67" customFormat="1" ht="93" thickTop="1" thickBot="1" x14ac:dyDescent="0.25">
      <c r="A142" s="103"/>
      <c r="B142" s="23" t="s">
        <v>38</v>
      </c>
      <c r="C142" s="103"/>
      <c r="D142" s="23" t="s">
        <v>39</v>
      </c>
      <c r="E142" s="20">
        <v>4392400</v>
      </c>
      <c r="F142" s="20">
        <v>964300</v>
      </c>
      <c r="G142" s="20">
        <v>963328.8</v>
      </c>
      <c r="H142" s="101">
        <f t="shared" si="60"/>
        <v>0.99899284455045112</v>
      </c>
      <c r="I142" s="20">
        <v>1500000</v>
      </c>
      <c r="J142" s="20">
        <v>0</v>
      </c>
      <c r="K142" s="101">
        <f>J142/I142</f>
        <v>0</v>
      </c>
      <c r="L142" s="63"/>
      <c r="M142" s="63"/>
      <c r="N142" s="108">
        <f t="shared" si="52"/>
        <v>963328.8</v>
      </c>
      <c r="O142" s="68"/>
      <c r="P142" s="116"/>
    </row>
    <row r="143" spans="1:16" s="67" customFormat="1" ht="136.5" thickTop="1" thickBot="1" x14ac:dyDescent="0.25">
      <c r="A143" s="103"/>
      <c r="B143" s="28" t="s">
        <v>40</v>
      </c>
      <c r="C143" s="103"/>
      <c r="D143" s="28" t="s">
        <v>41</v>
      </c>
      <c r="E143" s="60">
        <f>SUM(E144:E153)-E150</f>
        <v>9972980</v>
      </c>
      <c r="F143" s="60">
        <f>SUM(F144:F153)-F150</f>
        <v>1865600</v>
      </c>
      <c r="G143" s="60">
        <f>SUM(G144:G153)-G150</f>
        <v>750876.48</v>
      </c>
      <c r="H143" s="120">
        <f t="shared" si="60"/>
        <v>0.40248524871355057</v>
      </c>
      <c r="I143" s="60">
        <f>SUM(I144:I153)-I150</f>
        <v>48276925.579999998</v>
      </c>
      <c r="J143" s="60">
        <f>SUM(J144:J153)-J150</f>
        <v>2952238.21</v>
      </c>
      <c r="K143" s="120">
        <f>J143/I143</f>
        <v>6.1152158604379794E-2</v>
      </c>
      <c r="L143" s="63"/>
      <c r="M143" s="63"/>
      <c r="N143" s="121">
        <f t="shared" si="52"/>
        <v>3703114.69</v>
      </c>
      <c r="O143" s="68"/>
      <c r="P143" s="116"/>
    </row>
    <row r="144" spans="1:16" s="67" customFormat="1" ht="93" thickTop="1" thickBot="1" x14ac:dyDescent="0.25">
      <c r="A144" s="103"/>
      <c r="B144" s="19" t="s">
        <v>426</v>
      </c>
      <c r="C144" s="19" t="s">
        <v>427</v>
      </c>
      <c r="D144" s="19" t="s">
        <v>428</v>
      </c>
      <c r="E144" s="108">
        <v>5588200</v>
      </c>
      <c r="F144" s="108">
        <v>835000</v>
      </c>
      <c r="G144" s="108">
        <v>229148.79999999999</v>
      </c>
      <c r="H144" s="101">
        <f t="shared" si="60"/>
        <v>0.2744297005988024</v>
      </c>
      <c r="I144" s="108"/>
      <c r="J144" s="108"/>
      <c r="K144" s="108"/>
      <c r="L144" s="91"/>
      <c r="M144" s="85"/>
      <c r="N144" s="108">
        <f t="shared" si="52"/>
        <v>229148.79999999999</v>
      </c>
      <c r="O144" s="68"/>
      <c r="P144" s="116"/>
    </row>
    <row r="145" spans="1:16" s="67" customFormat="1" ht="138.75" thickTop="1" thickBot="1" x14ac:dyDescent="0.25">
      <c r="A145" s="103"/>
      <c r="B145" s="19" t="s">
        <v>429</v>
      </c>
      <c r="C145" s="19" t="s">
        <v>386</v>
      </c>
      <c r="D145" s="19" t="s">
        <v>430</v>
      </c>
      <c r="E145" s="108">
        <v>745000</v>
      </c>
      <c r="F145" s="108">
        <v>328000</v>
      </c>
      <c r="G145" s="108">
        <v>49918.6</v>
      </c>
      <c r="H145" s="101">
        <f t="shared" si="60"/>
        <v>0.15219085365853657</v>
      </c>
      <c r="I145" s="108"/>
      <c r="J145" s="108"/>
      <c r="K145" s="108"/>
      <c r="L145" s="91"/>
      <c r="M145" s="85"/>
      <c r="N145" s="108">
        <f t="shared" si="52"/>
        <v>49918.6</v>
      </c>
      <c r="O145" s="68"/>
      <c r="P145" s="116"/>
    </row>
    <row r="146" spans="1:16" s="67" customFormat="1" ht="48" thickTop="1" thickBot="1" x14ac:dyDescent="0.25">
      <c r="A146" s="103"/>
      <c r="B146" s="113" t="s">
        <v>385</v>
      </c>
      <c r="C146" s="113" t="s">
        <v>386</v>
      </c>
      <c r="D146" s="113" t="s">
        <v>387</v>
      </c>
      <c r="E146" s="20">
        <v>500000</v>
      </c>
      <c r="F146" s="20">
        <v>0</v>
      </c>
      <c r="G146" s="20">
        <v>0</v>
      </c>
      <c r="H146" s="101">
        <v>0</v>
      </c>
      <c r="I146" s="108">
        <v>20608795.579999998</v>
      </c>
      <c r="J146" s="20">
        <v>0</v>
      </c>
      <c r="K146" s="101">
        <f>J146/I146</f>
        <v>0</v>
      </c>
      <c r="L146" s="64"/>
      <c r="M146" s="66"/>
      <c r="N146" s="108">
        <f t="shared" si="52"/>
        <v>0</v>
      </c>
      <c r="O146" s="168" t="s">
        <v>476</v>
      </c>
      <c r="P146" s="169"/>
    </row>
    <row r="147" spans="1:16" s="67" customFormat="1" ht="138.75" thickTop="1" thickBot="1" x14ac:dyDescent="0.25">
      <c r="A147" s="103"/>
      <c r="B147" s="19" t="s">
        <v>452</v>
      </c>
      <c r="C147" s="19" t="s">
        <v>43</v>
      </c>
      <c r="D147" s="19" t="s">
        <v>453</v>
      </c>
      <c r="E147" s="108"/>
      <c r="F147" s="108"/>
      <c r="G147" s="108"/>
      <c r="H147" s="108"/>
      <c r="I147" s="108">
        <v>50000</v>
      </c>
      <c r="J147" s="108">
        <v>1000</v>
      </c>
      <c r="K147" s="101">
        <f>J147/I147</f>
        <v>0.02</v>
      </c>
      <c r="L147" s="91"/>
      <c r="M147" s="85"/>
      <c r="N147" s="108">
        <f t="shared" si="52"/>
        <v>1000</v>
      </c>
      <c r="O147" s="68"/>
      <c r="P147" s="116"/>
    </row>
    <row r="148" spans="1:16" s="67" customFormat="1" ht="93" thickTop="1" thickBot="1" x14ac:dyDescent="0.25">
      <c r="A148" s="103"/>
      <c r="B148" s="113" t="s">
        <v>198</v>
      </c>
      <c r="C148" s="113" t="s">
        <v>43</v>
      </c>
      <c r="D148" s="113" t="s">
        <v>199</v>
      </c>
      <c r="E148" s="20"/>
      <c r="F148" s="20"/>
      <c r="G148" s="20"/>
      <c r="H148" s="20"/>
      <c r="I148" s="108">
        <v>23016930</v>
      </c>
      <c r="J148" s="20">
        <v>2140378.02</v>
      </c>
      <c r="K148" s="101">
        <f>J148/I148</f>
        <v>9.2991464109244804E-2</v>
      </c>
      <c r="L148" s="64"/>
      <c r="M148" s="66"/>
      <c r="N148" s="108">
        <f t="shared" si="52"/>
        <v>2140378.02</v>
      </c>
      <c r="O148" s="68"/>
      <c r="P148" s="116"/>
    </row>
    <row r="149" spans="1:16" s="67" customFormat="1" ht="138.75" thickTop="1" thickBot="1" x14ac:dyDescent="0.25">
      <c r="A149" s="103"/>
      <c r="B149" s="23" t="s">
        <v>42</v>
      </c>
      <c r="C149" s="103"/>
      <c r="D149" s="23" t="s">
        <v>44</v>
      </c>
      <c r="E149" s="108">
        <v>290200</v>
      </c>
      <c r="F149" s="108">
        <v>72600</v>
      </c>
      <c r="G149" s="108">
        <v>72600</v>
      </c>
      <c r="H149" s="101">
        <f t="shared" ref="H149:H150" si="63">G149/F149</f>
        <v>1</v>
      </c>
      <c r="I149" s="138"/>
      <c r="J149" s="138"/>
      <c r="K149" s="138"/>
      <c r="L149" s="63"/>
      <c r="M149" s="63"/>
      <c r="N149" s="108">
        <f t="shared" si="52"/>
        <v>72600</v>
      </c>
      <c r="O149" s="68"/>
      <c r="P149" s="116"/>
    </row>
    <row r="150" spans="1:16" s="67" customFormat="1" ht="48" thickTop="1" thickBot="1" x14ac:dyDescent="0.25">
      <c r="A150" s="103"/>
      <c r="B150" s="122" t="s">
        <v>45</v>
      </c>
      <c r="C150" s="122"/>
      <c r="D150" s="122" t="s">
        <v>388</v>
      </c>
      <c r="E150" s="53">
        <f>SUM(E151:E153)</f>
        <v>2849580</v>
      </c>
      <c r="F150" s="53">
        <f>SUM(F151:F153)</f>
        <v>630000</v>
      </c>
      <c r="G150" s="53">
        <f>SUM(G151:G153)</f>
        <v>399209.08</v>
      </c>
      <c r="H150" s="109">
        <f t="shared" si="63"/>
        <v>0.63366520634920642</v>
      </c>
      <c r="I150" s="53">
        <f>SUM(I151:I153)</f>
        <v>4601200</v>
      </c>
      <c r="J150" s="53">
        <f>SUM(J151:J153)</f>
        <v>810860.19</v>
      </c>
      <c r="K150" s="109">
        <f>J150/I150</f>
        <v>0.17622798183082672</v>
      </c>
      <c r="L150" s="114"/>
      <c r="M150" s="114"/>
      <c r="N150" s="110">
        <f t="shared" si="52"/>
        <v>1210069.27</v>
      </c>
      <c r="O150" s="68"/>
      <c r="P150" s="116"/>
    </row>
    <row r="151" spans="1:16" s="67" customFormat="1" ht="409.6" thickTop="1" thickBot="1" x14ac:dyDescent="0.7">
      <c r="A151" s="103"/>
      <c r="B151" s="170" t="s">
        <v>46</v>
      </c>
      <c r="C151" s="170" t="s">
        <v>43</v>
      </c>
      <c r="D151" s="51" t="s">
        <v>47</v>
      </c>
      <c r="E151" s="166"/>
      <c r="F151" s="166"/>
      <c r="G151" s="166"/>
      <c r="H151" s="171"/>
      <c r="I151" s="166">
        <v>4201200</v>
      </c>
      <c r="J151" s="166">
        <v>810860.19</v>
      </c>
      <c r="K151" s="173">
        <f>J151/I151</f>
        <v>0.19300680519851471</v>
      </c>
      <c r="L151" s="162"/>
      <c r="M151" s="164"/>
      <c r="N151" s="166">
        <f>J151+G151</f>
        <v>810860.19</v>
      </c>
      <c r="O151" s="68"/>
      <c r="P151" s="116"/>
    </row>
    <row r="152" spans="1:16" s="67" customFormat="1" ht="184.5" thickTop="1" thickBot="1" x14ac:dyDescent="0.25">
      <c r="A152" s="103"/>
      <c r="B152" s="170"/>
      <c r="C152" s="170"/>
      <c r="D152" s="52" t="s">
        <v>48</v>
      </c>
      <c r="E152" s="166"/>
      <c r="F152" s="166"/>
      <c r="G152" s="166"/>
      <c r="H152" s="172"/>
      <c r="I152" s="166"/>
      <c r="J152" s="166"/>
      <c r="K152" s="173"/>
      <c r="L152" s="163"/>
      <c r="M152" s="165"/>
      <c r="N152" s="166"/>
      <c r="O152" s="68"/>
      <c r="P152" s="116"/>
    </row>
    <row r="153" spans="1:16" s="67" customFormat="1" ht="93" thickTop="1" thickBot="1" x14ac:dyDescent="0.25">
      <c r="A153" s="103"/>
      <c r="B153" s="113" t="s">
        <v>49</v>
      </c>
      <c r="C153" s="113" t="s">
        <v>43</v>
      </c>
      <c r="D153" s="113" t="s">
        <v>50</v>
      </c>
      <c r="E153" s="108">
        <v>2849580</v>
      </c>
      <c r="F153" s="108">
        <v>630000</v>
      </c>
      <c r="G153" s="108">
        <v>399209.08</v>
      </c>
      <c r="H153" s="101">
        <f t="shared" ref="H153:H158" si="64">G153/F153</f>
        <v>0.63366520634920642</v>
      </c>
      <c r="I153" s="108">
        <f>(400000)</f>
        <v>400000</v>
      </c>
      <c r="J153" s="108">
        <v>0</v>
      </c>
      <c r="K153" s="101">
        <f>J153/I153</f>
        <v>0</v>
      </c>
      <c r="L153" s="91"/>
      <c r="M153" s="85"/>
      <c r="N153" s="108">
        <f t="shared" ref="N153:N175" si="65">G153+J153</f>
        <v>399209.08</v>
      </c>
      <c r="O153" s="68"/>
      <c r="P153" s="116"/>
    </row>
    <row r="154" spans="1:16" s="67" customFormat="1" ht="107.25" customHeight="1" thickTop="1" thickBot="1" x14ac:dyDescent="0.25">
      <c r="A154" s="103"/>
      <c r="B154" s="12" t="s">
        <v>51</v>
      </c>
      <c r="C154" s="12"/>
      <c r="D154" s="13" t="s">
        <v>52</v>
      </c>
      <c r="E154" s="14">
        <f>SUM(E155:E169)-E155-E159-E165-E168-E160</f>
        <v>13553713</v>
      </c>
      <c r="F154" s="14">
        <f>SUM(F155:F169)-F155-F159-F165-F168-F160</f>
        <v>2093203</v>
      </c>
      <c r="G154" s="14">
        <f>SUM(G155:G169)-G155-G159-G165-G168-G160</f>
        <v>1635776.6900000002</v>
      </c>
      <c r="H154" s="100">
        <f>G154/F154</f>
        <v>0.78147064092684759</v>
      </c>
      <c r="I154" s="14">
        <f>SUM(I155:I169)-I155-I159-I165-I168-I160</f>
        <v>630900</v>
      </c>
      <c r="J154" s="14">
        <f>SUM(J155:J169)-J155-J159-J165-J168-J160</f>
        <v>0</v>
      </c>
      <c r="K154" s="100">
        <f>J154/I154</f>
        <v>0</v>
      </c>
      <c r="L154" s="14"/>
      <c r="M154" s="14"/>
      <c r="N154" s="15">
        <f>J154+G154</f>
        <v>1635776.6900000002</v>
      </c>
      <c r="O154" s="16" t="b">
        <f>N154=N156+N157+N158+N161+N162+N163+N164+N166+N167+N169</f>
        <v>1</v>
      </c>
      <c r="P154" s="116"/>
    </row>
    <row r="155" spans="1:16" s="67" customFormat="1" ht="107.25" customHeight="1" thickTop="1" thickBot="1" x14ac:dyDescent="0.25">
      <c r="A155" s="103"/>
      <c r="B155" s="26" t="s">
        <v>400</v>
      </c>
      <c r="C155" s="26"/>
      <c r="D155" s="62" t="s">
        <v>401</v>
      </c>
      <c r="E155" s="121">
        <f>SUM(E156:E158)</f>
        <v>3160578</v>
      </c>
      <c r="F155" s="121">
        <f>SUM(F156:F158)</f>
        <v>801303</v>
      </c>
      <c r="G155" s="121">
        <f>SUM(G156:G158)</f>
        <v>359224.26</v>
      </c>
      <c r="H155" s="120">
        <f t="shared" si="64"/>
        <v>0.44830015612071838</v>
      </c>
      <c r="I155" s="121">
        <f>SUM(I156:I158)</f>
        <v>0</v>
      </c>
      <c r="J155" s="121">
        <f>SUM(J156:J158)</f>
        <v>0</v>
      </c>
      <c r="K155" s="120">
        <v>0</v>
      </c>
      <c r="L155" s="89"/>
      <c r="M155" s="89"/>
      <c r="N155" s="121">
        <f t="shared" si="65"/>
        <v>359224.26</v>
      </c>
      <c r="O155" s="168" t="s">
        <v>476</v>
      </c>
      <c r="P155" s="169"/>
    </row>
    <row r="156" spans="1:16" s="67" customFormat="1" ht="184.5" thickTop="1" thickBot="1" x14ac:dyDescent="0.25">
      <c r="A156" s="103"/>
      <c r="B156" s="19" t="s">
        <v>402</v>
      </c>
      <c r="C156" s="19" t="s">
        <v>403</v>
      </c>
      <c r="D156" s="19" t="s">
        <v>404</v>
      </c>
      <c r="E156" s="20">
        <v>108400</v>
      </c>
      <c r="F156" s="20">
        <v>0</v>
      </c>
      <c r="G156" s="20">
        <v>0</v>
      </c>
      <c r="H156" s="101">
        <v>0</v>
      </c>
      <c r="I156" s="108"/>
      <c r="J156" s="20"/>
      <c r="K156" s="20"/>
      <c r="L156" s="82"/>
      <c r="M156" s="85"/>
      <c r="N156" s="108">
        <f t="shared" si="65"/>
        <v>0</v>
      </c>
      <c r="O156" s="168" t="s">
        <v>476</v>
      </c>
      <c r="P156" s="169"/>
    </row>
    <row r="157" spans="1:16" s="67" customFormat="1" ht="93" thickTop="1" thickBot="1" x14ac:dyDescent="0.25">
      <c r="A157" s="103"/>
      <c r="B157" s="19" t="s">
        <v>405</v>
      </c>
      <c r="C157" s="19" t="s">
        <v>403</v>
      </c>
      <c r="D157" s="19" t="s">
        <v>406</v>
      </c>
      <c r="E157" s="20">
        <v>1833178</v>
      </c>
      <c r="F157" s="20">
        <v>437103</v>
      </c>
      <c r="G157" s="20">
        <v>359224.26</v>
      </c>
      <c r="H157" s="101">
        <f t="shared" si="64"/>
        <v>0.8218297746755342</v>
      </c>
      <c r="I157" s="108"/>
      <c r="J157" s="20"/>
      <c r="K157" s="20"/>
      <c r="L157" s="82"/>
      <c r="M157" s="85"/>
      <c r="N157" s="108">
        <f t="shared" si="65"/>
        <v>359224.26</v>
      </c>
      <c r="O157" s="16"/>
      <c r="P157" s="116"/>
    </row>
    <row r="158" spans="1:16" s="67" customFormat="1" ht="93" thickTop="1" thickBot="1" x14ac:dyDescent="0.25">
      <c r="A158" s="103"/>
      <c r="B158" s="19" t="s">
        <v>407</v>
      </c>
      <c r="C158" s="19"/>
      <c r="D158" s="19" t="s">
        <v>408</v>
      </c>
      <c r="E158" s="20">
        <v>1219000</v>
      </c>
      <c r="F158" s="20">
        <v>364200</v>
      </c>
      <c r="G158" s="20">
        <v>0</v>
      </c>
      <c r="H158" s="101">
        <f t="shared" si="64"/>
        <v>0</v>
      </c>
      <c r="I158" s="108"/>
      <c r="J158" s="20"/>
      <c r="K158" s="20"/>
      <c r="L158" s="82"/>
      <c r="M158" s="85"/>
      <c r="N158" s="108">
        <f t="shared" si="65"/>
        <v>0</v>
      </c>
      <c r="O158" s="16"/>
      <c r="P158" s="116"/>
    </row>
    <row r="159" spans="1:16" s="67" customFormat="1" ht="91.5" thickTop="1" thickBot="1" x14ac:dyDescent="0.25">
      <c r="A159" s="103"/>
      <c r="B159" s="26" t="s">
        <v>431</v>
      </c>
      <c r="C159" s="26"/>
      <c r="D159" s="26" t="s">
        <v>432</v>
      </c>
      <c r="E159" s="60">
        <f>SUM(E160:E164)-E160</f>
        <v>0</v>
      </c>
      <c r="F159" s="60">
        <f t="shared" ref="F159:G159" si="66">SUM(F160:F164)-F160</f>
        <v>0</v>
      </c>
      <c r="G159" s="60">
        <f t="shared" si="66"/>
        <v>0</v>
      </c>
      <c r="H159" s="120">
        <v>0</v>
      </c>
      <c r="I159" s="60">
        <f t="shared" ref="I159:J159" si="67">SUM(I160:I164)-I160</f>
        <v>630900</v>
      </c>
      <c r="J159" s="60">
        <f t="shared" si="67"/>
        <v>0</v>
      </c>
      <c r="K159" s="120">
        <f t="shared" ref="K159:K164" si="68">J159/I159</f>
        <v>0</v>
      </c>
      <c r="L159" s="95"/>
      <c r="M159" s="95"/>
      <c r="N159" s="121">
        <f t="shared" si="65"/>
        <v>0</v>
      </c>
      <c r="O159" s="168" t="s">
        <v>476</v>
      </c>
      <c r="P159" s="169"/>
    </row>
    <row r="160" spans="1:16" s="67" customFormat="1" ht="138.75" thickTop="1" thickBot="1" x14ac:dyDescent="0.25">
      <c r="A160" s="103"/>
      <c r="B160" s="33" t="s">
        <v>433</v>
      </c>
      <c r="C160" s="33"/>
      <c r="D160" s="33" t="s">
        <v>434</v>
      </c>
      <c r="E160" s="53">
        <f t="shared" ref="E160:G160" si="69">SUM(E161:E162)</f>
        <v>0</v>
      </c>
      <c r="F160" s="53">
        <f t="shared" si="69"/>
        <v>0</v>
      </c>
      <c r="G160" s="53">
        <f t="shared" si="69"/>
        <v>0</v>
      </c>
      <c r="H160" s="109">
        <v>0</v>
      </c>
      <c r="I160" s="53">
        <f t="shared" ref="I160:J160" si="70">SUM(I161:I162)</f>
        <v>318900</v>
      </c>
      <c r="J160" s="53">
        <f t="shared" si="70"/>
        <v>0</v>
      </c>
      <c r="K160" s="109">
        <f t="shared" si="68"/>
        <v>0</v>
      </c>
      <c r="L160" s="94"/>
      <c r="M160" s="94"/>
      <c r="N160" s="110">
        <f t="shared" si="65"/>
        <v>0</v>
      </c>
      <c r="O160" s="68"/>
      <c r="P160" s="116"/>
    </row>
    <row r="161" spans="1:17" s="67" customFormat="1" ht="138.75" thickTop="1" thickBot="1" x14ac:dyDescent="0.25">
      <c r="A161" s="103"/>
      <c r="B161" s="19" t="s">
        <v>435</v>
      </c>
      <c r="C161" s="19" t="s">
        <v>436</v>
      </c>
      <c r="D161" s="19" t="s">
        <v>437</v>
      </c>
      <c r="E161" s="108"/>
      <c r="F161" s="108"/>
      <c r="G161" s="108"/>
      <c r="H161" s="108"/>
      <c r="I161" s="108">
        <v>248900</v>
      </c>
      <c r="J161" s="108">
        <v>0</v>
      </c>
      <c r="K161" s="101">
        <f t="shared" si="68"/>
        <v>0</v>
      </c>
      <c r="L161" s="91"/>
      <c r="M161" s="85"/>
      <c r="N161" s="108">
        <f t="shared" si="65"/>
        <v>0</v>
      </c>
      <c r="O161" s="68"/>
      <c r="P161" s="116"/>
    </row>
    <row r="162" spans="1:17" s="67" customFormat="1" ht="48" thickTop="1" thickBot="1" x14ac:dyDescent="0.25">
      <c r="A162" s="103"/>
      <c r="B162" s="19" t="s">
        <v>438</v>
      </c>
      <c r="C162" s="19" t="s">
        <v>439</v>
      </c>
      <c r="D162" s="19" t="s">
        <v>440</v>
      </c>
      <c r="E162" s="108"/>
      <c r="F162" s="108"/>
      <c r="G162" s="108"/>
      <c r="H162" s="108"/>
      <c r="I162" s="108">
        <v>70000</v>
      </c>
      <c r="J162" s="108">
        <v>0</v>
      </c>
      <c r="K162" s="101">
        <f t="shared" si="68"/>
        <v>0</v>
      </c>
      <c r="L162" s="91"/>
      <c r="M162" s="85"/>
      <c r="N162" s="108">
        <f t="shared" si="65"/>
        <v>0</v>
      </c>
      <c r="O162" s="68"/>
      <c r="P162" s="116"/>
    </row>
    <row r="163" spans="1:17" s="67" customFormat="1" ht="93" thickTop="1" thickBot="1" x14ac:dyDescent="0.25">
      <c r="A163" s="103"/>
      <c r="B163" s="19" t="s">
        <v>441</v>
      </c>
      <c r="C163" s="19" t="s">
        <v>442</v>
      </c>
      <c r="D163" s="19" t="s">
        <v>443</v>
      </c>
      <c r="E163" s="108"/>
      <c r="F163" s="108"/>
      <c r="G163" s="108"/>
      <c r="H163" s="108"/>
      <c r="I163" s="108">
        <v>125000</v>
      </c>
      <c r="J163" s="108">
        <v>0</v>
      </c>
      <c r="K163" s="101">
        <f t="shared" si="68"/>
        <v>0</v>
      </c>
      <c r="L163" s="91"/>
      <c r="M163" s="85"/>
      <c r="N163" s="108">
        <f t="shared" si="65"/>
        <v>0</v>
      </c>
      <c r="O163" s="68"/>
      <c r="P163" s="116"/>
    </row>
    <row r="164" spans="1:17" s="67" customFormat="1" ht="93" thickTop="1" thickBot="1" x14ac:dyDescent="0.25">
      <c r="A164" s="103"/>
      <c r="B164" s="19" t="s">
        <v>444</v>
      </c>
      <c r="C164" s="19" t="s">
        <v>445</v>
      </c>
      <c r="D164" s="19" t="s">
        <v>446</v>
      </c>
      <c r="E164" s="108"/>
      <c r="F164" s="108"/>
      <c r="G164" s="108"/>
      <c r="H164" s="108"/>
      <c r="I164" s="108">
        <v>187000</v>
      </c>
      <c r="J164" s="108">
        <v>0</v>
      </c>
      <c r="K164" s="101">
        <f t="shared" si="68"/>
        <v>0</v>
      </c>
      <c r="L164" s="91"/>
      <c r="M164" s="85"/>
      <c r="N164" s="108">
        <f t="shared" si="65"/>
        <v>0</v>
      </c>
      <c r="O164" s="68"/>
      <c r="P164" s="116"/>
    </row>
    <row r="165" spans="1:17" s="67" customFormat="1" ht="47.25" thickTop="1" thickBot="1" x14ac:dyDescent="0.25">
      <c r="A165" s="103"/>
      <c r="B165" s="123" t="s">
        <v>53</v>
      </c>
      <c r="C165" s="123"/>
      <c r="D165" s="123" t="s">
        <v>54</v>
      </c>
      <c r="E165" s="121">
        <f>SUM(E166)</f>
        <v>6359300</v>
      </c>
      <c r="F165" s="121">
        <f t="shared" ref="F165:J165" si="71">SUM(F166)</f>
        <v>1270000</v>
      </c>
      <c r="G165" s="121">
        <f t="shared" si="71"/>
        <v>1255932.51</v>
      </c>
      <c r="H165" s="120">
        <f t="shared" ref="H165:H167" si="72">G165/F165</f>
        <v>0.9889232362204724</v>
      </c>
      <c r="I165" s="121">
        <f t="shared" si="71"/>
        <v>0</v>
      </c>
      <c r="J165" s="121">
        <f t="shared" si="71"/>
        <v>0</v>
      </c>
      <c r="K165" s="120">
        <v>0</v>
      </c>
      <c r="L165" s="105"/>
      <c r="M165" s="105"/>
      <c r="N165" s="121">
        <f t="shared" si="65"/>
        <v>1255932.51</v>
      </c>
      <c r="O165" s="168" t="s">
        <v>476</v>
      </c>
      <c r="P165" s="169"/>
    </row>
    <row r="166" spans="1:17" s="67" customFormat="1" ht="93" thickTop="1" thickBot="1" x14ac:dyDescent="0.25">
      <c r="A166" s="103"/>
      <c r="B166" s="124" t="s">
        <v>55</v>
      </c>
      <c r="C166" s="124" t="s">
        <v>56</v>
      </c>
      <c r="D166" s="124" t="s">
        <v>57</v>
      </c>
      <c r="E166" s="102">
        <v>6359300</v>
      </c>
      <c r="F166" s="102">
        <v>1270000</v>
      </c>
      <c r="G166" s="102">
        <v>1255932.51</v>
      </c>
      <c r="H166" s="101">
        <f t="shared" si="72"/>
        <v>0.9889232362204724</v>
      </c>
      <c r="I166" s="102"/>
      <c r="J166" s="102"/>
      <c r="K166" s="102"/>
      <c r="L166" s="106"/>
      <c r="M166" s="107"/>
      <c r="N166" s="108">
        <f t="shared" si="65"/>
        <v>1255932.51</v>
      </c>
      <c r="O166" s="68"/>
      <c r="P166" s="116"/>
    </row>
    <row r="167" spans="1:17" s="67" customFormat="1" ht="91.5" thickTop="1" thickBot="1" x14ac:dyDescent="0.25">
      <c r="A167" s="103"/>
      <c r="B167" s="69">
        <v>8600</v>
      </c>
      <c r="C167" s="26" t="s">
        <v>28</v>
      </c>
      <c r="D167" s="69" t="s">
        <v>454</v>
      </c>
      <c r="E167" s="121">
        <v>1033835</v>
      </c>
      <c r="F167" s="121">
        <v>21900</v>
      </c>
      <c r="G167" s="121">
        <v>20619.919999999998</v>
      </c>
      <c r="H167" s="120">
        <f t="shared" si="72"/>
        <v>0.94154885844748848</v>
      </c>
      <c r="I167" s="121"/>
      <c r="J167" s="121"/>
      <c r="K167" s="121"/>
      <c r="L167" s="89"/>
      <c r="M167" s="97"/>
      <c r="N167" s="121">
        <f t="shared" si="65"/>
        <v>20619.919999999998</v>
      </c>
      <c r="O167" s="68"/>
      <c r="P167" s="116"/>
    </row>
    <row r="168" spans="1:17" s="67" customFormat="1" ht="47.25" thickTop="1" thickBot="1" x14ac:dyDescent="0.25">
      <c r="A168" s="103"/>
      <c r="B168" s="69">
        <v>8700</v>
      </c>
      <c r="C168" s="26"/>
      <c r="D168" s="69" t="s">
        <v>455</v>
      </c>
      <c r="E168" s="121">
        <f t="shared" ref="E168:J168" si="73">E169</f>
        <v>3000000</v>
      </c>
      <c r="F168" s="121">
        <f t="shared" si="73"/>
        <v>0</v>
      </c>
      <c r="G168" s="121">
        <f t="shared" si="73"/>
        <v>0</v>
      </c>
      <c r="H168" s="120">
        <v>0</v>
      </c>
      <c r="I168" s="121">
        <f t="shared" si="73"/>
        <v>0</v>
      </c>
      <c r="J168" s="121">
        <f t="shared" si="73"/>
        <v>0</v>
      </c>
      <c r="K168" s="120">
        <v>0</v>
      </c>
      <c r="L168" s="89"/>
      <c r="M168" s="89"/>
      <c r="N168" s="121">
        <f t="shared" si="65"/>
        <v>0</v>
      </c>
      <c r="O168" s="168" t="s">
        <v>476</v>
      </c>
      <c r="P168" s="169"/>
    </row>
    <row r="169" spans="1:17" s="67" customFormat="1" ht="93" thickTop="1" thickBot="1" x14ac:dyDescent="0.25">
      <c r="A169" s="103"/>
      <c r="B169" s="45">
        <v>8710</v>
      </c>
      <c r="C169" s="19" t="s">
        <v>33</v>
      </c>
      <c r="D169" s="39" t="s">
        <v>456</v>
      </c>
      <c r="E169" s="108">
        <v>3000000</v>
      </c>
      <c r="F169" s="108">
        <v>0</v>
      </c>
      <c r="G169" s="108">
        <v>0</v>
      </c>
      <c r="H169" s="101">
        <v>0</v>
      </c>
      <c r="I169" s="108"/>
      <c r="J169" s="108"/>
      <c r="K169" s="108"/>
      <c r="L169" s="91"/>
      <c r="M169" s="85"/>
      <c r="N169" s="108">
        <f t="shared" si="65"/>
        <v>0</v>
      </c>
      <c r="O169" s="168" t="s">
        <v>476</v>
      </c>
      <c r="P169" s="169"/>
    </row>
    <row r="170" spans="1:17" s="67" customFormat="1" ht="103.5" customHeight="1" thickTop="1" thickBot="1" x14ac:dyDescent="0.25">
      <c r="A170" s="103"/>
      <c r="B170" s="12" t="s">
        <v>58</v>
      </c>
      <c r="C170" s="12"/>
      <c r="D170" s="13" t="s">
        <v>59</v>
      </c>
      <c r="E170" s="14">
        <f>SUM(E171:E176)-E171-E173-E176</f>
        <v>74282137</v>
      </c>
      <c r="F170" s="14">
        <f>SUM(F171:F176)-F171-F173-F176</f>
        <v>18698400</v>
      </c>
      <c r="G170" s="14">
        <f>SUM(G171:G176)-G171-G173-G176</f>
        <v>18698400</v>
      </c>
      <c r="H170" s="100">
        <f>G170/F170</f>
        <v>1</v>
      </c>
      <c r="I170" s="14">
        <f>SUM(I171:I176)-I171-I173-I176</f>
        <v>0</v>
      </c>
      <c r="J170" s="14">
        <f>SUM(J171:J176)-J171-J173-J176</f>
        <v>0</v>
      </c>
      <c r="K170" s="100">
        <v>0</v>
      </c>
      <c r="L170" s="14"/>
      <c r="M170" s="14"/>
      <c r="N170" s="15">
        <f>J170+G170</f>
        <v>18698400</v>
      </c>
      <c r="O170" s="16" t="b">
        <f>N170=N172+N174+N175+N176</f>
        <v>1</v>
      </c>
      <c r="P170" s="168" t="s">
        <v>476</v>
      </c>
      <c r="Q170" s="169"/>
    </row>
    <row r="171" spans="1:17" s="67" customFormat="1" ht="103.5" customHeight="1" thickTop="1" thickBot="1" x14ac:dyDescent="0.25">
      <c r="A171" s="103"/>
      <c r="B171" s="26" t="s">
        <v>457</v>
      </c>
      <c r="C171" s="26"/>
      <c r="D171" s="26" t="s">
        <v>458</v>
      </c>
      <c r="E171" s="121">
        <f t="shared" ref="E171:J171" si="74">E172</f>
        <v>73303900</v>
      </c>
      <c r="F171" s="121">
        <f t="shared" si="74"/>
        <v>18326100</v>
      </c>
      <c r="G171" s="121">
        <f t="shared" si="74"/>
        <v>18326100</v>
      </c>
      <c r="H171" s="120">
        <f t="shared" ref="H171:H175" si="75">G171/F171</f>
        <v>1</v>
      </c>
      <c r="I171" s="121">
        <f t="shared" si="74"/>
        <v>0</v>
      </c>
      <c r="J171" s="121">
        <f t="shared" si="74"/>
        <v>0</v>
      </c>
      <c r="K171" s="120">
        <v>0</v>
      </c>
      <c r="L171" s="121"/>
      <c r="M171" s="121"/>
      <c r="N171" s="121">
        <f t="shared" si="65"/>
        <v>18326100</v>
      </c>
      <c r="O171" s="168" t="s">
        <v>476</v>
      </c>
      <c r="P171" s="169"/>
    </row>
    <row r="172" spans="1:17" s="67" customFormat="1" ht="103.5" customHeight="1" thickTop="1" thickBot="1" x14ac:dyDescent="0.25">
      <c r="A172" s="103"/>
      <c r="B172" s="45">
        <v>9110</v>
      </c>
      <c r="C172" s="19" t="s">
        <v>32</v>
      </c>
      <c r="D172" s="39" t="s">
        <v>459</v>
      </c>
      <c r="E172" s="108">
        <v>73303900</v>
      </c>
      <c r="F172" s="108">
        <v>18326100</v>
      </c>
      <c r="G172" s="108">
        <v>18326100</v>
      </c>
      <c r="H172" s="101">
        <f t="shared" si="75"/>
        <v>1</v>
      </c>
      <c r="I172" s="108"/>
      <c r="J172" s="108"/>
      <c r="K172" s="108"/>
      <c r="L172" s="108"/>
      <c r="M172" s="119"/>
      <c r="N172" s="108">
        <f t="shared" si="65"/>
        <v>18326100</v>
      </c>
      <c r="O172" s="16"/>
    </row>
    <row r="173" spans="1:17" s="67" customFormat="1" ht="271.5" thickTop="1" thickBot="1" x14ac:dyDescent="0.25">
      <c r="A173" s="103"/>
      <c r="B173" s="123" t="s">
        <v>60</v>
      </c>
      <c r="C173" s="123"/>
      <c r="D173" s="123" t="s">
        <v>61</v>
      </c>
      <c r="E173" s="121">
        <f t="shared" ref="E173:G173" si="76">SUM(E174:E175)</f>
        <v>978237</v>
      </c>
      <c r="F173" s="121">
        <f t="shared" si="76"/>
        <v>372300</v>
      </c>
      <c r="G173" s="121">
        <f t="shared" si="76"/>
        <v>372300</v>
      </c>
      <c r="H173" s="120">
        <f t="shared" si="75"/>
        <v>1</v>
      </c>
      <c r="I173" s="121">
        <f t="shared" ref="I173:J173" si="77">SUM(I174:I175)</f>
        <v>0</v>
      </c>
      <c r="J173" s="121">
        <f t="shared" si="77"/>
        <v>0</v>
      </c>
      <c r="K173" s="120">
        <v>0</v>
      </c>
      <c r="L173" s="121"/>
      <c r="M173" s="121"/>
      <c r="N173" s="121">
        <f t="shared" si="65"/>
        <v>372300</v>
      </c>
      <c r="O173" s="168" t="s">
        <v>476</v>
      </c>
      <c r="P173" s="169"/>
    </row>
    <row r="174" spans="1:17" s="67" customFormat="1" ht="276" thickTop="1" thickBot="1" x14ac:dyDescent="0.25">
      <c r="A174" s="103"/>
      <c r="B174" s="113" t="s">
        <v>62</v>
      </c>
      <c r="C174" s="113" t="s">
        <v>32</v>
      </c>
      <c r="D174" s="113" t="s">
        <v>63</v>
      </c>
      <c r="E174" s="108">
        <v>300000</v>
      </c>
      <c r="F174" s="108">
        <v>102000</v>
      </c>
      <c r="G174" s="108">
        <v>102000</v>
      </c>
      <c r="H174" s="101">
        <f t="shared" si="75"/>
        <v>1</v>
      </c>
      <c r="I174" s="108"/>
      <c r="J174" s="108"/>
      <c r="K174" s="108"/>
      <c r="L174" s="65"/>
      <c r="M174" s="66"/>
      <c r="N174" s="108">
        <f t="shared" si="65"/>
        <v>102000</v>
      </c>
      <c r="O174" s="68"/>
      <c r="P174" s="116"/>
    </row>
    <row r="175" spans="1:17" s="67" customFormat="1" ht="93" thickTop="1" thickBot="1" x14ac:dyDescent="0.25">
      <c r="A175" s="103"/>
      <c r="B175" s="113" t="s">
        <v>64</v>
      </c>
      <c r="C175" s="113" t="s">
        <v>32</v>
      </c>
      <c r="D175" s="113" t="s">
        <v>65</v>
      </c>
      <c r="E175" s="108">
        <v>678237</v>
      </c>
      <c r="F175" s="108">
        <v>270300</v>
      </c>
      <c r="G175" s="108">
        <v>270300</v>
      </c>
      <c r="H175" s="101">
        <f t="shared" si="75"/>
        <v>1</v>
      </c>
      <c r="I175" s="108"/>
      <c r="J175" s="108"/>
      <c r="K175" s="108"/>
      <c r="L175" s="65"/>
      <c r="M175" s="66"/>
      <c r="N175" s="108">
        <f t="shared" si="65"/>
        <v>270300</v>
      </c>
      <c r="O175" s="68"/>
      <c r="P175" s="116"/>
    </row>
    <row r="176" spans="1:17" s="67" customFormat="1" ht="271.5" hidden="1" thickTop="1" thickBot="1" x14ac:dyDescent="0.25">
      <c r="A176" s="103"/>
      <c r="B176" s="104" t="s">
        <v>66</v>
      </c>
      <c r="C176" s="104" t="s">
        <v>32</v>
      </c>
      <c r="D176" s="104" t="s">
        <v>67</v>
      </c>
      <c r="E176" s="105"/>
      <c r="F176" s="105"/>
      <c r="G176" s="105"/>
      <c r="H176" s="105"/>
      <c r="I176" s="105"/>
      <c r="J176" s="105"/>
      <c r="K176" s="105"/>
      <c r="L176" s="105"/>
      <c r="M176" s="105"/>
      <c r="N176" s="105">
        <f>J176+G176</f>
        <v>0</v>
      </c>
      <c r="O176" s="68"/>
      <c r="P176" s="116"/>
    </row>
    <row r="177" spans="1:16" s="67" customFormat="1" ht="71.25" customHeight="1" thickTop="1" thickBot="1" x14ac:dyDescent="0.25">
      <c r="A177" s="103"/>
      <c r="B177" s="70" t="s">
        <v>460</v>
      </c>
      <c r="C177" s="70" t="s">
        <v>460</v>
      </c>
      <c r="D177" s="71" t="s">
        <v>479</v>
      </c>
      <c r="E177" s="72">
        <f>E16+E21+E48+E61+E91+E99+E114+E126+E154+E170</f>
        <v>2642630687</v>
      </c>
      <c r="F177" s="72">
        <f>F16+F21+F48+F61+F91+F99+F114+F126+F154+F170</f>
        <v>668619643.10000002</v>
      </c>
      <c r="G177" s="72">
        <f>G16+G21+G48+G61+G91+G99+G114+G126+G154+G170</f>
        <v>636989749.21000004</v>
      </c>
      <c r="H177" s="125">
        <f>G177/F177</f>
        <v>0.95269374117794303</v>
      </c>
      <c r="I177" s="72">
        <f>I16+I21+I48+I61+I91+I99+I114+I126+I154+I170</f>
        <v>436950542.08000004</v>
      </c>
      <c r="J177" s="72">
        <f>J16+J21+J48+J61+J91+J99+J114+J126+J154+J170</f>
        <v>62942264.460000008</v>
      </c>
      <c r="K177" s="125">
        <f>J177/I177</f>
        <v>0.14404894467089616</v>
      </c>
      <c r="L177" s="72" t="e">
        <f>#REF!+#REF!+#REF!+#REF!+#REF!+#REF!++L107+L115+L166+L133+L145+L157+L123+#REF!+#REF!</f>
        <v>#REF!</v>
      </c>
      <c r="M177" s="72" t="e">
        <f>#REF!+#REF!+#REF!+#REF!+#REF!+#REF!++M107+M115+M166+M133+M145+M157+M123+#REF!+#REF!</f>
        <v>#REF!</v>
      </c>
      <c r="N177" s="72">
        <f>N16+N21+N48+N61+N91+N99+N114+N126+N154+N170</f>
        <v>699932013.66999984</v>
      </c>
      <c r="O177" s="72" t="b">
        <f>N177=J177+G177</f>
        <v>1</v>
      </c>
      <c r="P177" s="116"/>
    </row>
    <row r="178" spans="1:16" s="67" customFormat="1" ht="47.25" thickTop="1" thickBot="1" x14ac:dyDescent="0.25">
      <c r="A178" s="103"/>
      <c r="B178" s="8" t="s">
        <v>51</v>
      </c>
      <c r="C178" s="70"/>
      <c r="D178" s="48" t="s">
        <v>484</v>
      </c>
      <c r="E178" s="129">
        <f t="shared" ref="E178:G179" si="78">E179</f>
        <v>200000</v>
      </c>
      <c r="F178" s="129">
        <f t="shared" si="78"/>
        <v>0</v>
      </c>
      <c r="G178" s="129">
        <f t="shared" si="78"/>
        <v>0</v>
      </c>
      <c r="H178" s="130">
        <v>0</v>
      </c>
      <c r="I178" s="129">
        <f>I179</f>
        <v>0</v>
      </c>
      <c r="J178" s="129">
        <f>J179</f>
        <v>-61437.45</v>
      </c>
      <c r="K178" s="139"/>
      <c r="L178" s="129"/>
      <c r="M178" s="129"/>
      <c r="N178" s="137">
        <f t="shared" ref="N178:N182" si="79">G178+J178</f>
        <v>-61437.45</v>
      </c>
      <c r="O178" s="168" t="s">
        <v>476</v>
      </c>
      <c r="P178" s="169"/>
    </row>
    <row r="179" spans="1:16" s="67" customFormat="1" ht="47.25" thickTop="1" thickBot="1" x14ac:dyDescent="0.25">
      <c r="A179" s="103"/>
      <c r="B179" s="26" t="s">
        <v>482</v>
      </c>
      <c r="C179" s="70"/>
      <c r="D179" s="126" t="s">
        <v>485</v>
      </c>
      <c r="E179" s="131">
        <f t="shared" si="78"/>
        <v>200000</v>
      </c>
      <c r="F179" s="131">
        <f t="shared" si="78"/>
        <v>0</v>
      </c>
      <c r="G179" s="131">
        <f t="shared" si="78"/>
        <v>0</v>
      </c>
      <c r="H179" s="132">
        <v>0</v>
      </c>
      <c r="I179" s="131">
        <f>I180</f>
        <v>0</v>
      </c>
      <c r="J179" s="131">
        <f>J180</f>
        <v>-61437.45</v>
      </c>
      <c r="K179" s="120"/>
      <c r="L179" s="131"/>
      <c r="M179" s="131"/>
      <c r="N179" s="121">
        <f t="shared" si="79"/>
        <v>-61437.45</v>
      </c>
      <c r="O179" s="168" t="s">
        <v>476</v>
      </c>
      <c r="P179" s="169"/>
    </row>
    <row r="180" spans="1:16" s="67" customFormat="1" ht="321.75" thickTop="1" thickBot="1" x14ac:dyDescent="0.25">
      <c r="A180" s="103"/>
      <c r="B180" s="33" t="s">
        <v>483</v>
      </c>
      <c r="C180" s="70"/>
      <c r="D180" s="49" t="s">
        <v>486</v>
      </c>
      <c r="E180" s="133">
        <f>E181+E182</f>
        <v>200000</v>
      </c>
      <c r="F180" s="133">
        <f>F181+F182</f>
        <v>0</v>
      </c>
      <c r="G180" s="133">
        <f>G181+G182</f>
        <v>0</v>
      </c>
      <c r="H180" s="109">
        <v>0</v>
      </c>
      <c r="I180" s="133">
        <f>I181+I182</f>
        <v>0</v>
      </c>
      <c r="J180" s="133">
        <f>J181+J182</f>
        <v>-61437.45</v>
      </c>
      <c r="K180" s="101"/>
      <c r="L180" s="133"/>
      <c r="M180" s="133"/>
      <c r="N180" s="110">
        <f t="shared" si="79"/>
        <v>-61437.45</v>
      </c>
      <c r="O180" s="168" t="s">
        <v>476</v>
      </c>
      <c r="P180" s="169"/>
    </row>
    <row r="181" spans="1:16" s="67" customFormat="1" ht="276" thickTop="1" thickBot="1" x14ac:dyDescent="0.25">
      <c r="A181" s="103"/>
      <c r="B181" s="127" t="s">
        <v>480</v>
      </c>
      <c r="C181" s="70"/>
      <c r="D181" s="128" t="s">
        <v>487</v>
      </c>
      <c r="E181" s="119">
        <v>200000</v>
      </c>
      <c r="F181" s="119">
        <v>0</v>
      </c>
      <c r="G181" s="119">
        <v>0</v>
      </c>
      <c r="H181" s="101">
        <v>0</v>
      </c>
      <c r="I181" s="119">
        <v>100000</v>
      </c>
      <c r="J181" s="119">
        <v>0</v>
      </c>
      <c r="K181" s="101">
        <f t="shared" ref="K181:K182" si="80">J181/I181</f>
        <v>0</v>
      </c>
      <c r="L181" s="129"/>
      <c r="M181" s="129"/>
      <c r="N181" s="108">
        <f t="shared" si="79"/>
        <v>0</v>
      </c>
      <c r="O181" s="168" t="s">
        <v>476</v>
      </c>
      <c r="P181" s="169"/>
    </row>
    <row r="182" spans="1:16" s="67" customFormat="1" ht="321.75" thickTop="1" thickBot="1" x14ac:dyDescent="0.25">
      <c r="A182" s="103"/>
      <c r="B182" s="127" t="s">
        <v>481</v>
      </c>
      <c r="C182" s="70"/>
      <c r="D182" s="128" t="s">
        <v>488</v>
      </c>
      <c r="E182" s="129"/>
      <c r="F182" s="129"/>
      <c r="G182" s="129"/>
      <c r="H182" s="130"/>
      <c r="I182" s="119">
        <v>-100000</v>
      </c>
      <c r="J182" s="119">
        <v>-61437.45</v>
      </c>
      <c r="K182" s="101">
        <f t="shared" si="80"/>
        <v>0.61437449999999993</v>
      </c>
      <c r="L182" s="129"/>
      <c r="M182" s="129"/>
      <c r="N182" s="108">
        <f t="shared" si="79"/>
        <v>-61437.45</v>
      </c>
      <c r="O182" s="68"/>
      <c r="P182" s="116"/>
    </row>
    <row r="183" spans="1:16" s="67" customFormat="1" ht="119.25" customHeight="1" thickTop="1" thickBot="1" x14ac:dyDescent="0.25">
      <c r="A183" s="103"/>
      <c r="B183" s="70" t="s">
        <v>460</v>
      </c>
      <c r="C183" s="70" t="s">
        <v>460</v>
      </c>
      <c r="D183" s="71" t="s">
        <v>461</v>
      </c>
      <c r="E183" s="72">
        <f>E177+E178</f>
        <v>2642830687</v>
      </c>
      <c r="F183" s="72">
        <f>F177+F178</f>
        <v>668619643.10000002</v>
      </c>
      <c r="G183" s="72">
        <f>G177+G178</f>
        <v>636989749.21000004</v>
      </c>
      <c r="H183" s="125">
        <f>G183/F183</f>
        <v>0.95269374117794303</v>
      </c>
      <c r="I183" s="72">
        <f>I177+I178</f>
        <v>436950542.08000004</v>
      </c>
      <c r="J183" s="72">
        <f>J177+J178</f>
        <v>62880827.010000005</v>
      </c>
      <c r="K183" s="125">
        <f>J183/I183</f>
        <v>0.14390833962734237</v>
      </c>
      <c r="L183" s="72" t="e">
        <f>#REF!+#REF!+#REF!+#REF!+#REF!+#REF!++L113+L121+L172+L140+L151+L163+L129+#REF!+#REF!</f>
        <v>#REF!</v>
      </c>
      <c r="M183" s="72" t="e">
        <f>#REF!+#REF!+#REF!+#REF!+#REF!+#REF!++M113+M121+M172+M140+M151+M163+M129+#REF!+#REF!</f>
        <v>#REF!</v>
      </c>
      <c r="N183" s="72">
        <f>N177+N178</f>
        <v>699870576.21999979</v>
      </c>
      <c r="O183" s="72" t="b">
        <f>N183=J183+G183</f>
        <v>1</v>
      </c>
      <c r="P183" s="116"/>
    </row>
    <row r="184" spans="1:16" ht="58.5" customHeight="1" thickTop="1" x14ac:dyDescent="0.2">
      <c r="A184" s="159" t="s">
        <v>462</v>
      </c>
      <c r="B184" s="160"/>
      <c r="C184" s="160"/>
      <c r="D184" s="160"/>
      <c r="E184" s="160"/>
      <c r="F184" s="160"/>
      <c r="G184" s="160"/>
      <c r="H184" s="160"/>
      <c r="I184" s="160"/>
      <c r="J184" s="160"/>
      <c r="K184" s="160"/>
      <c r="L184" s="160"/>
      <c r="M184" s="160"/>
      <c r="N184" s="160"/>
      <c r="O184" s="73"/>
    </row>
    <row r="185" spans="1:16" ht="45.75" x14ac:dyDescent="0.65">
      <c r="A185" s="74"/>
      <c r="B185" s="75"/>
      <c r="C185" s="75"/>
      <c r="D185" s="76" t="s">
        <v>489</v>
      </c>
      <c r="E185" s="77"/>
      <c r="F185" s="77"/>
      <c r="G185" s="76"/>
      <c r="H185" s="78"/>
      <c r="I185" s="76" t="s">
        <v>490</v>
      </c>
      <c r="J185" s="78"/>
      <c r="K185" s="78"/>
      <c r="L185" s="78"/>
      <c r="M185" s="78"/>
      <c r="N185" s="78"/>
      <c r="O185" s="73"/>
    </row>
    <row r="186" spans="1:16" ht="21" hidden="1" x14ac:dyDescent="0.65">
      <c r="A186" s="74"/>
      <c r="B186" s="75"/>
      <c r="C186" s="75"/>
      <c r="D186" s="161"/>
      <c r="E186" s="161"/>
      <c r="F186" s="161"/>
      <c r="G186" s="161"/>
      <c r="H186" s="161"/>
      <c r="I186" s="161"/>
      <c r="J186" s="161"/>
      <c r="K186" s="161"/>
      <c r="L186" s="161"/>
      <c r="M186" s="161"/>
      <c r="N186" s="161"/>
      <c r="O186" s="73"/>
    </row>
    <row r="187" spans="1:16" ht="45.75" x14ac:dyDescent="0.65">
      <c r="A187" s="74"/>
      <c r="B187" s="75"/>
      <c r="C187" s="75"/>
      <c r="D187" s="76" t="s">
        <v>463</v>
      </c>
      <c r="E187" s="77"/>
      <c r="F187" s="77"/>
      <c r="G187" s="76"/>
      <c r="H187" s="78"/>
      <c r="I187" s="76" t="s">
        <v>464</v>
      </c>
      <c r="J187" s="78"/>
      <c r="K187" s="78"/>
      <c r="L187" s="78"/>
      <c r="M187" s="78"/>
      <c r="N187" s="78"/>
      <c r="O187" s="73"/>
    </row>
    <row r="188" spans="1:16" ht="45.75" x14ac:dyDescent="0.65">
      <c r="A188" s="2"/>
      <c r="B188" s="2"/>
      <c r="C188" s="2"/>
      <c r="D188" s="161"/>
      <c r="E188" s="161"/>
      <c r="F188" s="161"/>
      <c r="G188" s="161"/>
      <c r="H188" s="161"/>
      <c r="I188" s="161"/>
      <c r="J188" s="161"/>
      <c r="K188" s="161"/>
      <c r="L188" s="161"/>
      <c r="M188" s="161"/>
      <c r="N188" s="161"/>
      <c r="O188" s="79"/>
    </row>
    <row r="189" spans="1:16" ht="150.75" hidden="1" customHeight="1" x14ac:dyDescent="0.65">
      <c r="D189" s="161" t="s">
        <v>465</v>
      </c>
      <c r="E189" s="161"/>
      <c r="F189" s="161"/>
      <c r="G189" s="161"/>
      <c r="H189" s="161"/>
      <c r="I189" s="161"/>
      <c r="J189" s="161"/>
      <c r="K189" s="161"/>
      <c r="L189" s="161"/>
      <c r="M189" s="161"/>
      <c r="N189" s="161"/>
    </row>
    <row r="192" spans="1:16" ht="5.25" customHeight="1" x14ac:dyDescent="0.2"/>
    <row r="193" spans="5:5" hidden="1" x14ac:dyDescent="0.2"/>
    <row r="194" spans="5:5" hidden="1" x14ac:dyDescent="0.2"/>
    <row r="195" spans="5:5" hidden="1" x14ac:dyDescent="0.2"/>
    <row r="196" spans="5:5" hidden="1" x14ac:dyDescent="0.2"/>
    <row r="197" spans="5:5" hidden="1" x14ac:dyDescent="0.2"/>
    <row r="198" spans="5:5" hidden="1" x14ac:dyDescent="0.2"/>
    <row r="199" spans="5:5" hidden="1" x14ac:dyDescent="0.2"/>
    <row r="200" spans="5:5" hidden="1" x14ac:dyDescent="0.2"/>
    <row r="201" spans="5:5" hidden="1" x14ac:dyDescent="0.2"/>
    <row r="202" spans="5:5" hidden="1" x14ac:dyDescent="0.2"/>
    <row r="205" spans="5:5" ht="13.5" thickBot="1" x14ac:dyDescent="0.25"/>
    <row r="206" spans="5:5" ht="47.25" thickTop="1" thickBot="1" x14ac:dyDescent="0.25">
      <c r="E206" s="174" t="b">
        <f>2565348550=E177-E170-E168</f>
        <v>1</v>
      </c>
    </row>
    <row r="207" spans="5:5" ht="47.25" thickTop="1" thickBot="1" x14ac:dyDescent="0.25">
      <c r="E207" s="174" t="b">
        <f>436950542.08=I177</f>
        <v>1</v>
      </c>
    </row>
    <row r="208" spans="5:5" ht="13.5" thickTop="1" x14ac:dyDescent="0.2"/>
  </sheetData>
  <mergeCells count="65">
    <mergeCell ref="O171:P171"/>
    <mergeCell ref="O173:P173"/>
    <mergeCell ref="P170:Q170"/>
    <mergeCell ref="O181:P181"/>
    <mergeCell ref="O180:P180"/>
    <mergeCell ref="O179:P179"/>
    <mergeCell ref="O178:P178"/>
    <mergeCell ref="O156:P156"/>
    <mergeCell ref="O169:P169"/>
    <mergeCell ref="O168:P168"/>
    <mergeCell ref="O146:P146"/>
    <mergeCell ref="B151:B152"/>
    <mergeCell ref="C151:C152"/>
    <mergeCell ref="E151:E152"/>
    <mergeCell ref="F151:F152"/>
    <mergeCell ref="G151:G152"/>
    <mergeCell ref="H151:H152"/>
    <mergeCell ref="I151:I152"/>
    <mergeCell ref="J151:J152"/>
    <mergeCell ref="K151:K152"/>
    <mergeCell ref="O155:P155"/>
    <mergeCell ref="O159:P159"/>
    <mergeCell ref="O165:P165"/>
    <mergeCell ref="A184:N184"/>
    <mergeCell ref="D186:N186"/>
    <mergeCell ref="D188:N188"/>
    <mergeCell ref="D189:N189"/>
    <mergeCell ref="F13:F14"/>
    <mergeCell ref="G13:G14"/>
    <mergeCell ref="K13:K14"/>
    <mergeCell ref="L151:L152"/>
    <mergeCell ref="M151:M152"/>
    <mergeCell ref="N151:N152"/>
    <mergeCell ref="L28:L29"/>
    <mergeCell ref="M28:M29"/>
    <mergeCell ref="N28:N29"/>
    <mergeCell ref="G28:G29"/>
    <mergeCell ref="H28:H29"/>
    <mergeCell ref="I28:I29"/>
    <mergeCell ref="J28:J29"/>
    <mergeCell ref="K28:K29"/>
    <mergeCell ref="A28:A29"/>
    <mergeCell ref="B28:B29"/>
    <mergeCell ref="C28:C29"/>
    <mergeCell ref="E28:E29"/>
    <mergeCell ref="F28:F29"/>
    <mergeCell ref="M13:M14"/>
    <mergeCell ref="I12:M12"/>
    <mergeCell ref="N12:N14"/>
    <mergeCell ref="E13:E14"/>
    <mergeCell ref="H13:H14"/>
    <mergeCell ref="I13:I14"/>
    <mergeCell ref="J13:J14"/>
    <mergeCell ref="E12:H12"/>
    <mergeCell ref="A10:B10"/>
    <mergeCell ref="A12:A14"/>
    <mergeCell ref="B12:B14"/>
    <mergeCell ref="C12:C14"/>
    <mergeCell ref="D12:D14"/>
    <mergeCell ref="M4:N4"/>
    <mergeCell ref="A6:N6"/>
    <mergeCell ref="A7:N7"/>
    <mergeCell ref="A9:B9"/>
    <mergeCell ref="K2:N2"/>
    <mergeCell ref="J3:N3"/>
  </mergeCells>
  <pageMargins left="0.23622047244094491" right="0.27559055118110237" top="0.27559055118110237" bottom="0.15748031496062992" header="0.23622047244094491" footer="0.27559055118110237"/>
  <pageSetup paperSize="9" scale="23" orientation="landscape" horizontalDpi="4294967295" verticalDpi="4294967295" r:id="rId1"/>
  <headerFooter alignWithMargins="0">
    <oddFooter>&amp;C&amp;"Times New Roman Cyr,курсив"Сторінка &amp;P з &amp;N</oddFooter>
  </headerFooter>
  <rowBreaks count="2" manualBreakCount="2">
    <brk id="25" min="1" max="13" man="1"/>
    <brk id="171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d2</vt:lpstr>
      <vt:lpstr>'d2'!Заголовки_для_друку</vt:lpstr>
      <vt:lpstr>'d2'!Область_друку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Денис Леонідович</dc:creator>
  <cp:lastModifiedBy>Ковтун Денис Леонідович</cp:lastModifiedBy>
  <cp:lastPrinted>2021-05-24T09:21:21Z</cp:lastPrinted>
  <dcterms:created xsi:type="dcterms:W3CDTF">2021-05-18T12:47:38Z</dcterms:created>
  <dcterms:modified xsi:type="dcterms:W3CDTF">2021-05-24T09:23:00Z</dcterms:modified>
</cp:coreProperties>
</file>