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ZagVid\рішення 2020\24.12.2020\"/>
    </mc:Choice>
  </mc:AlternateContent>
  <bookViews>
    <workbookView xWindow="0" yWindow="0" windowWidth="28800" windowHeight="12435"/>
  </bookViews>
  <sheets>
    <sheet name="Теплова енергія" sheetId="4" r:id="rId1"/>
    <sheet name="Виробництво" sheetId="5" r:id="rId2"/>
    <sheet name="Транспортування" sheetId="1" r:id="rId3"/>
    <sheet name="Постачання" sheetId="6" r:id="rId4"/>
    <sheet name="гаряча вода" sheetId="2" r:id="rId5"/>
    <sheet name="Лист3" sheetId="3" r:id="rId6"/>
  </sheets>
  <calcPr calcId="152511"/>
</workbook>
</file>

<file path=xl/calcChain.xml><?xml version="1.0" encoding="utf-8"?>
<calcChain xmlns="http://schemas.openxmlformats.org/spreadsheetml/2006/main">
  <c r="G25" i="2" l="1"/>
  <c r="F25" i="2"/>
  <c r="E25" i="2"/>
  <c r="C25" i="2"/>
  <c r="G19" i="2"/>
  <c r="F19" i="2"/>
  <c r="E19" i="2"/>
  <c r="C19" i="2"/>
  <c r="G16" i="2"/>
  <c r="G23" i="2" s="1"/>
  <c r="G24" i="2" s="1"/>
  <c r="F16" i="2"/>
  <c r="F23" i="2" s="1"/>
  <c r="F24" i="2" s="1"/>
  <c r="E16" i="2"/>
  <c r="E23" i="2" s="1"/>
  <c r="E24" i="2" s="1"/>
  <c r="C16" i="2"/>
  <c r="C23" i="2" s="1"/>
  <c r="C24" i="2" s="1"/>
  <c r="C26" i="2" s="1"/>
  <c r="F26" i="2" l="1"/>
  <c r="F14" i="2"/>
  <c r="E26" i="2"/>
  <c r="E14" i="2"/>
  <c r="G26" i="2"/>
  <c r="G14" i="2"/>
  <c r="D32" i="1"/>
  <c r="D27" i="1"/>
  <c r="D33" i="5"/>
  <c r="D28" i="5"/>
  <c r="D39" i="4"/>
  <c r="D34" i="4"/>
  <c r="D29" i="6" l="1"/>
  <c r="D24" i="6"/>
  <c r="D21" i="6"/>
  <c r="D19" i="6"/>
  <c r="D30" i="1"/>
  <c r="D25" i="1"/>
  <c r="D22" i="1"/>
  <c r="D21" i="1" s="1"/>
  <c r="D16" i="1"/>
  <c r="H44" i="5"/>
  <c r="G44" i="5"/>
  <c r="F44" i="5"/>
  <c r="E44" i="5"/>
  <c r="D18" i="6" l="1"/>
  <c r="D15" i="1"/>
  <c r="D36" i="1" s="1"/>
  <c r="D42" i="1" s="1"/>
  <c r="D31" i="5"/>
  <c r="D26" i="5"/>
  <c r="D23" i="5"/>
  <c r="D22" i="5" l="1"/>
  <c r="D43" i="1"/>
  <c r="D45" i="1" s="1"/>
  <c r="D37" i="4" l="1"/>
  <c r="D32" i="4"/>
  <c r="D29" i="4"/>
  <c r="D28" i="4" s="1"/>
  <c r="H20" i="4"/>
  <c r="H17" i="5" s="1"/>
  <c r="G20" i="4"/>
  <c r="G17" i="5" s="1"/>
  <c r="F20" i="4"/>
  <c r="F17" i="5" s="1"/>
  <c r="E20" i="4"/>
  <c r="E17" i="5" s="1"/>
  <c r="D20" i="4" l="1"/>
  <c r="D19" i="4" s="1"/>
  <c r="D18" i="4" s="1"/>
  <c r="D46" i="4" s="1"/>
  <c r="D47" i="4" l="1"/>
  <c r="D44" i="4" l="1"/>
  <c r="D50" i="4" s="1"/>
  <c r="D51" i="4" s="1"/>
  <c r="D40" i="1" l="1"/>
  <c r="D54" i="5"/>
  <c r="D34" i="6" l="1"/>
  <c r="D46" i="5" l="1"/>
  <c r="D22" i="6" l="1"/>
  <c r="D15" i="6" s="1"/>
  <c r="D27" i="6" l="1"/>
  <c r="D36" i="6" s="1"/>
  <c r="D37" i="6" s="1"/>
  <c r="D39" i="6" s="1"/>
  <c r="D13" i="6" l="1"/>
  <c r="M45" i="4" l="1"/>
  <c r="M44" i="4"/>
  <c r="M43" i="4"/>
  <c r="M42" i="4"/>
  <c r="M23" i="4"/>
  <c r="M22" i="4"/>
  <c r="M20" i="4"/>
  <c r="L45" i="4"/>
  <c r="K45" i="4"/>
  <c r="J45" i="4"/>
  <c r="L44" i="4"/>
  <c r="K44" i="4"/>
  <c r="J44" i="4"/>
  <c r="L43" i="4"/>
  <c r="K43" i="4"/>
  <c r="J43" i="4"/>
  <c r="L42" i="4"/>
  <c r="K42" i="4"/>
  <c r="J42" i="4"/>
  <c r="L23" i="4"/>
  <c r="K23" i="4"/>
  <c r="J23" i="4"/>
  <c r="L22" i="4"/>
  <c r="K22" i="4"/>
  <c r="J22" i="4"/>
  <c r="L20" i="4"/>
  <c r="K20" i="4"/>
  <c r="J20" i="4"/>
  <c r="H41" i="6" l="1"/>
  <c r="G41" i="6"/>
  <c r="F41" i="6"/>
  <c r="E41" i="6"/>
  <c r="H47" i="1"/>
  <c r="H40" i="1" s="1"/>
  <c r="G47" i="1"/>
  <c r="G40" i="1" s="1"/>
  <c r="F47" i="1"/>
  <c r="F40" i="1" s="1"/>
  <c r="E47" i="1"/>
  <c r="E40" i="1" s="1"/>
  <c r="D52" i="4"/>
  <c r="D17" i="5"/>
  <c r="D16" i="5" s="1"/>
  <c r="D15" i="5" s="1"/>
  <c r="D41" i="6" l="1"/>
  <c r="G34" i="1"/>
  <c r="F33" i="1"/>
  <c r="H32" i="1"/>
  <c r="F32" i="1"/>
  <c r="H31" i="1"/>
  <c r="F31" i="1"/>
  <c r="G29" i="1"/>
  <c r="E29" i="1"/>
  <c r="G28" i="1"/>
  <c r="E28" i="1"/>
  <c r="G27" i="1"/>
  <c r="E27" i="1"/>
  <c r="G26" i="1"/>
  <c r="G25" i="1" s="1"/>
  <c r="E26" i="1"/>
  <c r="E25" i="1" s="1"/>
  <c r="H24" i="1"/>
  <c r="F24" i="1"/>
  <c r="H23" i="1"/>
  <c r="F23" i="1"/>
  <c r="G23" i="1"/>
  <c r="H34" i="1"/>
  <c r="G33" i="1"/>
  <c r="E33" i="1"/>
  <c r="G32" i="1"/>
  <c r="E32" i="1"/>
  <c r="G31" i="1"/>
  <c r="G30" i="1" s="1"/>
  <c r="E31" i="1"/>
  <c r="H29" i="1"/>
  <c r="F29" i="1"/>
  <c r="H28" i="1"/>
  <c r="F28" i="1"/>
  <c r="H27" i="1"/>
  <c r="F27" i="1"/>
  <c r="H26" i="1"/>
  <c r="H25" i="1" s="1"/>
  <c r="F26" i="1"/>
  <c r="F25" i="1" s="1"/>
  <c r="G24" i="1"/>
  <c r="E24" i="1"/>
  <c r="E23" i="1"/>
  <c r="E40" i="4"/>
  <c r="E38" i="4"/>
  <c r="E35" i="4"/>
  <c r="E33" i="4"/>
  <c r="E31" i="4"/>
  <c r="E30" i="4"/>
  <c r="F30" i="4" s="1"/>
  <c r="G30" i="4" s="1"/>
  <c r="H30" i="4" s="1"/>
  <c r="E27" i="4"/>
  <c r="G26" i="4"/>
  <c r="L26" i="4" s="1"/>
  <c r="E26" i="4"/>
  <c r="J26" i="4" s="1"/>
  <c r="G25" i="4"/>
  <c r="L25" i="4" s="1"/>
  <c r="E25" i="4"/>
  <c r="J25" i="4" s="1"/>
  <c r="G24" i="4"/>
  <c r="L24" i="4" s="1"/>
  <c r="E24" i="4"/>
  <c r="E41" i="4"/>
  <c r="E39" i="4"/>
  <c r="E36" i="4"/>
  <c r="E34" i="4"/>
  <c r="H26" i="4"/>
  <c r="M26" i="4" s="1"/>
  <c r="F26" i="4"/>
  <c r="K26" i="4" s="1"/>
  <c r="H25" i="4"/>
  <c r="M25" i="4" s="1"/>
  <c r="F25" i="4"/>
  <c r="K25" i="4" s="1"/>
  <c r="H24" i="4"/>
  <c r="M24" i="4" s="1"/>
  <c r="F24" i="4"/>
  <c r="K24" i="4" s="1"/>
  <c r="E34" i="1"/>
  <c r="E30" i="1" s="1"/>
  <c r="H33" i="1"/>
  <c r="F34" i="1"/>
  <c r="F30" i="1" s="1"/>
  <c r="F31" i="6"/>
  <c r="F20" i="6"/>
  <c r="F17" i="6"/>
  <c r="F19" i="6" s="1"/>
  <c r="F29" i="6"/>
  <c r="F25" i="6"/>
  <c r="F24" i="6"/>
  <c r="F28" i="6"/>
  <c r="F26" i="6"/>
  <c r="F23" i="6"/>
  <c r="F21" i="6"/>
  <c r="F30" i="6"/>
  <c r="F38" i="6"/>
  <c r="F34" i="6"/>
  <c r="F39" i="6"/>
  <c r="F37" i="6"/>
  <c r="H26" i="6"/>
  <c r="H25" i="6"/>
  <c r="H20" i="6"/>
  <c r="H17" i="6"/>
  <c r="H19" i="6" s="1"/>
  <c r="H28" i="6"/>
  <c r="H23" i="6"/>
  <c r="H21" i="6"/>
  <c r="H30" i="6"/>
  <c r="H31" i="6"/>
  <c r="H29" i="6"/>
  <c r="H24" i="6"/>
  <c r="H38" i="6"/>
  <c r="H34" i="6"/>
  <c r="H39" i="6"/>
  <c r="H37" i="6"/>
  <c r="D38" i="5"/>
  <c r="D39" i="5" s="1"/>
  <c r="E25" i="6"/>
  <c r="E16" i="6"/>
  <c r="F16" i="6" s="1"/>
  <c r="G16" i="6" s="1"/>
  <c r="H16" i="6" s="1"/>
  <c r="E20" i="6"/>
  <c r="E17" i="6"/>
  <c r="E19" i="6" s="1"/>
  <c r="E29" i="6"/>
  <c r="E24" i="6"/>
  <c r="E30" i="6"/>
  <c r="E26" i="6"/>
  <c r="E28" i="6"/>
  <c r="E23" i="6"/>
  <c r="E21" i="6"/>
  <c r="E31" i="6"/>
  <c r="E38" i="6"/>
  <c r="E34" i="6"/>
  <c r="E37" i="6"/>
  <c r="E39" i="6"/>
  <c r="G30" i="6"/>
  <c r="G20" i="6"/>
  <c r="G17" i="6"/>
  <c r="G19" i="6" s="1"/>
  <c r="G26" i="6"/>
  <c r="G25" i="6"/>
  <c r="G28" i="6"/>
  <c r="G23" i="6"/>
  <c r="G29" i="6"/>
  <c r="G31" i="6"/>
  <c r="G21" i="6"/>
  <c r="G24" i="6"/>
  <c r="G38" i="6"/>
  <c r="G34" i="6"/>
  <c r="G39" i="6"/>
  <c r="G37" i="6"/>
  <c r="I45" i="4"/>
  <c r="I43" i="4"/>
  <c r="I41" i="4"/>
  <c r="I39" i="4"/>
  <c r="I37" i="4"/>
  <c r="I35" i="4"/>
  <c r="I33" i="4"/>
  <c r="I31" i="4"/>
  <c r="I29" i="4"/>
  <c r="I27" i="4"/>
  <c r="I25" i="4"/>
  <c r="I23" i="4"/>
  <c r="I21" i="4"/>
  <c r="I44" i="4"/>
  <c r="I42" i="4"/>
  <c r="I40" i="4"/>
  <c r="I38" i="4"/>
  <c r="I36" i="4"/>
  <c r="I34" i="4"/>
  <c r="I32" i="4"/>
  <c r="I30" i="4"/>
  <c r="I28" i="4"/>
  <c r="I26" i="4"/>
  <c r="I24" i="4"/>
  <c r="I22" i="4"/>
  <c r="D47" i="1"/>
  <c r="I19" i="4"/>
  <c r="I20" i="4"/>
  <c r="D55" i="5"/>
  <c r="D53" i="5"/>
  <c r="D52" i="5"/>
  <c r="H48" i="5"/>
  <c r="H57" i="5" s="1"/>
  <c r="H54" i="5" s="1"/>
  <c r="G48" i="5"/>
  <c r="G57" i="5" s="1"/>
  <c r="G54" i="5" s="1"/>
  <c r="F48" i="5"/>
  <c r="F57" i="5" s="1"/>
  <c r="F54" i="5" s="1"/>
  <c r="E48" i="5"/>
  <c r="E57" i="5" s="1"/>
  <c r="D48" i="5"/>
  <c r="D51" i="5"/>
  <c r="D50" i="5"/>
  <c r="D49" i="5"/>
  <c r="D47" i="5"/>
  <c r="D45" i="5"/>
  <c r="D43" i="5"/>
  <c r="G35" i="5" l="1"/>
  <c r="E35" i="5"/>
  <c r="G34" i="5"/>
  <c r="E34" i="5"/>
  <c r="G33" i="5"/>
  <c r="E33" i="5"/>
  <c r="G32" i="5"/>
  <c r="G31" i="5" s="1"/>
  <c r="E32" i="5"/>
  <c r="E31" i="5" s="1"/>
  <c r="H30" i="5"/>
  <c r="F30" i="5"/>
  <c r="H29" i="5"/>
  <c r="F29" i="5"/>
  <c r="H28" i="5"/>
  <c r="F28" i="5"/>
  <c r="H27" i="5"/>
  <c r="H26" i="5" s="1"/>
  <c r="F27" i="5"/>
  <c r="F26" i="5" s="1"/>
  <c r="G25" i="5"/>
  <c r="E25" i="5"/>
  <c r="G24" i="5"/>
  <c r="E24" i="5"/>
  <c r="G21" i="5"/>
  <c r="E21" i="5"/>
  <c r="G20" i="5"/>
  <c r="E20" i="5"/>
  <c r="G19" i="5"/>
  <c r="E19" i="5"/>
  <c r="H35" i="5"/>
  <c r="F35" i="5"/>
  <c r="H34" i="5"/>
  <c r="F34" i="5"/>
  <c r="H33" i="5"/>
  <c r="F33" i="5"/>
  <c r="H32" i="5"/>
  <c r="H31" i="5" s="1"/>
  <c r="F32" i="5"/>
  <c r="F31" i="5" s="1"/>
  <c r="G30" i="5"/>
  <c r="E30" i="5"/>
  <c r="G29" i="5"/>
  <c r="E29" i="5"/>
  <c r="G28" i="5"/>
  <c r="E28" i="5"/>
  <c r="G27" i="5"/>
  <c r="G26" i="5" s="1"/>
  <c r="E27" i="5"/>
  <c r="E26" i="5" s="1"/>
  <c r="H25" i="5"/>
  <c r="F25" i="5"/>
  <c r="H24" i="5"/>
  <c r="F24" i="5"/>
  <c r="H21" i="5"/>
  <c r="F21" i="5"/>
  <c r="H20" i="5"/>
  <c r="F20" i="5"/>
  <c r="H19" i="5"/>
  <c r="F19" i="5"/>
  <c r="G23" i="5"/>
  <c r="H23" i="5"/>
  <c r="E23" i="5"/>
  <c r="H18" i="5"/>
  <c r="H16" i="5" s="1"/>
  <c r="F23" i="5"/>
  <c r="G18" i="5"/>
  <c r="G16" i="5" s="1"/>
  <c r="F18" i="5"/>
  <c r="E18" i="5"/>
  <c r="E16" i="5" s="1"/>
  <c r="D44" i="5"/>
  <c r="D57" i="5"/>
  <c r="E54" i="5"/>
  <c r="H30" i="1"/>
  <c r="F36" i="4"/>
  <c r="J36" i="4"/>
  <c r="F41" i="4"/>
  <c r="J41" i="4"/>
  <c r="F33" i="4"/>
  <c r="E32" i="4"/>
  <c r="J32" i="4" s="1"/>
  <c r="J33" i="4"/>
  <c r="F38" i="4"/>
  <c r="E37" i="4"/>
  <c r="J37" i="4" s="1"/>
  <c r="J38" i="4"/>
  <c r="F34" i="4"/>
  <c r="J34" i="4"/>
  <c r="F39" i="4"/>
  <c r="J39" i="4"/>
  <c r="E19" i="4"/>
  <c r="J24" i="4"/>
  <c r="E29" i="4"/>
  <c r="E28" i="4" s="1"/>
  <c r="F27" i="4"/>
  <c r="G27" i="4" s="1"/>
  <c r="H27" i="4" s="1"/>
  <c r="F31" i="4"/>
  <c r="J31" i="4"/>
  <c r="F35" i="4"/>
  <c r="J35" i="4"/>
  <c r="F40" i="4"/>
  <c r="J40" i="4"/>
  <c r="H22" i="6"/>
  <c r="H18" i="6"/>
  <c r="F22" i="6"/>
  <c r="F18" i="6"/>
  <c r="G18" i="6"/>
  <c r="E27" i="6"/>
  <c r="H20" i="1"/>
  <c r="F20" i="1"/>
  <c r="H18" i="1"/>
  <c r="F18" i="1"/>
  <c r="H17" i="1"/>
  <c r="F17" i="1"/>
  <c r="G20" i="1"/>
  <c r="E20" i="1"/>
  <c r="G18" i="1"/>
  <c r="E18" i="1"/>
  <c r="G17" i="1"/>
  <c r="E17" i="1"/>
  <c r="F45" i="1"/>
  <c r="E45" i="1"/>
  <c r="E43" i="1"/>
  <c r="F43" i="1"/>
  <c r="H45" i="1"/>
  <c r="G45" i="1"/>
  <c r="G43" i="1"/>
  <c r="H43" i="1"/>
  <c r="G19" i="1"/>
  <c r="E19" i="1"/>
  <c r="H19" i="1"/>
  <c r="F19" i="1"/>
  <c r="G22" i="6"/>
  <c r="F27" i="6"/>
  <c r="G27" i="6"/>
  <c r="E22" i="6"/>
  <c r="E18" i="6"/>
  <c r="D42" i="5"/>
  <c r="D13" i="5" s="1"/>
  <c r="H27" i="6"/>
  <c r="H22" i="5"/>
  <c r="H15" i="5" s="1"/>
  <c r="G22" i="5"/>
  <c r="F22" i="5"/>
  <c r="J30" i="4"/>
  <c r="J27" i="4"/>
  <c r="J21" i="4"/>
  <c r="F19" i="4"/>
  <c r="J19" i="4"/>
  <c r="I18" i="4"/>
  <c r="E22" i="5" l="1"/>
  <c r="E15" i="5" s="1"/>
  <c r="E38" i="5" s="1"/>
  <c r="E39" i="5" s="1"/>
  <c r="G15" i="5"/>
  <c r="G38" i="5" s="1"/>
  <c r="G39" i="5" s="1"/>
  <c r="F16" i="5"/>
  <c r="F15" i="5" s="1"/>
  <c r="F38" i="5" s="1"/>
  <c r="F39" i="5" s="1"/>
  <c r="G38" i="4"/>
  <c r="F37" i="4"/>
  <c r="K37" i="4" s="1"/>
  <c r="K38" i="4"/>
  <c r="G40" i="4"/>
  <c r="K40" i="4"/>
  <c r="G35" i="4"/>
  <c r="K35" i="4"/>
  <c r="G31" i="4"/>
  <c r="K31" i="4"/>
  <c r="G39" i="4"/>
  <c r="K39" i="4"/>
  <c r="G34" i="4"/>
  <c r="K34" i="4"/>
  <c r="G33" i="4"/>
  <c r="F32" i="4"/>
  <c r="K32" i="4" s="1"/>
  <c r="K33" i="4"/>
  <c r="G41" i="4"/>
  <c r="K41" i="4"/>
  <c r="G36" i="4"/>
  <c r="K36" i="4"/>
  <c r="G22" i="1"/>
  <c r="G21" i="1" s="1"/>
  <c r="H22" i="1"/>
  <c r="H21" i="1" s="1"/>
  <c r="D66" i="5"/>
  <c r="D70" i="5"/>
  <c r="E22" i="1"/>
  <c r="E21" i="1" s="1"/>
  <c r="F22" i="1"/>
  <c r="F21" i="1" s="1"/>
  <c r="G16" i="1"/>
  <c r="H16" i="1"/>
  <c r="E16" i="1"/>
  <c r="F16" i="1"/>
  <c r="H38" i="5"/>
  <c r="H39" i="5" s="1"/>
  <c r="G19" i="4"/>
  <c r="K21" i="4"/>
  <c r="K19" i="4"/>
  <c r="K27" i="4"/>
  <c r="F29" i="4"/>
  <c r="F28" i="4" s="1"/>
  <c r="J29" i="4"/>
  <c r="E18" i="4"/>
  <c r="E46" i="4" s="1"/>
  <c r="K30" i="4"/>
  <c r="E15" i="6"/>
  <c r="F15" i="6"/>
  <c r="D37" i="1" l="1"/>
  <c r="H33" i="4"/>
  <c r="G32" i="4"/>
  <c r="L32" i="4" s="1"/>
  <c r="L33" i="4"/>
  <c r="H34" i="4"/>
  <c r="M34" i="4" s="1"/>
  <c r="L34" i="4"/>
  <c r="H39" i="4"/>
  <c r="M39" i="4" s="1"/>
  <c r="L39" i="4"/>
  <c r="H31" i="4"/>
  <c r="M31" i="4" s="1"/>
  <c r="L31" i="4"/>
  <c r="H35" i="4"/>
  <c r="M35" i="4" s="1"/>
  <c r="L35" i="4"/>
  <c r="H40" i="4"/>
  <c r="M40" i="4" s="1"/>
  <c r="L40" i="4"/>
  <c r="H36" i="4"/>
  <c r="M36" i="4" s="1"/>
  <c r="L36" i="4"/>
  <c r="H41" i="4"/>
  <c r="M41" i="4" s="1"/>
  <c r="L41" i="4"/>
  <c r="H38" i="4"/>
  <c r="G37" i="4"/>
  <c r="L37" i="4" s="1"/>
  <c r="L38" i="4"/>
  <c r="E15" i="1"/>
  <c r="E36" i="1" s="1"/>
  <c r="G15" i="1"/>
  <c r="G36" i="1" s="1"/>
  <c r="F15" i="1"/>
  <c r="F36" i="1" s="1"/>
  <c r="H15" i="1"/>
  <c r="H36" i="1" s="1"/>
  <c r="H42" i="5"/>
  <c r="H13" i="5" s="1"/>
  <c r="H14" i="4" s="1"/>
  <c r="F42" i="5"/>
  <c r="F13" i="5" s="1"/>
  <c r="F14" i="4" s="1"/>
  <c r="G42" i="5"/>
  <c r="G13" i="5" s="1"/>
  <c r="G14" i="4" s="1"/>
  <c r="E42" i="5"/>
  <c r="E13" i="5" s="1"/>
  <c r="E14" i="4" s="1"/>
  <c r="E47" i="4"/>
  <c r="E49" i="4" s="1"/>
  <c r="G15" i="6"/>
  <c r="L30" i="4"/>
  <c r="H19" i="4"/>
  <c r="L21" i="4"/>
  <c r="L19" i="4"/>
  <c r="J28" i="4"/>
  <c r="K29" i="4"/>
  <c r="F18" i="4"/>
  <c r="F46" i="4" s="1"/>
  <c r="L27" i="4"/>
  <c r="G29" i="4"/>
  <c r="G28" i="4" s="1"/>
  <c r="H37" i="4" l="1"/>
  <c r="M37" i="4" s="1"/>
  <c r="M38" i="4"/>
  <c r="H32" i="4"/>
  <c r="M32" i="4" s="1"/>
  <c r="M33" i="4"/>
  <c r="E50" i="4"/>
  <c r="E51" i="4" s="1"/>
  <c r="F47" i="4"/>
  <c r="M30" i="4"/>
  <c r="L29" i="4"/>
  <c r="G18" i="4"/>
  <c r="M27" i="4"/>
  <c r="H29" i="4"/>
  <c r="H28" i="4" s="1"/>
  <c r="J18" i="4"/>
  <c r="K28" i="4"/>
  <c r="M21" i="4"/>
  <c r="M19" i="4"/>
  <c r="H15" i="6"/>
  <c r="G46" i="4" l="1"/>
  <c r="G47" i="4" s="1"/>
  <c r="F50" i="4"/>
  <c r="F51" i="4" s="1"/>
  <c r="K18" i="4"/>
  <c r="M29" i="4"/>
  <c r="H18" i="4"/>
  <c r="L28" i="4"/>
  <c r="G50" i="4" l="1"/>
  <c r="G51" i="4" s="1"/>
  <c r="H46" i="4"/>
  <c r="H47" i="4" s="1"/>
  <c r="E41" i="5"/>
  <c r="F41" i="5"/>
  <c r="G49" i="4"/>
  <c r="L18" i="4"/>
  <c r="M28" i="4"/>
  <c r="H50" i="4" l="1"/>
  <c r="H51" i="4" s="1"/>
  <c r="H49" i="4"/>
  <c r="M18" i="4"/>
  <c r="G41" i="5" l="1"/>
  <c r="H41" i="5"/>
  <c r="I46" i="4" l="1"/>
  <c r="I50" i="4"/>
  <c r="I47" i="4" l="1"/>
  <c r="J49" i="4" l="1"/>
  <c r="J47" i="4"/>
  <c r="K50" i="4" l="1"/>
  <c r="K46" i="4"/>
  <c r="J50" i="4"/>
  <c r="J46" i="4"/>
  <c r="K47" i="4"/>
  <c r="L49" i="4" l="1"/>
  <c r="M49" i="4"/>
  <c r="L47" i="4"/>
  <c r="M47" i="4" l="1"/>
  <c r="L50" i="4"/>
  <c r="L46" i="4"/>
  <c r="M50" i="4" l="1"/>
  <c r="M46" i="4"/>
  <c r="D41" i="5" l="1"/>
  <c r="D13" i="1" l="1"/>
  <c r="D72" i="5"/>
  <c r="F70" i="5"/>
  <c r="G70" i="5"/>
  <c r="E70" i="5"/>
  <c r="H70" i="5"/>
  <c r="G37" i="1" l="1"/>
  <c r="E37" i="1"/>
  <c r="H37" i="1"/>
  <c r="F37" i="1"/>
  <c r="F67" i="5"/>
  <c r="G67" i="5"/>
  <c r="E67" i="5"/>
  <c r="H67" i="5"/>
  <c r="D67" i="5" l="1"/>
  <c r="E42" i="1" l="1"/>
  <c r="E13" i="1" s="1"/>
  <c r="E15" i="4" s="1"/>
  <c r="H42" i="1"/>
  <c r="H13" i="1" s="1"/>
  <c r="G42" i="1"/>
  <c r="G13" i="1" s="1"/>
  <c r="F42" i="1" l="1"/>
  <c r="F13" i="1" s="1"/>
  <c r="H15" i="4"/>
  <c r="G15" i="4" l="1"/>
  <c r="F15" i="4"/>
  <c r="L48" i="4"/>
  <c r="M48" i="4"/>
  <c r="K48" i="4"/>
  <c r="J48" i="4"/>
  <c r="I48" i="4"/>
  <c r="F49" i="4"/>
  <c r="K49" i="4" s="1"/>
  <c r="D49" i="4" l="1"/>
  <c r="I49" i="4" s="1"/>
  <c r="E36" i="6" l="1"/>
  <c r="E13" i="6" s="1"/>
  <c r="E16" i="4" s="1"/>
  <c r="G36" i="6"/>
  <c r="F36" i="6"/>
  <c r="F13" i="6" s="1"/>
  <c r="F16" i="4" s="1"/>
  <c r="H36" i="6"/>
  <c r="H13" i="6" l="1"/>
  <c r="H16" i="4" s="1"/>
  <c r="H13" i="4" s="1"/>
  <c r="G13" i="6"/>
  <c r="G16" i="4" s="1"/>
  <c r="G13" i="4" s="1"/>
  <c r="F13" i="4"/>
  <c r="E13" i="4"/>
</calcChain>
</file>

<file path=xl/sharedStrings.xml><?xml version="1.0" encoding="utf-8"?>
<sst xmlns="http://schemas.openxmlformats.org/spreadsheetml/2006/main" count="568" uniqueCount="176">
  <si>
    <t>№ з/п</t>
  </si>
  <si>
    <t>Комунального підприємства "Південно-Західні тепломережі"</t>
  </si>
  <si>
    <t>всього</t>
  </si>
  <si>
    <t>для потреб населення</t>
  </si>
  <si>
    <t>для потреб бюджетних установ</t>
  </si>
  <si>
    <t>для потреб інших споживачів</t>
  </si>
  <si>
    <t>для потреб релігійних організацій</t>
  </si>
  <si>
    <t>Сумарні тарифні витрати, тис. грн. на рік</t>
  </si>
  <si>
    <t>Найменування показників</t>
  </si>
  <si>
    <t>І</t>
  </si>
  <si>
    <t>ІІ</t>
  </si>
  <si>
    <t>Виробнича собівартість, у тому числі:</t>
  </si>
  <si>
    <t>1.1</t>
  </si>
  <si>
    <t>1.1.1</t>
  </si>
  <si>
    <t>1.1.2</t>
  </si>
  <si>
    <t>1.1.3</t>
  </si>
  <si>
    <t>1.1.4</t>
  </si>
  <si>
    <t>1.1.5</t>
  </si>
  <si>
    <t>1.1.6</t>
  </si>
  <si>
    <t>1.1.7</t>
  </si>
  <si>
    <t>1.2</t>
  </si>
  <si>
    <t>1.3</t>
  </si>
  <si>
    <t>1.3.1</t>
  </si>
  <si>
    <t>1.3.2</t>
  </si>
  <si>
    <t>1.3.3</t>
  </si>
  <si>
    <t>1.4</t>
  </si>
  <si>
    <t>1.4.1</t>
  </si>
  <si>
    <t>1.4.2</t>
  </si>
  <si>
    <t>1.4.3</t>
  </si>
  <si>
    <t>1.4.4</t>
  </si>
  <si>
    <t>2</t>
  </si>
  <si>
    <t>2.1</t>
  </si>
  <si>
    <t>2.2</t>
  </si>
  <si>
    <t>2.3</t>
  </si>
  <si>
    <t>прямі матеріальні витрати, у тому числі:</t>
  </si>
  <si>
    <t>витрати на паливо для виробництва теплової енергії котельнями</t>
  </si>
  <si>
    <t>сумарна вартість виробництва теплової енергії власними ТЕЦ, ТЕС, КГУ та установками з використанням альтернативних джерел енергії</t>
  </si>
  <si>
    <t>експлуатаційні витрати на транспортування власної теплової енергії тепловими мережами інших суб'єктів господарювання</t>
  </si>
  <si>
    <t>витрати на придбання теплової енергії в інших суб'єктів господарювання</t>
  </si>
  <si>
    <t>витрати на електричну енергію для технологічних потреб</t>
  </si>
  <si>
    <t>витрати на воду для технологічних потреб та водовідведення</t>
  </si>
  <si>
    <t>матеріали, запасні частини та інші матеріальні ресурси</t>
  </si>
  <si>
    <t>прямі витрати на оплату праці</t>
  </si>
  <si>
    <t>інші прямі витрати, у тому числі:</t>
  </si>
  <si>
    <t>відрахування на соціальні заходи</t>
  </si>
  <si>
    <t>амортизаційні відрахування</t>
  </si>
  <si>
    <t>інші прямі витрати</t>
  </si>
  <si>
    <t>загальновиробничі витрати, у тому числі:</t>
  </si>
  <si>
    <t>витрати на оплату праці</t>
  </si>
  <si>
    <t>інші витрати</t>
  </si>
  <si>
    <t>Адміністративні витрати, у тому числі:</t>
  </si>
  <si>
    <t>Х</t>
  </si>
  <si>
    <t>2.4</t>
  </si>
  <si>
    <t>3</t>
  </si>
  <si>
    <t>4</t>
  </si>
  <si>
    <t>5</t>
  </si>
  <si>
    <t>6</t>
  </si>
  <si>
    <t>7</t>
  </si>
  <si>
    <t>7.1</t>
  </si>
  <si>
    <t>7.2</t>
  </si>
  <si>
    <t>7.3</t>
  </si>
  <si>
    <t>8</t>
  </si>
  <si>
    <t>Інші операційні витрати</t>
  </si>
  <si>
    <t>Фінансові витрати</t>
  </si>
  <si>
    <t>Витрати на покриття втрат</t>
  </si>
  <si>
    <t>Коригування витрат</t>
  </si>
  <si>
    <t>Розрахунковий прибуток на теплову енергію, усього, у тому числі:</t>
  </si>
  <si>
    <t>податок на прибуток</t>
  </si>
  <si>
    <t>на розвиток виробництва (виробничі інвестиції)</t>
  </si>
  <si>
    <t>інше використання прибутку</t>
  </si>
  <si>
    <t>Обсяг реалізації теплової енергії власним споживачам, Гкал</t>
  </si>
  <si>
    <t>Структура тарифів на виробництво теплової енергії</t>
  </si>
  <si>
    <t>Виробнича собівартість виробництва теплової енергії власними котельнями, у тому числі:</t>
  </si>
  <si>
    <t>витрати на паливо для виробництва теплової енергії</t>
  </si>
  <si>
    <t>Адміністративні витрати виробництва теплової енергії власними котельнями, у тому числі:</t>
  </si>
  <si>
    <t>Розрахунковий прибуток виробництва теплової енергії, усього, у тому числі:</t>
  </si>
  <si>
    <t>5.1</t>
  </si>
  <si>
    <t>5.2</t>
  </si>
  <si>
    <t>5.3</t>
  </si>
  <si>
    <t>Вартість виробництва теплової енергії власними котельнями</t>
  </si>
  <si>
    <t>Обсяг відпуску теплової енергії з колекторів власних котелень, Гкал</t>
  </si>
  <si>
    <t>Сумарна та середньозважена вартість виробництва теплової енергії власними ТЕЦ, ТЕС. КГУ та установками з використанням альтернативних джерел енергії, у тому числі:</t>
  </si>
  <si>
    <t>Вартість виробництва теплової енергії власними ТЕЦ, ТЕС</t>
  </si>
  <si>
    <t>Вартість виробництва теплової енергії власними КГУ</t>
  </si>
  <si>
    <t>Вартість виробництва теплової енергії власними установками з використанням альтернативних джерел енергії</t>
  </si>
  <si>
    <t>8.1</t>
  </si>
  <si>
    <t>8.2</t>
  </si>
  <si>
    <t>8.3</t>
  </si>
  <si>
    <t>9</t>
  </si>
  <si>
    <t>Обсяг відпуску теплової енергії з колекторів власних ТЕЦ, ТЕС, КГУ та установок з використанням альтернативних джерел енергії, Гкал, у тому числі:</t>
  </si>
  <si>
    <t>обсяг відпуску теплової енергії з колекторів власних ТЕЦ, ТЕС, Гкал</t>
  </si>
  <si>
    <t>обсяг відпуску теплової енергії з колекторів власних КГУ, Гкал</t>
  </si>
  <si>
    <t>обсяг відпуску теплової енергії з колекторів власних установок з використанням альтернативних джерел енергії, Гкал</t>
  </si>
  <si>
    <t>9.1</t>
  </si>
  <si>
    <t>9.2</t>
  </si>
  <si>
    <t>9.3</t>
  </si>
  <si>
    <t>10</t>
  </si>
  <si>
    <t>11</t>
  </si>
  <si>
    <t>12</t>
  </si>
  <si>
    <t>13</t>
  </si>
  <si>
    <t>Витрати на придбання теплової енергії в інших суб'єктів господарювання</t>
  </si>
  <si>
    <t>обсяг покупної теплової енергії, Гкал</t>
  </si>
  <si>
    <t>Структура тарифів на транспортування теплової енергії власним споживачам</t>
  </si>
  <si>
    <t>Розрахунковий прибуток транспортування теплової енергії, усього, у тому числі:</t>
  </si>
  <si>
    <t>10.1</t>
  </si>
  <si>
    <t>10.2</t>
  </si>
  <si>
    <t>10.3</t>
  </si>
  <si>
    <t>Річний обсяг реалізації теплової енергії власним споживачам, Гкал</t>
  </si>
  <si>
    <t>Всього розподілені витрати на утримання, експлуатацію основних засобів</t>
  </si>
  <si>
    <t>Витрати на теплову енергію для компенсації втрат власної теплової енергії ліцензіата у теплових мережах</t>
  </si>
  <si>
    <t>Експлуатаційні витрати на транспортування власної теплової енергії тепловими мережами інших суб'єктів господарювання</t>
  </si>
  <si>
    <t xml:space="preserve">Структура тарифів на постачання теплової енергії </t>
  </si>
  <si>
    <t>прямі матеріальні витрати</t>
  </si>
  <si>
    <t>нас.</t>
  </si>
  <si>
    <t>бюдж.</t>
  </si>
  <si>
    <t>інші</t>
  </si>
  <si>
    <t>рел.</t>
  </si>
  <si>
    <t>Загальна вартість теплової енергії з ПДВ</t>
  </si>
  <si>
    <t>Структура тарифів на виробництво теплової енергії без ПДВ</t>
  </si>
  <si>
    <t>Тарифи на виробництво теплової енергії (середньозважені) з ПДВ       ((п.6*п.7+п.8*п.9+п.10*п.11+п.12+п.13)/п.14)</t>
  </si>
  <si>
    <t>Загальна вартість теплової енергії без ПДВ</t>
  </si>
  <si>
    <t>Тарифи на транспортування теплової енергії       з ПДВ       ((п.4+п.5+п.6+п.7+п.8+п.9+п.10)/п.11)</t>
  </si>
  <si>
    <t>Тарифи на постачання теплової енергії з ПДВ   ((п.1+п.2+п.3+п.4+п.5+п.6+п.7)/п.8)</t>
  </si>
  <si>
    <t>Структура тарифів на постачання теплової енергії без ПДВ</t>
  </si>
  <si>
    <t xml:space="preserve">до рішення виконавчого комітету </t>
  </si>
  <si>
    <t xml:space="preserve">Хмельницької міської ради </t>
  </si>
  <si>
    <t>Керуючий справами виконавчого комітету</t>
  </si>
  <si>
    <t>Юлія САБІЙ</t>
  </si>
  <si>
    <t>В.о. директора КП "Південно-Західні тепломережі"</t>
  </si>
  <si>
    <t>Руслан МОРОЗ</t>
  </si>
  <si>
    <t>Додаток 1</t>
  </si>
  <si>
    <t xml:space="preserve">Додаток 2 </t>
  </si>
  <si>
    <t xml:space="preserve">Додаток 3 </t>
  </si>
  <si>
    <t xml:space="preserve">Додаток 4 </t>
  </si>
  <si>
    <t xml:space="preserve">Додаток 5 </t>
  </si>
  <si>
    <t>грн./м3</t>
  </si>
  <si>
    <t>Повна планова собівартість послуги, усього, у тому числі:</t>
  </si>
  <si>
    <t>1.1.</t>
  </si>
  <si>
    <t>вартість власної теплової енергії</t>
  </si>
  <si>
    <t>1.2.</t>
  </si>
  <si>
    <t>витрати на придбання холодної води для надання послуги</t>
  </si>
  <si>
    <t>Розрахунковий прибуток, усього, у т.ч.:</t>
  </si>
  <si>
    <t>2.1.</t>
  </si>
  <si>
    <t>2.2.</t>
  </si>
  <si>
    <t>2.3.</t>
  </si>
  <si>
    <t>4.1.</t>
  </si>
  <si>
    <t>паливна складова з ПДВ</t>
  </si>
  <si>
    <t>4.2.</t>
  </si>
  <si>
    <t>решта витрат, крім паливної складової, з ПДВ</t>
  </si>
  <si>
    <t xml:space="preserve">В. о. директора </t>
  </si>
  <si>
    <t>КП "Південно-Західні тепломережі"</t>
  </si>
  <si>
    <t>Одиниці виміру</t>
  </si>
  <si>
    <t>грн./Гкал</t>
  </si>
  <si>
    <t>Категорії споживачів</t>
  </si>
  <si>
    <t>Гкал</t>
  </si>
  <si>
    <t>Загальний обсяг відпуску теплової енергії</t>
  </si>
  <si>
    <t>тарифи на виробництво теплової енергії</t>
  </si>
  <si>
    <t>тарифи на транспортування теплової енергії власним споживачам</t>
  </si>
  <si>
    <t>тарифи на постачання теплової енергії</t>
  </si>
  <si>
    <t xml:space="preserve">Структура витрат на теплову енергію </t>
  </si>
  <si>
    <t>Тарифи на теплову енергію з ПДВ,                       у тому числі:</t>
  </si>
  <si>
    <t>тис. грн.</t>
  </si>
  <si>
    <t>Категорія споживачів</t>
  </si>
  <si>
    <t>Тарифи на теплову енергію  з ПДВ, грн/Гкал, у т. ч.:</t>
  </si>
  <si>
    <t>Тарифи на теплову енергію  з ПДВ, у т. ч.:</t>
  </si>
  <si>
    <t>Тарифи на послугу з постачання гарячої води та їх структури</t>
  </si>
  <si>
    <t>Структура тарифів на транспортування теплової енергії без ПДВ</t>
  </si>
  <si>
    <t>Структура тарифів на послугу з постачання гарячої води без ПДВ</t>
  </si>
  <si>
    <t>Тарифи на послугу без ПДВ</t>
  </si>
  <si>
    <t>Структура тарифів на теплову енергію</t>
  </si>
  <si>
    <t>14</t>
  </si>
  <si>
    <t>Тарифи на виробництво теплової енергії без ПДВ</t>
  </si>
  <si>
    <t>грн/Гкал</t>
  </si>
  <si>
    <t>Тарифи на транспортування теплової енергії без ПДВ</t>
  </si>
  <si>
    <t>Тарифи на постачання теплової енергії без ПДВ</t>
  </si>
  <si>
    <t>від 24.12.2020 № 1031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</si>
</sst>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1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1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0"/>
      <name val="Calibri"/>
      <family val="2"/>
      <charset val="1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85">
    <xf numFmtId="0" fontId="0" fillId="0" borderId="0" xfId="0"/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6" xfId="0" applyBorder="1" applyAlignment="1">
      <alignment vertical="top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49" fontId="0" fillId="0" borderId="7" xfId="0" applyNumberFormat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2" fontId="0" fillId="0" borderId="1" xfId="0" applyNumberFormat="1" applyBorder="1" applyAlignment="1">
      <alignment vertical="top" wrapText="1"/>
    </xf>
    <xf numFmtId="2" fontId="0" fillId="0" borderId="1" xfId="0" applyNumberFormat="1" applyBorder="1" applyAlignment="1">
      <alignment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ont="1" applyBorder="1" applyAlignment="1">
      <alignment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6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7" xfId="0" applyBorder="1" applyAlignment="1">
      <alignment horizontal="right" vertical="center" wrapText="1"/>
    </xf>
    <xf numFmtId="0" fontId="0" fillId="0" borderId="0" xfId="0" applyBorder="1" applyAlignment="1">
      <alignment horizontal="right" vertical="center" wrapText="1"/>
    </xf>
    <xf numFmtId="0" fontId="0" fillId="0" borderId="6" xfId="0" applyBorder="1" applyAlignment="1">
      <alignment horizontal="right" vertical="center" wrapText="1"/>
    </xf>
    <xf numFmtId="0" fontId="0" fillId="0" borderId="1" xfId="0" applyBorder="1" applyAlignment="1">
      <alignment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2" fontId="0" fillId="0" borderId="0" xfId="0" applyNumberForma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Font="1" applyBorder="1" applyAlignment="1">
      <alignment vertical="top" wrapText="1"/>
    </xf>
    <xf numFmtId="0" fontId="0" fillId="0" borderId="4" xfId="0" applyFont="1" applyBorder="1" applyAlignment="1">
      <alignment vertical="center" wrapText="1"/>
    </xf>
    <xf numFmtId="0" fontId="0" fillId="0" borderId="4" xfId="0" applyBorder="1" applyAlignment="1">
      <alignment vertical="top" wrapText="1"/>
    </xf>
    <xf numFmtId="0" fontId="0" fillId="0" borderId="4" xfId="0" applyBorder="1" applyAlignment="1">
      <alignment vertical="center" wrapText="1"/>
    </xf>
    <xf numFmtId="2" fontId="0" fillId="0" borderId="4" xfId="0" applyNumberForma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5" xfId="0" applyBorder="1" applyAlignment="1">
      <alignment horizontal="righ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/>
    <xf numFmtId="49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/>
    <xf numFmtId="0" fontId="2" fillId="0" borderId="0" xfId="0" applyFont="1" applyBorder="1" applyAlignment="1">
      <alignment vertical="center" wrapText="1"/>
    </xf>
    <xf numFmtId="2" fontId="0" fillId="0" borderId="4" xfId="0" applyNumberFormat="1" applyBorder="1" applyAlignment="1">
      <alignment vertical="top" wrapText="1"/>
    </xf>
    <xf numFmtId="0" fontId="4" fillId="0" borderId="0" xfId="0" applyFont="1" applyBorder="1" applyAlignment="1">
      <alignment vertical="center" wrapText="1"/>
    </xf>
    <xf numFmtId="2" fontId="2" fillId="0" borderId="0" xfId="0" applyNumberFormat="1" applyFont="1" applyBorder="1" applyAlignment="1">
      <alignment vertical="center" wrapText="1"/>
    </xf>
    <xf numFmtId="0" fontId="0" fillId="0" borderId="0" xfId="0" applyFont="1" applyBorder="1"/>
    <xf numFmtId="0" fontId="2" fillId="0" borderId="0" xfId="0" applyFont="1" applyBorder="1" applyAlignment="1">
      <alignment vertical="top" wrapText="1"/>
    </xf>
    <xf numFmtId="0" fontId="0" fillId="0" borderId="15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2" fontId="0" fillId="0" borderId="16" xfId="0" applyNumberFormat="1" applyBorder="1" applyAlignment="1">
      <alignment vertical="top" wrapText="1"/>
    </xf>
    <xf numFmtId="2" fontId="0" fillId="0" borderId="16" xfId="0" applyNumberFormat="1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6" xfId="0" applyFont="1" applyBorder="1" applyAlignment="1">
      <alignment vertical="center" wrapText="1"/>
    </xf>
    <xf numFmtId="0" fontId="0" fillId="0" borderId="16" xfId="0" applyBorder="1" applyAlignment="1">
      <alignment vertical="top" wrapText="1"/>
    </xf>
    <xf numFmtId="0" fontId="0" fillId="0" borderId="16" xfId="0" applyBorder="1" applyAlignment="1">
      <alignment horizontal="right" vertical="center" wrapText="1"/>
    </xf>
    <xf numFmtId="2" fontId="0" fillId="0" borderId="1" xfId="0" applyNumberFormat="1" applyFont="1" applyBorder="1" applyAlignment="1">
      <alignment vertical="center" wrapText="1"/>
    </xf>
    <xf numFmtId="2" fontId="2" fillId="0" borderId="2" xfId="0" applyNumberFormat="1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vertical="top" wrapText="1"/>
    </xf>
    <xf numFmtId="0" fontId="5" fillId="0" borderId="1" xfId="0" applyFont="1" applyBorder="1" applyAlignment="1">
      <alignment vertical="center" wrapText="1"/>
    </xf>
    <xf numFmtId="2" fontId="0" fillId="0" borderId="4" xfId="0" applyNumberFormat="1" applyFont="1" applyBorder="1" applyAlignment="1">
      <alignment vertical="top" wrapText="1"/>
    </xf>
    <xf numFmtId="2" fontId="0" fillId="0" borderId="16" xfId="0" applyNumberFormat="1" applyFont="1" applyBorder="1" applyAlignment="1">
      <alignment vertical="top" wrapText="1"/>
    </xf>
    <xf numFmtId="0" fontId="0" fillId="0" borderId="0" xfId="0" applyFont="1"/>
    <xf numFmtId="2" fontId="6" fillId="0" borderId="1" xfId="0" applyNumberFormat="1" applyFont="1" applyBorder="1" applyAlignment="1">
      <alignment vertical="top" wrapText="1"/>
    </xf>
    <xf numFmtId="2" fontId="7" fillId="0" borderId="1" xfId="0" applyNumberFormat="1" applyFont="1" applyBorder="1" applyAlignment="1">
      <alignment vertical="center" wrapText="1"/>
    </xf>
    <xf numFmtId="2" fontId="8" fillId="0" borderId="1" xfId="0" applyNumberFormat="1" applyFont="1" applyBorder="1" applyAlignment="1">
      <alignment vertical="center" wrapText="1"/>
    </xf>
    <xf numFmtId="2" fontId="8" fillId="0" borderId="4" xfId="0" applyNumberFormat="1" applyFont="1" applyBorder="1" applyAlignment="1">
      <alignment vertical="center" wrapText="1"/>
    </xf>
    <xf numFmtId="2" fontId="8" fillId="0" borderId="3" xfId="0" applyNumberFormat="1" applyFont="1" applyBorder="1" applyAlignment="1">
      <alignment vertical="center" wrapText="1"/>
    </xf>
    <xf numFmtId="2" fontId="8" fillId="0" borderId="7" xfId="0" applyNumberFormat="1" applyFont="1" applyBorder="1" applyAlignment="1">
      <alignment vertical="center" wrapText="1"/>
    </xf>
    <xf numFmtId="2" fontId="5" fillId="0" borderId="1" xfId="0" applyNumberFormat="1" applyFont="1" applyBorder="1" applyAlignment="1">
      <alignment vertical="center" wrapText="1"/>
    </xf>
    <xf numFmtId="2" fontId="0" fillId="0" borderId="1" xfId="0" applyNumberFormat="1" applyFont="1" applyBorder="1" applyAlignment="1">
      <alignment horizontal="center" vertical="center" wrapText="1"/>
    </xf>
    <xf numFmtId="0" fontId="9" fillId="0" borderId="13" xfId="0" applyFont="1" applyFill="1" applyBorder="1" applyAlignment="1">
      <alignment vertical="top" wrapText="1"/>
    </xf>
    <xf numFmtId="0" fontId="9" fillId="0" borderId="0" xfId="0" applyFont="1" applyFill="1" applyBorder="1" applyAlignment="1">
      <alignment vertical="top" wrapText="1"/>
    </xf>
    <xf numFmtId="0" fontId="9" fillId="0" borderId="0" xfId="0" applyFont="1"/>
    <xf numFmtId="2" fontId="0" fillId="0" borderId="6" xfId="0" applyNumberFormat="1" applyBorder="1" applyAlignment="1">
      <alignment vertical="top" wrapText="1"/>
    </xf>
    <xf numFmtId="2" fontId="2" fillId="0" borderId="3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top" wrapText="1"/>
    </xf>
    <xf numFmtId="2" fontId="0" fillId="2" borderId="4" xfId="0" applyNumberFormat="1" applyFill="1" applyBorder="1" applyAlignment="1">
      <alignment vertical="top" wrapText="1"/>
    </xf>
    <xf numFmtId="2" fontId="0" fillId="2" borderId="16" xfId="0" applyNumberFormat="1" applyFill="1" applyBorder="1" applyAlignment="1">
      <alignment vertical="top" wrapText="1"/>
    </xf>
    <xf numFmtId="2" fontId="7" fillId="2" borderId="1" xfId="0" applyNumberFormat="1" applyFon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vertical="center" wrapText="1"/>
    </xf>
    <xf numFmtId="2" fontId="0" fillId="2" borderId="1" xfId="0" applyNumberFormat="1" applyFont="1" applyFill="1" applyBorder="1" applyAlignment="1">
      <alignment vertical="top" wrapText="1"/>
    </xf>
    <xf numFmtId="49" fontId="0" fillId="0" borderId="9" xfId="0" applyNumberForma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2" fontId="0" fillId="0" borderId="6" xfId="0" applyNumberFormat="1" applyBorder="1" applyAlignment="1">
      <alignment vertical="center" wrapText="1"/>
    </xf>
    <xf numFmtId="0" fontId="0" fillId="0" borderId="0" xfId="0" applyAlignment="1">
      <alignment vertical="center" wrapText="1"/>
    </xf>
    <xf numFmtId="0" fontId="10" fillId="0" borderId="0" xfId="0" applyFont="1"/>
    <xf numFmtId="0" fontId="0" fillId="0" borderId="0" xfId="0" applyFill="1" applyBorder="1" applyAlignment="1">
      <alignment vertical="center" wrapText="1"/>
    </xf>
    <xf numFmtId="0" fontId="11" fillId="0" borderId="0" xfId="0" applyFont="1" applyAlignment="1">
      <alignment horizontal="center"/>
    </xf>
    <xf numFmtId="0" fontId="10" fillId="2" borderId="17" xfId="0" applyFont="1" applyFill="1" applyBorder="1" applyAlignment="1" applyProtection="1">
      <alignment wrapText="1"/>
    </xf>
    <xf numFmtId="0" fontId="3" fillId="0" borderId="0" xfId="0" applyFont="1"/>
    <xf numFmtId="0" fontId="0" fillId="0" borderId="0" xfId="0" applyAlignment="1">
      <alignment vertical="center" wrapText="1"/>
    </xf>
    <xf numFmtId="0" fontId="11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/>
    </xf>
    <xf numFmtId="2" fontId="10" fillId="2" borderId="17" xfId="0" applyNumberFormat="1" applyFont="1" applyFill="1" applyBorder="1" applyAlignment="1">
      <alignment horizontal="center"/>
    </xf>
    <xf numFmtId="2" fontId="10" fillId="2" borderId="17" xfId="0" applyNumberFormat="1" applyFont="1" applyFill="1" applyBorder="1" applyAlignment="1">
      <alignment horizontal="center" vertical="center" wrapText="1"/>
    </xf>
    <xf numFmtId="16" fontId="10" fillId="2" borderId="17" xfId="0" applyNumberFormat="1" applyFont="1" applyFill="1" applyBorder="1" applyAlignment="1">
      <alignment horizontal="center" vertical="center"/>
    </xf>
    <xf numFmtId="0" fontId="5" fillId="0" borderId="17" xfId="0" applyFont="1" applyBorder="1"/>
    <xf numFmtId="0" fontId="5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5" fillId="2" borderId="17" xfId="0" applyFont="1" applyFill="1" applyBorder="1" applyAlignment="1" applyProtection="1">
      <alignment wrapText="1"/>
    </xf>
    <xf numFmtId="2" fontId="5" fillId="0" borderId="17" xfId="0" applyNumberFormat="1" applyFont="1" applyBorder="1" applyAlignment="1">
      <alignment horizontal="center" vertical="center" wrapText="1"/>
    </xf>
    <xf numFmtId="0" fontId="5" fillId="0" borderId="17" xfId="0" applyFont="1" applyBorder="1" applyAlignment="1">
      <alignment horizontal="left" vertical="center" wrapText="1"/>
    </xf>
    <xf numFmtId="16" fontId="5" fillId="0" borderId="17" xfId="0" applyNumberFormat="1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2" fontId="5" fillId="0" borderId="17" xfId="0" applyNumberFormat="1" applyFont="1" applyBorder="1" applyAlignment="1">
      <alignment horizontal="center"/>
    </xf>
    <xf numFmtId="0" fontId="5" fillId="0" borderId="17" xfId="0" applyFont="1" applyBorder="1" applyAlignment="1">
      <alignment horizontal="left"/>
    </xf>
    <xf numFmtId="0" fontId="5" fillId="2" borderId="17" xfId="0" applyFont="1" applyFill="1" applyBorder="1" applyAlignment="1">
      <alignment horizontal="center" vertical="center"/>
    </xf>
    <xf numFmtId="2" fontId="5" fillId="2" borderId="17" xfId="0" applyNumberFormat="1" applyFont="1" applyFill="1" applyBorder="1" applyAlignment="1">
      <alignment horizontal="center"/>
    </xf>
    <xf numFmtId="2" fontId="5" fillId="2" borderId="17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2" fillId="0" borderId="23" xfId="0" applyNumberFormat="1" applyFont="1" applyBorder="1" applyAlignment="1">
      <alignment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2" xfId="0" applyFont="1" applyBorder="1" applyAlignment="1">
      <alignment vertical="center" wrapText="1"/>
    </xf>
    <xf numFmtId="0" fontId="5" fillId="0" borderId="26" xfId="0" applyFont="1" applyBorder="1" applyAlignment="1">
      <alignment horizontal="center" vertical="center" wrapText="1"/>
    </xf>
    <xf numFmtId="0" fontId="0" fillId="0" borderId="27" xfId="0" applyFont="1" applyBorder="1" applyAlignment="1">
      <alignment vertical="center" wrapText="1"/>
    </xf>
    <xf numFmtId="0" fontId="0" fillId="0" borderId="26" xfId="0" applyFont="1" applyBorder="1" applyAlignment="1">
      <alignment vertical="center" wrapText="1"/>
    </xf>
    <xf numFmtId="0" fontId="0" fillId="0" borderId="28" xfId="0" applyFont="1" applyBorder="1" applyAlignment="1">
      <alignment vertical="center" wrapText="1"/>
    </xf>
    <xf numFmtId="0" fontId="2" fillId="2" borderId="17" xfId="0" applyFont="1" applyFill="1" applyBorder="1" applyAlignment="1" applyProtection="1">
      <alignment wrapText="1"/>
    </xf>
    <xf numFmtId="2" fontId="2" fillId="0" borderId="17" xfId="0" applyNumberFormat="1" applyFont="1" applyBorder="1" applyAlignment="1">
      <alignment horizontal="center" vertical="center" wrapText="1"/>
    </xf>
    <xf numFmtId="49" fontId="0" fillId="0" borderId="23" xfId="0" applyNumberFormat="1" applyBorder="1" applyAlignment="1">
      <alignment horizontal="center" vertical="center" wrapText="1"/>
    </xf>
    <xf numFmtId="0" fontId="0" fillId="0" borderId="30" xfId="0" applyBorder="1" applyAlignment="1">
      <alignment vertical="center" wrapText="1"/>
    </xf>
    <xf numFmtId="0" fontId="0" fillId="0" borderId="23" xfId="0" applyFont="1" applyBorder="1" applyAlignment="1">
      <alignment vertical="center" wrapText="1"/>
    </xf>
    <xf numFmtId="0" fontId="0" fillId="0" borderId="8" xfId="0" applyFont="1" applyBorder="1" applyAlignment="1">
      <alignment vertical="top" wrapText="1"/>
    </xf>
    <xf numFmtId="0" fontId="0" fillId="0" borderId="29" xfId="0" applyBorder="1" applyAlignment="1">
      <alignment horizontal="center" vertical="center"/>
    </xf>
    <xf numFmtId="0" fontId="0" fillId="0" borderId="12" xfId="0" applyBorder="1" applyAlignment="1">
      <alignment vertical="center" wrapText="1"/>
    </xf>
    <xf numFmtId="0" fontId="5" fillId="0" borderId="12" xfId="0" applyFont="1" applyBorder="1" applyAlignment="1">
      <alignment horizontal="center" vertical="center" wrapText="1"/>
    </xf>
    <xf numFmtId="0" fontId="0" fillId="0" borderId="12" xfId="0" applyFont="1" applyBorder="1" applyAlignment="1">
      <alignment vertical="center" wrapText="1"/>
    </xf>
    <xf numFmtId="0" fontId="0" fillId="0" borderId="31" xfId="0" applyFont="1" applyBorder="1" applyAlignment="1">
      <alignment vertical="center" wrapText="1"/>
    </xf>
    <xf numFmtId="0" fontId="0" fillId="0" borderId="7" xfId="0" applyBorder="1" applyAlignment="1">
      <alignment vertical="top" wrapText="1"/>
    </xf>
    <xf numFmtId="0" fontId="1" fillId="0" borderId="7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/>
    <xf numFmtId="0" fontId="2" fillId="2" borderId="20" xfId="0" applyFont="1" applyFill="1" applyBorder="1" applyAlignment="1" applyProtection="1">
      <alignment horizontal="center" wrapText="1"/>
    </xf>
    <xf numFmtId="0" fontId="2" fillId="0" borderId="21" xfId="0" applyFont="1" applyBorder="1" applyAlignment="1">
      <alignment horizontal="center" wrapText="1"/>
    </xf>
    <xf numFmtId="0" fontId="2" fillId="0" borderId="22" xfId="0" applyFont="1" applyBorder="1" applyAlignment="1">
      <alignment horizontal="center" wrapText="1"/>
    </xf>
    <xf numFmtId="0" fontId="10" fillId="2" borderId="0" xfId="0" applyFont="1" applyFill="1" applyBorder="1" applyAlignment="1" applyProtection="1">
      <alignment wrapText="1"/>
    </xf>
    <xf numFmtId="0" fontId="0" fillId="0" borderId="0" xfId="0" applyFont="1" applyAlignment="1"/>
    <xf numFmtId="0" fontId="11" fillId="0" borderId="0" xfId="0" applyFont="1" applyAlignment="1">
      <alignment horizontal="center"/>
    </xf>
    <xf numFmtId="0" fontId="5" fillId="0" borderId="17" xfId="0" applyFont="1" applyBorder="1" applyAlignment="1">
      <alignment horizontal="center" vertical="center" wrapText="1"/>
    </xf>
    <xf numFmtId="0" fontId="5" fillId="0" borderId="17" xfId="0" applyFont="1" applyBorder="1" applyAlignment="1">
      <alignment vertical="center" wrapText="1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vertical="center" wrapText="1"/>
    </xf>
    <xf numFmtId="0" fontId="5" fillId="0" borderId="19" xfId="0" applyFont="1" applyBorder="1" applyAlignment="1"/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tabSelected="1" workbookViewId="0">
      <selection activeCell="A5" sqref="A5:H5"/>
    </sheetView>
  </sheetViews>
  <sheetFormatPr defaultRowHeight="15" x14ac:dyDescent="0.25"/>
  <cols>
    <col min="1" max="1" width="7" customWidth="1"/>
    <col min="2" max="2" width="39" customWidth="1"/>
    <col min="3" max="3" width="11.28515625" customWidth="1"/>
    <col min="4" max="4" width="10.85546875" hidden="1" customWidth="1"/>
    <col min="5" max="5" width="0.140625" hidden="1" customWidth="1"/>
    <col min="6" max="6" width="12.28515625" customWidth="1"/>
    <col min="7" max="8" width="11.28515625" customWidth="1"/>
    <col min="9" max="10" width="11.7109375" bestFit="1" customWidth="1"/>
    <col min="11" max="13" width="11.42578125" bestFit="1" customWidth="1"/>
  </cols>
  <sheetData>
    <row r="1" spans="1:10" x14ac:dyDescent="0.25">
      <c r="G1" s="105" t="s">
        <v>130</v>
      </c>
      <c r="H1" s="105"/>
      <c r="I1" s="105"/>
    </row>
    <row r="2" spans="1:10" x14ac:dyDescent="0.25">
      <c r="G2" s="105" t="s">
        <v>124</v>
      </c>
      <c r="H2" s="105"/>
      <c r="I2" s="105"/>
    </row>
    <row r="3" spans="1:10" x14ac:dyDescent="0.25">
      <c r="G3" s="105" t="s">
        <v>125</v>
      </c>
      <c r="H3" s="105"/>
      <c r="I3" s="105"/>
    </row>
    <row r="4" spans="1:10" x14ac:dyDescent="0.25">
      <c r="G4" s="105" t="s">
        <v>175</v>
      </c>
      <c r="H4" s="105"/>
      <c r="I4" s="105"/>
    </row>
    <row r="5" spans="1:10" x14ac:dyDescent="0.25">
      <c r="A5" s="159" t="s">
        <v>169</v>
      </c>
      <c r="B5" s="159"/>
      <c r="C5" s="159"/>
      <c r="D5" s="159"/>
      <c r="E5" s="159"/>
      <c r="F5" s="159"/>
      <c r="G5" s="159"/>
      <c r="H5" s="159"/>
    </row>
    <row r="6" spans="1:10" ht="14.25" customHeight="1" x14ac:dyDescent="0.25">
      <c r="A6" s="159" t="s">
        <v>1</v>
      </c>
      <c r="B6" s="159"/>
      <c r="C6" s="159"/>
      <c r="D6" s="159"/>
      <c r="E6" s="159"/>
      <c r="F6" s="159"/>
      <c r="G6" s="159"/>
      <c r="H6" s="159"/>
    </row>
    <row r="7" spans="1:10" ht="7.5" hidden="1" customHeight="1" x14ac:dyDescent="0.25"/>
    <row r="9" spans="1:10" ht="6" customHeight="1" thickBot="1" x14ac:dyDescent="0.3"/>
    <row r="10" spans="1:10" ht="21.6" customHeight="1" thickBot="1" x14ac:dyDescent="0.3">
      <c r="A10" s="160" t="s">
        <v>0</v>
      </c>
      <c r="B10" s="162" t="s">
        <v>8</v>
      </c>
      <c r="C10" s="162" t="s">
        <v>151</v>
      </c>
      <c r="D10" s="164" t="s">
        <v>153</v>
      </c>
      <c r="E10" s="165"/>
      <c r="F10" s="165"/>
      <c r="G10" s="165"/>
      <c r="H10" s="166"/>
    </row>
    <row r="11" spans="1:10" ht="54" customHeight="1" thickBot="1" x14ac:dyDescent="0.3">
      <c r="A11" s="161"/>
      <c r="B11" s="163"/>
      <c r="C11" s="163"/>
      <c r="D11" s="4" t="s">
        <v>2</v>
      </c>
      <c r="E11" s="4" t="s">
        <v>3</v>
      </c>
      <c r="F11" s="4" t="s">
        <v>4</v>
      </c>
      <c r="G11" s="7" t="s">
        <v>5</v>
      </c>
      <c r="H11" s="8" t="s">
        <v>6</v>
      </c>
    </row>
    <row r="12" spans="1:10" ht="15.75" thickBot="1" x14ac:dyDescent="0.3">
      <c r="A12" s="4">
        <v>1</v>
      </c>
      <c r="B12" s="4">
        <v>2</v>
      </c>
      <c r="C12" s="4">
        <v>3</v>
      </c>
      <c r="D12" s="4">
        <v>3</v>
      </c>
      <c r="E12" s="4">
        <v>4</v>
      </c>
      <c r="F12" s="4">
        <v>4</v>
      </c>
      <c r="G12" s="4">
        <v>5</v>
      </c>
      <c r="H12" s="6">
        <v>6</v>
      </c>
    </row>
    <row r="13" spans="1:10" ht="30.75" thickBot="1" x14ac:dyDescent="0.3">
      <c r="A13" s="9" t="s">
        <v>9</v>
      </c>
      <c r="B13" s="9" t="s">
        <v>160</v>
      </c>
      <c r="C13" s="9" t="s">
        <v>152</v>
      </c>
      <c r="D13" s="4" t="s">
        <v>51</v>
      </c>
      <c r="E13" s="89">
        <f>SUM(E14:E16)</f>
        <v>1806.3839999999998</v>
      </c>
      <c r="F13" s="21">
        <f t="shared" ref="F13" si="0">SUM(F14:F16)</f>
        <v>1766.3519999999999</v>
      </c>
      <c r="G13" s="21">
        <f>SUM(G14:G16)-0.01</f>
        <v>1745.6179999999999</v>
      </c>
      <c r="H13" s="21">
        <f>SUM(H14:H16)-0.01</f>
        <v>1761.3859999999997</v>
      </c>
      <c r="I13" s="24"/>
      <c r="J13" s="25"/>
    </row>
    <row r="14" spans="1:10" ht="15.75" thickBot="1" x14ac:dyDescent="0.3">
      <c r="A14" s="112">
        <v>1</v>
      </c>
      <c r="B14" s="112" t="s">
        <v>156</v>
      </c>
      <c r="C14" s="112" t="s">
        <v>152</v>
      </c>
      <c r="D14" s="112" t="s">
        <v>51</v>
      </c>
      <c r="E14" s="132">
        <f>Виробництво!E13</f>
        <v>1313.04</v>
      </c>
      <c r="F14" s="132">
        <f>Виробництво!F13</f>
        <v>1315.9680000000001</v>
      </c>
      <c r="G14" s="132">
        <f>Виробництво!G13</f>
        <v>1296.8520000000001</v>
      </c>
      <c r="H14" s="132">
        <f>Виробництво!H13</f>
        <v>1268.568</v>
      </c>
    </row>
    <row r="15" spans="1:10" ht="30.75" thickBot="1" x14ac:dyDescent="0.3">
      <c r="A15" s="112">
        <v>2</v>
      </c>
      <c r="B15" s="112" t="s">
        <v>157</v>
      </c>
      <c r="C15" s="112" t="s">
        <v>152</v>
      </c>
      <c r="D15" s="112" t="s">
        <v>51</v>
      </c>
      <c r="E15" s="132">
        <f>Транспортування!E13</f>
        <v>486.84</v>
      </c>
      <c r="F15" s="132">
        <f>Транспортування!F13</f>
        <v>443.87999999999994</v>
      </c>
      <c r="G15" s="132">
        <f>Транспортування!G13</f>
        <v>442.27199999999999</v>
      </c>
      <c r="H15" s="132">
        <f>Транспортування!H13</f>
        <v>486.32399999999996</v>
      </c>
    </row>
    <row r="16" spans="1:10" ht="15.75" thickBot="1" x14ac:dyDescent="0.3">
      <c r="A16" s="112">
        <v>3</v>
      </c>
      <c r="B16" s="112" t="s">
        <v>158</v>
      </c>
      <c r="C16" s="112" t="s">
        <v>152</v>
      </c>
      <c r="D16" s="112" t="s">
        <v>51</v>
      </c>
      <c r="E16" s="132">
        <f>Постачання!E13</f>
        <v>6.5039999999999996</v>
      </c>
      <c r="F16" s="132">
        <f>Постачання!F13</f>
        <v>6.5039999999999996</v>
      </c>
      <c r="G16" s="132">
        <f>Постачання!G13</f>
        <v>6.5039999999999996</v>
      </c>
      <c r="H16" s="132">
        <f>Постачання!H13</f>
        <v>6.5039999999999996</v>
      </c>
    </row>
    <row r="17" spans="1:13" ht="15.75" thickBot="1" x14ac:dyDescent="0.3">
      <c r="A17" s="9" t="s">
        <v>10</v>
      </c>
      <c r="B17" s="156" t="s">
        <v>159</v>
      </c>
      <c r="C17" s="157"/>
      <c r="D17" s="157"/>
      <c r="E17" s="157"/>
      <c r="F17" s="157"/>
      <c r="G17" s="157"/>
      <c r="H17" s="158"/>
    </row>
    <row r="18" spans="1:13" ht="37.5" customHeight="1" thickBot="1" x14ac:dyDescent="0.3">
      <c r="A18" s="4">
        <v>1</v>
      </c>
      <c r="B18" s="2" t="s">
        <v>11</v>
      </c>
      <c r="C18" s="112" t="s">
        <v>161</v>
      </c>
      <c r="D18" s="19">
        <f>ROUND((D19+D27+D28+D32),2)</f>
        <v>192422.29</v>
      </c>
      <c r="E18" s="19">
        <f>ROUND((E19+E27+E28+E32),2)</f>
        <v>162093.82999999999</v>
      </c>
      <c r="F18" s="19">
        <f>ROUND((F19+F27+F28+F32),2)</f>
        <v>26444.2</v>
      </c>
      <c r="G18" s="19">
        <f>ROUND((G19+G27+G28+G32),2)</f>
        <v>3865.69</v>
      </c>
      <c r="H18" s="19">
        <f>ROUND((H19+H27+H28+H32),2)</f>
        <v>18.579999999999998</v>
      </c>
      <c r="I18" s="90">
        <f>D18/D52*1000</f>
        <v>1410.4906208841019</v>
      </c>
      <c r="J18" s="91">
        <f t="shared" ref="J18:M18" si="1">E18/E52*1000</f>
        <v>1410.6729784138802</v>
      </c>
      <c r="K18" s="91">
        <f t="shared" si="1"/>
        <v>1407.7857779788919</v>
      </c>
      <c r="L18" s="91">
        <f t="shared" si="1"/>
        <v>1421.5022210455093</v>
      </c>
      <c r="M18" s="91">
        <f t="shared" si="1"/>
        <v>1404.3839758125471</v>
      </c>
    </row>
    <row r="19" spans="1:13" ht="15.75" thickBot="1" x14ac:dyDescent="0.3">
      <c r="A19" s="11" t="s">
        <v>12</v>
      </c>
      <c r="B19" s="2" t="s">
        <v>34</v>
      </c>
      <c r="C19" s="112" t="s">
        <v>161</v>
      </c>
      <c r="D19" s="19">
        <f>ROUND((D20+D21+D22+D23+D24+D25+D26),2)</f>
        <v>142919.97</v>
      </c>
      <c r="E19" s="19">
        <f>ROUND((E20+E21+E22+E23+E24+E25+E26),2)</f>
        <v>120399.17</v>
      </c>
      <c r="F19" s="19">
        <f>ROUND((F20+F21+F22+F23+F24+F25+F26),2)</f>
        <v>19628.12</v>
      </c>
      <c r="G19" s="19">
        <f>ROUND((G20+G21+G22+G23+G24+G25+G26),2)</f>
        <v>2878.91</v>
      </c>
      <c r="H19" s="19">
        <f>ROUND((H20+H21+H22+H23+H24+H25+H26),2)</f>
        <v>13.77</v>
      </c>
      <c r="I19" s="90">
        <f>D19/D52*1000</f>
        <v>1047.6295507242805</v>
      </c>
      <c r="J19" s="91">
        <f t="shared" ref="J19:M19" si="2">E19/E52*1000</f>
        <v>1047.8119725004899</v>
      </c>
      <c r="K19" s="91">
        <f t="shared" si="2"/>
        <v>1044.9243382088719</v>
      </c>
      <c r="L19" s="91">
        <f t="shared" si="2"/>
        <v>1058.6407495660869</v>
      </c>
      <c r="M19" s="91">
        <f t="shared" si="2"/>
        <v>1040.8163265306121</v>
      </c>
    </row>
    <row r="20" spans="1:13" ht="30.75" thickBot="1" x14ac:dyDescent="0.3">
      <c r="A20" s="11" t="s">
        <v>13</v>
      </c>
      <c r="B20" s="2" t="s">
        <v>35</v>
      </c>
      <c r="C20" s="112" t="s">
        <v>161</v>
      </c>
      <c r="D20" s="19">
        <f>ROUND(SUM(E20:H20),2)</f>
        <v>130637.82</v>
      </c>
      <c r="E20" s="19">
        <f>ROUND((92235.25+17677.73),2)</f>
        <v>109912.98</v>
      </c>
      <c r="F20" s="19">
        <f>ROUND((15201.89+2889.88),2)</f>
        <v>18091.77</v>
      </c>
      <c r="G20" s="19">
        <f>ROUND((2202+418.38),2)</f>
        <v>2620.38</v>
      </c>
      <c r="H20" s="19">
        <f>ROUND((10.65+2.04),2)</f>
        <v>12.69</v>
      </c>
      <c r="I20" s="90">
        <f>D20/D52*1000</f>
        <v>957.59914219265124</v>
      </c>
      <c r="J20" s="91">
        <f t="shared" ref="J20:M20" si="3">E20/E52*1000</f>
        <v>956.55257737413717</v>
      </c>
      <c r="K20" s="91">
        <f t="shared" si="3"/>
        <v>963.13507326616718</v>
      </c>
      <c r="L20" s="91">
        <f t="shared" si="3"/>
        <v>963.5733827552732</v>
      </c>
      <c r="M20" s="91">
        <f t="shared" si="3"/>
        <v>959.18367346938771</v>
      </c>
    </row>
    <row r="21" spans="1:13" ht="66" customHeight="1" thickBot="1" x14ac:dyDescent="0.3">
      <c r="A21" s="11" t="s">
        <v>14</v>
      </c>
      <c r="B21" s="2" t="s">
        <v>36</v>
      </c>
      <c r="C21" s="112" t="s">
        <v>161</v>
      </c>
      <c r="D21" s="77">
        <v>5831.65</v>
      </c>
      <c r="E21" s="77">
        <v>5053.08</v>
      </c>
      <c r="F21" s="77">
        <v>648.16999999999996</v>
      </c>
      <c r="G21" s="77">
        <v>129.94</v>
      </c>
      <c r="H21" s="77">
        <v>0.45</v>
      </c>
      <c r="I21" s="90">
        <f>D21/D52*1000</f>
        <v>42.747062355815288</v>
      </c>
      <c r="J21" s="91">
        <f t="shared" ref="J21:M21" si="4">E21/E52*1000</f>
        <v>43.976031745092392</v>
      </c>
      <c r="K21" s="91">
        <f t="shared" si="4"/>
        <v>34.506035641561411</v>
      </c>
      <c r="L21" s="91">
        <f t="shared" si="4"/>
        <v>47.78189627276204</v>
      </c>
      <c r="M21" s="91">
        <f t="shared" si="4"/>
        <v>34.013605442176875</v>
      </c>
    </row>
    <row r="22" spans="1:13" ht="43.9" customHeight="1" thickBot="1" x14ac:dyDescent="0.3">
      <c r="A22" s="11" t="s">
        <v>15</v>
      </c>
      <c r="B22" s="2" t="s">
        <v>37</v>
      </c>
      <c r="C22" s="112" t="s">
        <v>161</v>
      </c>
      <c r="D22" s="19">
        <v>0</v>
      </c>
      <c r="E22" s="19">
        <v>0</v>
      </c>
      <c r="F22" s="19">
        <v>0</v>
      </c>
      <c r="G22" s="19">
        <v>0</v>
      </c>
      <c r="H22" s="19">
        <v>0</v>
      </c>
      <c r="I22" s="90">
        <f>D22/D52*1000</f>
        <v>0</v>
      </c>
      <c r="J22" s="91">
        <f t="shared" ref="J22:M22" si="5">E22/E52*1000</f>
        <v>0</v>
      </c>
      <c r="K22" s="91">
        <f t="shared" si="5"/>
        <v>0</v>
      </c>
      <c r="L22" s="91">
        <f t="shared" si="5"/>
        <v>0</v>
      </c>
      <c r="M22" s="91">
        <f t="shared" si="5"/>
        <v>0</v>
      </c>
    </row>
    <row r="23" spans="1:13" ht="46.5" customHeight="1" thickBot="1" x14ac:dyDescent="0.3">
      <c r="A23" s="11" t="s">
        <v>16</v>
      </c>
      <c r="B23" s="2" t="s">
        <v>38</v>
      </c>
      <c r="C23" s="112" t="s">
        <v>161</v>
      </c>
      <c r="D23" s="19">
        <v>0</v>
      </c>
      <c r="E23" s="19">
        <v>0</v>
      </c>
      <c r="F23" s="19">
        <v>0</v>
      </c>
      <c r="G23" s="19">
        <v>0</v>
      </c>
      <c r="H23" s="19">
        <v>0</v>
      </c>
      <c r="I23" s="90">
        <f>D23/D52*1000</f>
        <v>0</v>
      </c>
      <c r="J23" s="91">
        <f t="shared" ref="J23:M23" si="6">E23/E52*1000</f>
        <v>0</v>
      </c>
      <c r="K23" s="91">
        <f t="shared" si="6"/>
        <v>0</v>
      </c>
      <c r="L23" s="91">
        <f t="shared" si="6"/>
        <v>0</v>
      </c>
      <c r="M23" s="91">
        <f t="shared" si="6"/>
        <v>0</v>
      </c>
    </row>
    <row r="24" spans="1:13" ht="45.75" customHeight="1" thickBot="1" x14ac:dyDescent="0.3">
      <c r="A24" s="11" t="s">
        <v>17</v>
      </c>
      <c r="B24" s="2" t="s">
        <v>39</v>
      </c>
      <c r="C24" s="112" t="s">
        <v>161</v>
      </c>
      <c r="D24" s="19">
        <v>5492.56</v>
      </c>
      <c r="E24" s="19">
        <f>ROUND((D24/D52*E52),2)</f>
        <v>4626.26</v>
      </c>
      <c r="F24" s="19">
        <f>ROUND((D24/D52*F52),2)</f>
        <v>756.28</v>
      </c>
      <c r="G24" s="19">
        <f>ROUND((D24/D52*G52),2)</f>
        <v>109.49</v>
      </c>
      <c r="H24" s="19">
        <f>ROUND((D24/D52*H52),2)</f>
        <v>0.53</v>
      </c>
      <c r="I24" s="90">
        <f>D24/D52*1000</f>
        <v>40.261470563743856</v>
      </c>
      <c r="J24" s="91">
        <f t="shared" ref="J24:M24" si="7">E24/E52*1000</f>
        <v>40.261495290209368</v>
      </c>
      <c r="K24" s="91">
        <f t="shared" si="7"/>
        <v>40.261389195735788</v>
      </c>
      <c r="L24" s="91">
        <f t="shared" si="7"/>
        <v>40.261965698820347</v>
      </c>
      <c r="M24" s="91">
        <f t="shared" si="7"/>
        <v>40.060468631897201</v>
      </c>
    </row>
    <row r="25" spans="1:13" ht="46.5" customHeight="1" thickBot="1" x14ac:dyDescent="0.3">
      <c r="A25" s="11" t="s">
        <v>18</v>
      </c>
      <c r="B25" s="2" t="s">
        <v>40</v>
      </c>
      <c r="C25" s="112" t="s">
        <v>161</v>
      </c>
      <c r="D25" s="19">
        <v>797.58</v>
      </c>
      <c r="E25" s="19">
        <f>ROUND((D25/D52*E52),2)</f>
        <v>671.78</v>
      </c>
      <c r="F25" s="19">
        <f>ROUND((D25/D52*F52),2)</f>
        <v>109.82</v>
      </c>
      <c r="G25" s="19">
        <f>ROUND((D25/D52*G52),2)</f>
        <v>15.9</v>
      </c>
      <c r="H25" s="19">
        <f>ROUND((D25/D52*H52),2)</f>
        <v>0.08</v>
      </c>
      <c r="I25" s="90">
        <f>D25/D52*1000</f>
        <v>5.8464074479351744</v>
      </c>
      <c r="J25" s="91">
        <f t="shared" ref="J25:M25" si="8">E25/E52*1000</f>
        <v>5.8463785662839625</v>
      </c>
      <c r="K25" s="91">
        <f t="shared" si="8"/>
        <v>5.8463872659275724</v>
      </c>
      <c r="L25" s="91">
        <f t="shared" si="8"/>
        <v>5.8467919865854734</v>
      </c>
      <c r="M25" s="91">
        <f t="shared" si="8"/>
        <v>6.0468631897203329</v>
      </c>
    </row>
    <row r="26" spans="1:13" ht="30.75" thickBot="1" x14ac:dyDescent="0.3">
      <c r="A26" s="11" t="s">
        <v>19</v>
      </c>
      <c r="B26" s="2" t="s">
        <v>41</v>
      </c>
      <c r="C26" s="112" t="s">
        <v>161</v>
      </c>
      <c r="D26" s="19">
        <v>160.357</v>
      </c>
      <c r="E26" s="19">
        <f>ROUND((D26/D52*E52),2)</f>
        <v>135.07</v>
      </c>
      <c r="F26" s="19">
        <f>ROUND((D26/D52*F52),2)</f>
        <v>22.08</v>
      </c>
      <c r="G26" s="19">
        <f>ROUND((D26/D52*G52),2)</f>
        <v>3.2</v>
      </c>
      <c r="H26" s="19">
        <f>ROUND((D26/D52*H52),2)</f>
        <v>0.02</v>
      </c>
      <c r="I26" s="90">
        <f>D26/D52*1000</f>
        <v>1.1754461735857729</v>
      </c>
      <c r="J26" s="91">
        <f t="shared" ref="J26:M26" si="9">E26/E52*1000</f>
        <v>1.1754895247669994</v>
      </c>
      <c r="K26" s="91">
        <f t="shared" si="9"/>
        <v>1.1754528394798833</v>
      </c>
      <c r="L26" s="91">
        <f t="shared" si="9"/>
        <v>1.176712852646133</v>
      </c>
      <c r="M26" s="91">
        <f t="shared" si="9"/>
        <v>1.5117157974300832</v>
      </c>
    </row>
    <row r="27" spans="1:13" ht="15.75" thickBot="1" x14ac:dyDescent="0.3">
      <c r="A27" s="11" t="s">
        <v>20</v>
      </c>
      <c r="B27" s="2" t="s">
        <v>42</v>
      </c>
      <c r="C27" s="112" t="s">
        <v>161</v>
      </c>
      <c r="D27" s="19">
        <v>20923.88</v>
      </c>
      <c r="E27" s="19">
        <f>ROUND((D27/D52*E52),2)</f>
        <v>17623.7</v>
      </c>
      <c r="F27" s="19">
        <f>ROUND((E27/E52*F52),2)</f>
        <v>2881.05</v>
      </c>
      <c r="G27" s="19">
        <f>ROUND((F27/F52*G52),2)</f>
        <v>417.1</v>
      </c>
      <c r="H27" s="19">
        <f>ROUND((G27/G52*H52),2)</f>
        <v>2.0299999999999998</v>
      </c>
      <c r="I27" s="90">
        <f>D27/D52*1000</f>
        <v>153.37587185197953</v>
      </c>
      <c r="J27" s="91">
        <f t="shared" ref="J27:M27" si="10">E27/E52*1000</f>
        <v>153.37584021349053</v>
      </c>
      <c r="K27" s="91">
        <f t="shared" si="10"/>
        <v>153.37583347751442</v>
      </c>
      <c r="L27" s="91">
        <f t="shared" si="10"/>
        <v>153.37716588709441</v>
      </c>
      <c r="M27" s="91">
        <f t="shared" si="10"/>
        <v>153.43915343915344</v>
      </c>
    </row>
    <row r="28" spans="1:13" ht="15.75" thickBot="1" x14ac:dyDescent="0.3">
      <c r="A28" s="11" t="s">
        <v>21</v>
      </c>
      <c r="B28" s="2" t="s">
        <v>43</v>
      </c>
      <c r="C28" s="112" t="s">
        <v>161</v>
      </c>
      <c r="D28" s="19">
        <f>ROUND(SUM(D29:D31),2)</f>
        <v>25999.45</v>
      </c>
      <c r="E28" s="19">
        <f>ROUND(SUM(E29:E31),2)</f>
        <v>21898.74</v>
      </c>
      <c r="F28" s="19">
        <f>ROUND(SUM(F29:F31),2)</f>
        <v>3579.92</v>
      </c>
      <c r="G28" s="19">
        <f>ROUND(SUM(G29:G31),2)</f>
        <v>518.27</v>
      </c>
      <c r="H28" s="19">
        <f>ROUND(SUM(H29:H31),2)</f>
        <v>2.5299999999999998</v>
      </c>
      <c r="I28" s="90">
        <f>D28/D52*1000</f>
        <v>190.58072935908396</v>
      </c>
      <c r="J28" s="91">
        <f t="shared" ref="J28:M28" si="11">E28/E52*1000</f>
        <v>190.58073203225058</v>
      </c>
      <c r="K28" s="91">
        <f t="shared" si="11"/>
        <v>190.58093881842504</v>
      </c>
      <c r="L28" s="91">
        <f t="shared" si="11"/>
        <v>190.57967816903479</v>
      </c>
      <c r="M28" s="91">
        <f t="shared" si="11"/>
        <v>191.23204837490547</v>
      </c>
    </row>
    <row r="29" spans="1:13" ht="15.75" thickBot="1" x14ac:dyDescent="0.3">
      <c r="A29" s="11" t="s">
        <v>22</v>
      </c>
      <c r="B29" s="2" t="s">
        <v>44</v>
      </c>
      <c r="C29" s="112" t="s">
        <v>161</v>
      </c>
      <c r="D29" s="19">
        <f>ROUND((D27*0.22),2)</f>
        <v>4603.25</v>
      </c>
      <c r="E29" s="19">
        <f>ROUND((E27*0.22),2)</f>
        <v>3877.21</v>
      </c>
      <c r="F29" s="19">
        <f t="shared" ref="F29:H29" si="12">F27*0.22</f>
        <v>633.83100000000002</v>
      </c>
      <c r="G29" s="19">
        <f t="shared" si="12"/>
        <v>91.762</v>
      </c>
      <c r="H29" s="19">
        <f t="shared" si="12"/>
        <v>0.44659999999999994</v>
      </c>
      <c r="I29" s="90">
        <f>D29/D52*1000</f>
        <v>33.742665418776291</v>
      </c>
      <c r="J29" s="91">
        <f t="shared" ref="J29:M29" si="13">E29/E52*1000</f>
        <v>33.742650035698958</v>
      </c>
      <c r="K29" s="91">
        <f t="shared" si="13"/>
        <v>33.742683365053168</v>
      </c>
      <c r="L29" s="91">
        <f t="shared" si="13"/>
        <v>33.742976495160768</v>
      </c>
      <c r="M29" s="91">
        <f t="shared" si="13"/>
        <v>33.756613756613746</v>
      </c>
    </row>
    <row r="30" spans="1:13" ht="28.5" customHeight="1" thickBot="1" x14ac:dyDescent="0.3">
      <c r="A30" s="11" t="s">
        <v>23</v>
      </c>
      <c r="B30" s="2" t="s">
        <v>45</v>
      </c>
      <c r="C30" s="112" t="s">
        <v>161</v>
      </c>
      <c r="D30" s="19">
        <v>3774.49</v>
      </c>
      <c r="E30" s="19">
        <f>ROUND((D30/D52*E52),2)</f>
        <v>3179.17</v>
      </c>
      <c r="F30" s="19">
        <f>ROUND((E30/E52*F52),2)</f>
        <v>519.72</v>
      </c>
      <c r="G30" s="19">
        <f>ROUND((F30/F52*G52),2)</f>
        <v>75.239999999999995</v>
      </c>
      <c r="H30" s="19">
        <f>ROUND((G30/G52*H52),2)</f>
        <v>0.37</v>
      </c>
      <c r="I30" s="90">
        <f>D30/D52*1000</f>
        <v>27.667702861351636</v>
      </c>
      <c r="J30" s="91">
        <f t="shared" ref="J30:M30" si="14">E30/E52*1000</f>
        <v>27.667735488661446</v>
      </c>
      <c r="K30" s="91">
        <f t="shared" si="14"/>
        <v>27.667860042322694</v>
      </c>
      <c r="L30" s="91">
        <f t="shared" si="14"/>
        <v>27.667460947842201</v>
      </c>
      <c r="M30" s="91">
        <f t="shared" si="14"/>
        <v>27.966742252456537</v>
      </c>
    </row>
    <row r="31" spans="1:13" ht="15.75" thickBot="1" x14ac:dyDescent="0.3">
      <c r="A31" s="11" t="s">
        <v>24</v>
      </c>
      <c r="B31" s="2" t="s">
        <v>46</v>
      </c>
      <c r="C31" s="112" t="s">
        <v>161</v>
      </c>
      <c r="D31" s="77">
        <v>17621.71</v>
      </c>
      <c r="E31" s="77">
        <f>ROUND((D31/D52*E52),2)</f>
        <v>14842.36</v>
      </c>
      <c r="F31" s="77">
        <f>ROUND((E31/E52*F52),2)</f>
        <v>2426.37</v>
      </c>
      <c r="G31" s="77">
        <f>ROUND((F31/F52*G52),2)</f>
        <v>351.27</v>
      </c>
      <c r="H31" s="77">
        <f>ROUND((G31/G52*H52),2)</f>
        <v>1.71</v>
      </c>
      <c r="I31" s="90">
        <f>D31/D52*1000</f>
        <v>129.17036107895601</v>
      </c>
      <c r="J31" s="91">
        <f t="shared" ref="J31:M31" si="15">E31/E52*1000</f>
        <v>129.17034650789014</v>
      </c>
      <c r="K31" s="91">
        <f t="shared" si="15"/>
        <v>129.1704486471379</v>
      </c>
      <c r="L31" s="91">
        <f t="shared" si="15"/>
        <v>129.16997617156471</v>
      </c>
      <c r="M31" s="91">
        <f t="shared" si="15"/>
        <v>129.25170068027211</v>
      </c>
    </row>
    <row r="32" spans="1:13" ht="30.75" thickBot="1" x14ac:dyDescent="0.3">
      <c r="A32" s="30" t="s">
        <v>25</v>
      </c>
      <c r="B32" s="31" t="s">
        <v>47</v>
      </c>
      <c r="C32" s="112" t="s">
        <v>161</v>
      </c>
      <c r="D32" s="100">
        <f>ROUND(SUM(D33:D36),2)</f>
        <v>2578.9899999999998</v>
      </c>
      <c r="E32" s="19">
        <f>ROUND(SUM(E33:E36),2)</f>
        <v>2172.2199999999998</v>
      </c>
      <c r="F32" s="19">
        <f>ROUND(SUM(F33:F36),2)</f>
        <v>355.11</v>
      </c>
      <c r="G32" s="19">
        <f t="shared" ref="G32:H32" si="16">ROUND(SUM(G33:G36),2)</f>
        <v>51.41</v>
      </c>
      <c r="H32" s="19">
        <f t="shared" si="16"/>
        <v>0.25</v>
      </c>
      <c r="I32" s="90">
        <f>D32/D52*1000</f>
        <v>18.904468948757909</v>
      </c>
      <c r="J32" s="91">
        <f t="shared" ref="J32:M32" si="17">E32/E52*1000</f>
        <v>18.904433667649155</v>
      </c>
      <c r="K32" s="91">
        <f t="shared" si="17"/>
        <v>18.904667474080682</v>
      </c>
      <c r="L32" s="91">
        <f t="shared" si="17"/>
        <v>18.904627423293029</v>
      </c>
      <c r="M32" s="91">
        <f t="shared" si="17"/>
        <v>18.89644746787604</v>
      </c>
    </row>
    <row r="33" spans="1:13" ht="24.75" customHeight="1" thickBot="1" x14ac:dyDescent="0.3">
      <c r="A33" s="30" t="s">
        <v>26</v>
      </c>
      <c r="B33" s="31" t="s">
        <v>48</v>
      </c>
      <c r="C33" s="112" t="s">
        <v>161</v>
      </c>
      <c r="D33" s="100">
        <v>2043.05</v>
      </c>
      <c r="E33" s="19">
        <f>ROUND((D33/D52*E52),2)</f>
        <v>1720.81</v>
      </c>
      <c r="F33" s="19">
        <f t="shared" ref="F33:H33" si="18">ROUND((E33/E52*F52),2)</f>
        <v>281.31</v>
      </c>
      <c r="G33" s="19">
        <f t="shared" si="18"/>
        <v>40.729999999999997</v>
      </c>
      <c r="H33" s="19">
        <f t="shared" si="18"/>
        <v>0.2</v>
      </c>
      <c r="I33" s="90">
        <f>D33/D52*1000</f>
        <v>14.975930610727398</v>
      </c>
      <c r="J33" s="91">
        <f t="shared" ref="J33:M33" si="19">E33/E52*1000</f>
        <v>14.975894936805361</v>
      </c>
      <c r="K33" s="91">
        <f t="shared" si="19"/>
        <v>14.975844124732156</v>
      </c>
      <c r="L33" s="91">
        <f t="shared" si="19"/>
        <v>14.977348277586561</v>
      </c>
      <c r="M33" s="91">
        <f t="shared" si="19"/>
        <v>15.117157974300833</v>
      </c>
    </row>
    <row r="34" spans="1:13" ht="15.75" thickBot="1" x14ac:dyDescent="0.3">
      <c r="A34" s="30" t="s">
        <v>27</v>
      </c>
      <c r="B34" s="31" t="s">
        <v>44</v>
      </c>
      <c r="C34" s="112" t="s">
        <v>161</v>
      </c>
      <c r="D34" s="100">
        <f>ROUND((D33*0.22),2)</f>
        <v>449.47</v>
      </c>
      <c r="E34" s="19">
        <f>ROUND((D34/D52*E52),2)</f>
        <v>378.58</v>
      </c>
      <c r="F34" s="19">
        <f t="shared" ref="F34:H34" si="20">ROUND((E34/E52*F52),2)</f>
        <v>61.89</v>
      </c>
      <c r="G34" s="19">
        <f t="shared" si="20"/>
        <v>8.9600000000000009</v>
      </c>
      <c r="H34" s="19">
        <f t="shared" si="20"/>
        <v>0.04</v>
      </c>
      <c r="I34" s="90">
        <f>D34/D52*1000</f>
        <v>3.2946974041769139</v>
      </c>
      <c r="J34" s="91">
        <f t="shared" ref="J34:M34" si="21">E34/E52*1000</f>
        <v>3.2947125511682134</v>
      </c>
      <c r="K34" s="91">
        <f t="shared" si="21"/>
        <v>3.2947815324008145</v>
      </c>
      <c r="L34" s="91">
        <f t="shared" si="21"/>
        <v>3.2947959874091728</v>
      </c>
      <c r="M34" s="91">
        <f t="shared" si="21"/>
        <v>3.0234315948601664</v>
      </c>
    </row>
    <row r="35" spans="1:13" ht="15.75" thickBot="1" x14ac:dyDescent="0.3">
      <c r="A35" s="30" t="s">
        <v>28</v>
      </c>
      <c r="B35" s="31" t="s">
        <v>45</v>
      </c>
      <c r="C35" s="112" t="s">
        <v>161</v>
      </c>
      <c r="D35" s="100">
        <v>11.26</v>
      </c>
      <c r="E35" s="19">
        <f>ROUND((D35/D52*E52),2)</f>
        <v>9.48</v>
      </c>
      <c r="F35" s="19">
        <f t="shared" ref="F35:H35" si="22">ROUND((E35/E52*F52),2)</f>
        <v>1.55</v>
      </c>
      <c r="G35" s="19">
        <f t="shared" si="22"/>
        <v>0.22</v>
      </c>
      <c r="H35" s="19">
        <f t="shared" si="22"/>
        <v>0</v>
      </c>
      <c r="I35" s="90">
        <f>D35/D52*1000</f>
        <v>8.2537861861819578E-2</v>
      </c>
      <c r="J35" s="91">
        <f t="shared" ref="J35:M35" si="23">E35/E52*1000</f>
        <v>8.2502707446443724E-2</v>
      </c>
      <c r="K35" s="91">
        <f t="shared" si="23"/>
        <v>8.25159375540679E-2</v>
      </c>
      <c r="L35" s="91">
        <f t="shared" si="23"/>
        <v>8.0899008619421647E-2</v>
      </c>
      <c r="M35" s="91">
        <f t="shared" si="23"/>
        <v>0</v>
      </c>
    </row>
    <row r="36" spans="1:13" ht="22.5" customHeight="1" thickBot="1" x14ac:dyDescent="0.3">
      <c r="A36" s="30" t="s">
        <v>29</v>
      </c>
      <c r="B36" s="31" t="s">
        <v>49</v>
      </c>
      <c r="C36" s="112" t="s">
        <v>161</v>
      </c>
      <c r="D36" s="100">
        <v>75.209999999999994</v>
      </c>
      <c r="E36" s="19">
        <f>ROUND((D36/D52*E52),2)</f>
        <v>63.35</v>
      </c>
      <c r="F36" s="19">
        <f t="shared" ref="F36:H36" si="24">ROUND((E36/E52*F52),2)</f>
        <v>10.36</v>
      </c>
      <c r="G36" s="19">
        <f t="shared" si="24"/>
        <v>1.5</v>
      </c>
      <c r="H36" s="19">
        <f t="shared" si="24"/>
        <v>0.01</v>
      </c>
      <c r="I36" s="90">
        <f>D36/D52*1000</f>
        <v>0.55130307199178064</v>
      </c>
      <c r="J36" s="91">
        <f t="shared" ref="J36:M36" si="25">E36/E52*1000</f>
        <v>0.55132347222913614</v>
      </c>
      <c r="K36" s="91">
        <f t="shared" si="25"/>
        <v>0.55152587939364084</v>
      </c>
      <c r="L36" s="91">
        <f t="shared" si="25"/>
        <v>0.55158414967787484</v>
      </c>
      <c r="M36" s="91">
        <f t="shared" si="25"/>
        <v>0.75585789871504161</v>
      </c>
    </row>
    <row r="37" spans="1:13" ht="32.25" customHeight="1" thickBot="1" x14ac:dyDescent="0.3">
      <c r="A37" s="30" t="s">
        <v>30</v>
      </c>
      <c r="B37" s="31" t="s">
        <v>50</v>
      </c>
      <c r="C37" s="112" t="s">
        <v>161</v>
      </c>
      <c r="D37" s="100">
        <f>ROUND(SUM(D38:D41),2)</f>
        <v>5882.37</v>
      </c>
      <c r="E37" s="77">
        <f t="shared" ref="E37:H37" si="26">ROUND(SUM(E38:E41),2)</f>
        <v>4954.58</v>
      </c>
      <c r="F37" s="77">
        <f t="shared" si="26"/>
        <v>809.95</v>
      </c>
      <c r="G37" s="77">
        <f t="shared" si="26"/>
        <v>117.25</v>
      </c>
      <c r="H37" s="77">
        <f t="shared" si="26"/>
        <v>0.56999999999999995</v>
      </c>
      <c r="I37" s="90">
        <f>D37/D52*1000</f>
        <v>43.118849243349167</v>
      </c>
      <c r="J37" s="91">
        <f t="shared" ref="J37:M37" si="27">E37/E52*1000</f>
        <v>43.118804246835566</v>
      </c>
      <c r="K37" s="91">
        <f t="shared" si="27"/>
        <v>43.118570078656326</v>
      </c>
      <c r="L37" s="91">
        <f t="shared" si="27"/>
        <v>43.115494366487219</v>
      </c>
      <c r="M37" s="91">
        <f t="shared" si="27"/>
        <v>43.083900226757365</v>
      </c>
    </row>
    <row r="38" spans="1:13" ht="21" customHeight="1" thickBot="1" x14ac:dyDescent="0.3">
      <c r="A38" s="30" t="s">
        <v>31</v>
      </c>
      <c r="B38" s="31" t="s">
        <v>48</v>
      </c>
      <c r="C38" s="112" t="s">
        <v>161</v>
      </c>
      <c r="D38" s="100">
        <v>4321.99</v>
      </c>
      <c r="E38" s="19">
        <f>ROUND((D38/D52*E52),2)</f>
        <v>3640.31</v>
      </c>
      <c r="F38" s="19">
        <f t="shared" ref="F38:H38" si="28">ROUND((E38/E52*F52),2)</f>
        <v>595.1</v>
      </c>
      <c r="G38" s="19">
        <f t="shared" si="28"/>
        <v>86.15</v>
      </c>
      <c r="H38" s="19">
        <f t="shared" si="28"/>
        <v>0.42</v>
      </c>
      <c r="I38" s="90">
        <f>D38/D52*1000</f>
        <v>31.680978116178121</v>
      </c>
      <c r="J38" s="91">
        <f t="shared" ref="J38:M38" si="29">E38/E52*1000</f>
        <v>31.680952631261977</v>
      </c>
      <c r="K38" s="91">
        <f t="shared" si="29"/>
        <v>31.68079641188762</v>
      </c>
      <c r="L38" s="91">
        <f t="shared" si="29"/>
        <v>31.679316329832613</v>
      </c>
      <c r="M38" s="91">
        <f t="shared" si="29"/>
        <v>31.746031746031743</v>
      </c>
    </row>
    <row r="39" spans="1:13" ht="15.75" thickBot="1" x14ac:dyDescent="0.3">
      <c r="A39" s="30" t="s">
        <v>32</v>
      </c>
      <c r="B39" s="31" t="s">
        <v>44</v>
      </c>
      <c r="C39" s="112" t="s">
        <v>161</v>
      </c>
      <c r="D39" s="100">
        <f>ROUND((D38*0.22),2)</f>
        <v>950.84</v>
      </c>
      <c r="E39" s="19">
        <f>ROUND((D39/D52*E52),2)</f>
        <v>800.87</v>
      </c>
      <c r="F39" s="19">
        <f t="shared" ref="F39:H39" si="30">ROUND((E39/E52*F52),2)</f>
        <v>130.91999999999999</v>
      </c>
      <c r="G39" s="19">
        <f t="shared" si="30"/>
        <v>18.95</v>
      </c>
      <c r="H39" s="19">
        <f t="shared" si="30"/>
        <v>0.09</v>
      </c>
      <c r="I39" s="90">
        <f>D39/D52*1000</f>
        <v>6.9698313119620368</v>
      </c>
      <c r="J39" s="91">
        <f t="shared" ref="J39:M39" si="31">E39/E52*1000</f>
        <v>6.9698252439486703</v>
      </c>
      <c r="K39" s="91">
        <f t="shared" si="31"/>
        <v>6.9696687384377869</v>
      </c>
      <c r="L39" s="91">
        <f t="shared" si="31"/>
        <v>6.9683464242638191</v>
      </c>
      <c r="M39" s="91">
        <f t="shared" si="31"/>
        <v>6.8027210884353737</v>
      </c>
    </row>
    <row r="40" spans="1:13" ht="15.75" thickBot="1" x14ac:dyDescent="0.3">
      <c r="A40" s="30" t="s">
        <v>33</v>
      </c>
      <c r="B40" s="31" t="s">
        <v>45</v>
      </c>
      <c r="C40" s="112" t="s">
        <v>161</v>
      </c>
      <c r="D40" s="100">
        <v>39.43</v>
      </c>
      <c r="E40" s="19">
        <f>ROUND((D40/D52*E52),2)</f>
        <v>33.21</v>
      </c>
      <c r="F40" s="19">
        <f t="shared" ref="F40:H40" si="32">ROUND((E40/E52*F52),2)</f>
        <v>5.43</v>
      </c>
      <c r="G40" s="19">
        <f t="shared" si="32"/>
        <v>0.79</v>
      </c>
      <c r="H40" s="19">
        <f t="shared" si="32"/>
        <v>0</v>
      </c>
      <c r="I40" s="90">
        <f>D40/D52*1000</f>
        <v>0.28902912017864529</v>
      </c>
      <c r="J40" s="91">
        <f t="shared" ref="J40:M40" si="33">E40/E52*1000</f>
        <v>0.28902056057978859</v>
      </c>
      <c r="K40" s="91">
        <f t="shared" si="33"/>
        <v>0.28907196188296047</v>
      </c>
      <c r="L40" s="91">
        <f t="shared" si="33"/>
        <v>0.29050098549701409</v>
      </c>
      <c r="M40" s="91">
        <f t="shared" si="33"/>
        <v>0</v>
      </c>
    </row>
    <row r="41" spans="1:13" ht="15.75" thickBot="1" x14ac:dyDescent="0.3">
      <c r="A41" s="30" t="s">
        <v>52</v>
      </c>
      <c r="B41" s="31" t="s">
        <v>49</v>
      </c>
      <c r="C41" s="112" t="s">
        <v>161</v>
      </c>
      <c r="D41" s="100">
        <v>570.11</v>
      </c>
      <c r="E41" s="19">
        <f>ROUND((D41/D52*E52),2)</f>
        <v>480.19</v>
      </c>
      <c r="F41" s="19">
        <f t="shared" ref="F41:H41" si="34">ROUND((E41/E52*F52),2)</f>
        <v>78.5</v>
      </c>
      <c r="G41" s="19">
        <f t="shared" si="34"/>
        <v>11.36</v>
      </c>
      <c r="H41" s="19">
        <f t="shared" si="34"/>
        <v>0.06</v>
      </c>
      <c r="I41" s="90">
        <f>D41/D52*1000</f>
        <v>4.1790106950303691</v>
      </c>
      <c r="J41" s="91">
        <f t="shared" ref="J41:M41" si="35">E41/E52*1000</f>
        <v>4.179005811045128</v>
      </c>
      <c r="K41" s="91">
        <f t="shared" si="35"/>
        <v>4.1790329664479549</v>
      </c>
      <c r="L41" s="91">
        <f t="shared" si="35"/>
        <v>4.177330626893772</v>
      </c>
      <c r="M41" s="91">
        <f t="shared" si="35"/>
        <v>4.5351473922902485</v>
      </c>
    </row>
    <row r="42" spans="1:13" ht="15.75" thickBot="1" x14ac:dyDescent="0.3">
      <c r="A42" s="11" t="s">
        <v>53</v>
      </c>
      <c r="B42" s="2" t="s">
        <v>62</v>
      </c>
      <c r="C42" s="112" t="s">
        <v>161</v>
      </c>
      <c r="D42" s="19">
        <v>0</v>
      </c>
      <c r="E42" s="19">
        <v>0</v>
      </c>
      <c r="F42" s="19">
        <v>0</v>
      </c>
      <c r="G42" s="19">
        <v>0</v>
      </c>
      <c r="H42" s="19">
        <v>0</v>
      </c>
      <c r="I42" s="90">
        <f>D42/D52*1000</f>
        <v>0</v>
      </c>
      <c r="J42" s="91">
        <f t="shared" ref="J42:M42" si="36">E42/E52*1000</f>
        <v>0</v>
      </c>
      <c r="K42" s="91">
        <f t="shared" si="36"/>
        <v>0</v>
      </c>
      <c r="L42" s="91">
        <f t="shared" si="36"/>
        <v>0</v>
      </c>
      <c r="M42" s="91">
        <f t="shared" si="36"/>
        <v>0</v>
      </c>
    </row>
    <row r="43" spans="1:13" ht="15.75" thickBot="1" x14ac:dyDescent="0.3">
      <c r="A43" s="11" t="s">
        <v>54</v>
      </c>
      <c r="B43" s="2" t="s">
        <v>63</v>
      </c>
      <c r="C43" s="112" t="s">
        <v>161</v>
      </c>
      <c r="D43" s="19">
        <v>0</v>
      </c>
      <c r="E43" s="19">
        <v>0</v>
      </c>
      <c r="F43" s="19">
        <v>0</v>
      </c>
      <c r="G43" s="19">
        <v>0</v>
      </c>
      <c r="H43" s="19">
        <v>0</v>
      </c>
      <c r="I43" s="90">
        <f>D43/D52*1000</f>
        <v>0</v>
      </c>
      <c r="J43" s="91">
        <f t="shared" ref="J43:M43" si="37">E43/E52*1000</f>
        <v>0</v>
      </c>
      <c r="K43" s="91">
        <f t="shared" si="37"/>
        <v>0</v>
      </c>
      <c r="L43" s="91">
        <f t="shared" si="37"/>
        <v>0</v>
      </c>
      <c r="M43" s="91">
        <f t="shared" si="37"/>
        <v>0</v>
      </c>
    </row>
    <row r="44" spans="1:13" ht="15.75" thickBot="1" x14ac:dyDescent="0.3">
      <c r="A44" s="11" t="s">
        <v>55</v>
      </c>
      <c r="B44" s="2" t="s">
        <v>64</v>
      </c>
      <c r="C44" s="112" t="s">
        <v>161</v>
      </c>
      <c r="D44" s="77">
        <f>SUM(E44:H44)</f>
        <v>0</v>
      </c>
      <c r="E44" s="77">
        <v>0</v>
      </c>
      <c r="F44" s="77">
        <v>0</v>
      </c>
      <c r="G44" s="77">
        <v>0</v>
      </c>
      <c r="H44" s="77">
        <v>0</v>
      </c>
      <c r="I44" s="90">
        <f>D44/D52*1000</f>
        <v>0</v>
      </c>
      <c r="J44" s="91">
        <f t="shared" ref="J44:M44" si="38">E44/E52*1000</f>
        <v>0</v>
      </c>
      <c r="K44" s="91">
        <f t="shared" si="38"/>
        <v>0</v>
      </c>
      <c r="L44" s="91">
        <f t="shared" si="38"/>
        <v>0</v>
      </c>
      <c r="M44" s="91">
        <f t="shared" si="38"/>
        <v>0</v>
      </c>
    </row>
    <row r="45" spans="1:13" ht="15.75" thickBot="1" x14ac:dyDescent="0.3">
      <c r="A45" s="11" t="s">
        <v>56</v>
      </c>
      <c r="B45" s="2" t="s">
        <v>65</v>
      </c>
      <c r="C45" s="112" t="s">
        <v>161</v>
      </c>
      <c r="D45" s="19">
        <v>0</v>
      </c>
      <c r="E45" s="19">
        <v>0</v>
      </c>
      <c r="F45" s="19">
        <v>0</v>
      </c>
      <c r="G45" s="19">
        <v>0</v>
      </c>
      <c r="H45" s="19">
        <v>0</v>
      </c>
      <c r="I45" s="90">
        <f>D45/D52*1000</f>
        <v>0</v>
      </c>
      <c r="J45" s="91">
        <f t="shared" ref="J45:M45" si="39">E45/E52*1000</f>
        <v>0</v>
      </c>
      <c r="K45" s="91">
        <f t="shared" si="39"/>
        <v>0</v>
      </c>
      <c r="L45" s="91">
        <f t="shared" si="39"/>
        <v>0</v>
      </c>
      <c r="M45" s="91">
        <f t="shared" si="39"/>
        <v>0</v>
      </c>
    </row>
    <row r="46" spans="1:13" ht="30.75" thickBot="1" x14ac:dyDescent="0.3">
      <c r="A46" s="11" t="s">
        <v>57</v>
      </c>
      <c r="B46" s="2" t="s">
        <v>66</v>
      </c>
      <c r="C46" s="112" t="s">
        <v>161</v>
      </c>
      <c r="D46" s="82">
        <f>ROUND((SUM(D18+D37)*0.0218+1713.89),2)</f>
        <v>6036.93</v>
      </c>
      <c r="E46" s="82">
        <f>ROUND((SUM(E18+E37)*0.0218+1471.39),2)</f>
        <v>5113.05</v>
      </c>
      <c r="F46" s="82">
        <f>ROUND((SUM(F18+F37)*0.0218+242.5),2)</f>
        <v>836.64</v>
      </c>
      <c r="G46" s="82">
        <f>ROUND((SUM(G18+G37)*0.0218),2)</f>
        <v>86.83</v>
      </c>
      <c r="H46" s="82">
        <f>ROUND((SUM(H18+H37)*0.0218),2)</f>
        <v>0.42</v>
      </c>
      <c r="I46" s="90">
        <f>D46/D52*1000</f>
        <v>44.251802345424032</v>
      </c>
      <c r="J46" s="91">
        <f t="shared" ref="J46:M46" si="40">E46/E52*1000</f>
        <v>44.49793969504632</v>
      </c>
      <c r="K46" s="91">
        <f t="shared" si="40"/>
        <v>44.539441287248628</v>
      </c>
      <c r="L46" s="91">
        <f t="shared" si="40"/>
        <v>31.929367811019919</v>
      </c>
      <c r="M46" s="91">
        <f t="shared" si="40"/>
        <v>31.746031746031743</v>
      </c>
    </row>
    <row r="47" spans="1:13" ht="15.75" thickBot="1" x14ac:dyDescent="0.3">
      <c r="A47" s="11" t="s">
        <v>58</v>
      </c>
      <c r="B47" s="2" t="s">
        <v>67</v>
      </c>
      <c r="C47" s="112" t="s">
        <v>161</v>
      </c>
      <c r="D47" s="82">
        <f>ROUND((D46*0.18),2)</f>
        <v>1086.6500000000001</v>
      </c>
      <c r="E47" s="82">
        <f>ROUND((E46*0.18),2)</f>
        <v>920.35</v>
      </c>
      <c r="F47" s="82">
        <f t="shared" ref="F47:H47" si="41">ROUND((F46*0.18),2)</f>
        <v>150.6</v>
      </c>
      <c r="G47" s="82">
        <f t="shared" si="41"/>
        <v>15.63</v>
      </c>
      <c r="H47" s="82">
        <f t="shared" si="41"/>
        <v>0.08</v>
      </c>
      <c r="I47" s="90">
        <f>D47/D52*1000</f>
        <v>7.9653434806524199</v>
      </c>
      <c r="J47" s="91">
        <f t="shared" ref="J47:M47" si="42">E47/E52*1000</f>
        <v>8.0096378479255783</v>
      </c>
      <c r="K47" s="91">
        <f t="shared" si="42"/>
        <v>8.0173549649307265</v>
      </c>
      <c r="L47" s="91">
        <f t="shared" si="42"/>
        <v>5.7475068396434557</v>
      </c>
      <c r="M47" s="91">
        <f t="shared" si="42"/>
        <v>6.0468631897203329</v>
      </c>
    </row>
    <row r="48" spans="1:13" ht="30.75" thickBot="1" x14ac:dyDescent="0.3">
      <c r="A48" s="11" t="s">
        <v>59</v>
      </c>
      <c r="B48" s="2" t="s">
        <v>68</v>
      </c>
      <c r="C48" s="112" t="s">
        <v>161</v>
      </c>
      <c r="D48" s="82">
        <v>1405.39</v>
      </c>
      <c r="E48" s="82">
        <v>1206.55</v>
      </c>
      <c r="F48" s="82">
        <v>198.85</v>
      </c>
      <c r="G48" s="82">
        <v>0</v>
      </c>
      <c r="H48" s="82">
        <v>0</v>
      </c>
      <c r="I48" s="90">
        <f>D48/D52*1000</f>
        <v>10.301766046357249</v>
      </c>
      <c r="J48" s="91">
        <f t="shared" ref="J48:M48" si="43">E48/E52*1000</f>
        <v>10.500384142353026</v>
      </c>
      <c r="K48" s="91">
        <f t="shared" si="43"/>
        <v>10.585996246855743</v>
      </c>
      <c r="L48" s="91">
        <f t="shared" si="43"/>
        <v>0</v>
      </c>
      <c r="M48" s="91">
        <f t="shared" si="43"/>
        <v>0</v>
      </c>
    </row>
    <row r="49" spans="1:13" ht="15.75" thickBot="1" x14ac:dyDescent="0.3">
      <c r="A49" s="11" t="s">
        <v>60</v>
      </c>
      <c r="B49" s="2" t="s">
        <v>69</v>
      </c>
      <c r="C49" s="112" t="s">
        <v>161</v>
      </c>
      <c r="D49" s="82">
        <f>D46-D47-D48</f>
        <v>3544.8900000000003</v>
      </c>
      <c r="E49" s="82">
        <f>E46-E47-E48</f>
        <v>2986.1499999999996</v>
      </c>
      <c r="F49" s="82">
        <f>F46-F47-F48</f>
        <v>487.18999999999994</v>
      </c>
      <c r="G49" s="82">
        <f t="shared" ref="G49:H49" si="44">G46-G47</f>
        <v>71.2</v>
      </c>
      <c r="H49" s="82">
        <f t="shared" si="44"/>
        <v>0.33999999999999997</v>
      </c>
      <c r="I49" s="90">
        <f>D49/D52*1000</f>
        <v>25.984692818414356</v>
      </c>
      <c r="J49" s="91">
        <f t="shared" ref="J49:M49" si="45">E49/E52*1000</f>
        <v>25.987917704767714</v>
      </c>
      <c r="K49" s="91">
        <f t="shared" si="45"/>
        <v>25.936090075462154</v>
      </c>
      <c r="L49" s="91">
        <f t="shared" si="45"/>
        <v>26.181860971376459</v>
      </c>
      <c r="M49" s="91">
        <f t="shared" si="45"/>
        <v>25.699168556311413</v>
      </c>
    </row>
    <row r="50" spans="1:13" ht="30.75" thickBot="1" x14ac:dyDescent="0.3">
      <c r="A50" s="12" t="s">
        <v>61</v>
      </c>
      <c r="B50" s="5" t="s">
        <v>120</v>
      </c>
      <c r="C50" s="112" t="s">
        <v>161</v>
      </c>
      <c r="D50" s="19">
        <f>ROUND((D18+D37+D42+D43+D44+D45+D46),2)</f>
        <v>204341.59</v>
      </c>
      <c r="E50" s="19">
        <f t="shared" ref="E50:H50" si="46">ROUND((E18+E37+E42+E43+E44+E45+E46),2)</f>
        <v>172161.46</v>
      </c>
      <c r="F50" s="19">
        <f t="shared" si="46"/>
        <v>28090.79</v>
      </c>
      <c r="G50" s="19">
        <f t="shared" si="46"/>
        <v>4069.77</v>
      </c>
      <c r="H50" s="19">
        <f t="shared" si="46"/>
        <v>19.57</v>
      </c>
      <c r="I50" s="90">
        <f>D50/D52*1000</f>
        <v>1497.861272472875</v>
      </c>
      <c r="J50" s="91">
        <f t="shared" ref="J50:M50" si="47">E50/E52*1000</f>
        <v>1498.2897223557618</v>
      </c>
      <c r="K50" s="91">
        <f t="shared" si="47"/>
        <v>1495.4437893447969</v>
      </c>
      <c r="L50" s="91">
        <f t="shared" si="47"/>
        <v>1496.5470832230164</v>
      </c>
      <c r="M50" s="91">
        <f t="shared" si="47"/>
        <v>1479.2139077853362</v>
      </c>
    </row>
    <row r="51" spans="1:13" ht="15.75" thickBot="1" x14ac:dyDescent="0.3">
      <c r="A51" s="101" t="s">
        <v>88</v>
      </c>
      <c r="B51" s="14" t="s">
        <v>117</v>
      </c>
      <c r="C51" s="112" t="s">
        <v>161</v>
      </c>
      <c r="D51" s="93">
        <f>D50*1.2</f>
        <v>245209.908</v>
      </c>
      <c r="E51" s="93">
        <f t="shared" ref="E51:H51" si="48">E50*1.2</f>
        <v>206593.75199999998</v>
      </c>
      <c r="F51" s="93">
        <f t="shared" si="48"/>
        <v>33708.947999999997</v>
      </c>
      <c r="G51" s="93">
        <f t="shared" si="48"/>
        <v>4883.7240000000002</v>
      </c>
      <c r="H51" s="93">
        <f t="shared" si="48"/>
        <v>23.483999999999998</v>
      </c>
      <c r="I51" s="91"/>
      <c r="J51" s="91"/>
      <c r="K51" s="91"/>
      <c r="L51" s="91"/>
      <c r="M51" s="91"/>
    </row>
    <row r="52" spans="1:13" ht="34.5" customHeight="1" thickBot="1" x14ac:dyDescent="0.3">
      <c r="A52" s="102">
        <v>10</v>
      </c>
      <c r="B52" s="14" t="s">
        <v>70</v>
      </c>
      <c r="C52" s="112" t="s">
        <v>154</v>
      </c>
      <c r="D52" s="103">
        <f>SUM(E52:H52)</f>
        <v>136422.24000000002</v>
      </c>
      <c r="E52" s="20">
        <v>114905.32</v>
      </c>
      <c r="F52" s="20">
        <v>18784.25</v>
      </c>
      <c r="G52" s="20">
        <v>2719.44</v>
      </c>
      <c r="H52" s="20">
        <v>13.23</v>
      </c>
      <c r="I52" s="92"/>
      <c r="J52" s="92" t="s">
        <v>113</v>
      </c>
      <c r="K52" s="92" t="s">
        <v>114</v>
      </c>
      <c r="L52" s="92" t="s">
        <v>115</v>
      </c>
      <c r="M52" s="92" t="s">
        <v>116</v>
      </c>
    </row>
    <row r="53" spans="1:13" ht="15.75" customHeight="1" x14ac:dyDescent="0.25">
      <c r="A53" s="1"/>
      <c r="B53" s="1"/>
      <c r="C53" s="110"/>
    </row>
    <row r="54" spans="1:13" ht="49.5" hidden="1" customHeight="1" x14ac:dyDescent="0.25">
      <c r="A54" s="1"/>
      <c r="B54" s="1"/>
      <c r="C54" s="110"/>
    </row>
    <row r="55" spans="1:13" ht="30" x14ac:dyDescent="0.25">
      <c r="B55" s="106" t="s">
        <v>126</v>
      </c>
      <c r="C55" s="106"/>
      <c r="G55" t="s">
        <v>127</v>
      </c>
    </row>
    <row r="56" spans="1:13" x14ac:dyDescent="0.25">
      <c r="A56" s="1"/>
      <c r="B56" s="1"/>
      <c r="C56" s="110"/>
    </row>
    <row r="57" spans="1:13" ht="30" x14ac:dyDescent="0.25">
      <c r="A57" s="1"/>
      <c r="B57" s="1" t="s">
        <v>128</v>
      </c>
      <c r="C57" s="110"/>
      <c r="G57" t="s">
        <v>129</v>
      </c>
    </row>
  </sheetData>
  <mergeCells count="7">
    <mergeCell ref="B17:H17"/>
    <mergeCell ref="A5:H5"/>
    <mergeCell ref="A6:H6"/>
    <mergeCell ref="A10:A11"/>
    <mergeCell ref="B10:B11"/>
    <mergeCell ref="D10:H10"/>
    <mergeCell ref="C10:C11"/>
  </mergeCells>
  <pageMargins left="1.299212598425197" right="0.31496062992125984" top="0.35433070866141736" bottom="0.35433070866141736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6"/>
  <sheetViews>
    <sheetView topLeftCell="A23" workbookViewId="0">
      <selection activeCell="A5" sqref="A5:H5"/>
    </sheetView>
  </sheetViews>
  <sheetFormatPr defaultRowHeight="15" x14ac:dyDescent="0.25"/>
  <cols>
    <col min="1" max="1" width="6.85546875" customWidth="1"/>
    <col min="2" max="2" width="41.5703125" customWidth="1"/>
    <col min="3" max="3" width="11.140625" customWidth="1"/>
    <col min="4" max="5" width="10.85546875" hidden="1" customWidth="1"/>
    <col min="6" max="6" width="12.28515625" customWidth="1"/>
    <col min="7" max="9" width="11.28515625" customWidth="1"/>
    <col min="10" max="10" width="10.5703125" bestFit="1" customWidth="1"/>
    <col min="15" max="18" width="11.5703125" bestFit="1" customWidth="1"/>
  </cols>
  <sheetData>
    <row r="1" spans="1:18" x14ac:dyDescent="0.25">
      <c r="G1" s="105" t="s">
        <v>131</v>
      </c>
      <c r="H1" s="105"/>
      <c r="I1" s="105"/>
    </row>
    <row r="2" spans="1:18" x14ac:dyDescent="0.25">
      <c r="G2" s="105" t="s">
        <v>124</v>
      </c>
      <c r="H2" s="105"/>
      <c r="I2" s="105"/>
    </row>
    <row r="3" spans="1:18" x14ac:dyDescent="0.25">
      <c r="G3" s="105" t="s">
        <v>125</v>
      </c>
      <c r="H3" s="105"/>
      <c r="I3" s="105"/>
    </row>
    <row r="4" spans="1:18" x14ac:dyDescent="0.25">
      <c r="G4" s="105" t="s">
        <v>175</v>
      </c>
      <c r="H4" s="105"/>
      <c r="I4" s="105"/>
    </row>
    <row r="5" spans="1:18" ht="17.45" customHeight="1" x14ac:dyDescent="0.25">
      <c r="A5" s="159" t="s">
        <v>71</v>
      </c>
      <c r="B5" s="159"/>
      <c r="C5" s="159"/>
      <c r="D5" s="159"/>
      <c r="E5" s="159"/>
      <c r="F5" s="159"/>
      <c r="G5" s="159"/>
      <c r="H5" s="159"/>
      <c r="I5" s="28"/>
    </row>
    <row r="6" spans="1:18" ht="14.25" customHeight="1" x14ac:dyDescent="0.25">
      <c r="A6" s="159" t="s">
        <v>1</v>
      </c>
      <c r="B6" s="159"/>
      <c r="C6" s="159"/>
      <c r="D6" s="159"/>
      <c r="E6" s="159"/>
      <c r="F6" s="159"/>
      <c r="G6" s="159"/>
      <c r="H6" s="159"/>
      <c r="I6" s="28"/>
    </row>
    <row r="7" spans="1:18" ht="7.5" hidden="1" customHeight="1" x14ac:dyDescent="0.25"/>
    <row r="9" spans="1:18" ht="6" customHeight="1" thickBot="1" x14ac:dyDescent="0.3"/>
    <row r="10" spans="1:18" ht="15.6" customHeight="1" thickBot="1" x14ac:dyDescent="0.3">
      <c r="A10" s="160" t="s">
        <v>0</v>
      </c>
      <c r="B10" s="162" t="s">
        <v>8</v>
      </c>
      <c r="C10" s="162" t="s">
        <v>151</v>
      </c>
      <c r="D10" s="162" t="s">
        <v>7</v>
      </c>
      <c r="E10" s="165" t="s">
        <v>153</v>
      </c>
      <c r="F10" s="165"/>
      <c r="G10" s="165"/>
      <c r="H10" s="166"/>
      <c r="I10" s="36"/>
    </row>
    <row r="11" spans="1:18" ht="60.75" customHeight="1" thickBot="1" x14ac:dyDescent="0.3">
      <c r="A11" s="161"/>
      <c r="B11" s="163"/>
      <c r="C11" s="163"/>
      <c r="D11" s="163"/>
      <c r="E11" s="4" t="s">
        <v>3</v>
      </c>
      <c r="F11" s="4" t="s">
        <v>4</v>
      </c>
      <c r="G11" s="7" t="s">
        <v>5</v>
      </c>
      <c r="H11" s="8" t="s">
        <v>6</v>
      </c>
      <c r="I11" s="37"/>
      <c r="J11" s="60"/>
      <c r="K11" s="60"/>
      <c r="L11" s="60"/>
      <c r="M11" s="60"/>
      <c r="N11" s="60"/>
      <c r="O11" s="60"/>
      <c r="P11" s="60"/>
      <c r="Q11" s="60"/>
      <c r="R11" s="60"/>
    </row>
    <row r="12" spans="1:18" ht="15.75" thickBot="1" x14ac:dyDescent="0.3">
      <c r="A12" s="4">
        <v>1</v>
      </c>
      <c r="B12" s="4">
        <v>2</v>
      </c>
      <c r="C12" s="4">
        <v>3</v>
      </c>
      <c r="D12" s="4">
        <v>3</v>
      </c>
      <c r="E12" s="4">
        <v>4</v>
      </c>
      <c r="F12" s="4">
        <v>4</v>
      </c>
      <c r="G12" s="29">
        <v>5</v>
      </c>
      <c r="H12" s="67">
        <v>6</v>
      </c>
      <c r="I12" s="36"/>
      <c r="J12" s="60"/>
      <c r="K12" s="60"/>
      <c r="L12" s="60"/>
      <c r="M12" s="60"/>
      <c r="N12" s="60"/>
      <c r="O12" s="60"/>
      <c r="P12" s="60"/>
      <c r="Q12" s="60"/>
      <c r="R12" s="60"/>
    </row>
    <row r="13" spans="1:18" ht="51.75" customHeight="1" thickBot="1" x14ac:dyDescent="0.3">
      <c r="A13" s="9" t="s">
        <v>9</v>
      </c>
      <c r="B13" s="68" t="s">
        <v>119</v>
      </c>
      <c r="C13" s="68" t="s">
        <v>152</v>
      </c>
      <c r="D13" s="76">
        <f>ROUND((D42+D44+D38+D54),2)*1.2</f>
        <v>211823.94</v>
      </c>
      <c r="E13" s="76">
        <f>ROUND((SUM((E42*E43)+(E44*E48))/E57+E54),2)*1.2</f>
        <v>1313.04</v>
      </c>
      <c r="F13" s="76">
        <f t="shared" ref="F13:H13" si="0">ROUND((SUM((F42*F43)+(F44*F48))/F57+F54),2)*1.2</f>
        <v>1315.9680000000001</v>
      </c>
      <c r="G13" s="76">
        <f t="shared" si="0"/>
        <v>1296.8520000000001</v>
      </c>
      <c r="H13" s="76">
        <f t="shared" si="0"/>
        <v>1268.568</v>
      </c>
      <c r="I13" s="38"/>
      <c r="J13" s="50"/>
      <c r="K13" s="59"/>
      <c r="L13" s="59"/>
      <c r="M13" s="59"/>
      <c r="N13" s="59"/>
      <c r="O13" s="60"/>
      <c r="P13" s="60"/>
      <c r="Q13" s="60"/>
      <c r="R13" s="60"/>
    </row>
    <row r="14" spans="1:18" ht="15" customHeight="1" thickBot="1" x14ac:dyDescent="0.3">
      <c r="A14" s="27" t="s">
        <v>10</v>
      </c>
      <c r="B14" s="167" t="s">
        <v>118</v>
      </c>
      <c r="C14" s="168"/>
      <c r="D14" s="168"/>
      <c r="E14" s="168"/>
      <c r="F14" s="168"/>
      <c r="G14" s="168"/>
      <c r="H14" s="169"/>
      <c r="I14" s="39"/>
      <c r="J14" s="60"/>
      <c r="K14" s="60"/>
      <c r="L14" s="60"/>
      <c r="M14" s="60"/>
      <c r="N14" s="60"/>
      <c r="O14" s="60"/>
      <c r="P14" s="60"/>
      <c r="Q14" s="60"/>
      <c r="R14" s="60"/>
    </row>
    <row r="15" spans="1:18" s="52" customFormat="1" ht="45.75" customHeight="1" thickBot="1" x14ac:dyDescent="0.3">
      <c r="A15" s="9">
        <v>1</v>
      </c>
      <c r="B15" s="57" t="s">
        <v>72</v>
      </c>
      <c r="C15" s="68" t="s">
        <v>152</v>
      </c>
      <c r="D15" s="57">
        <f>ROUND((D16+D21+D22+D26),2)</f>
        <v>155829.76999999999</v>
      </c>
      <c r="E15" s="94">
        <f t="shared" ref="E15:H15" si="1">ROUND((E16+E21+E22+E26),2)</f>
        <v>1044.32</v>
      </c>
      <c r="F15" s="57">
        <f t="shared" si="1"/>
        <v>1043.18</v>
      </c>
      <c r="G15" s="57">
        <f t="shared" si="1"/>
        <v>1043.0999999999999</v>
      </c>
      <c r="H15" s="57">
        <f t="shared" si="1"/>
        <v>1043.96</v>
      </c>
      <c r="I15" s="61"/>
      <c r="J15" s="61"/>
      <c r="K15" s="61"/>
      <c r="L15" s="61"/>
      <c r="M15" s="61"/>
      <c r="N15" s="61"/>
      <c r="O15" s="61"/>
      <c r="P15" s="61"/>
      <c r="Q15" s="61"/>
      <c r="R15" s="61"/>
    </row>
    <row r="16" spans="1:18" s="52" customFormat="1" ht="15.75" thickBot="1" x14ac:dyDescent="0.3">
      <c r="A16" s="53" t="s">
        <v>12</v>
      </c>
      <c r="B16" s="51" t="s">
        <v>34</v>
      </c>
      <c r="C16" s="68" t="s">
        <v>152</v>
      </c>
      <c r="D16" s="51">
        <f>ROUND(SUM(D17:D20),2)</f>
        <v>132254.91</v>
      </c>
      <c r="E16" s="51">
        <f t="shared" ref="E16:H16" si="2">ROUND(SUM(E17:E20),2)</f>
        <v>886.36</v>
      </c>
      <c r="F16" s="51">
        <f t="shared" si="2"/>
        <v>885.22</v>
      </c>
      <c r="G16" s="51">
        <f t="shared" si="2"/>
        <v>885.14</v>
      </c>
      <c r="H16" s="51">
        <f t="shared" si="2"/>
        <v>886</v>
      </c>
      <c r="I16" s="61"/>
      <c r="J16" s="61"/>
      <c r="K16" s="61"/>
      <c r="L16" s="61"/>
      <c r="M16" s="61"/>
      <c r="N16" s="61"/>
      <c r="O16" s="61"/>
      <c r="P16" s="61"/>
      <c r="Q16" s="61"/>
      <c r="R16" s="61"/>
    </row>
    <row r="17" spans="1:18" ht="30.75" thickBot="1" x14ac:dyDescent="0.3">
      <c r="A17" s="11" t="s">
        <v>13</v>
      </c>
      <c r="B17" s="2" t="s">
        <v>73</v>
      </c>
      <c r="C17" s="113" t="s">
        <v>152</v>
      </c>
      <c r="D17" s="35">
        <f>'Теплова енергія'!D20</f>
        <v>130637.82</v>
      </c>
      <c r="E17" s="35">
        <f>ROUND(('Теплова енергія'!E20/Виробництво!E43*1000),2)</f>
        <v>875.53</v>
      </c>
      <c r="F17" s="35">
        <f>ROUND(('Теплова енергія'!F20/Виробництво!F43*1000),2)</f>
        <v>874.39</v>
      </c>
      <c r="G17" s="35">
        <f>ROUND(('Теплова енергія'!G20/Виробництво!G43*1000),2)</f>
        <v>874.31</v>
      </c>
      <c r="H17" s="35">
        <f>ROUND(('Теплова енергія'!H20/Виробництво!H43*1000),2)</f>
        <v>875.17</v>
      </c>
      <c r="I17" s="41"/>
      <c r="J17" s="15"/>
      <c r="K17" s="15"/>
      <c r="L17" s="15"/>
      <c r="M17" s="15"/>
      <c r="N17" s="15"/>
      <c r="O17" s="59"/>
      <c r="P17" s="59"/>
      <c r="Q17" s="59"/>
      <c r="R17" s="59"/>
    </row>
    <row r="18" spans="1:18" ht="31.5" customHeight="1" thickBot="1" x14ac:dyDescent="0.3">
      <c r="A18" s="11" t="s">
        <v>14</v>
      </c>
      <c r="B18" s="2" t="s">
        <v>39</v>
      </c>
      <c r="C18" s="113" t="s">
        <v>152</v>
      </c>
      <c r="D18" s="2">
        <v>1116.31</v>
      </c>
      <c r="E18" s="19">
        <f>ROUND((D18/D43*E43/E43*1000),2)</f>
        <v>7.48</v>
      </c>
      <c r="F18" s="19">
        <f>ROUND((D18/D43*F43/F43*1000),2)</f>
        <v>7.48</v>
      </c>
      <c r="G18" s="62">
        <f>ROUND((D18/D43*G43/G43*1000),2)</f>
        <v>7.48</v>
      </c>
      <c r="H18" s="69">
        <f>ROUND((D18/D43*H43/H43*1000),2)</f>
        <v>7.48</v>
      </c>
      <c r="I18" s="15"/>
      <c r="J18" s="59"/>
      <c r="K18" s="59"/>
      <c r="L18" s="59"/>
      <c r="M18" s="59"/>
      <c r="N18" s="59"/>
      <c r="O18" s="59"/>
      <c r="P18" s="59"/>
      <c r="Q18" s="59"/>
      <c r="R18" s="59"/>
    </row>
    <row r="19" spans="1:18" ht="30" customHeight="1" thickBot="1" x14ac:dyDescent="0.3">
      <c r="A19" s="11" t="s">
        <v>15</v>
      </c>
      <c r="B19" s="2" t="s">
        <v>40</v>
      </c>
      <c r="C19" s="113" t="s">
        <v>152</v>
      </c>
      <c r="D19" s="2">
        <v>340.42</v>
      </c>
      <c r="E19" s="95">
        <f>ROUND((D19/D43*E43/E43*1000),2)</f>
        <v>2.2799999999999998</v>
      </c>
      <c r="F19" s="95">
        <f>ROUND((D19/D43*F43/F43*1000),2)</f>
        <v>2.2799999999999998</v>
      </c>
      <c r="G19" s="96">
        <f>ROUND((D19/D43*G43/G43*1000),2)</f>
        <v>2.2799999999999998</v>
      </c>
      <c r="H19" s="97">
        <f>ROUND((D19/D43*H43/H43*1000),2)</f>
        <v>2.2799999999999998</v>
      </c>
      <c r="I19" s="15"/>
      <c r="J19" s="59"/>
      <c r="K19" s="59"/>
      <c r="L19" s="59"/>
      <c r="M19" s="59"/>
      <c r="N19" s="59"/>
      <c r="O19" s="59"/>
      <c r="P19" s="59"/>
      <c r="Q19" s="59"/>
      <c r="R19" s="59"/>
    </row>
    <row r="20" spans="1:18" ht="46.5" customHeight="1" thickBot="1" x14ac:dyDescent="0.3">
      <c r="A20" s="11" t="s">
        <v>16</v>
      </c>
      <c r="B20" s="2" t="s">
        <v>41</v>
      </c>
      <c r="C20" s="113" t="s">
        <v>152</v>
      </c>
      <c r="D20" s="2">
        <v>160.36000000000001</v>
      </c>
      <c r="E20" s="20">
        <f>ROUND((D20/D43*E43/E43*1000),2)</f>
        <v>1.07</v>
      </c>
      <c r="F20" s="20">
        <f>ROUND((D20/D43*F43/F43*1000),2)</f>
        <v>1.07</v>
      </c>
      <c r="G20" s="47">
        <f>ROUND((D20/D43*G43/G43*1000),2)</f>
        <v>1.07</v>
      </c>
      <c r="H20" s="70">
        <f>ROUND((D20/D43*H43/H43*1000),2)</f>
        <v>1.07</v>
      </c>
      <c r="I20" s="15"/>
      <c r="J20" s="59"/>
      <c r="K20" s="59"/>
      <c r="L20" s="59"/>
      <c r="M20" s="59"/>
      <c r="N20" s="59"/>
      <c r="O20" s="59"/>
      <c r="P20" s="59"/>
      <c r="Q20" s="59"/>
      <c r="R20" s="59"/>
    </row>
    <row r="21" spans="1:18" ht="15.75" thickBot="1" x14ac:dyDescent="0.3">
      <c r="A21" s="11" t="s">
        <v>20</v>
      </c>
      <c r="B21" s="2" t="s">
        <v>42</v>
      </c>
      <c r="C21" s="113" t="s">
        <v>152</v>
      </c>
      <c r="D21" s="2">
        <v>11970.99</v>
      </c>
      <c r="E21" s="19">
        <f>ROUND((D21/D43*E43/E43*1000),2)</f>
        <v>80.209999999999994</v>
      </c>
      <c r="F21" s="19">
        <f>ROUND((D21/D43*F43/F43*1000),2)</f>
        <v>80.209999999999994</v>
      </c>
      <c r="G21" s="62">
        <f>ROUND((D21/D43*G43/G43*1000),2)</f>
        <v>80.209999999999994</v>
      </c>
      <c r="H21" s="69">
        <f>ROUND((D21/D43*H43/H43*1000),2)</f>
        <v>80.209999999999994</v>
      </c>
      <c r="I21" s="15"/>
      <c r="J21" s="59"/>
      <c r="K21" s="59"/>
      <c r="L21" s="59"/>
      <c r="M21" s="59"/>
      <c r="N21" s="59"/>
      <c r="O21" s="59"/>
      <c r="P21" s="59"/>
      <c r="Q21" s="59"/>
      <c r="R21" s="59"/>
    </row>
    <row r="22" spans="1:18" s="52" customFormat="1" ht="15.75" thickBot="1" x14ac:dyDescent="0.3">
      <c r="A22" s="53" t="s">
        <v>21</v>
      </c>
      <c r="B22" s="51" t="s">
        <v>43</v>
      </c>
      <c r="C22" s="68" t="s">
        <v>152</v>
      </c>
      <c r="D22" s="51">
        <f>ROUND(SUM(D23:D25),2)</f>
        <v>9437.16</v>
      </c>
      <c r="E22" s="51">
        <f t="shared" ref="E22:H22" si="3">ROUND(SUM(E23:E25),2)</f>
        <v>63.24</v>
      </c>
      <c r="F22" s="51">
        <f t="shared" si="3"/>
        <v>63.24</v>
      </c>
      <c r="G22" s="51">
        <f t="shared" si="3"/>
        <v>63.24</v>
      </c>
      <c r="H22" s="51">
        <f t="shared" si="3"/>
        <v>63.24</v>
      </c>
      <c r="I22" s="61"/>
      <c r="J22" s="58"/>
      <c r="K22" s="58"/>
      <c r="L22" s="58"/>
      <c r="M22" s="58"/>
      <c r="N22" s="58"/>
      <c r="O22" s="61"/>
      <c r="P22" s="61"/>
      <c r="Q22" s="61"/>
      <c r="R22" s="61"/>
    </row>
    <row r="23" spans="1:18" ht="15.75" thickBot="1" x14ac:dyDescent="0.3">
      <c r="A23" s="11" t="s">
        <v>22</v>
      </c>
      <c r="B23" s="2" t="s">
        <v>44</v>
      </c>
      <c r="C23" s="113" t="s">
        <v>152</v>
      </c>
      <c r="D23" s="2">
        <f>ROUND((D21*0.22),2)</f>
        <v>2633.62</v>
      </c>
      <c r="E23" s="19">
        <f>ROUND((D23/D43*E43/E43*1000),2)</f>
        <v>17.649999999999999</v>
      </c>
      <c r="F23" s="19">
        <f>ROUND((D23/D43*F43/F43*1000),2)</f>
        <v>17.649999999999999</v>
      </c>
      <c r="G23" s="62">
        <f>ROUND((D23/D43*G43/G43*1000),2)</f>
        <v>17.649999999999999</v>
      </c>
      <c r="H23" s="69">
        <f>ROUND((D23/D43*H43/H43*1000),2)</f>
        <v>17.649999999999999</v>
      </c>
      <c r="I23" s="15"/>
      <c r="J23" s="59"/>
      <c r="K23" s="59"/>
      <c r="L23" s="59"/>
      <c r="M23" s="59"/>
      <c r="N23" s="59"/>
      <c r="O23" s="59"/>
      <c r="P23" s="59"/>
      <c r="Q23" s="59"/>
      <c r="R23" s="59"/>
    </row>
    <row r="24" spans="1:18" ht="28.5" customHeight="1" thickBot="1" x14ac:dyDescent="0.3">
      <c r="A24" s="11" t="s">
        <v>23</v>
      </c>
      <c r="B24" s="2" t="s">
        <v>45</v>
      </c>
      <c r="C24" s="113" t="s">
        <v>152</v>
      </c>
      <c r="D24" s="2">
        <v>2406.98</v>
      </c>
      <c r="E24" s="20">
        <f>ROUND((D24/D43*E43/E43*1000),2)</f>
        <v>16.13</v>
      </c>
      <c r="F24" s="20">
        <f>ROUND((D24/D43*F43/F43*1000),2)</f>
        <v>16.13</v>
      </c>
      <c r="G24" s="47">
        <f>ROUND((D24/D43*G43/G43*1000),2)</f>
        <v>16.13</v>
      </c>
      <c r="H24" s="70">
        <f>ROUND((D24/D43*H43/H43*1000),2)</f>
        <v>16.13</v>
      </c>
      <c r="I24" s="15"/>
      <c r="J24" s="59"/>
      <c r="K24" s="59"/>
      <c r="L24" s="59"/>
      <c r="M24" s="59"/>
      <c r="N24" s="59"/>
      <c r="O24" s="59"/>
      <c r="P24" s="59"/>
      <c r="Q24" s="59"/>
      <c r="R24" s="59"/>
    </row>
    <row r="25" spans="1:18" ht="15.75" thickBot="1" x14ac:dyDescent="0.3">
      <c r="A25" s="11" t="s">
        <v>24</v>
      </c>
      <c r="B25" s="2" t="s">
        <v>46</v>
      </c>
      <c r="C25" s="113" t="s">
        <v>152</v>
      </c>
      <c r="D25" s="31">
        <v>4396.5600000000004</v>
      </c>
      <c r="E25" s="77">
        <f>ROUND((D25/D43*E43/E43*1000),2)</f>
        <v>29.46</v>
      </c>
      <c r="F25" s="77">
        <f>ROUND((D25/D43*F43/F43*1000),2)</f>
        <v>29.46</v>
      </c>
      <c r="G25" s="79">
        <f>ROUND((D25/D43*G43/G43*1000),2)</f>
        <v>29.46</v>
      </c>
      <c r="H25" s="80">
        <f>ROUND((D25/D43*H43/H43*1000),2)</f>
        <v>29.46</v>
      </c>
      <c r="I25" s="41"/>
      <c r="J25" s="59"/>
      <c r="K25" s="59"/>
      <c r="L25" s="59"/>
      <c r="M25" s="59"/>
      <c r="N25" s="59"/>
      <c r="O25" s="59"/>
      <c r="P25" s="59"/>
      <c r="Q25" s="59"/>
      <c r="R25" s="59"/>
    </row>
    <row r="26" spans="1:18" s="52" customFormat="1" ht="15.75" thickBot="1" x14ac:dyDescent="0.3">
      <c r="A26" s="53" t="s">
        <v>25</v>
      </c>
      <c r="B26" s="51" t="s">
        <v>47</v>
      </c>
      <c r="C26" s="68" t="s">
        <v>152</v>
      </c>
      <c r="D26" s="51">
        <f>ROUND(SUM(D27:D30),2)</f>
        <v>2166.71</v>
      </c>
      <c r="E26" s="54">
        <f t="shared" ref="E26:H26" si="4">ROUND(SUM(E27:E30),2)</f>
        <v>14.51</v>
      </c>
      <c r="F26" s="54">
        <f t="shared" si="4"/>
        <v>14.51</v>
      </c>
      <c r="G26" s="54">
        <f t="shared" si="4"/>
        <v>14.51</v>
      </c>
      <c r="H26" s="54">
        <f t="shared" si="4"/>
        <v>14.51</v>
      </c>
      <c r="I26" s="61"/>
      <c r="J26" s="58"/>
      <c r="K26" s="58"/>
      <c r="L26" s="58"/>
      <c r="M26" s="58"/>
      <c r="N26" s="58"/>
      <c r="O26" s="61"/>
      <c r="P26" s="61"/>
      <c r="Q26" s="61"/>
      <c r="R26" s="61"/>
    </row>
    <row r="27" spans="1:18" ht="24.75" customHeight="1" thickBot="1" x14ac:dyDescent="0.3">
      <c r="A27" s="30" t="s">
        <v>26</v>
      </c>
      <c r="B27" s="31" t="s">
        <v>48</v>
      </c>
      <c r="C27" s="113" t="s">
        <v>152</v>
      </c>
      <c r="D27" s="78">
        <v>1716.44</v>
      </c>
      <c r="E27" s="19">
        <f>ROUND((D27/D43*E43/E43*1000),2)</f>
        <v>11.5</v>
      </c>
      <c r="F27" s="19">
        <f>ROUND((D27/D43*F43/F43*1000),2)</f>
        <v>11.5</v>
      </c>
      <c r="G27" s="62">
        <f>ROUND((D27/D43*G43/G43*1000),2)</f>
        <v>11.5</v>
      </c>
      <c r="H27" s="69">
        <f>ROUND((D27/D43*H43/H43*1000),2)</f>
        <v>11.5</v>
      </c>
      <c r="I27" s="23"/>
      <c r="J27" s="59"/>
      <c r="K27" s="59"/>
      <c r="L27" s="59"/>
      <c r="M27" s="59"/>
      <c r="N27" s="59"/>
      <c r="O27" s="59"/>
      <c r="P27" s="59"/>
      <c r="Q27" s="59"/>
      <c r="R27" s="59"/>
    </row>
    <row r="28" spans="1:18" ht="15.75" thickBot="1" x14ac:dyDescent="0.3">
      <c r="A28" s="30" t="s">
        <v>27</v>
      </c>
      <c r="B28" s="31" t="s">
        <v>44</v>
      </c>
      <c r="C28" s="113" t="s">
        <v>152</v>
      </c>
      <c r="D28" s="78">
        <f>ROUND((D27*0.22),2)</f>
        <v>377.62</v>
      </c>
      <c r="E28" s="19">
        <f>ROUND((D28/D43*E43/E43*1000),2)</f>
        <v>2.5299999999999998</v>
      </c>
      <c r="F28" s="19">
        <f>ROUND((D28/D43*F43/F43*1000),2)</f>
        <v>2.5299999999999998</v>
      </c>
      <c r="G28" s="62">
        <f>ROUND((D28/D43*G43/G43*1000),2)</f>
        <v>2.5299999999999998</v>
      </c>
      <c r="H28" s="69">
        <f>ROUND((D28/D43*H43/H43*1000),2)</f>
        <v>2.5299999999999998</v>
      </c>
      <c r="I28" s="23"/>
      <c r="J28" s="59"/>
      <c r="K28" s="59"/>
      <c r="L28" s="59"/>
      <c r="M28" s="59"/>
      <c r="N28" s="59"/>
      <c r="O28" s="59"/>
      <c r="P28" s="59"/>
      <c r="Q28" s="59"/>
      <c r="R28" s="59"/>
    </row>
    <row r="29" spans="1:18" ht="15.75" thickBot="1" x14ac:dyDescent="0.3">
      <c r="A29" s="30" t="s">
        <v>28</v>
      </c>
      <c r="B29" s="31" t="s">
        <v>45</v>
      </c>
      <c r="C29" s="113" t="s">
        <v>152</v>
      </c>
      <c r="D29" s="78">
        <v>9.4600000000000009</v>
      </c>
      <c r="E29" s="19">
        <f>ROUND((D29/D43*E43/E43*1000),2)</f>
        <v>0.06</v>
      </c>
      <c r="F29" s="19">
        <f>ROUND((D29/D43*F43/F43*1000),2)</f>
        <v>0.06</v>
      </c>
      <c r="G29" s="62">
        <f>ROUND((D29/D43*G43/G43*1000),2)</f>
        <v>0.06</v>
      </c>
      <c r="H29" s="69">
        <f>ROUND((D29/D43*H43/H43*1000),2)</f>
        <v>0.06</v>
      </c>
      <c r="I29" s="23"/>
      <c r="J29" s="59"/>
      <c r="K29" s="59"/>
      <c r="L29" s="59"/>
      <c r="M29" s="59"/>
      <c r="N29" s="59"/>
      <c r="O29" s="59"/>
      <c r="P29" s="59"/>
      <c r="Q29" s="59"/>
      <c r="R29" s="59"/>
    </row>
    <row r="30" spans="1:18" ht="22.5" customHeight="1" thickBot="1" x14ac:dyDescent="0.3">
      <c r="A30" s="30" t="s">
        <v>29</v>
      </c>
      <c r="B30" s="31" t="s">
        <v>49</v>
      </c>
      <c r="C30" s="113" t="s">
        <v>152</v>
      </c>
      <c r="D30" s="78">
        <v>63.19</v>
      </c>
      <c r="E30" s="19">
        <f>ROUND((D30/D43*E43/E43*1000),2)</f>
        <v>0.42</v>
      </c>
      <c r="F30" s="19">
        <f>ROUND((D30/D43*F43/F43*1000),2)</f>
        <v>0.42</v>
      </c>
      <c r="G30" s="62">
        <f>ROUND((D30/D43*G43/G43*1000),2)</f>
        <v>0.42</v>
      </c>
      <c r="H30" s="69">
        <f>ROUND((D30/D43*H43/H43*1000),2)</f>
        <v>0.42</v>
      </c>
      <c r="I30" s="23"/>
      <c r="J30" s="59"/>
      <c r="K30" s="59"/>
      <c r="L30" s="59"/>
      <c r="M30" s="59"/>
      <c r="N30" s="59"/>
      <c r="O30" s="59"/>
      <c r="P30" s="59"/>
      <c r="Q30" s="59"/>
      <c r="R30" s="59"/>
    </row>
    <row r="31" spans="1:18" s="52" customFormat="1" ht="46.5" customHeight="1" thickBot="1" x14ac:dyDescent="0.3">
      <c r="A31" s="53" t="s">
        <v>30</v>
      </c>
      <c r="B31" s="51" t="s">
        <v>74</v>
      </c>
      <c r="C31" s="68" t="s">
        <v>152</v>
      </c>
      <c r="D31" s="51">
        <f>ROUND(SUM(D32:D35),2)</f>
        <v>4942.01</v>
      </c>
      <c r="E31" s="54">
        <f t="shared" ref="E31:H31" si="5">ROUND(SUM(E32:E35),2)</f>
        <v>33.11</v>
      </c>
      <c r="F31" s="54">
        <f t="shared" si="5"/>
        <v>33.11</v>
      </c>
      <c r="G31" s="54">
        <f t="shared" si="5"/>
        <v>33.11</v>
      </c>
      <c r="H31" s="54">
        <f t="shared" si="5"/>
        <v>33.11</v>
      </c>
      <c r="I31" s="63"/>
      <c r="J31" s="58"/>
      <c r="K31" s="58"/>
      <c r="L31" s="58"/>
      <c r="M31" s="58"/>
      <c r="N31" s="58"/>
      <c r="O31" s="61"/>
      <c r="P31" s="61"/>
      <c r="Q31" s="61"/>
      <c r="R31" s="61"/>
    </row>
    <row r="32" spans="1:18" ht="21" customHeight="1" thickBot="1" x14ac:dyDescent="0.3">
      <c r="A32" s="11" t="s">
        <v>31</v>
      </c>
      <c r="B32" s="2" t="s">
        <v>48</v>
      </c>
      <c r="C32" s="113" t="s">
        <v>152</v>
      </c>
      <c r="D32" s="78">
        <v>3631.07</v>
      </c>
      <c r="E32" s="20">
        <f>ROUND((D32/D43*E43/E43*1000),2)</f>
        <v>24.33</v>
      </c>
      <c r="F32" s="20">
        <f>ROUND((D32/D43*F43/F43*1000),2)</f>
        <v>24.33</v>
      </c>
      <c r="G32" s="47">
        <f>ROUND((D32/D43*G43/G43*1000),2)</f>
        <v>24.33</v>
      </c>
      <c r="H32" s="70">
        <f>ROUND((D32/D43*H43/H43*1000),2)</f>
        <v>24.33</v>
      </c>
      <c r="I32" s="23"/>
      <c r="J32" s="59"/>
      <c r="K32" s="59"/>
      <c r="L32" s="59"/>
      <c r="M32" s="59"/>
      <c r="N32" s="59"/>
      <c r="O32" s="59"/>
      <c r="P32" s="59"/>
      <c r="Q32" s="59"/>
      <c r="R32" s="59"/>
    </row>
    <row r="33" spans="1:18" ht="15.75" thickBot="1" x14ac:dyDescent="0.3">
      <c r="A33" s="11" t="s">
        <v>32</v>
      </c>
      <c r="B33" s="2" t="s">
        <v>44</v>
      </c>
      <c r="C33" s="113" t="s">
        <v>152</v>
      </c>
      <c r="D33" s="78">
        <f>ROUND((D32*0.22),2)</f>
        <v>798.84</v>
      </c>
      <c r="E33" s="19">
        <f>ROUND((D33/D43*E43/E43*1000),2)</f>
        <v>5.35</v>
      </c>
      <c r="F33" s="19">
        <f>ROUND((D33/D43*F43/F43*1000),2)</f>
        <v>5.35</v>
      </c>
      <c r="G33" s="62">
        <f>ROUND((D33/D43*G43/G43*1000),2)</f>
        <v>5.35</v>
      </c>
      <c r="H33" s="69">
        <f>ROUND((D33/D43*H43/H43*1000),2)</f>
        <v>5.35</v>
      </c>
      <c r="I33" s="23"/>
      <c r="J33" s="59"/>
      <c r="K33" s="59"/>
      <c r="L33" s="59"/>
      <c r="M33" s="59"/>
      <c r="N33" s="59"/>
      <c r="O33" s="59"/>
      <c r="P33" s="59"/>
      <c r="Q33" s="59"/>
      <c r="R33" s="59"/>
    </row>
    <row r="34" spans="1:18" ht="15.75" thickBot="1" x14ac:dyDescent="0.3">
      <c r="A34" s="11" t="s">
        <v>33</v>
      </c>
      <c r="B34" s="2" t="s">
        <v>45</v>
      </c>
      <c r="C34" s="113" t="s">
        <v>152</v>
      </c>
      <c r="D34" s="78">
        <v>33.119999999999997</v>
      </c>
      <c r="E34" s="19">
        <f>ROUND((D34/D43*E43/E43*1000),2)</f>
        <v>0.22</v>
      </c>
      <c r="F34" s="19">
        <f>ROUND((D34/D43*F43/F43*1000),2)</f>
        <v>0.22</v>
      </c>
      <c r="G34" s="62">
        <f>ROUND((D34/D43*G43/G43*1000),2)</f>
        <v>0.22</v>
      </c>
      <c r="H34" s="69">
        <f>ROUND((D34/D43*H43/H43*1000),2)</f>
        <v>0.22</v>
      </c>
      <c r="I34" s="23"/>
      <c r="J34" s="59"/>
      <c r="K34" s="59"/>
      <c r="L34" s="59"/>
      <c r="M34" s="59"/>
      <c r="N34" s="59"/>
      <c r="O34" s="59"/>
      <c r="P34" s="59"/>
      <c r="Q34" s="59"/>
      <c r="R34" s="59"/>
    </row>
    <row r="35" spans="1:18" ht="15.75" thickBot="1" x14ac:dyDescent="0.3">
      <c r="A35" s="11" t="s">
        <v>52</v>
      </c>
      <c r="B35" s="2" t="s">
        <v>49</v>
      </c>
      <c r="C35" s="113" t="s">
        <v>152</v>
      </c>
      <c r="D35" s="78">
        <v>478.98</v>
      </c>
      <c r="E35" s="19">
        <f>ROUND((D35/D43*E43/E43*1000),2)</f>
        <v>3.21</v>
      </c>
      <c r="F35" s="19">
        <f>ROUND((D35/D43*F43/F43*1000),2)</f>
        <v>3.21</v>
      </c>
      <c r="G35" s="62">
        <f>ROUND((D35/D43*G43/G43*1000),2)</f>
        <v>3.21</v>
      </c>
      <c r="H35" s="69">
        <f>ROUND((D35/D43*H43/H43*1000),2)</f>
        <v>3.21</v>
      </c>
      <c r="I35" s="23"/>
      <c r="J35" s="59"/>
      <c r="K35" s="59"/>
      <c r="L35" s="59"/>
      <c r="M35" s="59"/>
      <c r="N35" s="59"/>
      <c r="O35" s="59"/>
      <c r="P35" s="59"/>
      <c r="Q35" s="59"/>
      <c r="R35" s="59"/>
    </row>
    <row r="36" spans="1:18" ht="15.75" thickBot="1" x14ac:dyDescent="0.3">
      <c r="A36" s="11" t="s">
        <v>53</v>
      </c>
      <c r="B36" s="2" t="s">
        <v>62</v>
      </c>
      <c r="C36" s="113" t="s">
        <v>152</v>
      </c>
      <c r="D36" s="2">
        <v>0</v>
      </c>
      <c r="E36" s="2">
        <v>0</v>
      </c>
      <c r="F36" s="2">
        <v>0</v>
      </c>
      <c r="G36" s="46">
        <v>0</v>
      </c>
      <c r="H36" s="71">
        <v>0</v>
      </c>
      <c r="I36" s="15"/>
      <c r="J36" s="59"/>
      <c r="K36" s="59"/>
      <c r="L36" s="59"/>
      <c r="M36" s="59"/>
      <c r="N36" s="59"/>
      <c r="O36" s="59"/>
      <c r="P36" s="59"/>
      <c r="Q36" s="59"/>
      <c r="R36" s="59"/>
    </row>
    <row r="37" spans="1:18" ht="15.75" thickBot="1" x14ac:dyDescent="0.3">
      <c r="A37" s="11" t="s">
        <v>54</v>
      </c>
      <c r="B37" s="2" t="s">
        <v>63</v>
      </c>
      <c r="C37" s="113" t="s">
        <v>152</v>
      </c>
      <c r="D37" s="2">
        <v>0</v>
      </c>
      <c r="E37" s="2">
        <v>0</v>
      </c>
      <c r="F37" s="2">
        <v>0</v>
      </c>
      <c r="G37" s="46">
        <v>0</v>
      </c>
      <c r="H37" s="71">
        <v>0</v>
      </c>
      <c r="I37" s="15"/>
      <c r="J37" s="59"/>
      <c r="K37" s="59"/>
      <c r="L37" s="59"/>
      <c r="M37" s="59"/>
      <c r="N37" s="59"/>
      <c r="O37" s="59"/>
      <c r="P37" s="59"/>
      <c r="Q37" s="59"/>
      <c r="R37" s="59"/>
    </row>
    <row r="38" spans="1:18" s="52" customFormat="1" ht="30.75" thickBot="1" x14ac:dyDescent="0.3">
      <c r="A38" s="53" t="s">
        <v>55</v>
      </c>
      <c r="B38" s="51" t="s">
        <v>75</v>
      </c>
      <c r="C38" s="68" t="s">
        <v>152</v>
      </c>
      <c r="D38" s="83">
        <f>ROUND((SUM(D15+D31)*2.018%+1713.89),2)</f>
        <v>4958.26</v>
      </c>
      <c r="E38" s="98">
        <f>ROUND((SUM(E15+E31)*2.018%+11.72),2)</f>
        <v>33.46</v>
      </c>
      <c r="F38" s="99">
        <f>ROUND((SUM(F15+F31)*2.018%+11.72),2)</f>
        <v>33.44</v>
      </c>
      <c r="G38" s="83">
        <f>ROUND((SUM(G15+G31)*2.018%),2)</f>
        <v>21.72</v>
      </c>
      <c r="H38" s="83">
        <f>ROUND((SUM(H15+H31)*2.018%),2)</f>
        <v>21.74</v>
      </c>
      <c r="I38" s="64"/>
      <c r="J38" s="58"/>
      <c r="K38" s="58"/>
      <c r="L38" s="58"/>
      <c r="M38" s="58"/>
      <c r="N38" s="58"/>
      <c r="O38" s="61"/>
      <c r="P38" s="61"/>
      <c r="Q38" s="61"/>
      <c r="R38" s="61"/>
    </row>
    <row r="39" spans="1:18" ht="15.75" thickBot="1" x14ac:dyDescent="0.3">
      <c r="A39" s="11" t="s">
        <v>76</v>
      </c>
      <c r="B39" s="2" t="s">
        <v>67</v>
      </c>
      <c r="C39" s="113" t="s">
        <v>152</v>
      </c>
      <c r="D39" s="84">
        <f>ROUND((D38*0.18),2)</f>
        <v>892.49</v>
      </c>
      <c r="E39" s="84">
        <f t="shared" ref="E39:H39" si="6">ROUND((E38*0.18),2)</f>
        <v>6.02</v>
      </c>
      <c r="F39" s="84">
        <f t="shared" si="6"/>
        <v>6.02</v>
      </c>
      <c r="G39" s="84">
        <f t="shared" si="6"/>
        <v>3.91</v>
      </c>
      <c r="H39" s="84">
        <f t="shared" si="6"/>
        <v>3.91</v>
      </c>
      <c r="I39" s="40"/>
      <c r="J39" s="59"/>
      <c r="K39" s="59"/>
      <c r="L39" s="59"/>
      <c r="M39" s="59"/>
      <c r="N39" s="59"/>
      <c r="O39" s="59"/>
      <c r="P39" s="59"/>
      <c r="Q39" s="59"/>
      <c r="R39" s="59"/>
    </row>
    <row r="40" spans="1:18" ht="30.75" thickBot="1" x14ac:dyDescent="0.3">
      <c r="A40" s="11" t="s">
        <v>77</v>
      </c>
      <c r="B40" s="2" t="s">
        <v>68</v>
      </c>
      <c r="C40" s="113" t="s">
        <v>152</v>
      </c>
      <c r="D40" s="84">
        <v>1405.39</v>
      </c>
      <c r="E40" s="84">
        <v>9.61</v>
      </c>
      <c r="F40" s="88">
        <v>9.61</v>
      </c>
      <c r="G40" s="85">
        <v>0</v>
      </c>
      <c r="H40" s="87">
        <v>0</v>
      </c>
      <c r="I40" s="40"/>
      <c r="J40" s="59"/>
      <c r="K40" s="59"/>
      <c r="L40" s="59"/>
      <c r="M40" s="59"/>
      <c r="N40" s="59"/>
      <c r="O40" s="59"/>
      <c r="P40" s="59"/>
      <c r="Q40" s="59"/>
      <c r="R40" s="59"/>
    </row>
    <row r="41" spans="1:18" ht="15.75" thickBot="1" x14ac:dyDescent="0.3">
      <c r="A41" s="11" t="s">
        <v>78</v>
      </c>
      <c r="B41" s="2" t="s">
        <v>69</v>
      </c>
      <c r="C41" s="113" t="s">
        <v>152</v>
      </c>
      <c r="D41" s="84">
        <f>D38-D39-D40</f>
        <v>2660.38</v>
      </c>
      <c r="E41" s="84">
        <f>E38-E39-E40</f>
        <v>17.830000000000002</v>
      </c>
      <c r="F41" s="84">
        <f>F38-F39-F40</f>
        <v>17.809999999999999</v>
      </c>
      <c r="G41" s="84">
        <f>G38-G39-G40</f>
        <v>17.809999999999999</v>
      </c>
      <c r="H41" s="86">
        <f>H38-H39-H40</f>
        <v>17.829999999999998</v>
      </c>
      <c r="I41" s="15"/>
      <c r="J41" s="59"/>
      <c r="K41" s="59"/>
      <c r="L41" s="59"/>
      <c r="M41" s="59"/>
      <c r="N41" s="59"/>
      <c r="O41" s="60"/>
      <c r="P41" s="60"/>
      <c r="Q41" s="60"/>
      <c r="R41" s="60"/>
    </row>
    <row r="42" spans="1:18" s="52" customFormat="1" ht="30.75" thickBot="1" x14ac:dyDescent="0.3">
      <c r="A42" s="55" t="s">
        <v>56</v>
      </c>
      <c r="B42" s="56" t="s">
        <v>79</v>
      </c>
      <c r="C42" s="68" t="s">
        <v>152</v>
      </c>
      <c r="D42" s="133">
        <f>ROUND((D15+D31+D36+D37+D38),2)</f>
        <v>165730.04</v>
      </c>
      <c r="E42" s="133">
        <f t="shared" ref="E42:H42" si="7">ROUND((E15+E31+E36+E37+E38),2)</f>
        <v>1110.8900000000001</v>
      </c>
      <c r="F42" s="133">
        <f t="shared" si="7"/>
        <v>1109.73</v>
      </c>
      <c r="G42" s="133">
        <f t="shared" si="7"/>
        <v>1097.93</v>
      </c>
      <c r="H42" s="133">
        <f t="shared" si="7"/>
        <v>1098.81</v>
      </c>
      <c r="I42" s="61"/>
      <c r="J42" s="61"/>
      <c r="K42" s="61"/>
      <c r="L42" s="61"/>
      <c r="M42" s="61"/>
      <c r="N42" s="61"/>
      <c r="O42" s="61"/>
      <c r="P42" s="61"/>
      <c r="Q42" s="61"/>
      <c r="R42" s="61"/>
    </row>
    <row r="43" spans="1:18" ht="30.75" thickBot="1" x14ac:dyDescent="0.3">
      <c r="A43" s="13">
        <v>7</v>
      </c>
      <c r="B43" s="8" t="s">
        <v>80</v>
      </c>
      <c r="C43" s="138" t="s">
        <v>154</v>
      </c>
      <c r="D43" s="18">
        <f>E43+F43+G43+H43</f>
        <v>149240.98000000001</v>
      </c>
      <c r="E43" s="139">
        <v>125538.58</v>
      </c>
      <c r="F43" s="140">
        <v>20690.830000000002</v>
      </c>
      <c r="G43" s="141">
        <v>2997.07</v>
      </c>
      <c r="H43" s="18">
        <v>14.5</v>
      </c>
      <c r="I43" s="23"/>
      <c r="J43" s="65"/>
      <c r="K43" s="60"/>
      <c r="L43" s="60"/>
      <c r="M43" s="60"/>
      <c r="N43" s="60"/>
      <c r="O43" s="60"/>
      <c r="P43" s="60"/>
      <c r="Q43" s="60"/>
      <c r="R43" s="60"/>
    </row>
    <row r="44" spans="1:18" s="52" customFormat="1" ht="75.75" thickBot="1" x14ac:dyDescent="0.3">
      <c r="A44" s="134" t="s">
        <v>61</v>
      </c>
      <c r="B44" s="135" t="s">
        <v>81</v>
      </c>
      <c r="C44" s="136" t="s">
        <v>152</v>
      </c>
      <c r="D44" s="137">
        <f>ROUND(SUM(D45:D47),2)</f>
        <v>5831.65</v>
      </c>
      <c r="E44" s="137">
        <f>ROUND((E45+E46+E47),2)</f>
        <v>773.47</v>
      </c>
      <c r="F44" s="137">
        <f t="shared" ref="F44:H44" si="8">ROUND((F45+F46+F47),2)</f>
        <v>773.47</v>
      </c>
      <c r="G44" s="137">
        <f t="shared" si="8"/>
        <v>773.47</v>
      </c>
      <c r="H44" s="137">
        <f t="shared" si="8"/>
        <v>452.88</v>
      </c>
      <c r="I44" s="61"/>
      <c r="J44" s="58"/>
      <c r="K44" s="58"/>
      <c r="L44" s="58"/>
      <c r="M44" s="58"/>
      <c r="N44" s="58"/>
      <c r="O44" s="59"/>
      <c r="P44" s="59"/>
      <c r="Q44" s="59"/>
      <c r="R44" s="59"/>
    </row>
    <row r="45" spans="1:18" ht="30.75" thickBot="1" x14ac:dyDescent="0.3">
      <c r="A45" s="16" t="s">
        <v>85</v>
      </c>
      <c r="B45" s="17" t="s">
        <v>82</v>
      </c>
      <c r="C45" s="113" t="s">
        <v>152</v>
      </c>
      <c r="D45" s="14">
        <f>SUM(E45:H45)</f>
        <v>0</v>
      </c>
      <c r="E45" s="10">
        <v>0</v>
      </c>
      <c r="F45" s="3">
        <v>0</v>
      </c>
      <c r="G45" s="45">
        <v>0</v>
      </c>
      <c r="H45" s="73">
        <v>0</v>
      </c>
      <c r="I45" s="66"/>
      <c r="J45" s="66"/>
      <c r="K45" s="66"/>
      <c r="L45" s="66"/>
      <c r="M45" s="66"/>
      <c r="N45" s="42"/>
      <c r="O45" s="66"/>
      <c r="P45" s="66"/>
      <c r="Q45" s="66"/>
      <c r="R45" s="66"/>
    </row>
    <row r="46" spans="1:18" ht="30.75" thickBot="1" x14ac:dyDescent="0.3">
      <c r="A46" s="16" t="s">
        <v>86</v>
      </c>
      <c r="B46" s="17" t="s">
        <v>83</v>
      </c>
      <c r="C46" s="113" t="s">
        <v>152</v>
      </c>
      <c r="D46" s="18">
        <f>'Теплова енергія'!D21</f>
        <v>5831.65</v>
      </c>
      <c r="E46" s="26">
        <v>773.47</v>
      </c>
      <c r="F46" s="26">
        <v>773.47</v>
      </c>
      <c r="G46" s="48">
        <v>773.47</v>
      </c>
      <c r="H46" s="72">
        <v>452.88</v>
      </c>
      <c r="I46" s="23"/>
      <c r="J46" s="60"/>
      <c r="K46" s="60"/>
      <c r="L46" s="60"/>
      <c r="M46" s="60"/>
      <c r="N46" s="60"/>
      <c r="O46" s="60"/>
      <c r="P46" s="60"/>
      <c r="Q46" s="60"/>
      <c r="R46" s="60"/>
    </row>
    <row r="47" spans="1:18" ht="45.75" thickBot="1" x14ac:dyDescent="0.3">
      <c r="A47" s="16" t="s">
        <v>87</v>
      </c>
      <c r="B47" s="17" t="s">
        <v>84</v>
      </c>
      <c r="C47" s="113" t="s">
        <v>152</v>
      </c>
      <c r="D47" s="14">
        <f t="shared" ref="D47:D53" si="9">SUM(E47:H47)</f>
        <v>0</v>
      </c>
      <c r="E47" s="10">
        <v>0</v>
      </c>
      <c r="F47" s="3">
        <v>0</v>
      </c>
      <c r="G47" s="45">
        <v>0</v>
      </c>
      <c r="H47" s="73">
        <v>0</v>
      </c>
      <c r="I47" s="42"/>
      <c r="J47" s="60"/>
      <c r="K47" s="60"/>
      <c r="L47" s="60"/>
      <c r="M47" s="60"/>
      <c r="N47" s="60"/>
      <c r="O47" s="60"/>
      <c r="P47" s="60"/>
      <c r="Q47" s="60"/>
      <c r="R47" s="60"/>
    </row>
    <row r="48" spans="1:18" ht="75.75" thickBot="1" x14ac:dyDescent="0.3">
      <c r="A48" s="16" t="s">
        <v>88</v>
      </c>
      <c r="B48" s="17" t="s">
        <v>89</v>
      </c>
      <c r="C48" s="113" t="s">
        <v>154</v>
      </c>
      <c r="D48" s="32">
        <f t="shared" si="9"/>
        <v>7540</v>
      </c>
      <c r="E48" s="34">
        <f>SUM(E49:E51)</f>
        <v>6533</v>
      </c>
      <c r="F48" s="34">
        <f t="shared" ref="F48:H48" si="10">SUM(F49:F51)</f>
        <v>838</v>
      </c>
      <c r="G48" s="49">
        <f t="shared" si="10"/>
        <v>168</v>
      </c>
      <c r="H48" s="74">
        <f t="shared" si="10"/>
        <v>1</v>
      </c>
      <c r="I48" s="33"/>
      <c r="J48" s="60"/>
      <c r="K48" s="60"/>
      <c r="L48" s="60"/>
      <c r="M48" s="60"/>
      <c r="N48" s="60"/>
      <c r="O48" s="60"/>
      <c r="P48" s="60"/>
      <c r="Q48" s="60"/>
      <c r="R48" s="60"/>
    </row>
    <row r="49" spans="1:18" ht="30.75" thickBot="1" x14ac:dyDescent="0.3">
      <c r="A49" s="16" t="s">
        <v>93</v>
      </c>
      <c r="B49" s="17" t="s">
        <v>90</v>
      </c>
      <c r="C49" s="113" t="s">
        <v>154</v>
      </c>
      <c r="D49" s="14">
        <f t="shared" si="9"/>
        <v>0</v>
      </c>
      <c r="E49" s="10">
        <v>0</v>
      </c>
      <c r="F49" s="3">
        <v>0</v>
      </c>
      <c r="G49" s="45">
        <v>0</v>
      </c>
      <c r="H49" s="73">
        <v>0</v>
      </c>
      <c r="I49" s="42"/>
      <c r="J49" s="60"/>
      <c r="K49" s="60"/>
      <c r="L49" s="60"/>
      <c r="M49" s="60"/>
      <c r="N49" s="60"/>
      <c r="O49" s="60"/>
      <c r="P49" s="60"/>
      <c r="Q49" s="60"/>
      <c r="R49" s="60"/>
    </row>
    <row r="50" spans="1:18" ht="30.75" thickBot="1" x14ac:dyDescent="0.3">
      <c r="A50" s="16" t="s">
        <v>94</v>
      </c>
      <c r="B50" s="17" t="s">
        <v>91</v>
      </c>
      <c r="C50" s="113" t="s">
        <v>154</v>
      </c>
      <c r="D50" s="18">
        <f t="shared" si="9"/>
        <v>7540</v>
      </c>
      <c r="E50" s="26">
        <v>6533</v>
      </c>
      <c r="F50" s="31">
        <v>838</v>
      </c>
      <c r="G50" s="44">
        <v>168</v>
      </c>
      <c r="H50" s="72">
        <v>1</v>
      </c>
      <c r="I50" s="43"/>
      <c r="J50" s="60"/>
      <c r="K50" s="60"/>
      <c r="L50" s="60"/>
      <c r="M50" s="60"/>
      <c r="N50" s="60"/>
      <c r="O50" s="60"/>
      <c r="P50" s="60"/>
      <c r="Q50" s="60"/>
      <c r="R50" s="60"/>
    </row>
    <row r="51" spans="1:18" ht="52.5" customHeight="1" thickBot="1" x14ac:dyDescent="0.3">
      <c r="A51" s="16" t="s">
        <v>95</v>
      </c>
      <c r="B51" s="17" t="s">
        <v>92</v>
      </c>
      <c r="C51" s="113" t="s">
        <v>154</v>
      </c>
      <c r="D51" s="14">
        <f t="shared" si="9"/>
        <v>0</v>
      </c>
      <c r="E51" s="10">
        <v>0</v>
      </c>
      <c r="F51" s="3">
        <v>0</v>
      </c>
      <c r="G51" s="45">
        <v>0</v>
      </c>
      <c r="H51" s="73">
        <v>0</v>
      </c>
      <c r="I51" s="42"/>
      <c r="J51" s="60"/>
      <c r="K51" s="60"/>
      <c r="L51" s="60"/>
      <c r="M51" s="60"/>
      <c r="N51" s="60"/>
      <c r="O51" s="60"/>
      <c r="P51" s="60"/>
      <c r="Q51" s="60"/>
      <c r="R51" s="60"/>
    </row>
    <row r="52" spans="1:18" ht="30.75" thickBot="1" x14ac:dyDescent="0.3">
      <c r="A52" s="16" t="s">
        <v>96</v>
      </c>
      <c r="B52" s="17" t="s">
        <v>100</v>
      </c>
      <c r="C52" s="113" t="s">
        <v>152</v>
      </c>
      <c r="D52" s="14">
        <f t="shared" si="9"/>
        <v>0</v>
      </c>
      <c r="E52" s="10">
        <v>0</v>
      </c>
      <c r="F52" s="3">
        <v>0</v>
      </c>
      <c r="G52" s="45">
        <v>0</v>
      </c>
      <c r="H52" s="73">
        <v>0</v>
      </c>
      <c r="I52" s="42"/>
      <c r="J52" s="60"/>
      <c r="K52" s="60"/>
      <c r="L52" s="60"/>
      <c r="M52" s="60"/>
      <c r="N52" s="60"/>
      <c r="O52" s="60"/>
      <c r="P52" s="60"/>
      <c r="Q52" s="60"/>
      <c r="R52" s="60"/>
    </row>
    <row r="53" spans="1:18" ht="15.75" thickBot="1" x14ac:dyDescent="0.3">
      <c r="A53" s="16" t="s">
        <v>97</v>
      </c>
      <c r="B53" s="17" t="s">
        <v>101</v>
      </c>
      <c r="C53" s="113" t="s">
        <v>152</v>
      </c>
      <c r="D53" s="14">
        <f t="shared" si="9"/>
        <v>0</v>
      </c>
      <c r="E53" s="10">
        <v>0</v>
      </c>
      <c r="F53" s="3">
        <v>0</v>
      </c>
      <c r="G53" s="45">
        <v>0</v>
      </c>
      <c r="H53" s="73">
        <v>0</v>
      </c>
      <c r="I53" s="42"/>
      <c r="J53" s="60"/>
      <c r="K53" s="60"/>
      <c r="L53" s="60"/>
      <c r="M53" s="60"/>
      <c r="N53" s="60"/>
      <c r="O53" s="60"/>
      <c r="P53" s="60"/>
      <c r="Q53" s="60"/>
      <c r="R53" s="60"/>
    </row>
    <row r="54" spans="1:18" ht="15.75" thickBot="1" x14ac:dyDescent="0.3">
      <c r="A54" s="144" t="s">
        <v>98</v>
      </c>
      <c r="B54" s="145" t="s">
        <v>64</v>
      </c>
      <c r="C54" s="113" t="s">
        <v>152</v>
      </c>
      <c r="D54" s="146">
        <f>'Теплова енергія'!D44*0.8166119</f>
        <v>0</v>
      </c>
      <c r="E54" s="147">
        <f>'Теплова енергія'!E44*0.8166119/E57*1000</f>
        <v>0</v>
      </c>
      <c r="F54" s="147">
        <f>'Теплова енергія'!F44*0.8166119/F57*1000</f>
        <v>0</v>
      </c>
      <c r="G54" s="147">
        <f>'Теплова енергія'!G44*0.8166119/G57*1000</f>
        <v>0</v>
      </c>
      <c r="H54" s="147">
        <f>'Теплова енергія'!H44*0.8166119/Виробництво!H57*1000</f>
        <v>0</v>
      </c>
      <c r="I54" s="42"/>
      <c r="J54" s="60"/>
      <c r="K54" s="60"/>
      <c r="L54" s="60"/>
      <c r="M54" s="60"/>
      <c r="N54" s="60"/>
      <c r="O54" s="60"/>
      <c r="P54" s="60"/>
      <c r="Q54" s="60"/>
      <c r="R54" s="60"/>
    </row>
    <row r="55" spans="1:18" ht="15.75" thickBot="1" x14ac:dyDescent="0.3">
      <c r="A55" s="16" t="s">
        <v>99</v>
      </c>
      <c r="B55" s="14" t="s">
        <v>65</v>
      </c>
      <c r="C55" s="114" t="s">
        <v>152</v>
      </c>
      <c r="D55" s="14">
        <f>SUM(E55:H55)</f>
        <v>0</v>
      </c>
      <c r="E55" s="153">
        <v>0</v>
      </c>
      <c r="F55" s="153">
        <v>0</v>
      </c>
      <c r="G55" s="153">
        <v>0</v>
      </c>
      <c r="H55" s="153">
        <v>0</v>
      </c>
      <c r="I55" s="42"/>
      <c r="J55" s="60"/>
      <c r="K55" s="60"/>
      <c r="L55" s="60"/>
      <c r="M55" s="60"/>
      <c r="N55" s="60"/>
      <c r="O55" s="60"/>
      <c r="P55" s="60"/>
      <c r="Q55" s="60"/>
      <c r="R55" s="60"/>
    </row>
    <row r="56" spans="1:18" ht="30.75" thickBot="1" x14ac:dyDescent="0.3">
      <c r="A56" s="16" t="s">
        <v>170</v>
      </c>
      <c r="B56" s="14" t="s">
        <v>171</v>
      </c>
      <c r="C56" s="154" t="s">
        <v>172</v>
      </c>
      <c r="D56" s="14"/>
      <c r="E56" s="153"/>
      <c r="F56" s="153">
        <v>1096.6400000000001</v>
      </c>
      <c r="G56" s="153">
        <v>1080.71</v>
      </c>
      <c r="H56" s="153">
        <v>1057.1400000000001</v>
      </c>
      <c r="I56" s="42"/>
      <c r="J56" s="60"/>
      <c r="K56" s="60"/>
      <c r="L56" s="60"/>
      <c r="M56" s="60"/>
      <c r="N56" s="60"/>
      <c r="O56" s="60"/>
      <c r="P56" s="60"/>
      <c r="Q56" s="60"/>
      <c r="R56" s="60"/>
    </row>
    <row r="57" spans="1:18" ht="35.25" customHeight="1" thickBot="1" x14ac:dyDescent="0.3">
      <c r="A57" s="148">
        <v>15</v>
      </c>
      <c r="B57" s="149" t="s">
        <v>155</v>
      </c>
      <c r="C57" s="150" t="s">
        <v>154</v>
      </c>
      <c r="D57" s="151">
        <f>ROUND(SUM(E57:H57),2)</f>
        <v>156780.98000000001</v>
      </c>
      <c r="E57" s="152">
        <f>ROUND((E43+E48),2)</f>
        <v>132071.57999999999</v>
      </c>
      <c r="F57" s="152">
        <f t="shared" ref="F57:H57" si="11">ROUND((F43+F48),2)</f>
        <v>21528.83</v>
      </c>
      <c r="G57" s="152">
        <f t="shared" si="11"/>
        <v>3165.07</v>
      </c>
      <c r="H57" s="152">
        <f t="shared" si="11"/>
        <v>15.5</v>
      </c>
      <c r="I57" s="42"/>
      <c r="J57" s="42"/>
      <c r="K57" s="42"/>
      <c r="L57" s="42"/>
      <c r="M57" s="42"/>
      <c r="N57" s="42"/>
      <c r="O57" s="60"/>
      <c r="P57" s="60"/>
      <c r="Q57" s="60"/>
      <c r="R57" s="60"/>
    </row>
    <row r="58" spans="1:18" ht="15.75" customHeight="1" x14ac:dyDescent="0.25">
      <c r="A58" s="1"/>
      <c r="B58" s="1"/>
      <c r="C58" s="110"/>
      <c r="D58" s="1"/>
      <c r="I58" s="60"/>
      <c r="J58" s="60"/>
      <c r="K58" s="60"/>
      <c r="L58" s="60"/>
      <c r="M58" s="60"/>
      <c r="N58" s="60"/>
      <c r="O58" s="60"/>
      <c r="P58" s="60"/>
      <c r="Q58" s="60"/>
      <c r="R58" s="60"/>
    </row>
    <row r="59" spans="1:18" ht="15.75" customHeight="1" x14ac:dyDescent="0.25">
      <c r="A59" s="1"/>
      <c r="B59" s="106" t="s">
        <v>126</v>
      </c>
      <c r="C59" s="106"/>
      <c r="G59" t="s">
        <v>127</v>
      </c>
      <c r="I59" s="60"/>
      <c r="J59" s="60"/>
      <c r="K59" s="60"/>
      <c r="L59" s="60"/>
      <c r="M59" s="60"/>
      <c r="N59" s="60"/>
      <c r="O59" s="60"/>
      <c r="P59" s="60"/>
      <c r="Q59" s="60"/>
      <c r="R59" s="60"/>
    </row>
    <row r="60" spans="1:18" x14ac:dyDescent="0.25">
      <c r="B60" s="104"/>
      <c r="C60" s="110"/>
      <c r="I60" s="60"/>
      <c r="J60" s="60"/>
      <c r="K60" s="60"/>
      <c r="L60" s="60"/>
      <c r="M60" s="60"/>
      <c r="N60" s="60"/>
      <c r="O60" s="60"/>
      <c r="P60" s="60"/>
      <c r="Q60" s="60"/>
      <c r="R60" s="60"/>
    </row>
    <row r="61" spans="1:18" ht="30" x14ac:dyDescent="0.25">
      <c r="A61" s="1"/>
      <c r="B61" s="104" t="s">
        <v>128</v>
      </c>
      <c r="C61" s="110"/>
      <c r="G61" t="s">
        <v>129</v>
      </c>
    </row>
    <row r="62" spans="1:18" x14ac:dyDescent="0.25">
      <c r="A62" s="1"/>
      <c r="B62" s="1"/>
      <c r="C62" s="110"/>
    </row>
    <row r="65" spans="2:9" x14ac:dyDescent="0.25">
      <c r="B65" s="109"/>
      <c r="C65" s="109"/>
      <c r="D65" s="109"/>
      <c r="E65" s="109"/>
      <c r="F65" s="109"/>
      <c r="G65" s="109"/>
      <c r="H65" s="109"/>
      <c r="I65" s="109"/>
    </row>
    <row r="66" spans="2:9" ht="15.75" customHeight="1" x14ac:dyDescent="0.25">
      <c r="B66" s="109"/>
      <c r="C66" s="109"/>
      <c r="D66" s="92">
        <f>D13/1.2</f>
        <v>176519.95</v>
      </c>
      <c r="E66" s="92"/>
      <c r="F66" s="92"/>
      <c r="G66" s="92"/>
      <c r="H66" s="92"/>
      <c r="I66" s="109"/>
    </row>
    <row r="67" spans="2:9" ht="10.5" customHeight="1" x14ac:dyDescent="0.25">
      <c r="B67" s="109"/>
      <c r="C67" s="109"/>
      <c r="D67" s="92">
        <f>E67+F67+G67+H67</f>
        <v>179138.24763432</v>
      </c>
      <c r="E67" s="92">
        <f>E13*'Теплова енергія'!E52/1000</f>
        <v>150875.2813728</v>
      </c>
      <c r="F67" s="92">
        <f>F13*'Теплова енергія'!F52/1000</f>
        <v>24719.471904000002</v>
      </c>
      <c r="G67" s="92">
        <f>G13*'Теплова енергія'!G52/1000</f>
        <v>3526.7112028800002</v>
      </c>
      <c r="H67" s="92">
        <f>H13*'Теплова енергія'!H52/1000</f>
        <v>16.783154639999999</v>
      </c>
      <c r="I67" s="109"/>
    </row>
    <row r="68" spans="2:9" x14ac:dyDescent="0.25">
      <c r="B68" s="109"/>
      <c r="C68" s="109"/>
      <c r="D68" s="92"/>
      <c r="E68" s="92"/>
      <c r="F68" s="92"/>
      <c r="G68" s="92"/>
      <c r="H68" s="92"/>
      <c r="I68" s="109"/>
    </row>
    <row r="69" spans="2:9" x14ac:dyDescent="0.25">
      <c r="B69" s="109"/>
      <c r="C69" s="109"/>
      <c r="D69" s="92"/>
      <c r="E69" s="92"/>
      <c r="F69" s="92"/>
      <c r="G69" s="92"/>
      <c r="H69" s="92"/>
      <c r="I69" s="109"/>
    </row>
    <row r="70" spans="2:9" x14ac:dyDescent="0.25">
      <c r="B70" s="109"/>
      <c r="C70" s="109"/>
      <c r="D70" s="92">
        <f>(D13/1.2)/D57*'Теплова енергія'!D52</f>
        <v>153598.01286921414</v>
      </c>
      <c r="E70" s="92">
        <f>D70/'Теплова енергія'!D52*'Теплова енергія'!E52/'Теплова енергія'!E52*1000</f>
        <v>1125.9015602530358</v>
      </c>
      <c r="F70" s="92">
        <f>D70/'Теплова енергія'!D52*'Теплова енергія'!F52/'Теплова енергія'!F52*1000</f>
        <v>1125.9015602530358</v>
      </c>
      <c r="G70" s="92">
        <f>D70/'Теплова енергія'!D52*'Теплова енергія'!G52/'Теплова енергія'!G52*1000</f>
        <v>1125.9015602530358</v>
      </c>
      <c r="H70" s="92">
        <f>D70/'Теплова енергія'!D52*'Теплова енергія'!H52/'Теплова енергія'!H52*1000</f>
        <v>1125.9015602530358</v>
      </c>
      <c r="I70" s="109"/>
    </row>
    <row r="71" spans="2:9" x14ac:dyDescent="0.25">
      <c r="B71" s="109"/>
      <c r="C71" s="109"/>
      <c r="D71" s="92"/>
      <c r="E71" s="92"/>
      <c r="F71" s="92"/>
      <c r="G71" s="92"/>
      <c r="H71" s="92"/>
      <c r="I71" s="109"/>
    </row>
    <row r="72" spans="2:9" x14ac:dyDescent="0.25">
      <c r="B72" s="109"/>
      <c r="C72" s="109"/>
      <c r="D72" s="92">
        <f>D66-D70</f>
        <v>22921.937130785867</v>
      </c>
      <c r="E72" s="92"/>
      <c r="F72" s="92"/>
      <c r="G72" s="92"/>
      <c r="H72" s="92"/>
      <c r="I72" s="109"/>
    </row>
    <row r="73" spans="2:9" x14ac:dyDescent="0.25">
      <c r="B73" s="109"/>
      <c r="C73" s="109"/>
      <c r="D73" s="109"/>
      <c r="E73" s="109"/>
      <c r="F73" s="109"/>
      <c r="G73" s="109"/>
      <c r="H73" s="109"/>
      <c r="I73" s="109"/>
    </row>
    <row r="74" spans="2:9" x14ac:dyDescent="0.25">
      <c r="B74" s="109"/>
      <c r="C74" s="109"/>
      <c r="D74" s="109"/>
      <c r="E74" s="109"/>
      <c r="F74" s="109"/>
      <c r="G74" s="109"/>
      <c r="H74" s="109"/>
      <c r="I74" s="109"/>
    </row>
    <row r="75" spans="2:9" x14ac:dyDescent="0.25">
      <c r="B75" s="109"/>
      <c r="C75" s="109"/>
      <c r="D75" s="109"/>
      <c r="E75" s="109"/>
      <c r="F75" s="109"/>
      <c r="G75" s="109"/>
      <c r="H75" s="109"/>
      <c r="I75" s="109"/>
    </row>
    <row r="76" spans="2:9" x14ac:dyDescent="0.25">
      <c r="B76" s="109"/>
      <c r="C76" s="109"/>
      <c r="D76" s="109"/>
      <c r="E76" s="109"/>
      <c r="F76" s="109"/>
      <c r="G76" s="109"/>
      <c r="H76" s="109"/>
      <c r="I76" s="109"/>
    </row>
  </sheetData>
  <mergeCells count="8">
    <mergeCell ref="B14:H14"/>
    <mergeCell ref="A5:H5"/>
    <mergeCell ref="A6:H6"/>
    <mergeCell ref="A10:A11"/>
    <mergeCell ref="B10:B11"/>
    <mergeCell ref="D10:D11"/>
    <mergeCell ref="E10:H10"/>
    <mergeCell ref="C10:C11"/>
  </mergeCells>
  <pageMargins left="1.1023622047244095" right="0.51181102362204722" top="0.35433070866141736" bottom="0.35433070866141736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workbookViewId="0">
      <selection activeCell="A5" sqref="A5:H5"/>
    </sheetView>
  </sheetViews>
  <sheetFormatPr defaultRowHeight="15" x14ac:dyDescent="0.25"/>
  <cols>
    <col min="1" max="1" width="6.85546875" customWidth="1"/>
    <col min="2" max="2" width="41.5703125" customWidth="1"/>
    <col min="3" max="3" width="11.85546875" customWidth="1"/>
    <col min="4" max="4" width="11.42578125" hidden="1" customWidth="1"/>
    <col min="5" max="5" width="10.85546875" hidden="1" customWidth="1"/>
    <col min="6" max="6" width="12.28515625" customWidth="1"/>
    <col min="7" max="8" width="11.28515625" customWidth="1"/>
  </cols>
  <sheetData>
    <row r="1" spans="1:9" x14ac:dyDescent="0.25">
      <c r="G1" s="105" t="s">
        <v>132</v>
      </c>
      <c r="H1" s="105"/>
      <c r="I1" s="105"/>
    </row>
    <row r="2" spans="1:9" x14ac:dyDescent="0.25">
      <c r="G2" s="105" t="s">
        <v>124</v>
      </c>
      <c r="H2" s="105"/>
      <c r="I2" s="105"/>
    </row>
    <row r="3" spans="1:9" x14ac:dyDescent="0.25">
      <c r="G3" s="105" t="s">
        <v>125</v>
      </c>
      <c r="H3" s="105"/>
      <c r="I3" s="105"/>
    </row>
    <row r="4" spans="1:9" x14ac:dyDescent="0.25">
      <c r="G4" s="105" t="s">
        <v>175</v>
      </c>
      <c r="H4" s="105"/>
      <c r="I4" s="105"/>
    </row>
    <row r="5" spans="1:9" ht="33" customHeight="1" x14ac:dyDescent="0.25">
      <c r="A5" s="159" t="s">
        <v>102</v>
      </c>
      <c r="B5" s="159"/>
      <c r="C5" s="159"/>
      <c r="D5" s="159"/>
      <c r="E5" s="159"/>
      <c r="F5" s="159"/>
      <c r="G5" s="159"/>
      <c r="H5" s="159"/>
    </row>
    <row r="6" spans="1:9" ht="14.25" customHeight="1" x14ac:dyDescent="0.25">
      <c r="A6" s="159" t="s">
        <v>1</v>
      </c>
      <c r="B6" s="159"/>
      <c r="C6" s="159"/>
      <c r="D6" s="159"/>
      <c r="E6" s="159"/>
      <c r="F6" s="159"/>
      <c r="G6" s="159"/>
      <c r="H6" s="159"/>
    </row>
    <row r="7" spans="1:9" ht="7.5" hidden="1" customHeight="1" x14ac:dyDescent="0.25"/>
    <row r="8" spans="1:9" ht="25.9" customHeight="1" thickBot="1" x14ac:dyDescent="0.3"/>
    <row r="9" spans="1:9" ht="6" hidden="1" customHeight="1" thickBot="1" x14ac:dyDescent="0.3"/>
    <row r="10" spans="1:9" ht="15.75" customHeight="1" thickBot="1" x14ac:dyDescent="0.3">
      <c r="A10" s="160" t="s">
        <v>0</v>
      </c>
      <c r="B10" s="162" t="s">
        <v>8</v>
      </c>
      <c r="C10" s="162" t="s">
        <v>151</v>
      </c>
      <c r="D10" s="162" t="s">
        <v>7</v>
      </c>
      <c r="E10" s="165" t="s">
        <v>153</v>
      </c>
      <c r="F10" s="165"/>
      <c r="G10" s="165"/>
      <c r="H10" s="166"/>
    </row>
    <row r="11" spans="1:9" ht="60.75" customHeight="1" thickBot="1" x14ac:dyDescent="0.3">
      <c r="A11" s="161"/>
      <c r="B11" s="163"/>
      <c r="C11" s="163"/>
      <c r="D11" s="163"/>
      <c r="E11" s="4" t="s">
        <v>3</v>
      </c>
      <c r="F11" s="4" t="s">
        <v>4</v>
      </c>
      <c r="G11" s="7" t="s">
        <v>5</v>
      </c>
      <c r="H11" s="8" t="s">
        <v>6</v>
      </c>
    </row>
    <row r="12" spans="1:9" ht="15.75" thickBot="1" x14ac:dyDescent="0.3">
      <c r="A12" s="4">
        <v>1</v>
      </c>
      <c r="B12" s="4">
        <v>2</v>
      </c>
      <c r="C12" s="4">
        <v>3</v>
      </c>
      <c r="D12" s="4">
        <v>3</v>
      </c>
      <c r="E12" s="4">
        <v>4</v>
      </c>
      <c r="F12" s="4">
        <v>4</v>
      </c>
      <c r="G12" s="4">
        <v>5</v>
      </c>
      <c r="H12" s="6">
        <v>6</v>
      </c>
    </row>
    <row r="13" spans="1:9" ht="51.75" customHeight="1" thickBot="1" x14ac:dyDescent="0.3">
      <c r="A13" s="9" t="s">
        <v>9</v>
      </c>
      <c r="B13" s="9" t="s">
        <v>121</v>
      </c>
      <c r="C13" s="9" t="s">
        <v>152</v>
      </c>
      <c r="D13" s="21">
        <f>ROUND((D36+D37+D38+D39+D40+D41+D42),2)*1.2</f>
        <v>65489.135999999999</v>
      </c>
      <c r="E13" s="21">
        <f>ROUND((E36+E37+E38+E39+E40+E41+E42),2)*1.2</f>
        <v>486.84</v>
      </c>
      <c r="F13" s="21">
        <f>ROUND((F36+F37+F38+F39+F40+F41+F42),2)*1.2</f>
        <v>443.87999999999994</v>
      </c>
      <c r="G13" s="21">
        <f>ROUND((G36+G37+G38+G39+G40+G41+G42),2)*1.2</f>
        <v>442.27199999999999</v>
      </c>
      <c r="H13" s="21">
        <f>ROUND((H36+H37+H38+H39+H40+H41+H42),2)*1.2</f>
        <v>486.32399999999996</v>
      </c>
    </row>
    <row r="14" spans="1:9" ht="15.75" thickBot="1" x14ac:dyDescent="0.3">
      <c r="A14" s="9" t="s">
        <v>10</v>
      </c>
      <c r="B14" s="156" t="s">
        <v>166</v>
      </c>
      <c r="C14" s="157"/>
      <c r="D14" s="157"/>
      <c r="E14" s="157"/>
      <c r="F14" s="157"/>
      <c r="G14" s="157"/>
      <c r="H14" s="158"/>
    </row>
    <row r="15" spans="1:9" ht="24.75" customHeight="1" thickBot="1" x14ac:dyDescent="0.3">
      <c r="A15" s="4">
        <v>1</v>
      </c>
      <c r="B15" s="2" t="s">
        <v>11</v>
      </c>
      <c r="C15" s="4" t="s">
        <v>152</v>
      </c>
      <c r="D15" s="20">
        <f>ROUND((D16+D20+D21+D25),2)</f>
        <v>30058.16</v>
      </c>
      <c r="E15" s="20">
        <f>ROUND((E16+E20+E21+E25),2)</f>
        <v>220.32</v>
      </c>
      <c r="F15" s="20">
        <f t="shared" ref="F15:H15" si="0">ROUND((F16+F20+F21+F25),2)</f>
        <v>220.32</v>
      </c>
      <c r="G15" s="20">
        <f t="shared" si="0"/>
        <v>220.32</v>
      </c>
      <c r="H15" s="20">
        <f t="shared" si="0"/>
        <v>220.32</v>
      </c>
    </row>
    <row r="16" spans="1:9" ht="15.75" thickBot="1" x14ac:dyDescent="0.3">
      <c r="A16" s="11" t="s">
        <v>12</v>
      </c>
      <c r="B16" s="2" t="s">
        <v>34</v>
      </c>
      <c r="C16" s="4" t="s">
        <v>152</v>
      </c>
      <c r="D16" s="2">
        <f>ROUND(SUM(D17:D19),2)</f>
        <v>4833.22</v>
      </c>
      <c r="E16" s="20">
        <f>ROUND(SUM(E17:E19),2)</f>
        <v>35.43</v>
      </c>
      <c r="F16" s="20">
        <f t="shared" ref="F16:H16" si="1">ROUND(SUM(F17:F19),2)</f>
        <v>35.43</v>
      </c>
      <c r="G16" s="20">
        <f t="shared" si="1"/>
        <v>35.43</v>
      </c>
      <c r="H16" s="20">
        <f t="shared" si="1"/>
        <v>35.43</v>
      </c>
    </row>
    <row r="17" spans="1:8" ht="30.75" thickBot="1" x14ac:dyDescent="0.3">
      <c r="A17" s="11" t="s">
        <v>13</v>
      </c>
      <c r="B17" s="2" t="s">
        <v>39</v>
      </c>
      <c r="C17" s="4" t="s">
        <v>152</v>
      </c>
      <c r="D17" s="2">
        <v>4376.25</v>
      </c>
      <c r="E17" s="19">
        <f>ROUND((D17/D47*E47/E47*1000),2)</f>
        <v>32.08</v>
      </c>
      <c r="F17" s="19">
        <f>ROUND((D17/D47*F47/F47*1000),2)</f>
        <v>32.08</v>
      </c>
      <c r="G17" s="19">
        <f>ROUND((D17/D47*G47/G47*1000),2)</f>
        <v>32.08</v>
      </c>
      <c r="H17" s="19">
        <f>ROUND((D17/D47*H47/H47*1000),2)</f>
        <v>32.08</v>
      </c>
    </row>
    <row r="18" spans="1:8" ht="31.5" customHeight="1" thickBot="1" x14ac:dyDescent="0.3">
      <c r="A18" s="11" t="s">
        <v>14</v>
      </c>
      <c r="B18" s="2" t="s">
        <v>40</v>
      </c>
      <c r="C18" s="4" t="s">
        <v>152</v>
      </c>
      <c r="D18" s="20">
        <v>456.97</v>
      </c>
      <c r="E18" s="19">
        <f>ROUND((D18/D47*E47/E47*1000),2)</f>
        <v>3.35</v>
      </c>
      <c r="F18" s="19">
        <f>ROUND((D18/D47*F47/F47*1000),2)</f>
        <v>3.35</v>
      </c>
      <c r="G18" s="19">
        <f>ROUND((D18/D47*G47/G47*1000),2)</f>
        <v>3.35</v>
      </c>
      <c r="H18" s="19">
        <f>ROUND((D18/D47*H47/H47*1000),2)</f>
        <v>3.35</v>
      </c>
    </row>
    <row r="19" spans="1:8" ht="30" customHeight="1" thickBot="1" x14ac:dyDescent="0.3">
      <c r="A19" s="11" t="s">
        <v>15</v>
      </c>
      <c r="B19" s="2" t="s">
        <v>41</v>
      </c>
      <c r="C19" s="4" t="s">
        <v>152</v>
      </c>
      <c r="D19" s="2">
        <v>0</v>
      </c>
      <c r="E19" s="19">
        <f>D19/D47*E47/E47*1000</f>
        <v>0</v>
      </c>
      <c r="F19" s="19">
        <f>D19/D47*F47/F47*1000</f>
        <v>0</v>
      </c>
      <c r="G19" s="19">
        <f>D19/D47*G47/G47*1000</f>
        <v>0</v>
      </c>
      <c r="H19" s="19">
        <f>D19/D47*H47/H47*1000</f>
        <v>0</v>
      </c>
    </row>
    <row r="20" spans="1:8" ht="15.75" thickBot="1" x14ac:dyDescent="0.3">
      <c r="A20" s="11" t="s">
        <v>20</v>
      </c>
      <c r="B20" s="2" t="s">
        <v>42</v>
      </c>
      <c r="C20" s="4" t="s">
        <v>152</v>
      </c>
      <c r="D20" s="2">
        <v>8400.19</v>
      </c>
      <c r="E20" s="19">
        <f>ROUND((D20/D47*E47/E47*1000),2)</f>
        <v>61.57</v>
      </c>
      <c r="F20" s="19">
        <f>ROUND((D20/D47*F47/F47*1000),2)</f>
        <v>61.57</v>
      </c>
      <c r="G20" s="19">
        <f>ROUND((D20/D47*G47/G47*1000),2)</f>
        <v>61.57</v>
      </c>
      <c r="H20" s="19">
        <f>ROUND((D20/D47*H47/H47*1000),2)</f>
        <v>61.57</v>
      </c>
    </row>
    <row r="21" spans="1:8" ht="15.75" thickBot="1" x14ac:dyDescent="0.3">
      <c r="A21" s="11" t="s">
        <v>21</v>
      </c>
      <c r="B21" s="2" t="s">
        <v>43</v>
      </c>
      <c r="C21" s="4" t="s">
        <v>152</v>
      </c>
      <c r="D21" s="2">
        <f>ROUND(SUM(D22:D24),2)</f>
        <v>16421.89</v>
      </c>
      <c r="E21" s="2">
        <f t="shared" ref="E21:H21" si="2">ROUND(SUM(E22:E24),2)</f>
        <v>120.38</v>
      </c>
      <c r="F21" s="2">
        <f t="shared" si="2"/>
        <v>120.38</v>
      </c>
      <c r="G21" s="2">
        <f t="shared" si="2"/>
        <v>120.38</v>
      </c>
      <c r="H21" s="2">
        <f t="shared" si="2"/>
        <v>120.38</v>
      </c>
    </row>
    <row r="22" spans="1:8" ht="15.75" thickBot="1" x14ac:dyDescent="0.3">
      <c r="A22" s="11" t="s">
        <v>22</v>
      </c>
      <c r="B22" s="2" t="s">
        <v>44</v>
      </c>
      <c r="C22" s="4" t="s">
        <v>152</v>
      </c>
      <c r="D22" s="2">
        <f>ROUND((D20*0.22),2)</f>
        <v>1848.04</v>
      </c>
      <c r="E22" s="2">
        <f>ROUND((E20*0.22),2)</f>
        <v>13.55</v>
      </c>
      <c r="F22" s="2">
        <f t="shared" ref="F22:H22" si="3">ROUND((F20*0.22),2)</f>
        <v>13.55</v>
      </c>
      <c r="G22" s="2">
        <f t="shared" si="3"/>
        <v>13.55</v>
      </c>
      <c r="H22" s="2">
        <f t="shared" si="3"/>
        <v>13.55</v>
      </c>
    </row>
    <row r="23" spans="1:8" ht="28.5" customHeight="1" thickBot="1" x14ac:dyDescent="0.3">
      <c r="A23" s="11" t="s">
        <v>23</v>
      </c>
      <c r="B23" s="2" t="s">
        <v>45</v>
      </c>
      <c r="C23" s="4" t="s">
        <v>152</v>
      </c>
      <c r="D23" s="2">
        <v>1366.62</v>
      </c>
      <c r="E23" s="19">
        <f>ROUND((D23/'Теплова енергія'!D52*'Теплова енергія'!E52/'Теплова енергія'!E52*1000),2)</f>
        <v>10.02</v>
      </c>
      <c r="F23" s="19">
        <f>ROUND((D23/'Теплова енергія'!D52*'Теплова енергія'!F52/'Теплова енергія'!F52*1000),2)</f>
        <v>10.02</v>
      </c>
      <c r="G23" s="19">
        <f>ROUND((D23/'Теплова енергія'!D52*'Теплова енергія'!G52/'Теплова енергія'!G52*1000),2)</f>
        <v>10.02</v>
      </c>
      <c r="H23" s="19">
        <f>ROUND((D23/'Теплова енергія'!D52*'Теплова енергія'!H52/'Теплова енергія'!H52*1000),2)</f>
        <v>10.02</v>
      </c>
    </row>
    <row r="24" spans="1:8" ht="15.75" thickBot="1" x14ac:dyDescent="0.3">
      <c r="A24" s="11" t="s">
        <v>24</v>
      </c>
      <c r="B24" s="31" t="s">
        <v>46</v>
      </c>
      <c r="C24" s="4" t="s">
        <v>152</v>
      </c>
      <c r="D24" s="31">
        <v>13207.23</v>
      </c>
      <c r="E24" s="77">
        <f>ROUND((D24/'Теплова енергія'!D52*'Теплова енергія'!E52/'Теплова енергія'!E52*1000),2)</f>
        <v>96.81</v>
      </c>
      <c r="F24" s="77">
        <f>ROUND((D24/'Теплова енергія'!D52*'Теплова енергія'!F52/'Теплова енергія'!F52*1000),2)</f>
        <v>96.81</v>
      </c>
      <c r="G24" s="77">
        <f>ROUND((D24/'Теплова енергія'!D52*'Теплова енергія'!G52/'Теплова енергія'!G52*1000),2)</f>
        <v>96.81</v>
      </c>
      <c r="H24" s="77">
        <f>ROUND((D24/'Теплова енергія'!D52*'Теплова енергія'!H52/'Теплова енергія'!H52*1000),2)</f>
        <v>96.81</v>
      </c>
    </row>
    <row r="25" spans="1:8" ht="15.75" thickBot="1" x14ac:dyDescent="0.3">
      <c r="A25" s="11" t="s">
        <v>25</v>
      </c>
      <c r="B25" s="2" t="s">
        <v>47</v>
      </c>
      <c r="C25" s="4" t="s">
        <v>152</v>
      </c>
      <c r="D25" s="75">
        <f>ROUND(SUM(D26:D29),2)</f>
        <v>402.86</v>
      </c>
      <c r="E25" s="75">
        <f t="shared" ref="E25:H25" si="4">ROUND(SUM(E26:E29),2)</f>
        <v>2.94</v>
      </c>
      <c r="F25" s="75">
        <f t="shared" si="4"/>
        <v>2.94</v>
      </c>
      <c r="G25" s="75">
        <f t="shared" si="4"/>
        <v>2.94</v>
      </c>
      <c r="H25" s="75">
        <f t="shared" si="4"/>
        <v>2.94</v>
      </c>
    </row>
    <row r="26" spans="1:8" ht="24.75" customHeight="1" thickBot="1" x14ac:dyDescent="0.3">
      <c r="A26" s="11" t="s">
        <v>26</v>
      </c>
      <c r="B26" s="2" t="s">
        <v>48</v>
      </c>
      <c r="C26" s="4" t="s">
        <v>152</v>
      </c>
      <c r="D26" s="31">
        <v>319.14</v>
      </c>
      <c r="E26" s="19">
        <f>ROUND((D26/'Теплова енергія'!D52*'Теплова енергія'!E52/'Теплова енергія'!E52*1000),2)</f>
        <v>2.34</v>
      </c>
      <c r="F26" s="19">
        <f>ROUND((D26/'Теплова енергія'!D52*'Теплова енергія'!F52/'Теплова енергія'!F52*1000),2)</f>
        <v>2.34</v>
      </c>
      <c r="G26" s="19">
        <f>ROUND((D26/'Теплова енергія'!D52*'Теплова енергія'!G52/'Теплова енергія'!G52*1000),2)</f>
        <v>2.34</v>
      </c>
      <c r="H26" s="19">
        <f>ROUND((D26/'Теплова енергія'!D52*'Теплова енергія'!H52/'Теплова енергія'!H52*1000),2)</f>
        <v>2.34</v>
      </c>
    </row>
    <row r="27" spans="1:8" ht="15.75" thickBot="1" x14ac:dyDescent="0.3">
      <c r="A27" s="11" t="s">
        <v>27</v>
      </c>
      <c r="B27" s="2" t="s">
        <v>44</v>
      </c>
      <c r="C27" s="4" t="s">
        <v>152</v>
      </c>
      <c r="D27" s="31">
        <f>ROUND((D26*0.22),2)</f>
        <v>70.209999999999994</v>
      </c>
      <c r="E27" s="19">
        <f>ROUND((D27/'Теплова енергія'!D52*'Теплова енергія'!E52/'Теплова енергія'!E52*1000),2)</f>
        <v>0.51</v>
      </c>
      <c r="F27" s="19">
        <f>ROUND((D27/'Теплова енергія'!D52*'Теплова енергія'!F52/'Теплова енергія'!F52*1000),2)</f>
        <v>0.51</v>
      </c>
      <c r="G27" s="19">
        <f>ROUND((D27/'Теплова енергія'!D52*'Теплова енергія'!G52/'Теплова енергія'!G52*1000),2)</f>
        <v>0.51</v>
      </c>
      <c r="H27" s="19">
        <f>ROUND((D27/'Теплова енергія'!D52*'Теплова енергія'!H52/'Теплова енергія'!H52*1000),2)</f>
        <v>0.51</v>
      </c>
    </row>
    <row r="28" spans="1:8" ht="15.75" thickBot="1" x14ac:dyDescent="0.3">
      <c r="A28" s="11" t="s">
        <v>28</v>
      </c>
      <c r="B28" s="2" t="s">
        <v>45</v>
      </c>
      <c r="C28" s="4" t="s">
        <v>152</v>
      </c>
      <c r="D28" s="31">
        <v>2.02</v>
      </c>
      <c r="E28" s="19">
        <f>ROUND((D28/'Теплова енергія'!D52*'Теплова енергія'!E52/'Теплова енергія'!E52*1000),2)</f>
        <v>0.01</v>
      </c>
      <c r="F28" s="19">
        <f>ROUND((D28/'Теплова енергія'!D52*'Теплова енергія'!F52/'Теплова енергія'!F52*1000),2)</f>
        <v>0.01</v>
      </c>
      <c r="G28" s="19">
        <f>ROUND((D28/'Теплова енергія'!D52*'Теплова енергія'!G52/'Теплова енергія'!G52*1000),2)</f>
        <v>0.01</v>
      </c>
      <c r="H28" s="19">
        <f>ROUND((D28/'Теплова енергія'!D52*'Теплова енергія'!H52/'Теплова енергія'!H52*1000),2)</f>
        <v>0.01</v>
      </c>
    </row>
    <row r="29" spans="1:8" ht="22.5" customHeight="1" thickBot="1" x14ac:dyDescent="0.3">
      <c r="A29" s="11" t="s">
        <v>29</v>
      </c>
      <c r="B29" s="2" t="s">
        <v>49</v>
      </c>
      <c r="C29" s="4" t="s">
        <v>152</v>
      </c>
      <c r="D29" s="31">
        <v>11.49</v>
      </c>
      <c r="E29" s="19">
        <f>ROUND((D29/'Теплова енергія'!D52*'Теплова енергія'!E52/'Теплова енергія'!E52*1000),2)</f>
        <v>0.08</v>
      </c>
      <c r="F29" s="19">
        <f>ROUND((D29/'Теплова енергія'!D52*'Теплова енергія'!F52/'Теплова енергія'!F52*1000),2)</f>
        <v>0.08</v>
      </c>
      <c r="G29" s="19">
        <f>ROUND((D29/'Теплова енергія'!D52*'Теплова енергія'!G52/'Теплова енергія'!G52*1000),2)</f>
        <v>0.08</v>
      </c>
      <c r="H29" s="19">
        <f>ROUND((D29/'Теплова енергія'!D52*'Теплова енергія'!H52/'Теплова енергія'!H52*1000),2)</f>
        <v>0.08</v>
      </c>
    </row>
    <row r="30" spans="1:8" ht="24" customHeight="1" thickBot="1" x14ac:dyDescent="0.3">
      <c r="A30" s="11" t="s">
        <v>30</v>
      </c>
      <c r="B30" s="2" t="s">
        <v>50</v>
      </c>
      <c r="C30" s="4" t="s">
        <v>152</v>
      </c>
      <c r="D30" s="31">
        <f>ROUND(SUM(D31:D34),2)</f>
        <v>918.88</v>
      </c>
      <c r="E30" s="31">
        <f t="shared" ref="E30:H30" si="5">ROUND(SUM(E31:E34),2)</f>
        <v>6.74</v>
      </c>
      <c r="F30" s="31">
        <f t="shared" si="5"/>
        <v>6.74</v>
      </c>
      <c r="G30" s="31">
        <f t="shared" si="5"/>
        <v>6.74</v>
      </c>
      <c r="H30" s="31">
        <f t="shared" si="5"/>
        <v>6.74</v>
      </c>
    </row>
    <row r="31" spans="1:8" ht="21" customHeight="1" thickBot="1" x14ac:dyDescent="0.3">
      <c r="A31" s="11" t="s">
        <v>31</v>
      </c>
      <c r="B31" s="2" t="s">
        <v>48</v>
      </c>
      <c r="C31" s="4" t="s">
        <v>152</v>
      </c>
      <c r="D31" s="31">
        <v>675.13</v>
      </c>
      <c r="E31" s="19">
        <f>ROUND((D31/'Теплова енергія'!D52*'Теплова енергія'!E52/'Теплова енергія'!E52*1000),2)</f>
        <v>4.95</v>
      </c>
      <c r="F31" s="19">
        <f>ROUND((D31/'Теплова енергія'!D52*'Теплова енергія'!F52/'Теплова енергія'!F52*1000),2)</f>
        <v>4.95</v>
      </c>
      <c r="G31" s="19">
        <f>ROUND((D31/'Теплова енергія'!D52*'Теплова енергія'!G52/'Теплова енергія'!G52*1000),2)</f>
        <v>4.95</v>
      </c>
      <c r="H31" s="19">
        <f>ROUND((D31/'Теплова енергія'!D52*'Теплова енергія'!H52/'Теплова енергія'!H52*1000),2)</f>
        <v>4.95</v>
      </c>
    </row>
    <row r="32" spans="1:8" ht="15.75" thickBot="1" x14ac:dyDescent="0.3">
      <c r="A32" s="11" t="s">
        <v>32</v>
      </c>
      <c r="B32" s="2" t="s">
        <v>44</v>
      </c>
      <c r="C32" s="4" t="s">
        <v>152</v>
      </c>
      <c r="D32" s="31">
        <f>ROUND((D31*0.22),2)</f>
        <v>148.53</v>
      </c>
      <c r="E32" s="19">
        <f>ROUND((D32/'Теплова енергія'!D52*'Теплова енергія'!E52/'Теплова енергія'!E52*1000),2)</f>
        <v>1.0900000000000001</v>
      </c>
      <c r="F32" s="19">
        <f>ROUND((D32/'Теплова енергія'!D52*'Теплова енергія'!F52/'Теплова енергія'!F52*1000),2)</f>
        <v>1.0900000000000001</v>
      </c>
      <c r="G32" s="19">
        <f>ROUND((D32/'Теплова енергія'!D52*'Теплова енергія'!G52/'Теплова енергія'!G52*1000),2)</f>
        <v>1.0900000000000001</v>
      </c>
      <c r="H32" s="19">
        <f>ROUND((D32/'Теплова енергія'!D52*'Теплова енергія'!H52/'Теплова енергія'!H52*1000),2)</f>
        <v>1.0900000000000001</v>
      </c>
    </row>
    <row r="33" spans="1:8" ht="15.75" thickBot="1" x14ac:dyDescent="0.3">
      <c r="A33" s="11" t="s">
        <v>33</v>
      </c>
      <c r="B33" s="2" t="s">
        <v>45</v>
      </c>
      <c r="C33" s="4" t="s">
        <v>152</v>
      </c>
      <c r="D33" s="31">
        <v>6.16</v>
      </c>
      <c r="E33" s="19">
        <f>ROUND((D33/'Теплова енергія'!D52*'Теплова енергія'!E52/'Теплова енергія'!E52*1000),2)</f>
        <v>0.05</v>
      </c>
      <c r="F33" s="19">
        <f>ROUND((D33/'Теплова енергія'!D52*'Теплова енергія'!F52/'Теплова енергія'!F52*1000),2)</f>
        <v>0.05</v>
      </c>
      <c r="G33" s="19">
        <f>ROUND((D33/'Теплова енергія'!D52*'Теплова енергія'!G52/'Теплова енергія'!G52*1000),2)</f>
        <v>0.05</v>
      </c>
      <c r="H33" s="19">
        <f>D33/'Теплова енергія'!D52*'Теплова енергія'!H52/'Теплова енергія'!H52*1000</f>
        <v>4.515392798124411E-2</v>
      </c>
    </row>
    <row r="34" spans="1:8" ht="15.75" thickBot="1" x14ac:dyDescent="0.3">
      <c r="A34" s="11" t="s">
        <v>52</v>
      </c>
      <c r="B34" s="2" t="s">
        <v>49</v>
      </c>
      <c r="C34" s="4" t="s">
        <v>152</v>
      </c>
      <c r="D34" s="31">
        <v>89.06</v>
      </c>
      <c r="E34" s="19">
        <f>D34/'Теплова енергія'!D52*'Теплова енергія'!E52/'Теплова енергія'!E52*1000</f>
        <v>0.65282610811844166</v>
      </c>
      <c r="F34" s="19">
        <f>D34/'Теплова енергія'!D52*'Теплова енергія'!F52/'Теплова енергія'!F52*1000</f>
        <v>0.65282610811844166</v>
      </c>
      <c r="G34" s="19">
        <f>ROUND((D34/'Теплова енергія'!D52*'Теплова енергія'!G52/'Теплова енергія'!G52*1000),2)</f>
        <v>0.65</v>
      </c>
      <c r="H34" s="19">
        <f>ROUND((D34/'Теплова енергія'!D52*'Теплова енергія'!H52/'Теплова енергія'!H52*1000),2)</f>
        <v>0.65</v>
      </c>
    </row>
    <row r="35" spans="1:8" ht="15.75" thickBot="1" x14ac:dyDescent="0.3">
      <c r="A35" s="11" t="s">
        <v>53</v>
      </c>
      <c r="B35" s="2" t="s">
        <v>62</v>
      </c>
      <c r="C35" s="4" t="s">
        <v>152</v>
      </c>
      <c r="D35" s="2">
        <v>0</v>
      </c>
      <c r="E35" s="3">
        <v>0</v>
      </c>
      <c r="F35" s="3">
        <v>0</v>
      </c>
      <c r="G35" s="3">
        <v>0</v>
      </c>
      <c r="H35" s="3">
        <v>0</v>
      </c>
    </row>
    <row r="36" spans="1:8" ht="30.75" thickBot="1" x14ac:dyDescent="0.3">
      <c r="A36" s="11" t="s">
        <v>54</v>
      </c>
      <c r="B36" s="2" t="s">
        <v>108</v>
      </c>
      <c r="C36" s="4" t="s">
        <v>152</v>
      </c>
      <c r="D36" s="20">
        <f>ROUND((D15+D30),2)</f>
        <v>30977.040000000001</v>
      </c>
      <c r="E36" s="20">
        <f t="shared" ref="E36:H36" si="6">ROUND((E15+E30),2)</f>
        <v>227.06</v>
      </c>
      <c r="F36" s="20">
        <f t="shared" si="6"/>
        <v>227.06</v>
      </c>
      <c r="G36" s="20">
        <f t="shared" si="6"/>
        <v>227.06</v>
      </c>
      <c r="H36" s="20">
        <f t="shared" si="6"/>
        <v>227.06</v>
      </c>
    </row>
    <row r="37" spans="1:8" s="22" customFormat="1" ht="45.75" thickBot="1" x14ac:dyDescent="0.3">
      <c r="A37" s="11" t="s">
        <v>55</v>
      </c>
      <c r="B37" s="2" t="s">
        <v>109</v>
      </c>
      <c r="C37" s="4" t="s">
        <v>152</v>
      </c>
      <c r="D37" s="31">
        <f>ROUND((Виробництво!D66-Виробництво!D70),2)</f>
        <v>22921.94</v>
      </c>
      <c r="E37" s="31">
        <f>ROUND((D37*87.07%/E47*1000),2)</f>
        <v>173.69</v>
      </c>
      <c r="F37" s="31">
        <f>ROUND((D37*11.3%/F47*1000),2)</f>
        <v>137.88999999999999</v>
      </c>
      <c r="G37" s="31">
        <f>ROUND((D37*1.62%/G47*1000),2)</f>
        <v>136.55000000000001</v>
      </c>
      <c r="H37" s="31">
        <f>ROUND((D37*0.01%/H47*1000),2)</f>
        <v>173.26</v>
      </c>
    </row>
    <row r="38" spans="1:8" ht="60.75" thickBot="1" x14ac:dyDescent="0.3">
      <c r="A38" s="11" t="s">
        <v>56</v>
      </c>
      <c r="B38" s="2" t="s">
        <v>110</v>
      </c>
      <c r="C38" s="4" t="s">
        <v>152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</row>
    <row r="39" spans="1:8" ht="15.75" thickBot="1" x14ac:dyDescent="0.3">
      <c r="A39" s="11" t="s">
        <v>57</v>
      </c>
      <c r="B39" s="2" t="s">
        <v>63</v>
      </c>
      <c r="C39" s="4" t="s">
        <v>152</v>
      </c>
      <c r="D39" s="2">
        <v>0</v>
      </c>
      <c r="E39" s="3">
        <v>0</v>
      </c>
      <c r="F39" s="3">
        <v>0</v>
      </c>
      <c r="G39" s="3">
        <v>0</v>
      </c>
      <c r="H39" s="3">
        <v>0</v>
      </c>
    </row>
    <row r="40" spans="1:8" ht="15.75" thickBot="1" x14ac:dyDescent="0.3">
      <c r="A40" s="11" t="s">
        <v>61</v>
      </c>
      <c r="B40" s="17" t="s">
        <v>64</v>
      </c>
      <c r="C40" s="4" t="s">
        <v>152</v>
      </c>
      <c r="D40" s="31">
        <f>'Теплова енергія'!D44*0.179199</f>
        <v>0</v>
      </c>
      <c r="E40" s="31">
        <f>'Теплова енергія'!E44*0.179199/Транспортування!E47*1000</f>
        <v>0</v>
      </c>
      <c r="F40" s="31">
        <f>'Теплова енергія'!F44*0.179199/Транспортування!F47*1000</f>
        <v>0</v>
      </c>
      <c r="G40" s="31">
        <f>'Теплова енергія'!G44*0.179199/Транспортування!G47*1000</f>
        <v>0</v>
      </c>
      <c r="H40" s="31">
        <f>'Теплова енергія'!H44*0.179199/Транспортування!H47*1000</f>
        <v>0</v>
      </c>
    </row>
    <row r="41" spans="1:8" ht="15.75" thickBot="1" x14ac:dyDescent="0.3">
      <c r="A41" s="11" t="s">
        <v>88</v>
      </c>
      <c r="B41" s="15" t="s">
        <v>65</v>
      </c>
      <c r="C41" s="4" t="s">
        <v>152</v>
      </c>
      <c r="D41" s="2">
        <v>0</v>
      </c>
      <c r="E41" s="3">
        <v>0</v>
      </c>
      <c r="F41" s="3">
        <v>0</v>
      </c>
      <c r="G41" s="3">
        <v>0</v>
      </c>
      <c r="H41" s="3">
        <v>0</v>
      </c>
    </row>
    <row r="42" spans="1:8" s="81" customFormat="1" ht="30.75" thickBot="1" x14ac:dyDescent="0.3">
      <c r="A42" s="30" t="s">
        <v>96</v>
      </c>
      <c r="B42" s="31" t="s">
        <v>103</v>
      </c>
      <c r="C42" s="4" t="s">
        <v>152</v>
      </c>
      <c r="D42" s="75">
        <f>ROUND((D36*0.0218),2)</f>
        <v>675.3</v>
      </c>
      <c r="E42" s="31">
        <f>ROUND((E43+E45),2)</f>
        <v>4.95</v>
      </c>
      <c r="F42" s="31">
        <f t="shared" ref="F42:H42" si="7">ROUND((F43+F45),2)</f>
        <v>4.95</v>
      </c>
      <c r="G42" s="31">
        <f t="shared" si="7"/>
        <v>4.95</v>
      </c>
      <c r="H42" s="31">
        <f t="shared" si="7"/>
        <v>4.95</v>
      </c>
    </row>
    <row r="43" spans="1:8" ht="15.75" thickBot="1" x14ac:dyDescent="0.3">
      <c r="A43" s="11" t="s">
        <v>104</v>
      </c>
      <c r="B43" s="2" t="s">
        <v>67</v>
      </c>
      <c r="C43" s="4" t="s">
        <v>152</v>
      </c>
      <c r="D43" s="75">
        <f>ROUND((D42*0.18),2)</f>
        <v>121.55</v>
      </c>
      <c r="E43" s="20">
        <f>ROUND((D43/D47*E47/E47*1000),2)</f>
        <v>0.89</v>
      </c>
      <c r="F43" s="20">
        <f>ROUND((D43/D47*F47/F47*1000),2)</f>
        <v>0.89</v>
      </c>
      <c r="G43" s="20">
        <f>ROUND((D43/D47*G47/G47*1000),2)</f>
        <v>0.89</v>
      </c>
      <c r="H43" s="20">
        <f>ROUND((D43/D47*H47/H47*1000),2)</f>
        <v>0.89</v>
      </c>
    </row>
    <row r="44" spans="1:8" ht="30.75" thickBot="1" x14ac:dyDescent="0.3">
      <c r="A44" s="11" t="s">
        <v>105</v>
      </c>
      <c r="B44" s="2" t="s">
        <v>68</v>
      </c>
      <c r="C44" s="4" t="s">
        <v>152</v>
      </c>
      <c r="D44" s="75">
        <v>0</v>
      </c>
      <c r="E44" s="75">
        <v>0</v>
      </c>
      <c r="F44" s="75">
        <v>0</v>
      </c>
      <c r="G44" s="75">
        <v>0</v>
      </c>
      <c r="H44" s="75">
        <v>0</v>
      </c>
    </row>
    <row r="45" spans="1:8" ht="15.75" thickBot="1" x14ac:dyDescent="0.3">
      <c r="A45" s="11" t="s">
        <v>106</v>
      </c>
      <c r="B45" s="2" t="s">
        <v>69</v>
      </c>
      <c r="C45" s="4" t="s">
        <v>152</v>
      </c>
      <c r="D45" s="75">
        <f>ROUND((D42-D43),2)</f>
        <v>553.75</v>
      </c>
      <c r="E45" s="2">
        <f>ROUND((D45/D47*E47/E47*1000),2)</f>
        <v>4.0599999999999996</v>
      </c>
      <c r="F45" s="2">
        <f>ROUND((D45/D47*F47/F47*1000),2)</f>
        <v>4.0599999999999996</v>
      </c>
      <c r="G45" s="2">
        <f>ROUND((D45/D47*G47/G47*1000),2)</f>
        <v>4.0599999999999996</v>
      </c>
      <c r="H45" s="2">
        <f>ROUND((D45/D47*H47/H47*1000),2)</f>
        <v>4.0599999999999996</v>
      </c>
    </row>
    <row r="46" spans="1:8" ht="30.75" thickBot="1" x14ac:dyDescent="0.3">
      <c r="A46" s="11" t="s">
        <v>97</v>
      </c>
      <c r="B46" s="14" t="s">
        <v>173</v>
      </c>
      <c r="C46" s="4" t="s">
        <v>152</v>
      </c>
      <c r="D46" s="75"/>
      <c r="E46" s="2"/>
      <c r="F46" s="20">
        <v>369.9</v>
      </c>
      <c r="G46" s="2">
        <v>368.56</v>
      </c>
      <c r="H46" s="2">
        <v>405.27</v>
      </c>
    </row>
    <row r="47" spans="1:8" ht="35.25" customHeight="1" thickBot="1" x14ac:dyDescent="0.3">
      <c r="A47" s="155">
        <v>12</v>
      </c>
      <c r="B47" s="35" t="s">
        <v>107</v>
      </c>
      <c r="C47" s="4" t="s">
        <v>154</v>
      </c>
      <c r="D47" s="35">
        <f>'Теплова енергія'!D52</f>
        <v>136422.24000000002</v>
      </c>
      <c r="E47" s="35">
        <f>'Теплова енергія'!E52</f>
        <v>114905.32</v>
      </c>
      <c r="F47" s="35">
        <f>'Теплова енергія'!F52</f>
        <v>18784.25</v>
      </c>
      <c r="G47" s="35">
        <f>'Теплова енергія'!G52</f>
        <v>2719.44</v>
      </c>
      <c r="H47" s="35">
        <f>'Теплова енергія'!H52</f>
        <v>13.23</v>
      </c>
    </row>
    <row r="48" spans="1:8" ht="15.75" customHeight="1" x14ac:dyDescent="0.25">
      <c r="A48" s="1"/>
      <c r="B48" s="1"/>
      <c r="C48" s="110"/>
      <c r="D48" s="1"/>
    </row>
    <row r="49" spans="1:7" ht="49.5" hidden="1" customHeight="1" x14ac:dyDescent="0.25">
      <c r="A49" s="1"/>
      <c r="B49" s="1"/>
      <c r="C49" s="110"/>
      <c r="D49" s="1"/>
    </row>
    <row r="50" spans="1:7" x14ac:dyDescent="0.25">
      <c r="B50" s="106" t="s">
        <v>126</v>
      </c>
      <c r="C50" s="106"/>
      <c r="G50" t="s">
        <v>127</v>
      </c>
    </row>
    <row r="51" spans="1:7" ht="14.45" customHeight="1" x14ac:dyDescent="0.25">
      <c r="A51" s="1"/>
      <c r="B51" s="104"/>
      <c r="C51" s="110"/>
    </row>
    <row r="52" spans="1:7" ht="30" x14ac:dyDescent="0.25">
      <c r="A52" s="1"/>
      <c r="B52" s="104" t="s">
        <v>128</v>
      </c>
      <c r="C52" s="110"/>
      <c r="G52" t="s">
        <v>129</v>
      </c>
    </row>
    <row r="53" spans="1:7" x14ac:dyDescent="0.25">
      <c r="D53" s="170"/>
      <c r="E53" s="171"/>
    </row>
  </sheetData>
  <mergeCells count="9">
    <mergeCell ref="D53:E53"/>
    <mergeCell ref="A10:A11"/>
    <mergeCell ref="B10:B11"/>
    <mergeCell ref="D10:D11"/>
    <mergeCell ref="A5:H5"/>
    <mergeCell ref="A6:H6"/>
    <mergeCell ref="E10:H10"/>
    <mergeCell ref="B14:H14"/>
    <mergeCell ref="C10:C11"/>
  </mergeCells>
  <pageMargins left="1.1023622047244095" right="0.51181102362204722" top="0.35433070866141736" bottom="0.35433070866141736" header="0.31496062992125984" footer="0.31496062992125984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workbookViewId="0">
      <selection activeCell="A5" sqref="A5:H5"/>
    </sheetView>
  </sheetViews>
  <sheetFormatPr defaultRowHeight="15" x14ac:dyDescent="0.25"/>
  <cols>
    <col min="1" max="1" width="6.85546875" customWidth="1"/>
    <col min="2" max="2" width="41.5703125" customWidth="1"/>
    <col min="3" max="3" width="12.85546875" customWidth="1"/>
    <col min="4" max="4" width="0.140625" customWidth="1"/>
    <col min="5" max="5" width="10.85546875" hidden="1" customWidth="1"/>
    <col min="6" max="6" width="12.28515625" customWidth="1"/>
    <col min="7" max="8" width="11.28515625" customWidth="1"/>
  </cols>
  <sheetData>
    <row r="1" spans="1:9" x14ac:dyDescent="0.25">
      <c r="G1" s="105" t="s">
        <v>133</v>
      </c>
      <c r="H1" s="105"/>
      <c r="I1" s="105"/>
    </row>
    <row r="2" spans="1:9" x14ac:dyDescent="0.25">
      <c r="G2" s="105" t="s">
        <v>124</v>
      </c>
      <c r="H2" s="105"/>
      <c r="I2" s="105"/>
    </row>
    <row r="3" spans="1:9" x14ac:dyDescent="0.25">
      <c r="G3" s="105" t="s">
        <v>125</v>
      </c>
      <c r="H3" s="105"/>
      <c r="I3" s="105"/>
    </row>
    <row r="4" spans="1:9" x14ac:dyDescent="0.25">
      <c r="G4" s="105" t="s">
        <v>175</v>
      </c>
      <c r="H4" s="105"/>
      <c r="I4" s="105"/>
    </row>
    <row r="5" spans="1:9" x14ac:dyDescent="0.25">
      <c r="A5" s="159" t="s">
        <v>111</v>
      </c>
      <c r="B5" s="159"/>
      <c r="C5" s="159"/>
      <c r="D5" s="159"/>
      <c r="E5" s="159"/>
      <c r="F5" s="159"/>
      <c r="G5" s="159"/>
      <c r="H5" s="159"/>
    </row>
    <row r="6" spans="1:9" ht="14.25" customHeight="1" x14ac:dyDescent="0.25">
      <c r="A6" s="159" t="s">
        <v>1</v>
      </c>
      <c r="B6" s="159"/>
      <c r="C6" s="159"/>
      <c r="D6" s="159"/>
      <c r="E6" s="159"/>
      <c r="F6" s="159"/>
      <c r="G6" s="159"/>
      <c r="H6" s="159"/>
    </row>
    <row r="7" spans="1:9" ht="7.5" hidden="1" customHeight="1" x14ac:dyDescent="0.25"/>
    <row r="9" spans="1:9" ht="6" customHeight="1" thickBot="1" x14ac:dyDescent="0.3"/>
    <row r="10" spans="1:9" ht="15.75" customHeight="1" thickBot="1" x14ac:dyDescent="0.3">
      <c r="A10" s="160" t="s">
        <v>0</v>
      </c>
      <c r="B10" s="162" t="s">
        <v>8</v>
      </c>
      <c r="C10" s="162" t="s">
        <v>151</v>
      </c>
      <c r="D10" s="162" t="s">
        <v>7</v>
      </c>
      <c r="E10" s="165" t="s">
        <v>153</v>
      </c>
      <c r="F10" s="165"/>
      <c r="G10" s="165"/>
      <c r="H10" s="166"/>
    </row>
    <row r="11" spans="1:9" ht="60.75" customHeight="1" thickBot="1" x14ac:dyDescent="0.3">
      <c r="A11" s="161"/>
      <c r="B11" s="163"/>
      <c r="C11" s="163"/>
      <c r="D11" s="163"/>
      <c r="E11" s="4" t="s">
        <v>3</v>
      </c>
      <c r="F11" s="4" t="s">
        <v>4</v>
      </c>
      <c r="G11" s="7" t="s">
        <v>5</v>
      </c>
      <c r="H11" s="8" t="s">
        <v>6</v>
      </c>
    </row>
    <row r="12" spans="1:9" ht="15.75" thickBot="1" x14ac:dyDescent="0.3">
      <c r="A12" s="4">
        <v>1</v>
      </c>
      <c r="B12" s="4">
        <v>2</v>
      </c>
      <c r="C12" s="4">
        <v>3</v>
      </c>
      <c r="D12" s="4">
        <v>3</v>
      </c>
      <c r="E12" s="4">
        <v>4</v>
      </c>
      <c r="F12" s="4">
        <v>4</v>
      </c>
      <c r="G12" s="4">
        <v>5</v>
      </c>
      <c r="H12" s="6">
        <v>6</v>
      </c>
    </row>
    <row r="13" spans="1:9" ht="51.75" customHeight="1" thickBot="1" x14ac:dyDescent="0.3">
      <c r="A13" s="9" t="s">
        <v>9</v>
      </c>
      <c r="B13" s="9" t="s">
        <v>122</v>
      </c>
      <c r="C13" s="9" t="s">
        <v>152</v>
      </c>
      <c r="D13" s="21">
        <f>ROUND((D15+D27+D32+D33+D34+D35+D36),2)*1.2</f>
        <v>888</v>
      </c>
      <c r="E13" s="21">
        <f>ROUND((E15+E27+E32+E33+E34+E35+E36),2)*1.2</f>
        <v>6.5039999999999996</v>
      </c>
      <c r="F13" s="21">
        <f>ROUND((F15+F27+F32+F33+F34+F35+F36),2)*1.2</f>
        <v>6.5039999999999996</v>
      </c>
      <c r="G13" s="21">
        <f>ROUND((G15+G27+G32+G33+G34+G35+G36),2)*1.2</f>
        <v>6.5039999999999996</v>
      </c>
      <c r="H13" s="21">
        <f>ROUND((H15+H27+H32+H33+H34+H35+H36),2)*1.2</f>
        <v>6.5039999999999996</v>
      </c>
    </row>
    <row r="14" spans="1:9" ht="15.75" thickBot="1" x14ac:dyDescent="0.3">
      <c r="A14" s="9" t="s">
        <v>10</v>
      </c>
      <c r="B14" s="156" t="s">
        <v>123</v>
      </c>
      <c r="C14" s="157"/>
      <c r="D14" s="157"/>
      <c r="E14" s="157"/>
      <c r="F14" s="157"/>
      <c r="G14" s="157"/>
      <c r="H14" s="158"/>
    </row>
    <row r="15" spans="1:9" ht="24.75" customHeight="1" thickBot="1" x14ac:dyDescent="0.3">
      <c r="A15" s="4">
        <v>1</v>
      </c>
      <c r="B15" s="2" t="s">
        <v>11</v>
      </c>
      <c r="C15" s="4" t="s">
        <v>152</v>
      </c>
      <c r="D15" s="2">
        <f>ROUND((D16+D17+D18+D22),2)</f>
        <v>702.73</v>
      </c>
      <c r="E15" s="2">
        <f t="shared" ref="E15:H15" si="0">ROUND((E16+E17+E18+E22),2)</f>
        <v>5.14</v>
      </c>
      <c r="F15" s="2">
        <f t="shared" si="0"/>
        <v>5.14</v>
      </c>
      <c r="G15" s="2">
        <f t="shared" si="0"/>
        <v>5.14</v>
      </c>
      <c r="H15" s="2">
        <f t="shared" si="0"/>
        <v>5.14</v>
      </c>
    </row>
    <row r="16" spans="1:9" ht="15.75" thickBot="1" x14ac:dyDescent="0.3">
      <c r="A16" s="11" t="s">
        <v>12</v>
      </c>
      <c r="B16" s="2" t="s">
        <v>112</v>
      </c>
      <c r="C16" s="4" t="s">
        <v>152</v>
      </c>
      <c r="D16" s="2">
        <v>0.19</v>
      </c>
      <c r="E16" s="19">
        <f>ROUND((D16/D41*E41/E41*1000),2)</f>
        <v>0</v>
      </c>
      <c r="F16" s="19">
        <f>ROUND((E16/E41*F41/F41*1000),2)</f>
        <v>0</v>
      </c>
      <c r="G16" s="19">
        <f>ROUND((F16/F41*G41/G41*1000),2)</f>
        <v>0</v>
      </c>
      <c r="H16" s="19">
        <f>ROUND((G16/G41*H41/H41*1000),2)</f>
        <v>0</v>
      </c>
    </row>
    <row r="17" spans="1:8" ht="15.75" thickBot="1" x14ac:dyDescent="0.3">
      <c r="A17" s="11" t="s">
        <v>20</v>
      </c>
      <c r="B17" s="2" t="s">
        <v>42</v>
      </c>
      <c r="C17" s="4" t="s">
        <v>152</v>
      </c>
      <c r="D17" s="2">
        <v>552.71</v>
      </c>
      <c r="E17" s="19">
        <f>ROUND((D17/D41*E41/E41*1000),2)</f>
        <v>4.05</v>
      </c>
      <c r="F17" s="19">
        <f>ROUND((D17/D41*F41/F41*1000),2)</f>
        <v>4.05</v>
      </c>
      <c r="G17" s="19">
        <f>ROUND((D17/D41*G41/G41*1000),2)</f>
        <v>4.05</v>
      </c>
      <c r="H17" s="19">
        <f>ROUND((D17/D41*H41/H41*1000),2)</f>
        <v>4.05</v>
      </c>
    </row>
    <row r="18" spans="1:8" ht="15.75" thickBot="1" x14ac:dyDescent="0.3">
      <c r="A18" s="11" t="s">
        <v>21</v>
      </c>
      <c r="B18" s="2" t="s">
        <v>43</v>
      </c>
      <c r="C18" s="4" t="s">
        <v>152</v>
      </c>
      <c r="D18" s="2">
        <f>ROUND(SUM(D19:D21),2)</f>
        <v>140.41</v>
      </c>
      <c r="E18" s="2">
        <f t="shared" ref="E18:H18" si="1">ROUND(SUM(E19:E21),2)</f>
        <v>1.03</v>
      </c>
      <c r="F18" s="2">
        <f t="shared" si="1"/>
        <v>1.03</v>
      </c>
      <c r="G18" s="2">
        <f t="shared" si="1"/>
        <v>1.03</v>
      </c>
      <c r="H18" s="2">
        <f t="shared" si="1"/>
        <v>1.03</v>
      </c>
    </row>
    <row r="19" spans="1:8" ht="15.75" thickBot="1" x14ac:dyDescent="0.3">
      <c r="A19" s="11" t="s">
        <v>22</v>
      </c>
      <c r="B19" s="2" t="s">
        <v>44</v>
      </c>
      <c r="C19" s="4" t="s">
        <v>152</v>
      </c>
      <c r="D19" s="20">
        <f>ROUND((D17*0.22),2)</f>
        <v>121.6</v>
      </c>
      <c r="E19" s="2">
        <f t="shared" ref="E19:H19" si="2">ROUND((E17*0.22),2)</f>
        <v>0.89</v>
      </c>
      <c r="F19" s="2">
        <f t="shared" si="2"/>
        <v>0.89</v>
      </c>
      <c r="G19" s="2">
        <f t="shared" si="2"/>
        <v>0.89</v>
      </c>
      <c r="H19" s="2">
        <f t="shared" si="2"/>
        <v>0.89</v>
      </c>
    </row>
    <row r="20" spans="1:8" ht="28.5" customHeight="1" thickBot="1" x14ac:dyDescent="0.3">
      <c r="A20" s="11" t="s">
        <v>23</v>
      </c>
      <c r="B20" s="2" t="s">
        <v>45</v>
      </c>
      <c r="C20" s="4" t="s">
        <v>152</v>
      </c>
      <c r="D20" s="2">
        <v>0.89</v>
      </c>
      <c r="E20" s="19">
        <f>ROUND((D20/D41*E41/E41*1000),2)</f>
        <v>0.01</v>
      </c>
      <c r="F20" s="19">
        <f>ROUND((D20/D41*F41/F41*1000),2)</f>
        <v>0.01</v>
      </c>
      <c r="G20" s="19">
        <f>ROUND((D20/D41*G41/G41*1000),2)</f>
        <v>0.01</v>
      </c>
      <c r="H20" s="19">
        <f>ROUND((D20/D41*H41/H41*1000),2)</f>
        <v>0.01</v>
      </c>
    </row>
    <row r="21" spans="1:8" ht="15.75" thickBot="1" x14ac:dyDescent="0.3">
      <c r="A21" s="11" t="s">
        <v>24</v>
      </c>
      <c r="B21" s="2" t="s">
        <v>46</v>
      </c>
      <c r="C21" s="4" t="s">
        <v>152</v>
      </c>
      <c r="D21" s="75">
        <f>ROUND(('Теплова енергія'!D31-Виробництво!D25-Транспортування!D24),2)</f>
        <v>17.920000000000002</v>
      </c>
      <c r="E21" s="77">
        <f>ROUND((D21/D41*E41/E41*1000),2)</f>
        <v>0.13</v>
      </c>
      <c r="F21" s="77">
        <f>ROUND((D21/D41*F41/F41*1000),2)</f>
        <v>0.13</v>
      </c>
      <c r="G21" s="77">
        <f>ROUND((D21/D41*G41/G41*1000),2)</f>
        <v>0.13</v>
      </c>
      <c r="H21" s="77">
        <f>ROUND((D21/D41*H41/H41*1000),2)</f>
        <v>0.13</v>
      </c>
    </row>
    <row r="22" spans="1:8" ht="15.75" thickBot="1" x14ac:dyDescent="0.3">
      <c r="A22" s="11" t="s">
        <v>25</v>
      </c>
      <c r="B22" s="2" t="s">
        <v>47</v>
      </c>
      <c r="C22" s="4" t="s">
        <v>152</v>
      </c>
      <c r="D22" s="31">
        <f>ROUND(SUM(D23:D26),2)</f>
        <v>9.42</v>
      </c>
      <c r="E22" s="31">
        <f t="shared" ref="E22:H22" si="3">ROUND(SUM(E23:E26),2)</f>
        <v>0.06</v>
      </c>
      <c r="F22" s="31">
        <f t="shared" si="3"/>
        <v>0.06</v>
      </c>
      <c r="G22" s="31">
        <f t="shared" si="3"/>
        <v>0.06</v>
      </c>
      <c r="H22" s="31">
        <f t="shared" si="3"/>
        <v>0.06</v>
      </c>
    </row>
    <row r="23" spans="1:8" ht="24.75" customHeight="1" thickBot="1" x14ac:dyDescent="0.3">
      <c r="A23" s="11" t="s">
        <v>26</v>
      </c>
      <c r="B23" s="2" t="s">
        <v>48</v>
      </c>
      <c r="C23" s="4" t="s">
        <v>152</v>
      </c>
      <c r="D23" s="75">
        <v>7.46</v>
      </c>
      <c r="E23" s="19">
        <f>ROUND((D23/D41*E41/E41*1000),2)</f>
        <v>0.05</v>
      </c>
      <c r="F23" s="19">
        <f>ROUND((D23/D41*F41/F41*1000),2)</f>
        <v>0.05</v>
      </c>
      <c r="G23" s="19">
        <f>ROUND((D23/D41*G41/G41*1000),2)</f>
        <v>0.05</v>
      </c>
      <c r="H23" s="19">
        <f>ROUND((D23/D41*H41/H41*1000),2)</f>
        <v>0.05</v>
      </c>
    </row>
    <row r="24" spans="1:8" ht="15.75" thickBot="1" x14ac:dyDescent="0.3">
      <c r="A24" s="11" t="s">
        <v>27</v>
      </c>
      <c r="B24" s="2" t="s">
        <v>44</v>
      </c>
      <c r="C24" s="4" t="s">
        <v>152</v>
      </c>
      <c r="D24" s="31">
        <f>ROUND((D23*0.22),2)</f>
        <v>1.64</v>
      </c>
      <c r="E24" s="19">
        <f>ROUND((D24/D41*E41/E41*1000),2)</f>
        <v>0.01</v>
      </c>
      <c r="F24" s="19">
        <f>ROUND((D24/D41*F41/F41*1000),2)</f>
        <v>0.01</v>
      </c>
      <c r="G24" s="19">
        <f>ROUND((D24/D41*G41/G41*1000),2)</f>
        <v>0.01</v>
      </c>
      <c r="H24" s="19">
        <f>ROUND((D24/D41*H41/H41*1000),2)</f>
        <v>0.01</v>
      </c>
    </row>
    <row r="25" spans="1:8" ht="15.75" thickBot="1" x14ac:dyDescent="0.3">
      <c r="A25" s="11" t="s">
        <v>28</v>
      </c>
      <c r="B25" s="2" t="s">
        <v>45</v>
      </c>
      <c r="C25" s="4" t="s">
        <v>152</v>
      </c>
      <c r="D25" s="75">
        <v>0.04</v>
      </c>
      <c r="E25" s="19">
        <f>ROUND((D25/D41*E41/E41*1000),2)</f>
        <v>0</v>
      </c>
      <c r="F25" s="19">
        <f>ROUND((D25/D41*F41/F41*1000),2)</f>
        <v>0</v>
      </c>
      <c r="G25" s="19">
        <f>ROUND((D25/D41*G41/G41*1000),2)</f>
        <v>0</v>
      </c>
      <c r="H25" s="19">
        <f>ROUND((D25/D41*H41/H41*1000),2)</f>
        <v>0</v>
      </c>
    </row>
    <row r="26" spans="1:8" ht="22.5" customHeight="1" thickBot="1" x14ac:dyDescent="0.3">
      <c r="A26" s="11" t="s">
        <v>29</v>
      </c>
      <c r="B26" s="2" t="s">
        <v>49</v>
      </c>
      <c r="C26" s="4" t="s">
        <v>152</v>
      </c>
      <c r="D26" s="75">
        <v>0.28000000000000003</v>
      </c>
      <c r="E26" s="19">
        <f>ROUND((D26/D41*E41/E41*1000),2)</f>
        <v>0</v>
      </c>
      <c r="F26" s="19">
        <f>ROUND((D26/D41*F41/F41*1000),2)</f>
        <v>0</v>
      </c>
      <c r="G26" s="19">
        <f>ROUND((D26/D41*G41/G41*1000),2)</f>
        <v>0</v>
      </c>
      <c r="H26" s="19">
        <f>ROUND((D26/D41*H41/H41*1000),2)</f>
        <v>0</v>
      </c>
    </row>
    <row r="27" spans="1:8" ht="24" customHeight="1" thickBot="1" x14ac:dyDescent="0.3">
      <c r="A27" s="11" t="s">
        <v>30</v>
      </c>
      <c r="B27" s="2" t="s">
        <v>50</v>
      </c>
      <c r="C27" s="4" t="s">
        <v>152</v>
      </c>
      <c r="D27" s="31">
        <f>ROUND(SUM(D28:D31),2)</f>
        <v>21.48</v>
      </c>
      <c r="E27" s="31">
        <f t="shared" ref="E27:H27" si="4">ROUND(SUM(E28:E31),2)</f>
        <v>0.17</v>
      </c>
      <c r="F27" s="31">
        <f t="shared" si="4"/>
        <v>0.17</v>
      </c>
      <c r="G27" s="31">
        <f t="shared" si="4"/>
        <v>0.17</v>
      </c>
      <c r="H27" s="31">
        <f t="shared" si="4"/>
        <v>0.17</v>
      </c>
    </row>
    <row r="28" spans="1:8" ht="21" customHeight="1" thickBot="1" x14ac:dyDescent="0.3">
      <c r="A28" s="11" t="s">
        <v>31</v>
      </c>
      <c r="B28" s="2" t="s">
        <v>48</v>
      </c>
      <c r="C28" s="4" t="s">
        <v>152</v>
      </c>
      <c r="D28" s="75">
        <v>15.78</v>
      </c>
      <c r="E28" s="19">
        <f>ROUND((D28/D41*E41/E41*1000),2)</f>
        <v>0.12</v>
      </c>
      <c r="F28" s="19">
        <f>ROUND((D28/D41*F41/F41*1000),2)</f>
        <v>0.12</v>
      </c>
      <c r="G28" s="19">
        <f>ROUND((D28/D41*G41/G41*1000),2)</f>
        <v>0.12</v>
      </c>
      <c r="H28" s="19">
        <f>ROUND((D28/D41*H41/H41*1000),2)</f>
        <v>0.12</v>
      </c>
    </row>
    <row r="29" spans="1:8" ht="15.75" thickBot="1" x14ac:dyDescent="0.3">
      <c r="A29" s="11" t="s">
        <v>32</v>
      </c>
      <c r="B29" s="2" t="s">
        <v>44</v>
      </c>
      <c r="C29" s="4" t="s">
        <v>152</v>
      </c>
      <c r="D29" s="31">
        <f>ROUND((D28*0.22),2)</f>
        <v>3.47</v>
      </c>
      <c r="E29" s="19">
        <f>ROUND((D29/D41*E41/E41*1000),2)</f>
        <v>0.03</v>
      </c>
      <c r="F29" s="19">
        <f>ROUND((D29/D41*F41/F41*1000),2)</f>
        <v>0.03</v>
      </c>
      <c r="G29" s="19">
        <f>ROUND((D29/D41*G41/G41*1000),2)</f>
        <v>0.03</v>
      </c>
      <c r="H29" s="19">
        <f>ROUND((D29/D41*H41/H41*1000),2)</f>
        <v>0.03</v>
      </c>
    </row>
    <row r="30" spans="1:8" ht="15.75" thickBot="1" x14ac:dyDescent="0.3">
      <c r="A30" s="11" t="s">
        <v>33</v>
      </c>
      <c r="B30" s="2" t="s">
        <v>45</v>
      </c>
      <c r="C30" s="4" t="s">
        <v>152</v>
      </c>
      <c r="D30" s="75">
        <v>0.14000000000000001</v>
      </c>
      <c r="E30" s="19">
        <f>ROUND((D30/D41*E41/E41*1000),2)</f>
        <v>0</v>
      </c>
      <c r="F30" s="19">
        <f>ROUND((D30/D41*F41/F41*1000),2)</f>
        <v>0</v>
      </c>
      <c r="G30" s="19">
        <f>ROUND((D30/D41*G41/G41*1000),2)</f>
        <v>0</v>
      </c>
      <c r="H30" s="19">
        <f>ROUND((D30/D41*H41/H41*1000),2)</f>
        <v>0</v>
      </c>
    </row>
    <row r="31" spans="1:8" ht="15.75" thickBot="1" x14ac:dyDescent="0.3">
      <c r="A31" s="11" t="s">
        <v>52</v>
      </c>
      <c r="B31" s="2" t="s">
        <v>49</v>
      </c>
      <c r="C31" s="4" t="s">
        <v>152</v>
      </c>
      <c r="D31" s="75">
        <v>2.09</v>
      </c>
      <c r="E31" s="19">
        <f>ROUND((D31/D41*E41/E41*1000),2)</f>
        <v>0.02</v>
      </c>
      <c r="F31" s="19">
        <f>ROUND((D31/D41*F41/F41*1000),2)</f>
        <v>0.02</v>
      </c>
      <c r="G31" s="19">
        <f>ROUND((D31/D41*G41/G41*1000),2)</f>
        <v>0.02</v>
      </c>
      <c r="H31" s="19">
        <f>ROUND((D31/D41*H41/H41*1000),2)</f>
        <v>0.02</v>
      </c>
    </row>
    <row r="32" spans="1:8" ht="15.75" thickBot="1" x14ac:dyDescent="0.3">
      <c r="A32" s="11" t="s">
        <v>53</v>
      </c>
      <c r="B32" s="2" t="s">
        <v>62</v>
      </c>
      <c r="C32" s="4" t="s">
        <v>152</v>
      </c>
      <c r="D32" s="2"/>
      <c r="E32" s="3">
        <v>0</v>
      </c>
      <c r="F32" s="3">
        <v>0</v>
      </c>
      <c r="G32" s="3">
        <v>0</v>
      </c>
      <c r="H32" s="3">
        <v>0</v>
      </c>
    </row>
    <row r="33" spans="1:8" ht="15.75" thickBot="1" x14ac:dyDescent="0.3">
      <c r="A33" s="11" t="s">
        <v>54</v>
      </c>
      <c r="B33" s="2" t="s">
        <v>63</v>
      </c>
      <c r="C33" s="4" t="s">
        <v>152</v>
      </c>
      <c r="D33" s="2"/>
      <c r="E33" s="3">
        <v>0</v>
      </c>
      <c r="F33" s="3">
        <v>0</v>
      </c>
      <c r="G33" s="3">
        <v>0</v>
      </c>
      <c r="H33" s="3">
        <v>0</v>
      </c>
    </row>
    <row r="34" spans="1:8" ht="15.75" thickBot="1" x14ac:dyDescent="0.3">
      <c r="A34" s="11" t="s">
        <v>55</v>
      </c>
      <c r="B34" s="17" t="s">
        <v>64</v>
      </c>
      <c r="C34" s="4" t="s">
        <v>152</v>
      </c>
      <c r="D34" s="2">
        <f>'Теплова енергія'!D44-Виробництво!D54-Транспортування!D40</f>
        <v>0</v>
      </c>
      <c r="E34" s="3">
        <f>D34/D41*E41/E41*1000</f>
        <v>0</v>
      </c>
      <c r="F34" s="3">
        <f>D34/D41*F41/F41*1000</f>
        <v>0</v>
      </c>
      <c r="G34" s="3">
        <f>D34/D41*G41/G41*1000</f>
        <v>0</v>
      </c>
      <c r="H34" s="3">
        <f>D34/D41*H41/H41*1000</f>
        <v>0</v>
      </c>
    </row>
    <row r="35" spans="1:8" ht="15.75" thickBot="1" x14ac:dyDescent="0.3">
      <c r="A35" s="11" t="s">
        <v>56</v>
      </c>
      <c r="B35" s="15" t="s">
        <v>65</v>
      </c>
      <c r="C35" s="4" t="s">
        <v>152</v>
      </c>
      <c r="D35" s="2"/>
      <c r="E35" s="3">
        <v>0</v>
      </c>
      <c r="F35" s="3">
        <v>0</v>
      </c>
      <c r="G35" s="3">
        <v>0</v>
      </c>
      <c r="H35" s="3">
        <v>0</v>
      </c>
    </row>
    <row r="36" spans="1:8" ht="30.75" thickBot="1" x14ac:dyDescent="0.3">
      <c r="A36" s="11" t="s">
        <v>57</v>
      </c>
      <c r="B36" s="2" t="s">
        <v>103</v>
      </c>
      <c r="C36" s="4" t="s">
        <v>152</v>
      </c>
      <c r="D36" s="75">
        <f>ROUND(((D15+D27)*2.18%),2)</f>
        <v>15.79</v>
      </c>
      <c r="E36" s="20">
        <f>ROUND(SUM(E37:E39),2)</f>
        <v>0.11</v>
      </c>
      <c r="F36" s="20">
        <f t="shared" ref="F36:H36" si="5">ROUND(SUM(F37:F39),2)</f>
        <v>0.11</v>
      </c>
      <c r="G36" s="20">
        <f t="shared" si="5"/>
        <v>0.11</v>
      </c>
      <c r="H36" s="20">
        <f t="shared" si="5"/>
        <v>0.11</v>
      </c>
    </row>
    <row r="37" spans="1:8" ht="15.75" thickBot="1" x14ac:dyDescent="0.3">
      <c r="A37" s="11" t="s">
        <v>58</v>
      </c>
      <c r="B37" s="2" t="s">
        <v>67</v>
      </c>
      <c r="C37" s="4" t="s">
        <v>152</v>
      </c>
      <c r="D37" s="20">
        <f>ROUND((D36*0.18),2)</f>
        <v>2.84</v>
      </c>
      <c r="E37" s="19">
        <f>ROUND((D37/D41*E41/E41*1000),2)</f>
        <v>0.02</v>
      </c>
      <c r="F37" s="19">
        <f>ROUND((D37/D41*F41/F41*1000),2)</f>
        <v>0.02</v>
      </c>
      <c r="G37" s="19">
        <f>ROUND((D37/D41*G41/G41*1000),2)</f>
        <v>0.02</v>
      </c>
      <c r="H37" s="19">
        <f>ROUND((D37/D41*H41/H41*1000),2)</f>
        <v>0.02</v>
      </c>
    </row>
    <row r="38" spans="1:8" ht="30.75" thickBot="1" x14ac:dyDescent="0.3">
      <c r="A38" s="11" t="s">
        <v>59</v>
      </c>
      <c r="B38" s="2" t="s">
        <v>68</v>
      </c>
      <c r="C38" s="4" t="s">
        <v>152</v>
      </c>
      <c r="D38" s="20">
        <v>0</v>
      </c>
      <c r="E38" s="20">
        <f>D38/D41*E41/E41*1000</f>
        <v>0</v>
      </c>
      <c r="F38" s="20">
        <f>D38/D41*F41/F41*1000</f>
        <v>0</v>
      </c>
      <c r="G38" s="20">
        <f>D38/D41*G41/G41*1000</f>
        <v>0</v>
      </c>
      <c r="H38" s="20">
        <f>D38/D41*H41/H41*1000</f>
        <v>0</v>
      </c>
    </row>
    <row r="39" spans="1:8" ht="15.75" thickBot="1" x14ac:dyDescent="0.3">
      <c r="A39" s="11" t="s">
        <v>60</v>
      </c>
      <c r="B39" s="2" t="s">
        <v>69</v>
      </c>
      <c r="C39" s="4" t="s">
        <v>152</v>
      </c>
      <c r="D39" s="20">
        <f>ROUND((D36-D37),2)</f>
        <v>12.95</v>
      </c>
      <c r="E39" s="19">
        <f>ROUND((D39/D41*E41/E41*1000),2)</f>
        <v>0.09</v>
      </c>
      <c r="F39" s="19">
        <f>ROUND((D39/D41*F41/F41*1000),2)</f>
        <v>0.09</v>
      </c>
      <c r="G39" s="19">
        <f>ROUND((D39/D41*G41/G41*1000),2)</f>
        <v>0.09</v>
      </c>
      <c r="H39" s="19">
        <f>ROUND((D39/D41*H41/H41*1000),2)</f>
        <v>0.09</v>
      </c>
    </row>
    <row r="40" spans="1:8" ht="30.75" thickBot="1" x14ac:dyDescent="0.3">
      <c r="A40" s="11" t="s">
        <v>61</v>
      </c>
      <c r="B40" s="14" t="s">
        <v>174</v>
      </c>
      <c r="C40" s="4" t="s">
        <v>152</v>
      </c>
      <c r="D40" s="20"/>
      <c r="E40" s="19"/>
      <c r="F40" s="19">
        <v>5.42</v>
      </c>
      <c r="G40" s="19">
        <v>5.42</v>
      </c>
      <c r="H40" s="19">
        <v>5.42</v>
      </c>
    </row>
    <row r="41" spans="1:8" ht="35.25" customHeight="1" thickBot="1" x14ac:dyDescent="0.3">
      <c r="A41" s="155">
        <v>9</v>
      </c>
      <c r="B41" s="35" t="s">
        <v>107</v>
      </c>
      <c r="C41" s="4" t="s">
        <v>154</v>
      </c>
      <c r="D41" s="35">
        <f>'Теплова енергія'!D52</f>
        <v>136422.24000000002</v>
      </c>
      <c r="E41" s="35">
        <f>'Теплова енергія'!E52</f>
        <v>114905.32</v>
      </c>
      <c r="F41" s="35">
        <f>'Теплова енергія'!F52</f>
        <v>18784.25</v>
      </c>
      <c r="G41" s="35">
        <f>'Теплова енергія'!G52</f>
        <v>2719.44</v>
      </c>
      <c r="H41" s="35">
        <f>'Теплова енергія'!H52</f>
        <v>13.23</v>
      </c>
    </row>
    <row r="42" spans="1:8" ht="15.75" customHeight="1" x14ac:dyDescent="0.25">
      <c r="A42" s="1"/>
      <c r="B42" s="1"/>
      <c r="C42" s="110"/>
      <c r="D42" s="1"/>
    </row>
    <row r="43" spans="1:8" ht="49.5" hidden="1" customHeight="1" x14ac:dyDescent="0.25">
      <c r="A43" s="1"/>
      <c r="B43" s="1"/>
      <c r="C43" s="110"/>
      <c r="D43" s="1"/>
    </row>
    <row r="44" spans="1:8" x14ac:dyDescent="0.25">
      <c r="B44" s="106" t="s">
        <v>126</v>
      </c>
      <c r="C44" s="106"/>
      <c r="G44" t="s">
        <v>127</v>
      </c>
    </row>
    <row r="45" spans="1:8" x14ac:dyDescent="0.25">
      <c r="A45" s="1"/>
      <c r="B45" s="104"/>
      <c r="C45" s="110"/>
    </row>
    <row r="46" spans="1:8" ht="30" x14ac:dyDescent="0.25">
      <c r="A46" s="1"/>
      <c r="B46" s="104" t="s">
        <v>128</v>
      </c>
      <c r="C46" s="110"/>
      <c r="G46" t="s">
        <v>129</v>
      </c>
    </row>
    <row r="47" spans="1:8" x14ac:dyDescent="0.25">
      <c r="D47" s="170"/>
      <c r="E47" s="171"/>
    </row>
  </sheetData>
  <mergeCells count="9">
    <mergeCell ref="B14:H14"/>
    <mergeCell ref="D47:E47"/>
    <mergeCell ref="A5:H5"/>
    <mergeCell ref="A6:H6"/>
    <mergeCell ref="A10:A11"/>
    <mergeCell ref="B10:B11"/>
    <mergeCell ref="D10:D11"/>
    <mergeCell ref="E10:H10"/>
    <mergeCell ref="C10:C11"/>
  </mergeCells>
  <pageMargins left="1.1023622047244095" right="0.51181102362204722" top="0.35433070866141736" bottom="0.35433070866141736" header="0.31496062992125984" footer="0.31496062992125984"/>
  <pageSetup paperSize="9"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G4" sqref="G4"/>
    </sheetView>
  </sheetViews>
  <sheetFormatPr defaultRowHeight="15" x14ac:dyDescent="0.25"/>
  <cols>
    <col min="1" max="1" width="4.7109375" customWidth="1"/>
    <col min="2" max="2" width="31" customWidth="1"/>
    <col min="3" max="3" width="8.85546875" hidden="1" customWidth="1"/>
    <col min="4" max="4" width="8.85546875" customWidth="1"/>
    <col min="5" max="5" width="11.5703125" customWidth="1"/>
    <col min="6" max="6" width="10.5703125" customWidth="1"/>
    <col min="7" max="7" width="11" customWidth="1"/>
  </cols>
  <sheetData>
    <row r="1" spans="1:9" x14ac:dyDescent="0.25">
      <c r="A1" s="105"/>
      <c r="B1" s="105"/>
      <c r="C1" s="105"/>
      <c r="D1" s="105"/>
      <c r="E1" s="105"/>
      <c r="F1" s="105"/>
      <c r="G1" s="105" t="s">
        <v>134</v>
      </c>
      <c r="H1" s="105"/>
      <c r="I1" s="105"/>
    </row>
    <row r="2" spans="1:9" x14ac:dyDescent="0.25">
      <c r="A2" s="105"/>
      <c r="B2" s="105"/>
      <c r="C2" s="105"/>
      <c r="D2" s="105"/>
      <c r="E2" s="105"/>
      <c r="F2" s="105"/>
      <c r="G2" s="105" t="s">
        <v>124</v>
      </c>
      <c r="H2" s="105"/>
      <c r="I2" s="105"/>
    </row>
    <row r="3" spans="1:9" x14ac:dyDescent="0.25">
      <c r="A3" s="105"/>
      <c r="B3" s="105"/>
      <c r="C3" s="105"/>
      <c r="D3" s="105"/>
      <c r="E3" s="105"/>
      <c r="F3" s="105"/>
      <c r="G3" s="105" t="s">
        <v>125</v>
      </c>
      <c r="H3" s="105"/>
      <c r="I3" s="105"/>
    </row>
    <row r="4" spans="1:9" x14ac:dyDescent="0.25">
      <c r="A4" s="105"/>
      <c r="B4" s="105"/>
      <c r="C4" s="105"/>
      <c r="D4" s="105"/>
      <c r="E4" s="105"/>
      <c r="F4" s="105"/>
      <c r="G4" s="105" t="s">
        <v>175</v>
      </c>
      <c r="H4" s="105"/>
      <c r="I4" s="105"/>
    </row>
    <row r="5" spans="1:9" ht="20.45" customHeight="1" x14ac:dyDescent="0.25">
      <c r="A5" s="177" t="s">
        <v>165</v>
      </c>
      <c r="B5" s="177"/>
      <c r="C5" s="177"/>
      <c r="D5" s="177"/>
      <c r="E5" s="177"/>
      <c r="F5" s="177"/>
      <c r="G5" s="177"/>
      <c r="H5" s="105"/>
      <c r="I5" s="105"/>
    </row>
    <row r="6" spans="1:9" x14ac:dyDescent="0.25">
      <c r="A6" s="177" t="s">
        <v>1</v>
      </c>
      <c r="B6" s="177"/>
      <c r="C6" s="177"/>
      <c r="D6" s="177"/>
      <c r="E6" s="177"/>
      <c r="F6" s="177"/>
      <c r="G6" s="177"/>
      <c r="H6" s="105"/>
      <c r="I6" s="105"/>
    </row>
    <row r="7" spans="1:9" x14ac:dyDescent="0.25">
      <c r="A7" s="105"/>
      <c r="B7" s="105"/>
      <c r="C7" s="107"/>
      <c r="D7" s="111"/>
      <c r="E7" s="105"/>
      <c r="F7" s="105"/>
      <c r="G7" s="105"/>
      <c r="H7" s="105"/>
      <c r="I7" s="105"/>
    </row>
    <row r="8" spans="1:9" x14ac:dyDescent="0.25">
      <c r="A8" s="105"/>
      <c r="B8" s="105"/>
      <c r="C8" s="105"/>
      <c r="D8" s="105"/>
      <c r="E8" s="105"/>
      <c r="F8" s="105"/>
      <c r="G8" s="105"/>
      <c r="H8" s="105"/>
      <c r="I8" s="105"/>
    </row>
    <row r="9" spans="1:9" x14ac:dyDescent="0.25">
      <c r="A9" s="181" t="s">
        <v>0</v>
      </c>
      <c r="B9" s="183" t="s">
        <v>8</v>
      </c>
      <c r="C9" s="119"/>
      <c r="D9" s="183" t="s">
        <v>151</v>
      </c>
      <c r="E9" s="180" t="s">
        <v>162</v>
      </c>
      <c r="F9" s="180"/>
      <c r="G9" s="180"/>
      <c r="H9" s="105"/>
      <c r="I9" s="105"/>
    </row>
    <row r="10" spans="1:9" ht="14.45" customHeight="1" x14ac:dyDescent="0.25">
      <c r="A10" s="182"/>
      <c r="B10" s="182"/>
      <c r="C10" s="178" t="s">
        <v>3</v>
      </c>
      <c r="D10" s="184"/>
      <c r="E10" s="178" t="s">
        <v>4</v>
      </c>
      <c r="F10" s="178" t="s">
        <v>5</v>
      </c>
      <c r="G10" s="179" t="s">
        <v>6</v>
      </c>
      <c r="H10" s="105"/>
      <c r="I10" s="105"/>
    </row>
    <row r="11" spans="1:9" x14ac:dyDescent="0.25">
      <c r="A11" s="182"/>
      <c r="B11" s="182"/>
      <c r="C11" s="178"/>
      <c r="D11" s="184"/>
      <c r="E11" s="178"/>
      <c r="F11" s="178"/>
      <c r="G11" s="179"/>
      <c r="H11" s="105"/>
      <c r="I11" s="105"/>
    </row>
    <row r="12" spans="1:9" ht="26.45" customHeight="1" x14ac:dyDescent="0.25">
      <c r="A12" s="182"/>
      <c r="B12" s="182"/>
      <c r="C12" s="178"/>
      <c r="D12" s="184"/>
      <c r="E12" s="178"/>
      <c r="F12" s="178"/>
      <c r="G12" s="179"/>
      <c r="H12" s="105"/>
      <c r="I12" s="105"/>
    </row>
    <row r="13" spans="1:9" x14ac:dyDescent="0.25">
      <c r="A13" s="120">
        <v>1</v>
      </c>
      <c r="B13" s="120">
        <v>2</v>
      </c>
      <c r="C13" s="120">
        <v>3</v>
      </c>
      <c r="D13" s="120">
        <v>3</v>
      </c>
      <c r="E13" s="120">
        <v>4</v>
      </c>
      <c r="F13" s="120">
        <v>5</v>
      </c>
      <c r="G13" s="120">
        <v>6</v>
      </c>
      <c r="H13" s="105"/>
      <c r="I13" s="105"/>
    </row>
    <row r="14" spans="1:9" ht="30" x14ac:dyDescent="0.25">
      <c r="A14" s="121" t="s">
        <v>9</v>
      </c>
      <c r="B14" s="142" t="s">
        <v>164</v>
      </c>
      <c r="C14" s="121"/>
      <c r="D14" s="143" t="s">
        <v>135</v>
      </c>
      <c r="E14" s="143">
        <f>E24</f>
        <v>99.996000000000009</v>
      </c>
      <c r="F14" s="143">
        <f>F24</f>
        <v>98.952000000000012</v>
      </c>
      <c r="G14" s="143">
        <f>G24</f>
        <v>99.719999999999985</v>
      </c>
      <c r="H14" s="105"/>
      <c r="I14" s="105"/>
    </row>
    <row r="15" spans="1:9" ht="15" customHeight="1" x14ac:dyDescent="0.25">
      <c r="A15" s="121" t="s">
        <v>10</v>
      </c>
      <c r="B15" s="172" t="s">
        <v>167</v>
      </c>
      <c r="C15" s="173"/>
      <c r="D15" s="173"/>
      <c r="E15" s="173"/>
      <c r="F15" s="173"/>
      <c r="G15" s="174"/>
      <c r="H15" s="105"/>
      <c r="I15" s="105"/>
    </row>
    <row r="16" spans="1:9" ht="36" customHeight="1" x14ac:dyDescent="0.25">
      <c r="A16" s="120">
        <v>1</v>
      </c>
      <c r="B16" s="124" t="s">
        <v>136</v>
      </c>
      <c r="C16" s="123">
        <f>C17+C18</f>
        <v>83.070000000000007</v>
      </c>
      <c r="D16" s="123" t="s">
        <v>135</v>
      </c>
      <c r="E16" s="123">
        <f t="shared" ref="E16:G16" si="0">E17+E18</f>
        <v>81.400000000000006</v>
      </c>
      <c r="F16" s="123">
        <f t="shared" si="0"/>
        <v>81.12</v>
      </c>
      <c r="G16" s="123">
        <f t="shared" si="0"/>
        <v>81.75</v>
      </c>
      <c r="H16" s="105"/>
      <c r="I16" s="105"/>
    </row>
    <row r="17" spans="1:9" ht="24.6" customHeight="1" x14ac:dyDescent="0.25">
      <c r="A17" s="125" t="s">
        <v>137</v>
      </c>
      <c r="B17" s="124" t="s">
        <v>138</v>
      </c>
      <c r="C17" s="123">
        <v>73.59</v>
      </c>
      <c r="D17" s="123" t="s">
        <v>135</v>
      </c>
      <c r="E17" s="123">
        <v>71.92</v>
      </c>
      <c r="F17" s="123">
        <v>71.64</v>
      </c>
      <c r="G17" s="123">
        <v>72.27</v>
      </c>
      <c r="H17" s="105"/>
      <c r="I17" s="105"/>
    </row>
    <row r="18" spans="1:9" ht="31.15" customHeight="1" x14ac:dyDescent="0.25">
      <c r="A18" s="120" t="s">
        <v>139</v>
      </c>
      <c r="B18" s="124" t="s">
        <v>140</v>
      </c>
      <c r="C18" s="123">
        <v>9.48</v>
      </c>
      <c r="D18" s="123" t="s">
        <v>135</v>
      </c>
      <c r="E18" s="123">
        <v>9.48</v>
      </c>
      <c r="F18" s="123">
        <v>9.48</v>
      </c>
      <c r="G18" s="123">
        <v>9.48</v>
      </c>
      <c r="H18" s="105"/>
      <c r="I18" s="105"/>
    </row>
    <row r="19" spans="1:9" ht="29.45" customHeight="1" x14ac:dyDescent="0.25">
      <c r="A19" s="120">
        <v>2</v>
      </c>
      <c r="B19" s="122" t="s">
        <v>141</v>
      </c>
      <c r="C19" s="123">
        <f>C20+C21+C22</f>
        <v>1.9300000000000002</v>
      </c>
      <c r="D19" s="123" t="s">
        <v>135</v>
      </c>
      <c r="E19" s="123">
        <f t="shared" ref="E19:G19" si="1">E20+E21+E22</f>
        <v>1.9300000000000002</v>
      </c>
      <c r="F19" s="123">
        <f t="shared" si="1"/>
        <v>1.34</v>
      </c>
      <c r="G19" s="123">
        <f t="shared" si="1"/>
        <v>1.35</v>
      </c>
      <c r="H19" s="105"/>
      <c r="I19" s="105"/>
    </row>
    <row r="20" spans="1:9" ht="20.45" customHeight="1" x14ac:dyDescent="0.25">
      <c r="A20" s="126" t="s">
        <v>142</v>
      </c>
      <c r="B20" s="122" t="s">
        <v>67</v>
      </c>
      <c r="C20" s="127">
        <v>0.35</v>
      </c>
      <c r="D20" s="123" t="s">
        <v>135</v>
      </c>
      <c r="E20" s="127">
        <v>0.35</v>
      </c>
      <c r="F20" s="127">
        <v>0.24</v>
      </c>
      <c r="G20" s="127">
        <v>0.23</v>
      </c>
      <c r="H20" s="105"/>
      <c r="I20" s="105"/>
    </row>
    <row r="21" spans="1:9" ht="27.6" customHeight="1" x14ac:dyDescent="0.25">
      <c r="A21" s="126" t="s">
        <v>143</v>
      </c>
      <c r="B21" s="122" t="s">
        <v>68</v>
      </c>
      <c r="C21" s="127">
        <v>0.48</v>
      </c>
      <c r="D21" s="123" t="s">
        <v>135</v>
      </c>
      <c r="E21" s="127">
        <v>0.48</v>
      </c>
      <c r="F21" s="127">
        <v>0</v>
      </c>
      <c r="G21" s="127">
        <v>0</v>
      </c>
      <c r="H21" s="105"/>
      <c r="I21" s="105"/>
    </row>
    <row r="22" spans="1:9" x14ac:dyDescent="0.25">
      <c r="A22" s="126" t="s">
        <v>144</v>
      </c>
      <c r="B22" s="128" t="s">
        <v>69</v>
      </c>
      <c r="C22" s="127">
        <v>1.1000000000000001</v>
      </c>
      <c r="D22" s="123" t="s">
        <v>135</v>
      </c>
      <c r="E22" s="127">
        <v>1.1000000000000001</v>
      </c>
      <c r="F22" s="127">
        <v>1.1000000000000001</v>
      </c>
      <c r="G22" s="127">
        <v>1.1200000000000001</v>
      </c>
      <c r="H22" s="105"/>
      <c r="I22" s="105"/>
    </row>
    <row r="23" spans="1:9" ht="19.149999999999999" customHeight="1" x14ac:dyDescent="0.25">
      <c r="A23" s="129">
        <v>3</v>
      </c>
      <c r="B23" s="122" t="s">
        <v>168</v>
      </c>
      <c r="C23" s="130">
        <f>C16+C19</f>
        <v>85.000000000000014</v>
      </c>
      <c r="D23" s="131" t="s">
        <v>135</v>
      </c>
      <c r="E23" s="130">
        <f t="shared" ref="E23:G23" si="2">E16+E19</f>
        <v>83.330000000000013</v>
      </c>
      <c r="F23" s="130">
        <f t="shared" si="2"/>
        <v>82.460000000000008</v>
      </c>
      <c r="G23" s="130">
        <f t="shared" si="2"/>
        <v>83.1</v>
      </c>
      <c r="H23" s="105"/>
      <c r="I23" s="105"/>
    </row>
    <row r="24" spans="1:9" ht="31.9" hidden="1" customHeight="1" x14ac:dyDescent="0.25">
      <c r="A24" s="115">
        <v>4</v>
      </c>
      <c r="B24" s="108" t="s">
        <v>163</v>
      </c>
      <c r="C24" s="116">
        <f>C23*1.2</f>
        <v>102.00000000000001</v>
      </c>
      <c r="D24" s="117" t="s">
        <v>135</v>
      </c>
      <c r="E24" s="116">
        <f t="shared" ref="E24:G24" si="3">E23*1.2</f>
        <v>99.996000000000009</v>
      </c>
      <c r="F24" s="116">
        <f t="shared" si="3"/>
        <v>98.952000000000012</v>
      </c>
      <c r="G24" s="116">
        <f t="shared" si="3"/>
        <v>99.719999999999985</v>
      </c>
      <c r="H24" s="105"/>
      <c r="I24" s="105"/>
    </row>
    <row r="25" spans="1:9" ht="17.45" hidden="1" customHeight="1" x14ac:dyDescent="0.25">
      <c r="A25" s="115" t="s">
        <v>145</v>
      </c>
      <c r="B25" s="108" t="s">
        <v>146</v>
      </c>
      <c r="C25" s="116">
        <f>43.49*1.2</f>
        <v>52.188000000000002</v>
      </c>
      <c r="D25" s="117" t="s">
        <v>135</v>
      </c>
      <c r="E25" s="116">
        <f>43.53*1.2</f>
        <v>52.235999999999997</v>
      </c>
      <c r="F25" s="116">
        <f>43.41*1.2</f>
        <v>52.091999999999992</v>
      </c>
      <c r="G25" s="116">
        <f>42.36*1.2</f>
        <v>50.832000000000001</v>
      </c>
      <c r="H25" s="105"/>
      <c r="I25" s="105"/>
    </row>
    <row r="26" spans="1:9" ht="27" hidden="1" customHeight="1" x14ac:dyDescent="0.25">
      <c r="A26" s="118" t="s">
        <v>147</v>
      </c>
      <c r="B26" s="108" t="s">
        <v>148</v>
      </c>
      <c r="C26" s="116">
        <f>C24-C25</f>
        <v>49.812000000000012</v>
      </c>
      <c r="D26" s="117" t="s">
        <v>135</v>
      </c>
      <c r="E26" s="116">
        <f t="shared" ref="E26:G26" si="4">E24-E25</f>
        <v>47.760000000000012</v>
      </c>
      <c r="F26" s="116">
        <f t="shared" si="4"/>
        <v>46.860000000000021</v>
      </c>
      <c r="G26" s="116">
        <f t="shared" si="4"/>
        <v>48.887999999999984</v>
      </c>
      <c r="H26" s="105"/>
      <c r="I26" s="105"/>
    </row>
    <row r="28" spans="1:9" x14ac:dyDescent="0.25">
      <c r="A28" s="175" t="s">
        <v>126</v>
      </c>
      <c r="B28" s="176"/>
      <c r="C28" s="109"/>
      <c r="D28" s="109"/>
      <c r="E28" s="109"/>
      <c r="F28" s="81" t="s">
        <v>127</v>
      </c>
      <c r="G28" s="109"/>
    </row>
    <row r="29" spans="1:9" x14ac:dyDescent="0.25">
      <c r="B29" s="109"/>
      <c r="C29" s="109"/>
      <c r="D29" s="109"/>
      <c r="E29" s="109"/>
      <c r="F29" s="109"/>
      <c r="G29" s="109"/>
    </row>
    <row r="30" spans="1:9" x14ac:dyDescent="0.25">
      <c r="A30" s="175" t="s">
        <v>149</v>
      </c>
      <c r="B30" s="176"/>
      <c r="C30" s="81"/>
      <c r="D30" s="81"/>
      <c r="E30" s="81"/>
      <c r="G30" s="81"/>
    </row>
    <row r="31" spans="1:9" x14ac:dyDescent="0.25">
      <c r="A31" t="s">
        <v>150</v>
      </c>
      <c r="F31" s="81" t="s">
        <v>129</v>
      </c>
    </row>
  </sheetData>
  <mergeCells count="13">
    <mergeCell ref="B15:G15"/>
    <mergeCell ref="A28:B28"/>
    <mergeCell ref="A30:B30"/>
    <mergeCell ref="A5:G5"/>
    <mergeCell ref="A6:G6"/>
    <mergeCell ref="C10:C12"/>
    <mergeCell ref="E10:E12"/>
    <mergeCell ref="F10:F12"/>
    <mergeCell ref="G10:G12"/>
    <mergeCell ref="E9:G9"/>
    <mergeCell ref="A9:A12"/>
    <mergeCell ref="B9:B12"/>
    <mergeCell ref="D9:D12"/>
  </mergeCells>
  <pageMargins left="1.4960629921259843" right="0.51181102362204722" top="0.74803149606299213" bottom="0.74803149606299213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6</vt:i4>
      </vt:variant>
    </vt:vector>
  </HeadingPairs>
  <TitlesOfParts>
    <vt:vector size="6" baseType="lpstr">
      <vt:lpstr>Теплова енергія</vt:lpstr>
      <vt:lpstr>Виробництво</vt:lpstr>
      <vt:lpstr>Транспортування</vt:lpstr>
      <vt:lpstr>Постачання</vt:lpstr>
      <vt:lpstr>гаряча вода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V-Inna</dc:creator>
  <cp:lastModifiedBy>Отрощенко Сергій Володимирович</cp:lastModifiedBy>
  <cp:lastPrinted>2020-12-18T07:45:54Z</cp:lastPrinted>
  <dcterms:created xsi:type="dcterms:W3CDTF">2019-11-08T11:55:19Z</dcterms:created>
  <dcterms:modified xsi:type="dcterms:W3CDTF">2021-01-03T08:23:17Z</dcterms:modified>
</cp:coreProperties>
</file>