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O:\BUDJET\2026\Звіт за 1 квартал  2026\"/>
    </mc:Choice>
  </mc:AlternateContent>
  <xr:revisionPtr revIDLastSave="0" documentId="13_ncr:1_{E1775F10-9BB7-4902-8198-E1E37A04B98D}" xr6:coauthVersionLast="47" xr6:coauthVersionMax="47" xr10:uidLastSave="{00000000-0000-0000-0000-000000000000}"/>
  <bookViews>
    <workbookView xWindow="-120" yWindow="-120" windowWidth="29040" windowHeight="15720" xr2:uid="{00000000-000D-0000-FFFF-FFFF00000000}"/>
  </bookViews>
  <sheets>
    <sheet name="d2" sheetId="1" r:id="rId1"/>
  </sheets>
  <definedNames>
    <definedName name="_xlnm.Print_Titles" localSheetId="0">'d2'!$10:$13</definedName>
    <definedName name="_xlnm.Print_Area" localSheetId="0">'d2'!$A$1:$N$257</definedName>
    <definedName name="С1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45" i="1" l="1"/>
  <c r="I245" i="1"/>
  <c r="O219" i="1"/>
  <c r="O183" i="1"/>
  <c r="I217" i="1"/>
  <c r="I188" i="1"/>
  <c r="O139" i="1"/>
  <c r="O150" i="1"/>
  <c r="O167" i="1"/>
  <c r="K178" i="1"/>
  <c r="O85" i="1"/>
  <c r="I138" i="1"/>
  <c r="I137" i="1"/>
  <c r="O69" i="1"/>
  <c r="O19" i="1"/>
  <c r="J19" i="1"/>
  <c r="N19" i="1" s="1"/>
  <c r="I62" i="1"/>
  <c r="I42" i="1"/>
  <c r="N203" i="1" l="1"/>
  <c r="K203" i="1"/>
  <c r="J197" i="1"/>
  <c r="K197" i="1" s="1"/>
  <c r="I197" i="1"/>
  <c r="G197" i="1"/>
  <c r="F197" i="1"/>
  <c r="E197" i="1"/>
  <c r="N199" i="1"/>
  <c r="K199" i="1"/>
  <c r="N148" i="1"/>
  <c r="K148" i="1"/>
  <c r="N56" i="1"/>
  <c r="K56" i="1"/>
  <c r="J55" i="1"/>
  <c r="I55" i="1"/>
  <c r="G55" i="1"/>
  <c r="F55" i="1"/>
  <c r="E55" i="1"/>
  <c r="H172" i="1"/>
  <c r="J109" i="1"/>
  <c r="I109" i="1"/>
  <c r="J100" i="1"/>
  <c r="I100" i="1"/>
  <c r="G100" i="1"/>
  <c r="F100" i="1"/>
  <c r="E100" i="1"/>
  <c r="J98" i="1"/>
  <c r="I98" i="1"/>
  <c r="G98" i="1"/>
  <c r="F98" i="1"/>
  <c r="E98" i="1"/>
  <c r="E21" i="1"/>
  <c r="N68" i="1"/>
  <c r="H68" i="1"/>
  <c r="J38" i="1"/>
  <c r="I38" i="1"/>
  <c r="G38" i="1"/>
  <c r="F38" i="1"/>
  <c r="E38" i="1"/>
  <c r="J35" i="1"/>
  <c r="I35" i="1"/>
  <c r="G35" i="1"/>
  <c r="F35" i="1"/>
  <c r="E35" i="1"/>
  <c r="J32" i="1"/>
  <c r="I32" i="1"/>
  <c r="G32" i="1"/>
  <c r="F32" i="1"/>
  <c r="E32" i="1"/>
  <c r="J25" i="1"/>
  <c r="I25" i="1"/>
  <c r="G25" i="1"/>
  <c r="F25" i="1"/>
  <c r="E25" i="1"/>
  <c r="J21" i="1"/>
  <c r="I21" i="1"/>
  <c r="G21" i="1"/>
  <c r="F21" i="1"/>
  <c r="H98" i="1" l="1"/>
  <c r="N166" i="1"/>
  <c r="K166" i="1"/>
  <c r="J134" i="1"/>
  <c r="G134" i="1"/>
  <c r="F134" i="1"/>
  <c r="E134" i="1"/>
  <c r="N137" i="1"/>
  <c r="K137" i="1"/>
  <c r="N130" i="1"/>
  <c r="I116" i="1"/>
  <c r="J116" i="1"/>
  <c r="G116" i="1"/>
  <c r="F116" i="1"/>
  <c r="E116" i="1"/>
  <c r="K66" i="1"/>
  <c r="N66" i="1"/>
  <c r="J65" i="1"/>
  <c r="I65" i="1"/>
  <c r="G65" i="1"/>
  <c r="F65" i="1"/>
  <c r="E65" i="1"/>
  <c r="K58" i="1"/>
  <c r="N58" i="1"/>
  <c r="N15" i="1"/>
  <c r="I134" i="1" l="1"/>
  <c r="K130" i="1"/>
  <c r="K65" i="1"/>
  <c r="N65" i="1"/>
  <c r="F195" i="1"/>
  <c r="G195" i="1"/>
  <c r="H185" i="1"/>
  <c r="K57" i="1" l="1"/>
  <c r="N57" i="1"/>
  <c r="H57" i="1"/>
  <c r="N55" i="1"/>
  <c r="N84" i="1"/>
  <c r="K84" i="1"/>
  <c r="H231" i="1" l="1"/>
  <c r="H193" i="1"/>
  <c r="F159" i="1"/>
  <c r="H155" i="1"/>
  <c r="N98" i="1"/>
  <c r="N99" i="1"/>
  <c r="H99" i="1"/>
  <c r="G145" i="1"/>
  <c r="F145" i="1"/>
  <c r="E145" i="1"/>
  <c r="J145" i="1"/>
  <c r="J139" i="1" s="1"/>
  <c r="I145" i="1"/>
  <c r="I139" i="1" s="1"/>
  <c r="J237" i="1"/>
  <c r="I237" i="1"/>
  <c r="F237" i="1"/>
  <c r="J220" i="1"/>
  <c r="I220" i="1"/>
  <c r="G220" i="1"/>
  <c r="F220" i="1"/>
  <c r="I216" i="1"/>
  <c r="K190" i="1"/>
  <c r="N190" i="1"/>
  <c r="J195" i="1"/>
  <c r="I195" i="1"/>
  <c r="J184" i="1"/>
  <c r="I184" i="1"/>
  <c r="G184" i="1"/>
  <c r="F184" i="1"/>
  <c r="N182" i="1"/>
  <c r="K182" i="1"/>
  <c r="H174" i="1"/>
  <c r="J168" i="1"/>
  <c r="I168" i="1"/>
  <c r="G168" i="1"/>
  <c r="F168" i="1"/>
  <c r="I154" i="1"/>
  <c r="J162" i="1"/>
  <c r="I162" i="1"/>
  <c r="G162" i="1"/>
  <c r="F162" i="1"/>
  <c r="J156" i="1"/>
  <c r="I156" i="1"/>
  <c r="G156" i="1"/>
  <c r="F156" i="1"/>
  <c r="J154" i="1" l="1"/>
  <c r="G154" i="1"/>
  <c r="F154" i="1"/>
  <c r="J151" i="1"/>
  <c r="I151" i="1"/>
  <c r="G151" i="1"/>
  <c r="F151" i="1"/>
  <c r="F150" i="1" s="1"/>
  <c r="N149" i="1"/>
  <c r="K149" i="1"/>
  <c r="G139" i="1"/>
  <c r="F139" i="1"/>
  <c r="N138" i="1"/>
  <c r="K138" i="1"/>
  <c r="H154" i="1" l="1"/>
  <c r="J112" i="1"/>
  <c r="I112" i="1"/>
  <c r="G112" i="1"/>
  <c r="F112" i="1"/>
  <c r="E112" i="1"/>
  <c r="N114" i="1"/>
  <c r="H114" i="1"/>
  <c r="G109" i="1"/>
  <c r="F109" i="1"/>
  <c r="G104" i="1"/>
  <c r="F104" i="1"/>
  <c r="G95" i="1"/>
  <c r="F95" i="1"/>
  <c r="G86" i="1"/>
  <c r="F86" i="1"/>
  <c r="E86" i="1"/>
  <c r="F85" i="1" l="1"/>
  <c r="G85" i="1"/>
  <c r="G79" i="1"/>
  <c r="F79" i="1"/>
  <c r="E79" i="1"/>
  <c r="G75" i="1"/>
  <c r="F75" i="1"/>
  <c r="E75" i="1"/>
  <c r="N64" i="1"/>
  <c r="J63" i="1"/>
  <c r="I63" i="1"/>
  <c r="K64" i="1"/>
  <c r="G63" i="1"/>
  <c r="F63" i="1"/>
  <c r="E63" i="1"/>
  <c r="N62" i="1"/>
  <c r="J42" i="1"/>
  <c r="G42" i="1"/>
  <c r="F42" i="1"/>
  <c r="E42" i="1"/>
  <c r="N46" i="1"/>
  <c r="N45" i="1"/>
  <c r="K46" i="1"/>
  <c r="K45" i="1"/>
  <c r="N67" i="1"/>
  <c r="H67" i="1"/>
  <c r="G59" i="1"/>
  <c r="F28" i="1"/>
  <c r="J216" i="1"/>
  <c r="G216" i="1"/>
  <c r="F216" i="1"/>
  <c r="J209" i="1"/>
  <c r="I209" i="1"/>
  <c r="G209" i="1"/>
  <c r="F209" i="1"/>
  <c r="N103" i="1"/>
  <c r="N218" i="1"/>
  <c r="N217" i="1"/>
  <c r="N222" i="1"/>
  <c r="N225" i="1"/>
  <c r="N226" i="1"/>
  <c r="N63" i="1" l="1"/>
  <c r="K63" i="1"/>
  <c r="K62" i="1"/>
  <c r="J248" i="1"/>
  <c r="H103" i="1" l="1"/>
  <c r="K188" i="1" l="1"/>
  <c r="J159" i="1"/>
  <c r="J150" i="1" s="1"/>
  <c r="I159" i="1"/>
  <c r="I150" i="1" s="1"/>
  <c r="E159" i="1"/>
  <c r="G159" i="1"/>
  <c r="G82" i="1"/>
  <c r="F82" i="1"/>
  <c r="E82" i="1"/>
  <c r="N83" i="1"/>
  <c r="N53" i="1"/>
  <c r="K51" i="1"/>
  <c r="K50" i="1"/>
  <c r="H60" i="1"/>
  <c r="I59" i="1"/>
  <c r="K60" i="1"/>
  <c r="H48" i="1"/>
  <c r="N211" i="1"/>
  <c r="G250" i="1"/>
  <c r="F250" i="1"/>
  <c r="E250" i="1"/>
  <c r="J250" i="1"/>
  <c r="I250" i="1"/>
  <c r="N252" i="1"/>
  <c r="K252" i="1"/>
  <c r="H239" i="1"/>
  <c r="H238" i="1"/>
  <c r="E195" i="1"/>
  <c r="N60" i="1"/>
  <c r="N61" i="1"/>
  <c r="K61" i="1"/>
  <c r="J59" i="1"/>
  <c r="F59" i="1"/>
  <c r="E59" i="1"/>
  <c r="H159" i="1" l="1"/>
  <c r="G150" i="1"/>
  <c r="K159" i="1"/>
  <c r="N82" i="1"/>
  <c r="H59" i="1"/>
  <c r="K59" i="1"/>
  <c r="N59" i="1"/>
  <c r="J75" i="1"/>
  <c r="I75" i="1"/>
  <c r="J52" i="1" l="1"/>
  <c r="I52" i="1"/>
  <c r="G52" i="1"/>
  <c r="F52" i="1"/>
  <c r="E52" i="1"/>
  <c r="K53" i="1"/>
  <c r="N41" i="1"/>
  <c r="K52" i="1" l="1"/>
  <c r="N52" i="1"/>
  <c r="H173" i="1" l="1"/>
  <c r="N173" i="1"/>
  <c r="N107" i="1" l="1"/>
  <c r="N249" i="1" l="1"/>
  <c r="I248" i="1"/>
  <c r="G248" i="1"/>
  <c r="F248" i="1"/>
  <c r="E248" i="1"/>
  <c r="N248" i="1" l="1"/>
  <c r="K251" i="1"/>
  <c r="N251" i="1"/>
  <c r="N250" i="1" l="1"/>
  <c r="K101" i="1" l="1"/>
  <c r="N54" i="1"/>
  <c r="K54" i="1"/>
  <c r="N241" i="1" l="1"/>
  <c r="H241" i="1"/>
  <c r="H196" i="1" l="1"/>
  <c r="H161" i="1"/>
  <c r="N161" i="1"/>
  <c r="H140" i="1" l="1"/>
  <c r="H93" i="1"/>
  <c r="K246" i="1" l="1"/>
  <c r="H240" i="1"/>
  <c r="H236" i="1"/>
  <c r="H230" i="1"/>
  <c r="H226" i="1"/>
  <c r="H225" i="1"/>
  <c r="H224" i="1"/>
  <c r="H222" i="1"/>
  <c r="H221" i="1"/>
  <c r="H218" i="1" l="1"/>
  <c r="H215" i="1"/>
  <c r="H212" i="1"/>
  <c r="H211" i="1"/>
  <c r="H210" i="1"/>
  <c r="H208" i="1"/>
  <c r="H206" i="1"/>
  <c r="H205" i="1"/>
  <c r="H200" i="1"/>
  <c r="H198" i="1"/>
  <c r="H181" i="1" l="1"/>
  <c r="H179" i="1"/>
  <c r="H176" i="1"/>
  <c r="H175" i="1"/>
  <c r="H171" i="1"/>
  <c r="H170" i="1"/>
  <c r="H169" i="1"/>
  <c r="H165" i="1"/>
  <c r="H164" i="1"/>
  <c r="H163" i="1"/>
  <c r="H158" i="1"/>
  <c r="H157" i="1"/>
  <c r="H153" i="1"/>
  <c r="H152" i="1"/>
  <c r="H147" i="1"/>
  <c r="H146" i="1"/>
  <c r="H144" i="1"/>
  <c r="H143" i="1"/>
  <c r="H142" i="1"/>
  <c r="H141" i="1"/>
  <c r="H136" i="1" l="1"/>
  <c r="H135" i="1"/>
  <c r="H133" i="1"/>
  <c r="H115" i="1"/>
  <c r="H113" i="1"/>
  <c r="H111" i="1"/>
  <c r="H110" i="1"/>
  <c r="H108" i="1"/>
  <c r="H106" i="1"/>
  <c r="H105" i="1"/>
  <c r="H102" i="1"/>
  <c r="H101" i="1"/>
  <c r="H97" i="1"/>
  <c r="H96" i="1"/>
  <c r="H94" i="1"/>
  <c r="H92" i="1"/>
  <c r="H91" i="1"/>
  <c r="H90" i="1"/>
  <c r="H89" i="1"/>
  <c r="H88" i="1"/>
  <c r="H87" i="1"/>
  <c r="K133" i="1" l="1"/>
  <c r="H81" i="1"/>
  <c r="H80" i="1"/>
  <c r="H76" i="1"/>
  <c r="H73" i="1"/>
  <c r="H72" i="1"/>
  <c r="H71" i="1"/>
  <c r="H70" i="1"/>
  <c r="H47" i="1"/>
  <c r="H44" i="1"/>
  <c r="H43" i="1"/>
  <c r="H41" i="1"/>
  <c r="H40" i="1"/>
  <c r="H39" i="1"/>
  <c r="H37" i="1"/>
  <c r="H36" i="1"/>
  <c r="H34" i="1"/>
  <c r="E14" i="1"/>
  <c r="F14" i="1"/>
  <c r="G14" i="1"/>
  <c r="I14" i="1"/>
  <c r="J14" i="1"/>
  <c r="H33" i="1"/>
  <c r="H31" i="1"/>
  <c r="H30" i="1"/>
  <c r="H29" i="1"/>
  <c r="H27" i="1"/>
  <c r="H26" i="1"/>
  <c r="H24" i="1"/>
  <c r="H23" i="1"/>
  <c r="H22" i="1"/>
  <c r="G49" i="1"/>
  <c r="H20" i="1"/>
  <c r="H18" i="1"/>
  <c r="H17" i="1"/>
  <c r="H16" i="1"/>
  <c r="H14" i="1" l="1"/>
  <c r="H15" i="1" l="1"/>
  <c r="N24" i="1" l="1"/>
  <c r="K24" i="1"/>
  <c r="F245" i="1" l="1"/>
  <c r="F244" i="1" s="1"/>
  <c r="F243" i="1" s="1"/>
  <c r="F235" i="1"/>
  <c r="F232" i="1"/>
  <c r="F229" i="1"/>
  <c r="F227" i="1"/>
  <c r="F223" i="1"/>
  <c r="F204" i="1"/>
  <c r="F201" i="1"/>
  <c r="F194" i="1" s="1"/>
  <c r="F191" i="1"/>
  <c r="F186" i="1" s="1"/>
  <c r="F177" i="1"/>
  <c r="F167" i="1" s="1"/>
  <c r="F77" i="1"/>
  <c r="F69" i="1" s="1"/>
  <c r="F49" i="1"/>
  <c r="F19" i="1" s="1"/>
  <c r="F207" i="1" l="1"/>
  <c r="F234" i="1"/>
  <c r="F219" i="1"/>
  <c r="F183" i="1" l="1"/>
  <c r="F242" i="1" s="1"/>
  <c r="F275" i="1" s="1"/>
  <c r="N246" i="1"/>
  <c r="K165" i="1"/>
  <c r="N115" i="1"/>
  <c r="F253" i="1" l="1"/>
  <c r="G223" i="1" l="1"/>
  <c r="J223" i="1"/>
  <c r="I223" i="1"/>
  <c r="E223" i="1"/>
  <c r="H223" i="1" l="1"/>
  <c r="N223" i="1"/>
  <c r="N224" i="1"/>
  <c r="N193" i="1" l="1"/>
  <c r="H184" i="1"/>
  <c r="E184" i="1"/>
  <c r="N144" i="1" l="1"/>
  <c r="N133" i="1"/>
  <c r="N93" i="1"/>
  <c r="J201" i="1" l="1"/>
  <c r="J194" i="1" s="1"/>
  <c r="N165" i="1"/>
  <c r="H75" i="1" l="1"/>
  <c r="N16" i="1" l="1"/>
  <c r="N17" i="1"/>
  <c r="N18" i="1"/>
  <c r="K20" i="1"/>
  <c r="N20" i="1"/>
  <c r="K22" i="1"/>
  <c r="N22" i="1"/>
  <c r="K23" i="1"/>
  <c r="N23" i="1"/>
  <c r="N26" i="1"/>
  <c r="N27" i="1"/>
  <c r="E28" i="1"/>
  <c r="G28" i="1"/>
  <c r="G19" i="1" s="1"/>
  <c r="I28" i="1"/>
  <c r="J28" i="1"/>
  <c r="N29" i="1"/>
  <c r="K30" i="1"/>
  <c r="N30" i="1"/>
  <c r="K31" i="1"/>
  <c r="N31" i="1"/>
  <c r="H32" i="1"/>
  <c r="K33" i="1"/>
  <c r="N33" i="1"/>
  <c r="N34" i="1"/>
  <c r="H35" i="1"/>
  <c r="K36" i="1"/>
  <c r="N36" i="1"/>
  <c r="N37" i="1"/>
  <c r="H38" i="1"/>
  <c r="N39" i="1"/>
  <c r="N40" i="1"/>
  <c r="K43" i="1"/>
  <c r="N43" i="1"/>
  <c r="K44" i="1"/>
  <c r="N44" i="1"/>
  <c r="N47" i="1"/>
  <c r="N48" i="1"/>
  <c r="E49" i="1"/>
  <c r="I49" i="1"/>
  <c r="J49" i="1"/>
  <c r="N50" i="1"/>
  <c r="N51" i="1"/>
  <c r="N70" i="1"/>
  <c r="N71" i="1"/>
  <c r="N72" i="1"/>
  <c r="N73" i="1"/>
  <c r="K74" i="1"/>
  <c r="N74" i="1"/>
  <c r="N75" i="1"/>
  <c r="N76" i="1"/>
  <c r="E77" i="1"/>
  <c r="E69" i="1" s="1"/>
  <c r="G77" i="1"/>
  <c r="G69" i="1" s="1"/>
  <c r="N78" i="1"/>
  <c r="I79" i="1"/>
  <c r="I69" i="1" s="1"/>
  <c r="J79" i="1"/>
  <c r="J69" i="1" s="1"/>
  <c r="N80" i="1"/>
  <c r="N81" i="1"/>
  <c r="I86" i="1"/>
  <c r="J86" i="1"/>
  <c r="N87" i="1"/>
  <c r="N88" i="1"/>
  <c r="N89" i="1"/>
  <c r="N90" i="1"/>
  <c r="N91" i="1"/>
  <c r="N92" i="1"/>
  <c r="N94" i="1"/>
  <c r="E95" i="1"/>
  <c r="H95" i="1"/>
  <c r="I95" i="1"/>
  <c r="J95" i="1"/>
  <c r="K96" i="1"/>
  <c r="N96" i="1"/>
  <c r="K97" i="1"/>
  <c r="N97" i="1"/>
  <c r="H100" i="1"/>
  <c r="N101" i="1"/>
  <c r="K102" i="1"/>
  <c r="N102" i="1"/>
  <c r="E104" i="1"/>
  <c r="H104" i="1"/>
  <c r="I104" i="1"/>
  <c r="J104" i="1"/>
  <c r="K105" i="1"/>
  <c r="N105" i="1"/>
  <c r="K106" i="1"/>
  <c r="N106" i="1"/>
  <c r="N108" i="1"/>
  <c r="E109" i="1"/>
  <c r="N110" i="1"/>
  <c r="N111" i="1"/>
  <c r="H112" i="1"/>
  <c r="N113" i="1"/>
  <c r="K117" i="1"/>
  <c r="N117" i="1"/>
  <c r="K120" i="1"/>
  <c r="N120" i="1"/>
  <c r="K124" i="1"/>
  <c r="N124" i="1"/>
  <c r="K127" i="1"/>
  <c r="N127" i="1"/>
  <c r="H134" i="1"/>
  <c r="K135" i="1"/>
  <c r="N135" i="1"/>
  <c r="K136" i="1"/>
  <c r="N136" i="1"/>
  <c r="N140" i="1"/>
  <c r="K141" i="1"/>
  <c r="N141" i="1"/>
  <c r="K142" i="1"/>
  <c r="N142" i="1"/>
  <c r="K143" i="1"/>
  <c r="N143" i="1"/>
  <c r="E139" i="1"/>
  <c r="K146" i="1"/>
  <c r="N146" i="1"/>
  <c r="N147" i="1"/>
  <c r="E151" i="1"/>
  <c r="N152" i="1"/>
  <c r="N153" i="1"/>
  <c r="E154" i="1"/>
  <c r="N155" i="1"/>
  <c r="E156" i="1"/>
  <c r="H156" i="1"/>
  <c r="K157" i="1"/>
  <c r="N157" i="1"/>
  <c r="N158" i="1"/>
  <c r="K160" i="1"/>
  <c r="N160" i="1"/>
  <c r="E162" i="1"/>
  <c r="H162" i="1"/>
  <c r="N163" i="1"/>
  <c r="N164" i="1"/>
  <c r="E168" i="1"/>
  <c r="H168" i="1"/>
  <c r="N169" i="1"/>
  <c r="N170" i="1"/>
  <c r="N171" i="1"/>
  <c r="N172" i="1"/>
  <c r="N174" i="1"/>
  <c r="N176" i="1"/>
  <c r="E177" i="1"/>
  <c r="G177" i="1"/>
  <c r="G167" i="1" s="1"/>
  <c r="I177" i="1"/>
  <c r="I167" i="1" s="1"/>
  <c r="J177" i="1"/>
  <c r="J167" i="1" s="1"/>
  <c r="N178" i="1"/>
  <c r="K179" i="1"/>
  <c r="N179" i="1"/>
  <c r="N180" i="1"/>
  <c r="N181" i="1"/>
  <c r="N185" i="1"/>
  <c r="K187" i="1"/>
  <c r="N187" i="1"/>
  <c r="N188" i="1"/>
  <c r="K189" i="1"/>
  <c r="N189" i="1"/>
  <c r="E191" i="1"/>
  <c r="E186" i="1" s="1"/>
  <c r="G191" i="1"/>
  <c r="G186" i="1" s="1"/>
  <c r="H186" i="1" s="1"/>
  <c r="I191" i="1"/>
  <c r="I186" i="1" s="1"/>
  <c r="J191" i="1"/>
  <c r="J186" i="1" s="1"/>
  <c r="K192" i="1"/>
  <c r="N192" i="1"/>
  <c r="H195" i="1"/>
  <c r="N196" i="1"/>
  <c r="N198" i="1"/>
  <c r="N200" i="1"/>
  <c r="E201" i="1"/>
  <c r="E194" i="1" s="1"/>
  <c r="G201" i="1"/>
  <c r="G194" i="1" s="1"/>
  <c r="I201" i="1"/>
  <c r="I194" i="1" s="1"/>
  <c r="K202" i="1"/>
  <c r="N202" i="1"/>
  <c r="E204" i="1"/>
  <c r="G204" i="1"/>
  <c r="H204" i="1" s="1"/>
  <c r="I204" i="1"/>
  <c r="J204" i="1"/>
  <c r="N205" i="1"/>
  <c r="N206" i="1"/>
  <c r="N208" i="1"/>
  <c r="E209" i="1"/>
  <c r="H209" i="1"/>
  <c r="N210" i="1"/>
  <c r="N212" i="1"/>
  <c r="S212" i="1" s="1"/>
  <c r="K213" i="1"/>
  <c r="N213" i="1"/>
  <c r="N214" i="1"/>
  <c r="N215" i="1"/>
  <c r="E216" i="1"/>
  <c r="E220" i="1"/>
  <c r="H220" i="1"/>
  <c r="N221" i="1"/>
  <c r="E227" i="1"/>
  <c r="G227" i="1"/>
  <c r="I227" i="1"/>
  <c r="J227" i="1"/>
  <c r="K228" i="1"/>
  <c r="N228" i="1"/>
  <c r="E229" i="1"/>
  <c r="G229" i="1"/>
  <c r="H229" i="1" s="1"/>
  <c r="I229" i="1"/>
  <c r="J229" i="1"/>
  <c r="N230" i="1"/>
  <c r="N231" i="1"/>
  <c r="E232" i="1"/>
  <c r="G232" i="1"/>
  <c r="I232" i="1"/>
  <c r="J232" i="1"/>
  <c r="N233" i="1"/>
  <c r="E235" i="1"/>
  <c r="G235" i="1"/>
  <c r="I235" i="1"/>
  <c r="J235" i="1"/>
  <c r="N236" i="1"/>
  <c r="E237" i="1"/>
  <c r="G237" i="1"/>
  <c r="H237" i="1" s="1"/>
  <c r="N238" i="1"/>
  <c r="N239" i="1"/>
  <c r="N240" i="1"/>
  <c r="L242" i="1"/>
  <c r="M242" i="1"/>
  <c r="E245" i="1"/>
  <c r="E244" i="1" s="1"/>
  <c r="E243" i="1" s="1"/>
  <c r="G245" i="1"/>
  <c r="G244" i="1" s="1"/>
  <c r="I244" i="1"/>
  <c r="I243" i="1" s="1"/>
  <c r="J244" i="1"/>
  <c r="N247" i="1"/>
  <c r="L253" i="1"/>
  <c r="M253" i="1"/>
  <c r="E19" i="1" l="1"/>
  <c r="I19" i="1"/>
  <c r="E150" i="1"/>
  <c r="E85" i="1"/>
  <c r="J85" i="1"/>
  <c r="I85" i="1"/>
  <c r="E167" i="1"/>
  <c r="H28" i="1"/>
  <c r="H19" i="1"/>
  <c r="H86" i="1"/>
  <c r="H85" i="1"/>
  <c r="H79" i="1"/>
  <c r="H69" i="1"/>
  <c r="N49" i="1"/>
  <c r="K49" i="1"/>
  <c r="K162" i="1"/>
  <c r="I234" i="1"/>
  <c r="E234" i="1"/>
  <c r="H21" i="1"/>
  <c r="H235" i="1"/>
  <c r="G234" i="1"/>
  <c r="H234" i="1" s="1"/>
  <c r="K100" i="1"/>
  <c r="N232" i="1"/>
  <c r="J234" i="1"/>
  <c r="N109" i="1"/>
  <c r="H109" i="1"/>
  <c r="N25" i="1"/>
  <c r="H25" i="1"/>
  <c r="N201" i="1"/>
  <c r="N197" i="1"/>
  <c r="H197" i="1"/>
  <c r="N151" i="1"/>
  <c r="H151" i="1"/>
  <c r="H139" i="1"/>
  <c r="H145" i="1"/>
  <c r="N28" i="1"/>
  <c r="K104" i="1"/>
  <c r="N168" i="1"/>
  <c r="K116" i="1"/>
  <c r="N134" i="1"/>
  <c r="N79" i="1"/>
  <c r="K227" i="1"/>
  <c r="N220" i="1"/>
  <c r="N116" i="1"/>
  <c r="N77" i="1"/>
  <c r="N245" i="1"/>
  <c r="K35" i="1"/>
  <c r="K21" i="1"/>
  <c r="N162" i="1"/>
  <c r="N32" i="1"/>
  <c r="K201" i="1"/>
  <c r="E219" i="1"/>
  <c r="K191" i="1"/>
  <c r="K134" i="1"/>
  <c r="N104" i="1"/>
  <c r="N100" i="1"/>
  <c r="N35" i="1"/>
  <c r="N235" i="1"/>
  <c r="N227" i="1"/>
  <c r="I219" i="1"/>
  <c r="E207" i="1"/>
  <c r="H194" i="1"/>
  <c r="N237" i="1"/>
  <c r="N229" i="1"/>
  <c r="H216" i="1"/>
  <c r="N209" i="1"/>
  <c r="N175" i="1"/>
  <c r="H167" i="1"/>
  <c r="N159" i="1"/>
  <c r="N156" i="1"/>
  <c r="K145" i="1"/>
  <c r="K95" i="1"/>
  <c r="G243" i="1"/>
  <c r="I207" i="1"/>
  <c r="N186" i="1"/>
  <c r="K156" i="1"/>
  <c r="K42" i="1"/>
  <c r="K32" i="1"/>
  <c r="K216" i="1"/>
  <c r="J243" i="1"/>
  <c r="N191" i="1"/>
  <c r="N38" i="1"/>
  <c r="J219" i="1"/>
  <c r="K217" i="1"/>
  <c r="N204" i="1"/>
  <c r="K69" i="1"/>
  <c r="G219" i="1"/>
  <c r="H219" i="1" s="1"/>
  <c r="J207" i="1"/>
  <c r="N195" i="1"/>
  <c r="N184" i="1"/>
  <c r="N177" i="1"/>
  <c r="N154" i="1"/>
  <c r="H150" i="1"/>
  <c r="N145" i="1"/>
  <c r="N112" i="1"/>
  <c r="N95" i="1"/>
  <c r="N86" i="1"/>
  <c r="N42" i="1"/>
  <c r="K214" i="1"/>
  <c r="N21" i="1"/>
  <c r="E183" i="1" l="1"/>
  <c r="E242" i="1" s="1"/>
  <c r="N69" i="1"/>
  <c r="K219" i="1"/>
  <c r="G207" i="1"/>
  <c r="H207" i="1" s="1"/>
  <c r="N216" i="1"/>
  <c r="K207" i="1"/>
  <c r="K150" i="1"/>
  <c r="K167" i="1"/>
  <c r="N243" i="1"/>
  <c r="K194" i="1"/>
  <c r="K19" i="1"/>
  <c r="N167" i="1"/>
  <c r="N194" i="1"/>
  <c r="N244" i="1"/>
  <c r="I183" i="1"/>
  <c r="I242" i="1" s="1"/>
  <c r="I275" i="1" s="1"/>
  <c r="K139" i="1"/>
  <c r="N139" i="1"/>
  <c r="N234" i="1"/>
  <c r="O234" i="1" s="1"/>
  <c r="N150" i="1"/>
  <c r="N14" i="1"/>
  <c r="O14" i="1" s="1"/>
  <c r="N85" i="1"/>
  <c r="K85" i="1"/>
  <c r="K186" i="1"/>
  <c r="J183" i="1"/>
  <c r="J242" i="1" s="1"/>
  <c r="N219" i="1"/>
  <c r="S219" i="1" l="1"/>
  <c r="S150" i="1"/>
  <c r="S139" i="1"/>
  <c r="I253" i="1"/>
  <c r="E253" i="1"/>
  <c r="E275" i="1"/>
  <c r="N207" i="1"/>
  <c r="G183" i="1"/>
  <c r="H183" i="1" s="1"/>
  <c r="K183" i="1"/>
  <c r="K242" i="1"/>
  <c r="J253" i="1"/>
  <c r="N183" i="1" l="1"/>
  <c r="G242" i="1"/>
  <c r="H242" i="1" s="1"/>
  <c r="K253" i="1"/>
  <c r="N242" i="1" l="1"/>
  <c r="N253" i="1" s="1"/>
  <c r="S253" i="1" s="1"/>
  <c r="G253" i="1"/>
  <c r="T253" i="1" s="1"/>
  <c r="H253" i="1" l="1"/>
  <c r="O242" i="1"/>
  <c r="O253" i="1"/>
</calcChain>
</file>

<file path=xl/sharedStrings.xml><?xml version="1.0" encoding="utf-8"?>
<sst xmlns="http://schemas.openxmlformats.org/spreadsheetml/2006/main" count="810" uniqueCount="629">
  <si>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</si>
  <si>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</si>
  <si>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</si>
  <si>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</si>
  <si>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</si>
  <si>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Загальний фонд</t>
  </si>
  <si>
    <t>Спеціальний фонд</t>
  </si>
  <si>
    <t>1</t>
  </si>
  <si>
    <t>2</t>
  </si>
  <si>
    <t>3</t>
  </si>
  <si>
    <t>4</t>
  </si>
  <si>
    <t>5</t>
  </si>
  <si>
    <t>6</t>
  </si>
  <si>
    <t>0210100</t>
  </si>
  <si>
    <t>0100</t>
  </si>
  <si>
    <t>Державне управління</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</si>
  <si>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</si>
  <si>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</si>
  <si>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</si>
  <si>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</si>
  <si>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0210160</t>
  </si>
  <si>
    <t>0160</t>
  </si>
  <si>
    <t>0210170</t>
  </si>
  <si>
    <t>0170</t>
  </si>
  <si>
    <t>0131</t>
  </si>
  <si>
    <t>Підвищення кваліфікації депутатів місцевих рад та посадових осіб місцевого самоврядування</t>
  </si>
  <si>
    <t>0210180</t>
  </si>
  <si>
    <t>0180</t>
  </si>
  <si>
    <t>0133</t>
  </si>
  <si>
    <t>Інша діяльність у сфері державного управління</t>
  </si>
  <si>
    <t>7000</t>
  </si>
  <si>
    <t>7500</t>
  </si>
  <si>
    <t>Зв'язок, телекомунікації та інформатика</t>
  </si>
  <si>
    <t>7520</t>
  </si>
  <si>
    <t>Реалізація Національної програми інформатизації</t>
  </si>
  <si>
    <t>7600</t>
  </si>
  <si>
    <t>Інші програми та заходи, пов'язані з економічною діяльністю</t>
  </si>
  <si>
    <t>7680</t>
  </si>
  <si>
    <t>0490</t>
  </si>
  <si>
    <t>Членські внески до асоціацій органів місцевого самоврядування</t>
  </si>
  <si>
    <t>7690</t>
  </si>
  <si>
    <t>7691</t>
  </si>
  <si>
    <t>7693</t>
  </si>
  <si>
    <t>Інші заходи, пов'язані з економічною діяльністю</t>
  </si>
  <si>
    <t>8000</t>
  </si>
  <si>
    <t>Інша діяльність</t>
  </si>
  <si>
    <t>8400</t>
  </si>
  <si>
    <t>8410</t>
  </si>
  <si>
    <t>0830</t>
  </si>
  <si>
    <t>9000</t>
  </si>
  <si>
    <t>Міжбюджетні трансферти</t>
  </si>
  <si>
    <t>9700</t>
  </si>
  <si>
    <t>Субвенції з місцевого бюджету іншим місцевим бюджетам на здійснення програм та заходів за рахунок коштів місцевих бюджетів</t>
  </si>
  <si>
    <t>9710</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</si>
  <si>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</si>
  <si>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9770</t>
  </si>
  <si>
    <t>Інші субвенції з місцевого бюджету</t>
  </si>
  <si>
    <t>9800</t>
  </si>
  <si>
    <t>Субвенція з місцевого бюджету державному бюджету на виконання програм соціально-економічного розвитку регіонів</t>
  </si>
  <si>
    <t>0611000</t>
  </si>
  <si>
    <t>1000</t>
  </si>
  <si>
    <t>Освіта</t>
  </si>
  <si>
    <t>0611010</t>
  </si>
  <si>
    <t>1010</t>
  </si>
  <si>
    <t>0910</t>
  </si>
  <si>
    <t>Надання дошкільної освіти</t>
  </si>
  <si>
    <t>0611020</t>
  </si>
  <si>
    <t>1020</t>
  </si>
  <si>
    <t>Надання загальної середньої освіти за рахунок коштів місцевого бюджету</t>
  </si>
  <si>
    <t>0611021</t>
  </si>
  <si>
    <t>1021</t>
  </si>
  <si>
    <t>0921</t>
  </si>
  <si>
    <t>0611022</t>
  </si>
  <si>
    <t>1022</t>
  </si>
  <si>
    <t>0922</t>
  </si>
  <si>
    <t>0611030</t>
  </si>
  <si>
    <t>1030</t>
  </si>
  <si>
    <t>Надання загальної середньої освіти за рахунок освітньої субвенції</t>
  </si>
  <si>
    <t>0611031</t>
  </si>
  <si>
    <t>1031</t>
  </si>
  <si>
    <t>0611060</t>
  </si>
  <si>
    <t>1060</t>
  </si>
  <si>
    <t>0611061</t>
  </si>
  <si>
    <t>1061</t>
  </si>
  <si>
    <t>0611070</t>
  </si>
  <si>
    <t>1070</t>
  </si>
  <si>
    <t>0960</t>
  </si>
  <si>
    <t>Надання позашкільної освіти закладами позашкільної освіти, заходи із позашкільної роботи з дітьми</t>
  </si>
  <si>
    <t>0611090</t>
  </si>
  <si>
    <t>1090</t>
  </si>
  <si>
    <t>0611091</t>
  </si>
  <si>
    <t>1091</t>
  </si>
  <si>
    <t>0930</t>
  </si>
  <si>
    <t>0611092</t>
  </si>
  <si>
    <t>1092</t>
  </si>
  <si>
    <t>0611140</t>
  </si>
  <si>
    <t>1140</t>
  </si>
  <si>
    <t>Інші програми, заклади та заходи у сфері освіти</t>
  </si>
  <si>
    <t>0611141</t>
  </si>
  <si>
    <t>1141</t>
  </si>
  <si>
    <t>0990</t>
  </si>
  <si>
    <t>Забезпечення діяльності інших закладів у сфері освіти</t>
  </si>
  <si>
    <t>0611142</t>
  </si>
  <si>
    <t>1142</t>
  </si>
  <si>
    <t>Інші програми та заходи у сфері освіти</t>
  </si>
  <si>
    <t>0611150</t>
  </si>
  <si>
    <t>1150</t>
  </si>
  <si>
    <t>Забезпечення діяльності інклюзивно-ресурсних центрів</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</si>
  <si>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</si>
  <si>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</si>
  <si>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</si>
  <si>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</si>
  <si>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</si>
  <si>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</si>
  <si>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0611160</t>
  </si>
  <si>
    <t>1160</t>
  </si>
  <si>
    <t>0611180</t>
  </si>
  <si>
    <t>1180</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</si>
  <si>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</si>
  <si>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</si>
  <si>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</si>
  <si>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0611200</t>
  </si>
  <si>
    <t>1200</t>
  </si>
  <si>
    <t>1210</t>
  </si>
  <si>
    <t>3000</t>
  </si>
  <si>
    <t>Соціальний захист та соціальне забезпечення</t>
  </si>
  <si>
    <t>1040</t>
  </si>
  <si>
    <t>0712000</t>
  </si>
  <si>
    <t>2000</t>
  </si>
  <si>
    <t>Охорона здоров’я</t>
  </si>
  <si>
    <t>0712010</t>
  </si>
  <si>
    <t>2010</t>
  </si>
  <si>
    <t>0731</t>
  </si>
  <si>
    <t>Багатопрофільна стаціонарна медична допомога населенню</t>
  </si>
  <si>
    <t>0712020</t>
  </si>
  <si>
    <t>2020</t>
  </si>
  <si>
    <t>0732</t>
  </si>
  <si>
    <t>Спеціалізована стаціонарна медична допомога населенню</t>
  </si>
  <si>
    <t>0712030</t>
  </si>
  <si>
    <t>2030</t>
  </si>
  <si>
    <t>0733</t>
  </si>
  <si>
    <t>Лікарсько-акушерська допомога вагітним, породіллям та новонародженим</t>
  </si>
  <si>
    <t>0712080</t>
  </si>
  <si>
    <t>2080</t>
  </si>
  <si>
    <t>0721</t>
  </si>
  <si>
    <t>Амбулаторно-поліклінічна допомога населенню, крім первинної медичної допомоги</t>
  </si>
  <si>
    <t>0712100</t>
  </si>
  <si>
    <t>2100</t>
  </si>
  <si>
    <t>0722</t>
  </si>
  <si>
    <t>Стоматологічна допомога населенню</t>
  </si>
  <si>
    <t>0712110</t>
  </si>
  <si>
    <t>2110</t>
  </si>
  <si>
    <t>Первинна медична допомога населенню</t>
  </si>
  <si>
    <t>0712111</t>
  </si>
  <si>
    <t>2111</t>
  </si>
  <si>
    <t>0726</t>
  </si>
  <si>
    <t>Первинна медична допомога населенню, що надається центрами первинної медичної (медико-санітарної) допомоги</t>
  </si>
  <si>
    <t>0712140</t>
  </si>
  <si>
    <t>2140</t>
  </si>
  <si>
    <t>Програми і централізовані заходи у галузі охорони здоров’я</t>
  </si>
  <si>
    <t>0712144</t>
  </si>
  <si>
    <t>2144</t>
  </si>
  <si>
    <t>0763</t>
  </si>
  <si>
    <t>Централізовані заходи з лікування хворих на цукровий та нецукровий діабет</t>
  </si>
  <si>
    <t>0712150</t>
  </si>
  <si>
    <t>2150</t>
  </si>
  <si>
    <t>0712151</t>
  </si>
  <si>
    <t>2151</t>
  </si>
  <si>
    <t>0712152</t>
  </si>
  <si>
    <t>2152</t>
  </si>
  <si>
    <t>7670</t>
  </si>
  <si>
    <t>0813000</t>
  </si>
  <si>
    <t>0813030</t>
  </si>
  <si>
    <t>3030</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</si>
  <si>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</si>
  <si>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</si>
  <si>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</si>
  <si>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</si>
  <si>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</si>
  <si>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</si>
  <si>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</si>
  <si>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</si>
  <si>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0813035</t>
  </si>
  <si>
    <t>3035</t>
  </si>
  <si>
    <t>Компенсаційні виплати за пільговий проїзд окремих категорій громадян на залізничному транспорті</t>
  </si>
  <si>
    <t>0813036</t>
  </si>
  <si>
    <t>3036</t>
  </si>
  <si>
    <t>Компенсаційні виплати на пільговий проїзд електротранспортом окремим категоріям громадян</t>
  </si>
  <si>
    <t>0813050</t>
  </si>
  <si>
    <t>3050</t>
  </si>
  <si>
    <t>Пільгове медичне обслуговування осіб, які постраждали внаслідок Чорнобильської катастрофи</t>
  </si>
  <si>
    <t>3060</t>
  </si>
  <si>
    <t>Оздоровлення громадян,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</si>
  <si>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</si>
  <si>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</si>
  <si>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</si>
  <si>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</si>
  <si>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</si>
  <si>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</si>
  <si>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0813104</t>
  </si>
  <si>
    <t>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</si>
  <si>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</si>
  <si>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0813105</t>
  </si>
  <si>
    <t>3105</t>
  </si>
  <si>
    <t>Надання реабілітаційних послуг особам з інвалідністю та дітям з інвалідністю</t>
  </si>
  <si>
    <t>0813160</t>
  </si>
  <si>
    <t>3160</t>
  </si>
  <si>
    <t>0813170</t>
  </si>
  <si>
    <t>3170</t>
  </si>
  <si>
    <t>Забезпечення реалізації окремих програм для осіб з інвалідністю</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</si>
  <si>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</si>
  <si>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</si>
  <si>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</si>
  <si>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0813180</t>
  </si>
  <si>
    <t>3180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</si>
  <si>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</si>
  <si>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0813190</t>
  </si>
  <si>
    <t>3190</t>
  </si>
  <si>
    <t>0813192</t>
  </si>
  <si>
    <t>3192</t>
  </si>
  <si>
    <t>Надання фінансової підтримки громадським об'єднанням ветеранів і осіб з інвалідністю, діяльність яких має соціальну спрямованість</t>
  </si>
  <si>
    <t>0813210</t>
  </si>
  <si>
    <t>3210</t>
  </si>
  <si>
    <t>1050</t>
  </si>
  <si>
    <t>Організація та проведення громадських робіт</t>
  </si>
  <si>
    <t>0813240</t>
  </si>
  <si>
    <t>3240</t>
  </si>
  <si>
    <t>0813241</t>
  </si>
  <si>
    <t>3241</t>
  </si>
  <si>
    <t>0813242</t>
  </si>
  <si>
    <t>3242</t>
  </si>
  <si>
    <t>6000</t>
  </si>
  <si>
    <t>Житлово-комунальне господарство</t>
  </si>
  <si>
    <t>6080</t>
  </si>
  <si>
    <t>6082</t>
  </si>
  <si>
    <t>0610</t>
  </si>
  <si>
    <t>7300</t>
  </si>
  <si>
    <t>0443</t>
  </si>
  <si>
    <t>1080</t>
  </si>
  <si>
    <t>1014000</t>
  </si>
  <si>
    <t>4000</t>
  </si>
  <si>
    <t>Культура i мистецтво</t>
  </si>
  <si>
    <t>1014010</t>
  </si>
  <si>
    <t>4010</t>
  </si>
  <si>
    <t>0821</t>
  </si>
  <si>
    <t>Фінансова підтримка театрів</t>
  </si>
  <si>
    <t>1014030</t>
  </si>
  <si>
    <t>4030</t>
  </si>
  <si>
    <t>0824</t>
  </si>
  <si>
    <t>Забезпечення діяльності бібліотек</t>
  </si>
  <si>
    <t>1014040</t>
  </si>
  <si>
    <t>4040</t>
  </si>
  <si>
    <t>1014060</t>
  </si>
  <si>
    <t>4060</t>
  </si>
  <si>
    <t>0828</t>
  </si>
  <si>
    <t>1014080</t>
  </si>
  <si>
    <t>4080</t>
  </si>
  <si>
    <t>Інші заклади та заходи в галузі культури і мистецтва</t>
  </si>
  <si>
    <t>1014081</t>
  </si>
  <si>
    <t>4081</t>
  </si>
  <si>
    <t>0829</t>
  </si>
  <si>
    <t>Забезпечення діяльності інших закладів в галузі культури і мистецтва</t>
  </si>
  <si>
    <t>1014082</t>
  </si>
  <si>
    <t>4082</t>
  </si>
  <si>
    <t>Інші заходи в галузі культури і мистецтва</t>
  </si>
  <si>
    <t>3120</t>
  </si>
  <si>
    <t>Здійснення соціальної роботи з вразливими категоріями населення</t>
  </si>
  <si>
    <t>3121</t>
  </si>
  <si>
    <t>3130</t>
  </si>
  <si>
    <t>3132</t>
  </si>
  <si>
    <t>3133</t>
  </si>
  <si>
    <t>1115000</t>
  </si>
  <si>
    <t>5000</t>
  </si>
  <si>
    <t xml:space="preserve"> Фiзична культура i спорт</t>
  </si>
  <si>
    <t>1115010</t>
  </si>
  <si>
    <t>5010</t>
  </si>
  <si>
    <t>Проведення спортивної роботи в регіоні</t>
  </si>
  <si>
    <t>1115011</t>
  </si>
  <si>
    <t>5011</t>
  </si>
  <si>
    <t>0810</t>
  </si>
  <si>
    <t>Проведення навчально-тренувальних зборів і змагань з олімпійських видів спорту</t>
  </si>
  <si>
    <t>1115012</t>
  </si>
  <si>
    <t>5012</t>
  </si>
  <si>
    <t>Проведення навчально-тренувальних зборів і змагань з неолімпійських видів спорту</t>
  </si>
  <si>
    <t>1115020</t>
  </si>
  <si>
    <t>5020</t>
  </si>
  <si>
    <t>Здійснення фізкультурно-спортивної та реабілітаційної роботи серед осіб з інвалідністю</t>
  </si>
  <si>
    <t>1115022</t>
  </si>
  <si>
    <t>5022</t>
  </si>
  <si>
    <t>1115030</t>
  </si>
  <si>
    <t>5030</t>
  </si>
  <si>
    <t xml:space="preserve"> Розвиток дитячо-юнацького та резервного спорту</t>
  </si>
  <si>
    <t>1115031</t>
  </si>
  <si>
    <t>5031</t>
  </si>
  <si>
    <t>1115032</t>
  </si>
  <si>
    <t>5032</t>
  </si>
  <si>
    <t>Фінансова підтримка дитячо-юнацьких спортивних шкіл фізкультурно-спортивних товариств</t>
  </si>
  <si>
    <t>1115060</t>
  </si>
  <si>
    <t>5060</t>
  </si>
  <si>
    <t>Інші заходи з розвитку фізичної культури та спорту</t>
  </si>
  <si>
    <t>1115061</t>
  </si>
  <si>
    <t>5061</t>
  </si>
  <si>
    <t>1115062</t>
  </si>
  <si>
    <t>5062</t>
  </si>
  <si>
    <t>Підтримка спорту вищих досягнень та організацій, які здійснюють фізкультурно-спортивну діяльність в регіоні</t>
  </si>
  <si>
    <t>1115063</t>
  </si>
  <si>
    <t>5063</t>
  </si>
  <si>
    <t>Забезпечення діяльності централізованої бухгалтерії</t>
  </si>
  <si>
    <t>6084</t>
  </si>
  <si>
    <t>1216000</t>
  </si>
  <si>
    <t>1216010</t>
  </si>
  <si>
    <t>6010</t>
  </si>
  <si>
    <t>1216011</t>
  </si>
  <si>
    <t>6011</t>
  </si>
  <si>
    <t>Експлуатація та технічне обслуговування житлового фонду</t>
  </si>
  <si>
    <t>1216015</t>
  </si>
  <si>
    <t>6015</t>
  </si>
  <si>
    <t>0620</t>
  </si>
  <si>
    <t>Забезпечення надійної та безперебійної експлуатації ліфтів</t>
  </si>
  <si>
    <t>1216017</t>
  </si>
  <si>
    <t>6017</t>
  </si>
  <si>
    <t>1216020</t>
  </si>
  <si>
    <t>6020</t>
  </si>
  <si>
    <t>Забезпечення функціонування підприємств, установ та організацій, що виробляють, виконують та/або надають житлово-комунальні послуги</t>
  </si>
  <si>
    <t>1216030</t>
  </si>
  <si>
    <t>6030</t>
  </si>
  <si>
    <t>Організація благоустрою населених пунктів</t>
  </si>
  <si>
    <t>1217000</t>
  </si>
  <si>
    <t>Економічна діяльність</t>
  </si>
  <si>
    <t>7640</t>
  </si>
  <si>
    <t>0470</t>
  </si>
  <si>
    <t>Заходи з енергозбереження</t>
  </si>
  <si>
    <t>6012</t>
  </si>
  <si>
    <t>Забезпечення діяльності з виробництва, транспортування, постачання теплової енергії</t>
  </si>
  <si>
    <t>6013</t>
  </si>
  <si>
    <t>Забезпечення діяльності водопровідно-каналізаційного господарства</t>
  </si>
  <si>
    <t>7400</t>
  </si>
  <si>
    <t>Транспорт та транспортна інфраструктура, дорожнє господарство</t>
  </si>
  <si>
    <t>7461</t>
  </si>
  <si>
    <t>0456</t>
  </si>
  <si>
    <t>Утримання та розвиток автомобільних доріг та дорожньої інфраструктури за рахунок коштів місцевого бюджету</t>
  </si>
  <si>
    <t>8100</t>
  </si>
  <si>
    <t>8110</t>
  </si>
  <si>
    <t>0320</t>
  </si>
  <si>
    <t>Заходи із запобігання та ліквідації надзвичайних ситуацій та наслідків стихійного лиха</t>
  </si>
  <si>
    <t>8120</t>
  </si>
  <si>
    <t>Заходи з організації рятування на водах</t>
  </si>
  <si>
    <t>5040</t>
  </si>
  <si>
    <t>Підтримка і розвиток спортивної інфраструктури</t>
  </si>
  <si>
    <t>5043</t>
  </si>
  <si>
    <t>7330</t>
  </si>
  <si>
    <t>7370</t>
  </si>
  <si>
    <t>Реалізація інших заходів щодо соціально-економічного розвитку територій</t>
  </si>
  <si>
    <t>7420</t>
  </si>
  <si>
    <t>Забезпечення надання послуг з перевезення пасажирів електротранспортом</t>
  </si>
  <si>
    <t>7426</t>
  </si>
  <si>
    <t>0453</t>
  </si>
  <si>
    <t>Інші заходи у сфері електротранспорту</t>
  </si>
  <si>
    <t>7610</t>
  </si>
  <si>
    <t>0411</t>
  </si>
  <si>
    <t>Сприяння розвитку малого та середнього підприємництва</t>
  </si>
  <si>
    <t>7630</t>
  </si>
  <si>
    <t>Реалізація програм і заходів в галузі зовнішньоекономічної діяльності</t>
  </si>
  <si>
    <t>8300</t>
  </si>
  <si>
    <t>Охорона навколишнього природного середовища</t>
  </si>
  <si>
    <t>0540</t>
  </si>
  <si>
    <t>7100</t>
  </si>
  <si>
    <t>Сільське, лісове, рибне господарство та мисливство</t>
  </si>
  <si>
    <t>7130</t>
  </si>
  <si>
    <t>0421</t>
  </si>
  <si>
    <t>Здійснення заходів із землеустрою</t>
  </si>
  <si>
    <t>7650</t>
  </si>
  <si>
    <t>Проведення експертної грошової оцінки земельної ділянки чи права на неї</t>
  </si>
  <si>
    <t>Обслуговування місцевого боргу</t>
  </si>
  <si>
    <t>Резервний фонд</t>
  </si>
  <si>
    <t>Резервний фонд місцевого бюджету</t>
  </si>
  <si>
    <t>9100</t>
  </si>
  <si>
    <t>Дотації з місцевого бюджету іншим бюджетам</t>
  </si>
  <si>
    <t>Реверсна дотація</t>
  </si>
  <si>
    <t>Х</t>
  </si>
  <si>
    <t>УСЬОГО</t>
  </si>
  <si>
    <t>Додаток 2</t>
  </si>
  <si>
    <t>Звіт про виконання видатків загального та спеціального фондів бюджету Хмельницької міської територіальної громади</t>
  </si>
  <si>
    <t>Найменування бюджетної програми згідно з Типовою програмною класифікацією видатків та кредитування місцевого бюджету</t>
  </si>
  <si>
    <t>% виконання</t>
  </si>
  <si>
    <t>Відсоток вручну</t>
  </si>
  <si>
    <t>Всього</t>
  </si>
  <si>
    <t>8821</t>
  </si>
  <si>
    <t>8822</t>
  </si>
  <si>
    <t>8800</t>
  </si>
  <si>
    <t>8820</t>
  </si>
  <si>
    <t xml:space="preserve"> Інша діяльність</t>
  </si>
  <si>
    <t>Кредитування</t>
  </si>
  <si>
    <t>Пільгові довгострокові кредити молодим сім'ям та одиноким молодим громадянам на будівництво/реконструкцію/придбання житла та їх повернення</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</si>
  <si>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</si>
  <si>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7460</t>
  </si>
  <si>
    <t>Утримання та розвиток автомобільних доріг та дорожньої інфраструктури</t>
  </si>
  <si>
    <t>7350</t>
  </si>
  <si>
    <t>7540</t>
  </si>
  <si>
    <t>Реалізація заходів, спрямованих на підвищення  доступності широкосмугового доступу до Інтернету в сільській місцевості</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</si>
  <si>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</si>
  <si>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</si>
  <si>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1023</t>
  </si>
  <si>
    <t>1220</t>
  </si>
  <si>
    <t>1222</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</si>
  <si>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</si>
  <si>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</si>
  <si>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7410</t>
  </si>
  <si>
    <t>Забезпечення надання послуг з перевезення пасажирів автомобільним транспортом</t>
  </si>
  <si>
    <t>7413</t>
  </si>
  <si>
    <t>0451</t>
  </si>
  <si>
    <t>Інші заходи у сфері автотранспорту</t>
  </si>
  <si>
    <t>7620</t>
  </si>
  <si>
    <t>7622</t>
  </si>
  <si>
    <t>Розвиток готельного господарства та туризму</t>
  </si>
  <si>
    <t>Реалізація програм і заходів в галузі туризму та курортів</t>
  </si>
  <si>
    <t>1221</t>
  </si>
  <si>
    <t>3220</t>
  </si>
  <si>
    <t>Грошова компенсація за належні для отримання жилі приміщення для окремих категорій населення відповідно до законодавства</t>
  </si>
  <si>
    <t>3221</t>
  </si>
  <si>
    <t>Грошова компенсація за належні для отримання жилі приміщення для сімей осіб, визначених абзацами 5-8 пункту 1 статті 10 Закону України "Про статус ветеранів війни, гарантії їх соціального захисту", для осіб з інвалідністю I-II групи, яка настала внаслідок поранення,</t>
  </si>
  <si>
    <t xml:space="preserve">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t>
  </si>
  <si>
    <t>Донецькій та Луганській областях, забезпеченні їх здійснення,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</si>
  <si>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</si>
  <si>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t>
  </si>
  <si>
    <t>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t>
  </si>
  <si>
    <t>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11-14 частини другої статті 7 або учасниками бойових дій відповідно до пунктів 19-20 частини першої статті 6 Закону</t>
  </si>
  <si>
    <t xml:space="preserve"> України "Про статус ветеранів війни, гарантії їх соціального захисту", та які потребують поліпшення житлових умов</t>
  </si>
  <si>
    <t>3223</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</si>
  <si>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t>
  </si>
  <si>
    <t>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t>
  </si>
  <si>
    <t>гарантії їх соціального захисту", та які потребують поліпшення житлових умов</t>
  </si>
  <si>
    <t>3224</t>
  </si>
  <si>
    <t>Грошова компенсація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I-II групи, які стали особами з інвалідністю внаслідок</t>
  </si>
  <si>
    <t>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t>
  </si>
  <si>
    <t>потребують поліпшення житлових умов</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</si>
  <si>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</si>
  <si>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</si>
  <si>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7360</t>
  </si>
  <si>
    <t>7363</t>
  </si>
  <si>
    <t>Виконання інвестиційних проектів</t>
  </si>
  <si>
    <t>Виконання інвестиційних проектів в рамках здійснення заходів щодо соціально-економічного розвитку окремих територій</t>
  </si>
  <si>
    <t>0460</t>
  </si>
  <si>
    <t>1033</t>
  </si>
  <si>
    <t>7</t>
  </si>
  <si>
    <t>8</t>
  </si>
  <si>
    <t>9</t>
  </si>
  <si>
    <t>10</t>
  </si>
  <si>
    <t>Надання спеціалізованої освіти мистецькими школами</t>
  </si>
  <si>
    <t>6090</t>
  </si>
  <si>
    <t>0640</t>
  </si>
  <si>
    <t>Інша діяльність у сфері житлово-комунального господарства</t>
  </si>
  <si>
    <t>7450</t>
  </si>
  <si>
    <t>Інша діяльність у сфері транспорту</t>
  </si>
  <si>
    <t>8200</t>
  </si>
  <si>
    <t>Громадський порядок та безпека</t>
  </si>
  <si>
    <t>8240</t>
  </si>
  <si>
    <t>0380</t>
  </si>
  <si>
    <t>Заходи та роботи з територіальної оборони</t>
  </si>
  <si>
    <t>7325</t>
  </si>
  <si>
    <t>8340</t>
  </si>
  <si>
    <t>Природоохоронні заходи за рахунок цільових фондів</t>
  </si>
  <si>
    <t>Будівництво¹ споруд, установ та закладів фізичної культури і спорту</t>
  </si>
  <si>
    <t>3230</t>
  </si>
  <si>
    <t>4070</t>
  </si>
  <si>
    <t>0823</t>
  </si>
  <si>
    <t>Фінансова підтримка кінематографії</t>
  </si>
  <si>
    <t>8220</t>
  </si>
  <si>
    <t>Заходи та роботи з мобілізаційної підготовки місцевого значення</t>
  </si>
  <si>
    <t>8230</t>
  </si>
  <si>
    <t>Інші заходи громадського порядку та безпеки</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</si>
  <si>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</si>
  <si>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</si>
  <si>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Видатки, пов'язані з наданням підтримки внутрішньо переміщеним та/або евакуйованим особам у зв'язку із введенням воєнного стану</t>
  </si>
  <si>
    <t>5049</t>
  </si>
  <si>
    <t>Виконання окремих заходів з реалізації соціального проекту "Активні парки - локації здорової України"</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</si>
  <si>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</si>
  <si>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9820</t>
  </si>
  <si>
    <t>Виконання заходів щодо облаштування безпечних умов у закладах загальної середньої освіти за рахунок субвенції з державного бюджету місцевим бюджетам</t>
  </si>
  <si>
    <t>1262</t>
  </si>
  <si>
    <t>1260</t>
  </si>
  <si>
    <t>Виконання гарантійних зобов'язань за позичальників, що отримали кредити під місцеві гарантії</t>
  </si>
  <si>
    <t>Надання коштів для забезпечення гарантійних зобов'язань за позичальників, що отримали кредити під місцеві гарантії</t>
  </si>
  <si>
    <t>8881</t>
  </si>
  <si>
    <t>8880</t>
  </si>
  <si>
    <t>Довгострокові кредити громадянам на будівництво / реконструкцію / придбання житла та їх повернення</t>
  </si>
  <si>
    <t>8840</t>
  </si>
  <si>
    <t>8842</t>
  </si>
  <si>
    <t>Повернення довгострокових кредитів, наданих громадянам на будівництво/реконструкцію/придбання житла</t>
  </si>
  <si>
    <t>6016</t>
  </si>
  <si>
    <t xml:space="preserve">	Впровадження засобів обліку витрат та регулювання споживання води та теплової енергії</t>
  </si>
  <si>
    <t>1261</t>
  </si>
  <si>
    <t>Начальник фінансового управління</t>
  </si>
  <si>
    <t>Сергій ЯМЧУК</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</si>
  <si>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</si>
  <si>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1290</t>
  </si>
  <si>
    <t>1291</t>
  </si>
  <si>
    <t>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</si>
  <si>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</si>
  <si>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8882</t>
  </si>
  <si>
    <t>Повернення коштів, наданих для виконання гарантійних зобов'язань за позичальників, що отримали кредити під місцеві гарантії</t>
  </si>
  <si>
    <t>Виконання заходів щодо облаштування безпечних умов у закладах охорони здоров'я</t>
  </si>
  <si>
    <t>2160</t>
  </si>
  <si>
    <t>2161</t>
  </si>
  <si>
    <t>Співфінансування заходів, що реалізуються за рахунок субвенції з державного бюджету місцевим бюджетам на облаштування безпечних умов у закладах охорони здоров'я</t>
  </si>
  <si>
    <t>Керівництво і управління у відповідній сфері у містах (місті Києві), селищах, селах, територіальних громадах</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</si>
  <si>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</si>
  <si>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коштів місцевого бюджету</t>
  </si>
  <si>
    <t>Надання загальної середньої освіти спеціалізованими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</si>
  <si>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</si>
  <si>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</si>
  <si>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Надання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</si>
  <si>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</si>
  <si>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</si>
  <si>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Проведення (надання) додаткових психолого-педагогічних і корекційно-розвиткових занять (послуг)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</si>
  <si>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Виконання заходів щодо модернізації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</si>
  <si>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</si>
  <si>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 за рахунок субвенції з державного бюджету місцевим бюджетам</t>
  </si>
  <si>
    <t>Інші програми, заклади та заходи у сфері охорони здоров'я</t>
  </si>
  <si>
    <t>Забезпечення діяльності інших закладів у сфері охорони здоров'я</t>
  </si>
  <si>
    <t>Інші програми та заходи у сфері охорони здоров'я</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</si>
  <si>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</si>
  <si>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</si>
  <si>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</si>
  <si>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Реалізація державної політики у молодіжній сфері та сфері з утвердження української національної та громадянської ідентичності</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</si>
  <si>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</si>
  <si>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</si>
  <si>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</si>
  <si>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 xml:space="preserve">	Соціальний захист ветеранів війни та праці</t>
  </si>
  <si>
    <t xml:space="preserve">	Інші заклади та заходи</t>
  </si>
  <si>
    <t>Надання комплексу послуг особам/сім’ям у сфері соціального захисту та соціального забезпечення іншими надавачами соціальних послуг</t>
  </si>
  <si>
    <t>Забезпечення діяльності музеїв і виставок</t>
  </si>
  <si>
    <t>Забезпечення діяльності палаців і будинків культури, клубів, центрів дозвілля та інших клубних закладів</t>
  </si>
  <si>
    <t xml:space="preserve">	Проведення навчально-тренувальних зборів і змагань та заходів зі спорту осіб з інвалідністю</t>
  </si>
  <si>
    <t>Розвиток здібностей у дітей та молоді з фізичної культури та спорту комунальними дитячо-юнацькими спортивними школами</t>
  </si>
  <si>
    <t>Утримання та ефективна експлуатація об'єктів житлово-комунального господарства</t>
  </si>
  <si>
    <t>Реалізація державних та місцевих житлових програм</t>
  </si>
  <si>
    <t>Придбання житла для окремих категорій населення відповідно до законодавства</t>
  </si>
  <si>
    <t>Внески до статутного капіталу суб'єктів господарювання</t>
  </si>
  <si>
    <t>Інша економічна діяльність</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</si>
  <si>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</si>
  <si>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Захист населення і територій від надзвичайних ситуацій</t>
  </si>
  <si>
    <t>Фінансова підтримка медіа (засобів масової інформації)</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</si>
  <si>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</si>
  <si>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</si>
  <si>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Виконання заходів, спрямованих на забезпечення якісної, сучасної та доступної загальної середньої освіти "Нова українська школа"</t>
  </si>
  <si>
    <t>1183</t>
  </si>
  <si>
    <t>1184</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</si>
  <si>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</si>
  <si>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</si>
  <si>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1300</t>
  </si>
  <si>
    <t>1400</t>
  </si>
  <si>
    <t>Виконання заходів із задоволення потреб у забезпеченні безпечного освітнього середовища</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</si>
  <si>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</si>
  <si>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</si>
  <si>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</si>
  <si>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</si>
  <si>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3250</t>
  </si>
  <si>
    <t>4084</t>
  </si>
  <si>
    <t>Проектування, реставрація та охорона пам'яток культурної спадщини</t>
  </si>
  <si>
    <t>Інша діяльність, пов'язана з експлуатацією об'єктів житлово-комунального господарства</t>
  </si>
  <si>
    <t>6091</t>
  </si>
  <si>
    <t>7351</t>
  </si>
  <si>
    <t>Розроблення комплексних планів просторового розвитку територій територіальних громад</t>
  </si>
  <si>
    <t xml:space="preserve">Заступник міського голови                                                                                                                   </t>
  </si>
  <si>
    <t>Михайло КРИВАК</t>
  </si>
  <si>
    <t>11</t>
  </si>
  <si>
    <t>3110</t>
  </si>
  <si>
    <t>Заклади і заходи з питань дітей та їх соціального захисту</t>
  </si>
  <si>
    <t>3114</t>
  </si>
  <si>
    <t>Забезпечення умов для догляду та виховання дітей і молоді в дитячих будинках сімейного типу, прийомних сім’ях та сім’ях патронатних вихователів</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</si>
  <si>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</si>
  <si>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2170</t>
  </si>
  <si>
    <t>Розвиток спортивної інфраструктури, у тому числі
реконструкція, будівельно-ремонтні роботи об’єктів
закладів фізичної культури і спорту, що забезпечують
розвиток резервного спорту, льодових палаців/арен та
стадіонів</t>
  </si>
  <si>
    <t>Розроблення схем планування та забудови територій
(містобудівної документації)</t>
  </si>
  <si>
    <t>1270</t>
  </si>
  <si>
    <t>Виконання заходів за рахунок коштів освітньої субвенції з державного бюджету місцевим бюджетам (за спеціальним фондом державного бюджету)</t>
  </si>
  <si>
    <t>1275</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</si>
  <si>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</si>
  <si>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Компенсаційні виплати на пільговий проїзд автомобільним транспортом окремим категоріям громадян</t>
  </si>
  <si>
    <t>1276</t>
  </si>
  <si>
    <t>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</si>
  <si>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1500</t>
  </si>
  <si>
    <t>1501</t>
  </si>
  <si>
    <t>Виконання заходів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</si>
  <si>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</si>
  <si>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</si>
  <si>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t>
  </si>
  <si>
    <t>гарантії їх соціального захисту», та які потребують поліпшення житлових умов</t>
  </si>
  <si>
    <t>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t>
  </si>
  <si>
    <t>3245</t>
  </si>
  <si>
    <t>5070</t>
  </si>
  <si>
    <t xml:space="preserve">до рішення  №    від        .2026 року </t>
  </si>
  <si>
    <t>за І-й квартал 2026 року</t>
  </si>
  <si>
    <t>Затверджено на 2026 рік з урахуванням змін</t>
  </si>
  <si>
    <t>Затверджено на І-й квартал 2026 року з урахуванням змін</t>
  </si>
  <si>
    <t>Виконано за І-й квартал 2026 року</t>
  </si>
  <si>
    <t>Виконано за за І-й квартал 2026 року разом по загальному та спеціальному фондах</t>
  </si>
  <si>
    <t>Підготовка кадрів закладами професійної освіти та іншими закладами освіти</t>
  </si>
  <si>
    <t>Підготовка кадрів закладами професійної освіти та іншими закладами освіти за рахунок коштів місцевого бюджету</t>
  </si>
  <si>
    <t>Підготовка кадрів закладами професійної освіти та іншими закладами освіти за рахунок освітньої субвенції</t>
  </si>
  <si>
    <t>Забезпечення діяльності центрів професійного розвитку педагогічних працівників</t>
  </si>
  <si>
    <t>Виконання заходів щодо облаштування безпечних умов (облаштування укриттів) у закладах, що надають загальну середню освіту, зокрема військових (військово-морських, військово-спортивних) ліцеях, ліцеях із посиленою військово-фізичною підготовкою, та у закладах дошкільної освіти</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</si>
  <si>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(облаштування укриттів) у закладах, що надають загальну середню освіту, зокрема військових (військово-морських, військово-спортивних) ліцеях, ліцеях із посиленою військово-фізичною підготовкою, та у закладах дошкільної освіти</t>
  </si>
  <si>
    <t>Підготовка та реалізація публічних інвестиційних проектів / програм публічних інвестицій за рахунок коштів місцевого бюджету в галузі освіти</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</si>
  <si>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</si>
  <si>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Інші заходи та заклади у сфері соціального захисту і соціального забезпечення</t>
  </si>
  <si>
    <t>Реалізація програми публічних інвестицій із забезпечення житлом дитячих будинків сімейного типу</t>
  </si>
  <si>
    <t>Підготовка та реалізація публічних інвестиційних проектів / програм публічних інвестицій за рахунок коштів місцевого бюджету в галузі соціального захисту та соціального забезпечення</t>
  </si>
  <si>
    <t>Забезпечення діяльності місцевих центрів фізичного здоров’я населення та проведення фізкультурно-масових заходів серед населення регіону</t>
  </si>
  <si>
    <t>Підготовка та реалізація публічних інвестиційних проектів / програм публічних інвестицій за рахунок коштів місцевого бюджету в галузі фізичної культури і спорту</t>
  </si>
  <si>
    <t>Підготовка та реалізація публічних інвестиційних проектів / програм публічних інвестицій за рахунок коштів місцевого бюджету в галузі житлово- комунального господарства</t>
  </si>
  <si>
    <t>Регіональний розвиток та інші публічні інвестиційні проекти/програми публічних інвестицій</t>
  </si>
  <si>
    <t>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t>
  </si>
  <si>
    <t>Медіа (засоби масової інформації)</t>
  </si>
  <si>
    <t>Забезпечення харчуванням учнів закладів загальної середньої освіти за рахунок субвенції з державного бюджету місцевим бюджетам</t>
  </si>
  <si>
    <t>1702</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</si>
  <si>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</si>
  <si>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з урахуванням залишків,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</si>
  <si>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1273</t>
  </si>
  <si>
    <t>Підготовка та реалізація публічних інвестиційних проектів / програм публічних інвестицій за рахунок коштів місцевого бюджету в галузі культури і мистецтва</t>
  </si>
  <si>
    <t>4083</t>
  </si>
  <si>
    <t>7427</t>
  </si>
  <si>
    <t>0455</t>
  </si>
  <si>
    <t>Підготовка та реалізація публічних інвестиційних проектів/програм публічних інвестицій в галузі (секторі) «Транспорт» за рахунок коштів місцевого бюджету</t>
  </si>
  <si>
    <t>Підготовка та реалізація публічних інвестиційних проектів / програм публічних інвестицій за рахунок коштів місцевого бюджету в галузі дорожнього господарства</t>
  </si>
  <si>
    <t>7480</t>
  </si>
  <si>
    <r>
      <t xml:space="preserve">1 </t>
    </r>
    <r>
      <rPr>
        <sz val="20"/>
        <rFont val="Times New Roman"/>
        <family val="1"/>
        <charset val="204"/>
      </rPr>
      <t>Підготовка та реалізація публічних інвестиційних проектів / програм публічних інвестицій у відповідній галузі за рахунок коштів державного бюджету та місцевих бюджетів за умови співфінансування.</t>
    </r>
  </si>
  <si>
    <t>Надання пільгових довгострокових кредитів молодим сім'ям та одиноким молодим громадянам на будівництво/реконструкцію/придбання житла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</si>
</sst>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0"/>
      <name val="Arial Cyr"/>
      <charset val="204"/>
    </font>
    <font>
      <sz val="10"/>
      <name val="Arial Cyr"/>
      <charset val="204"/>
    </font>
    <font>
      <sz val="10"/>
      <name val="Times New Roman Cyr"/>
      <family val="1"/>
      <charset val="204"/>
    </font>
    <font>
      <sz val="36"/>
      <name val="Times New Roman"/>
      <family val="1"/>
      <charset val="204"/>
    </font>
    <font>
      <b/>
      <sz val="36"/>
      <name val="Times New Roman"/>
      <family val="1"/>
      <charset val="204"/>
    </font>
    <font>
      <sz val="10"/>
      <color rgb="FFFF0000"/>
      <name val="Arial Cyr"/>
      <charset val="204"/>
    </font>
    <font>
      <u/>
      <sz val="36"/>
      <color indexed="8"/>
      <name val="Times New Roman"/>
      <family val="1"/>
      <charset val="204"/>
    </font>
    <font>
      <sz val="36"/>
      <color indexed="8"/>
      <name val="Times New Roman"/>
      <family val="1"/>
      <charset val="204"/>
    </font>
    <font>
      <b/>
      <sz val="10"/>
      <name val="Arial Cyr"/>
      <charset val="204"/>
    </font>
    <font>
      <sz val="36"/>
      <color rgb="FFFF0000"/>
      <name val="Times New Roman"/>
      <family val="1"/>
      <charset val="204"/>
    </font>
    <font>
      <sz val="10"/>
      <name val="MS Sans Serif"/>
      <family val="2"/>
      <charset val="204"/>
    </font>
    <font>
      <b/>
      <i/>
      <sz val="36"/>
      <name val="Times New Roman"/>
      <family val="1"/>
      <charset val="204"/>
    </font>
    <font>
      <b/>
      <sz val="37"/>
      <name val="Times New Roman"/>
      <family val="1"/>
      <charset val="204"/>
    </font>
    <font>
      <b/>
      <i/>
      <sz val="10"/>
      <name val="Arial Cyr"/>
      <charset val="204"/>
    </font>
    <font>
      <sz val="37"/>
      <name val="Times New Roman"/>
      <family val="1"/>
      <charset val="204"/>
    </font>
    <font>
      <b/>
      <sz val="10"/>
      <color rgb="FFFF0000"/>
      <name val="Times New Roman"/>
      <family val="1"/>
      <charset val="204"/>
    </font>
    <font>
      <b/>
      <sz val="36"/>
      <color theme="1"/>
      <name val="Times New Roman"/>
      <family val="1"/>
      <charset val="204"/>
    </font>
    <font>
      <b/>
      <sz val="37"/>
      <color theme="1"/>
      <name val="Times New Roman"/>
      <family val="1"/>
      <charset val="204"/>
    </font>
    <font>
      <b/>
      <sz val="36"/>
      <color rgb="FFFF0000"/>
      <name val="Times New Roman"/>
      <family val="1"/>
      <charset val="204"/>
    </font>
    <font>
      <b/>
      <i/>
      <sz val="37"/>
      <name val="Times New Roman"/>
      <family val="1"/>
      <charset val="204"/>
    </font>
    <font>
      <i/>
      <sz val="10"/>
      <name val="Arial Cyr"/>
      <charset val="204"/>
    </font>
    <font>
      <i/>
      <sz val="37"/>
      <name val="Times New Roman"/>
      <family val="1"/>
      <charset val="204"/>
    </font>
    <font>
      <i/>
      <sz val="10"/>
      <color rgb="FFFF0000"/>
      <name val="Arial Cyr"/>
      <charset val="204"/>
    </font>
    <font>
      <sz val="36"/>
      <color rgb="FFFF0000"/>
      <name val="Arial Cyr"/>
      <charset val="204"/>
    </font>
    <font>
      <sz val="28"/>
      <name val="Arial Cyr"/>
      <charset val="204"/>
    </font>
    <font>
      <b/>
      <sz val="36"/>
      <color rgb="FFFF0000"/>
      <name val="Arial Cyr"/>
      <charset val="204"/>
    </font>
    <font>
      <b/>
      <sz val="37"/>
      <color rgb="FFFF0000"/>
      <name val="Times New Roman"/>
      <family val="1"/>
      <charset val="204"/>
    </font>
    <font>
      <sz val="37"/>
      <color rgb="FFFF0000"/>
      <name val="Times New Roman"/>
      <family val="1"/>
      <charset val="204"/>
    </font>
    <font>
      <b/>
      <i/>
      <sz val="37"/>
      <color rgb="FFFF0000"/>
      <name val="Times New Roman"/>
      <family val="1"/>
      <charset val="204"/>
    </font>
    <font>
      <vertAlign val="superscript"/>
      <sz val="20"/>
      <name val="Times New Roman"/>
      <family val="1"/>
      <charset val="204"/>
    </font>
    <font>
      <sz val="20"/>
      <name val="Arial Cyr"/>
      <charset val="204"/>
    </font>
    <font>
      <sz val="10"/>
      <name val="Times New Roman"/>
      <family val="1"/>
      <charset val="204"/>
    </font>
    <font>
      <b/>
      <sz val="10"/>
      <name val="Times New Roman Cyr"/>
      <family val="1"/>
      <charset val="204"/>
    </font>
    <font>
      <b/>
      <sz val="48"/>
      <name val="Times New Roman"/>
      <family val="1"/>
      <charset val="204"/>
    </font>
    <font>
      <i/>
      <sz val="37"/>
      <color rgb="FFFF0000"/>
      <name val="Times New Roman"/>
      <family val="1"/>
      <charset val="204"/>
    </font>
    <font>
      <b/>
      <sz val="36"/>
      <color rgb="FF99FF99"/>
      <name val="Times New Roman"/>
      <family val="1"/>
      <charset val="204"/>
    </font>
    <font>
      <sz val="48"/>
      <color rgb="FFFF0000"/>
      <name val="Arial Cyr"/>
      <charset val="204"/>
    </font>
    <font>
      <b/>
      <sz val="37"/>
      <color rgb="FF99FF99"/>
      <name val="Times New Roman"/>
      <family val="1"/>
      <charset val="204"/>
    </font>
    <font>
      <sz val="72"/>
      <name val="Arial Cyr"/>
      <charset val="204"/>
    </font>
    <font>
      <i/>
      <sz val="36"/>
      <color rgb="FFFF0000"/>
      <name val="Times New Roman"/>
      <family val="1"/>
      <charset val="204"/>
    </font>
    <font>
      <vertAlign val="superscript"/>
      <sz val="20"/>
      <color rgb="FFFF0000"/>
      <name val="Times New Roman"/>
      <family val="1"/>
      <charset val="204"/>
    </font>
    <font>
      <sz val="20"/>
      <color rgb="FFFF0000"/>
      <name val="Arial Cyr"/>
      <charset val="204"/>
    </font>
    <font>
      <sz val="20"/>
      <name val="Times New Roman"/>
      <family val="1"/>
      <charset val="204"/>
    </font>
    <font>
      <sz val="36"/>
      <color theme="1"/>
      <name val="Times New Roman"/>
      <family val="1"/>
      <charset val="204"/>
    </font>
    <font>
      <sz val="37"/>
      <color theme="1"/>
      <name val="Times New Roman"/>
      <family val="1"/>
      <charset val="204"/>
    </font>
    <font>
      <i/>
      <sz val="36"/>
      <name val="Times New Roman"/>
      <family val="1"/>
      <charset val="204"/>
    </font>
    <font>
      <sz val="28"/>
      <color rgb="FFFF0000"/>
      <name val="Arial Cyr"/>
      <charset val="204"/>
    </font>
  </fonts>
  <fills count="8">
    <fill>
      <patternFill patternType="none"/>
    </fill>
    <fill>
      <patternFill patternType="gray125"/>
    </fill>
    <fill>
      <patternFill patternType="solid">
        <fgColor rgb="FFFFFF00"/>
        <bgColor indexed="64"/>
      </patternFill>
    </fill>
    <fill>
      <patternFill patternType="solid">
        <fgColor rgb="FFFF0000"/>
        <bgColor indexed="64"/>
      </patternFill>
    </fill>
    <fill>
      <gradientFill degree="90">
        <stop position="0">
          <color theme="0"/>
        </stop>
        <stop position="1">
          <color rgb="FFCC99FF"/>
        </stop>
      </gradientFill>
    </fill>
    <fill>
      <patternFill patternType="solid">
        <fgColor theme="7" tint="0.59999389629810485"/>
        <bgColor indexed="64"/>
      </patternFill>
    </fill>
    <fill>
      <patternFill patternType="solid">
        <fgColor rgb="FF99FF99"/>
        <bgColor indexed="64"/>
      </patternFill>
    </fill>
    <fill>
      <gradientFill degree="270">
        <stop position="0">
          <color theme="0"/>
        </stop>
        <stop position="1">
          <color theme="9" tint="0.80001220740379042"/>
        </stop>
      </gradientFill>
    </fill>
  </fills>
  <borders count="11">
    <border>
      <left/>
      <right/>
      <top/>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top/>
      <bottom/>
      <diagonal/>
    </border>
    <border>
      <left style="double">
        <color theme="0" tint="-0.499984740745262"/>
      </left>
      <right style="double">
        <color theme="0" tint="-0.499984740745262"/>
      </right>
      <top/>
      <bottom/>
      <diagonal/>
    </border>
    <border>
      <left/>
      <right/>
      <top style="double">
        <color theme="0" tint="-0.499984740745262"/>
      </top>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style="double">
        <color theme="0" tint="-0.499984740745262"/>
      </top>
      <bottom/>
      <diagonal/>
    </border>
  </borders>
  <cellStyleXfs count="4">
    <xf numFmtId="0" fontId="0" fillId="0" borderId="0"/>
    <xf numFmtId="0" fontId="10" fillId="0" borderId="0" applyNumberFormat="0" applyFont="0" applyFill="0" applyBorder="0" applyAlignment="0" applyProtection="0">
      <alignment vertical="top"/>
    </xf>
    <xf numFmtId="0" fontId="31" fillId="0" borderId="0"/>
    <xf numFmtId="0" fontId="31" fillId="0" borderId="0"/>
  </cellStyleXfs>
  <cellXfs count="220">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xf numFmtId="0" fontId="3" fillId="0" borderId="0" xfId="0" applyFont="1" applyAlignment="1">
      <alignment horizontal="right" vertical="center"/>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0" fontId="9" fillId="0" borderId="0" xfId="1" applyFont="1" applyFill="1" applyBorder="1" applyAlignment="1" applyProtection="1">
      <alignment horizontal="center" vertical="center" wrapText="1"/>
      <protection locked="0"/>
    </xf>
    <xf numFmtId="0" fontId="8" fillId="0" borderId="0" xfId="0" applyFont="1"/>
    <xf numFmtId="4" fontId="4" fillId="0" borderId="0" xfId="0" applyNumberFormat="1" applyFont="1" applyAlignment="1">
      <alignment horizontal="left" vertical="center"/>
    </xf>
    <xf numFmtId="4" fontId="11" fillId="0" borderId="0" xfId="0" applyNumberFormat="1" applyFont="1" applyAlignment="1">
      <alignment horizontal="left" vertical="center"/>
    </xf>
    <xf numFmtId="0" fontId="13" fillId="0" borderId="0" xfId="0" applyFont="1"/>
    <xf numFmtId="0" fontId="15" fillId="0" borderId="0" xfId="0" applyFont="1"/>
    <xf numFmtId="4" fontId="18" fillId="0" borderId="0" xfId="0" applyNumberFormat="1" applyFont="1" applyAlignment="1">
      <alignment horizontal="left" vertical="center"/>
    </xf>
    <xf numFmtId="0" fontId="20" fillId="0" borderId="0" xfId="0" applyFont="1"/>
    <xf numFmtId="4" fontId="9" fillId="0" borderId="0" xfId="0" applyNumberFormat="1" applyFont="1" applyAlignment="1">
      <alignment horizontal="left" vertical="center"/>
    </xf>
    <xf numFmtId="0" fontId="22" fillId="0" borderId="0" xfId="0" applyFont="1"/>
    <xf numFmtId="4" fontId="23" fillId="0" borderId="0" xfId="0" applyNumberFormat="1" applyFont="1"/>
    <xf numFmtId="4" fontId="3" fillId="0" borderId="0" xfId="0" applyNumberFormat="1" applyFont="1" applyAlignment="1">
      <alignment horizontal="left" vertical="center"/>
    </xf>
    <xf numFmtId="4" fontId="24" fillId="0" borderId="0" xfId="0" applyNumberFormat="1" applyFont="1"/>
    <xf numFmtId="4" fontId="25" fillId="0" borderId="0" xfId="0" applyNumberFormat="1" applyFont="1" applyAlignment="1">
      <alignment horizontal="left" vertical="center"/>
    </xf>
    <xf numFmtId="4" fontId="12" fillId="0" borderId="0" xfId="0" applyNumberFormat="1" applyFont="1" applyAlignment="1">
      <alignment horizontal="center" vertical="center" wrapText="1"/>
    </xf>
    <xf numFmtId="4" fontId="12" fillId="0" borderId="0" xfId="0" applyNumberFormat="1" applyFont="1" applyAlignment="1">
      <alignment horizontal="left" vertical="center" wrapText="1"/>
    </xf>
    <xf numFmtId="4" fontId="14" fillId="0" borderId="0" xfId="0" applyNumberFormat="1" applyFont="1" applyAlignment="1">
      <alignment horizontal="center" vertical="center" wrapText="1"/>
    </xf>
    <xf numFmtId="4" fontId="26" fillId="0" borderId="0" xfId="0" applyNumberFormat="1" applyFont="1" applyAlignment="1">
      <alignment horizontal="left" vertical="center" wrapText="1"/>
    </xf>
    <xf numFmtId="4" fontId="28" fillId="0" borderId="0" xfId="0" applyNumberFormat="1" applyFont="1" applyAlignment="1">
      <alignment horizontal="left" vertical="center" wrapText="1"/>
    </xf>
    <xf numFmtId="0" fontId="5" fillId="2" borderId="0" xfId="0" applyFont="1" applyFill="1"/>
    <xf numFmtId="4" fontId="12" fillId="2" borderId="0" xfId="0" applyNumberFormat="1" applyFont="1" applyFill="1" applyAlignment="1">
      <alignment horizontal="left" vertical="center" wrapText="1"/>
    </xf>
    <xf numFmtId="0" fontId="0" fillId="2" borderId="0" xfId="0" applyFill="1"/>
    <xf numFmtId="4" fontId="17" fillId="0" borderId="0" xfId="0" applyNumberFormat="1" applyFont="1" applyAlignment="1">
      <alignment horizontal="center" vertical="center" wrapText="1"/>
    </xf>
    <xf numFmtId="0" fontId="0" fillId="3" borderId="0" xfId="0" applyFill="1"/>
    <xf numFmtId="0" fontId="5" fillId="3" borderId="0" xfId="0" applyFont="1" applyFill="1"/>
    <xf numFmtId="4" fontId="9" fillId="0" borderId="0" xfId="0" applyNumberFormat="1" applyFont="1" applyAlignment="1">
      <alignment horizontal="center" vertical="center"/>
    </xf>
    <xf numFmtId="0" fontId="29" fillId="0" borderId="0" xfId="0" applyFont="1" applyAlignment="1">
      <alignment horizontal="left" vertical="center"/>
    </xf>
    <xf numFmtId="0" fontId="30" fillId="0" borderId="0" xfId="0" applyFont="1" applyAlignment="1">
      <alignment horizontal="left" vertical="center"/>
    </xf>
    <xf numFmtId="0" fontId="3" fillId="0" borderId="0" xfId="2" applyFont="1"/>
    <xf numFmtId="0" fontId="1" fillId="0" borderId="0" xfId="0" applyFont="1"/>
    <xf numFmtId="0" fontId="3" fillId="0" borderId="0" xfId="0" applyFont="1" applyAlignment="1">
      <alignment horizontal="left" vertical="center"/>
    </xf>
    <xf numFmtId="0" fontId="23" fillId="0" borderId="0" xfId="0" applyFont="1"/>
    <xf numFmtId="0" fontId="32"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49" fontId="33" fillId="0" borderId="1" xfId="0" applyNumberFormat="1" applyFont="1" applyBorder="1" applyAlignment="1">
      <alignment horizontal="center" vertical="center" wrapText="1"/>
    </xf>
    <xf numFmtId="4" fontId="26" fillId="3" borderId="0" xfId="0" applyNumberFormat="1" applyFont="1" applyFill="1" applyAlignment="1">
      <alignment horizontal="left" vertical="center" wrapText="1"/>
    </xf>
    <xf numFmtId="49" fontId="33" fillId="0" borderId="0" xfId="0" applyNumberFormat="1" applyFont="1" applyAlignment="1">
      <alignment horizontal="center" vertical="center" wrapText="1"/>
    </xf>
    <xf numFmtId="4" fontId="35" fillId="0" borderId="0" xfId="0" applyNumberFormat="1" applyFont="1" applyAlignment="1">
      <alignment horizontal="left" vertical="center"/>
    </xf>
    <xf numFmtId="4" fontId="36" fillId="3" borderId="0" xfId="0" applyNumberFormat="1" applyFont="1" applyFill="1"/>
    <xf numFmtId="4" fontId="37" fillId="4" borderId="1" xfId="0" applyNumberFormat="1" applyFont="1" applyFill="1" applyBorder="1" applyAlignment="1">
      <alignment horizontal="center" vertical="center"/>
    </xf>
    <xf numFmtId="0" fontId="38" fillId="3" borderId="0" xfId="0" applyFont="1" applyFill="1"/>
    <xf numFmtId="49" fontId="18"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39" fillId="0" borderId="1" xfId="0" applyNumberFormat="1" applyFont="1" applyBorder="1" applyAlignment="1">
      <alignment horizontal="center" vertical="center" wrapText="1"/>
    </xf>
    <xf numFmtId="49" fontId="18" fillId="3" borderId="1" xfId="0" applyNumberFormat="1" applyFont="1" applyFill="1" applyBorder="1" applyAlignment="1">
      <alignment horizontal="center" vertical="center" wrapText="1"/>
    </xf>
    <xf numFmtId="0" fontId="40" fillId="0" borderId="0" xfId="0" applyFont="1" applyAlignment="1">
      <alignment horizontal="left" vertical="center"/>
    </xf>
    <xf numFmtId="0" fontId="41" fillId="0" borderId="0" xfId="0" applyFont="1" applyAlignment="1">
      <alignment horizontal="left" vertical="center"/>
    </xf>
    <xf numFmtId="0" fontId="4" fillId="4" borderId="1" xfId="0" applyFont="1" applyFill="1" applyBorder="1" applyAlignment="1">
      <alignment horizontal="center" vertical="center"/>
    </xf>
    <xf numFmtId="0" fontId="4" fillId="4" borderId="1" xfId="0" applyFont="1" applyFill="1" applyBorder="1" applyAlignment="1">
      <alignment horizontal="left" vertical="center"/>
    </xf>
    <xf numFmtId="4" fontId="12" fillId="4" borderId="1" xfId="0" applyNumberFormat="1" applyFont="1" applyFill="1" applyBorder="1" applyAlignment="1">
      <alignment horizontal="center" vertical="center"/>
    </xf>
    <xf numFmtId="164" fontId="12" fillId="4" borderId="1" xfId="0" applyNumberFormat="1" applyFont="1" applyFill="1" applyBorder="1" applyAlignment="1">
      <alignment horizontal="center" vertical="center"/>
    </xf>
    <xf numFmtId="49" fontId="39" fillId="0" borderId="1"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4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45" fillId="0" borderId="1" xfId="0" applyNumberFormat="1" applyFont="1" applyBorder="1" applyAlignment="1">
      <alignment horizontal="center" vertical="center" wrapText="1"/>
    </xf>
    <xf numFmtId="4" fontId="46" fillId="3" borderId="0" xfId="0" applyNumberFormat="1" applyFont="1" applyFill="1"/>
    <xf numFmtId="164" fontId="14" fillId="5" borderId="1" xfId="1" applyNumberFormat="1" applyFont="1" applyFill="1" applyBorder="1" applyAlignment="1" applyProtection="1">
      <alignment horizontal="center" vertical="center" wrapText="1"/>
      <protection locked="0"/>
    </xf>
    <xf numFmtId="49" fontId="3" fillId="5" borderId="1" xfId="0" applyNumberFormat="1" applyFont="1" applyFill="1" applyBorder="1" applyAlignment="1">
      <alignment horizontal="center" vertical="center" wrapText="1"/>
    </xf>
    <xf numFmtId="4" fontId="14" fillId="5" borderId="1" xfId="0" applyNumberFormat="1" applyFont="1" applyFill="1" applyBorder="1" applyAlignment="1">
      <alignment horizontal="center" vertical="center" wrapText="1"/>
    </xf>
    <xf numFmtId="4" fontId="14" fillId="5" borderId="1" xfId="0" applyNumberFormat="1" applyFont="1" applyFill="1" applyBorder="1" applyAlignment="1">
      <alignment horizontal="center" vertical="center"/>
    </xf>
    <xf numFmtId="49" fontId="9" fillId="0" borderId="2" xfId="0" applyNumberFormat="1" applyFont="1" applyBorder="1" applyAlignment="1">
      <alignment horizontal="center" vertical="center" wrapText="1"/>
    </xf>
    <xf numFmtId="164" fontId="14" fillId="6" borderId="1" xfId="1" applyNumberFormat="1" applyFont="1" applyFill="1" applyBorder="1" applyAlignment="1" applyProtection="1">
      <alignment horizontal="center" vertical="center" wrapText="1"/>
      <protection locked="0"/>
    </xf>
    <xf numFmtId="49" fontId="3" fillId="6" borderId="1" xfId="0" applyNumberFormat="1" applyFont="1" applyFill="1" applyBorder="1" applyAlignment="1">
      <alignment horizontal="center" vertical="center" wrapText="1"/>
    </xf>
    <xf numFmtId="4" fontId="14" fillId="6" borderId="1" xfId="0" applyNumberFormat="1" applyFont="1" applyFill="1" applyBorder="1" applyAlignment="1">
      <alignment horizontal="center" vertical="center" wrapText="1"/>
    </xf>
    <xf numFmtId="4" fontId="14" fillId="6" borderId="1" xfId="0" applyNumberFormat="1" applyFont="1" applyFill="1" applyBorder="1" applyAlignment="1">
      <alignment horizontal="center" vertical="center"/>
    </xf>
    <xf numFmtId="4" fontId="37" fillId="4" borderId="0" xfId="0" applyNumberFormat="1" applyFont="1" applyFill="1" applyAlignment="1">
      <alignment horizontal="center" vertical="center"/>
    </xf>
    <xf numFmtId="49" fontId="39" fillId="0" borderId="2" xfId="0" applyNumberFormat="1" applyFont="1" applyBorder="1" applyAlignment="1">
      <alignment horizontal="center" vertical="center" wrapText="1"/>
    </xf>
    <xf numFmtId="49" fontId="33" fillId="0" borderId="10" xfId="0" applyNumberFormat="1" applyFont="1" applyBorder="1" applyAlignment="1">
      <alignment horizontal="center" vertical="center" wrapText="1"/>
    </xf>
    <xf numFmtId="4" fontId="44" fillId="2" borderId="1" xfId="1" applyNumberFormat="1" applyFont="1" applyFill="1" applyBorder="1" applyAlignment="1" applyProtection="1">
      <alignment horizontal="center" vertical="center" wrapText="1"/>
      <protection locked="0"/>
    </xf>
    <xf numFmtId="164" fontId="14" fillId="2" borderId="1" xfId="1" applyNumberFormat="1" applyFont="1" applyFill="1" applyBorder="1" applyAlignment="1" applyProtection="1">
      <alignment horizontal="center" vertical="center" wrapText="1"/>
      <protection locked="0"/>
    </xf>
    <xf numFmtId="49" fontId="3" fillId="2" borderId="1" xfId="0" applyNumberFormat="1" applyFont="1" applyFill="1" applyBorder="1" applyAlignment="1">
      <alignment horizontal="center" vertical="center" wrapText="1"/>
    </xf>
    <xf numFmtId="4" fontId="14" fillId="2" borderId="1" xfId="0" applyNumberFormat="1" applyFont="1" applyFill="1" applyBorder="1" applyAlignment="1">
      <alignment horizontal="center" vertical="center" wrapText="1"/>
    </xf>
    <xf numFmtId="4" fontId="14" fillId="2" borderId="1" xfId="0" applyNumberFormat="1" applyFont="1" applyFill="1" applyBorder="1" applyAlignment="1">
      <alignment horizontal="center" vertical="center"/>
    </xf>
    <xf numFmtId="49" fontId="45" fillId="2" borderId="1" xfId="0" applyNumberFormat="1" applyFont="1" applyFill="1" applyBorder="1" applyAlignment="1">
      <alignment horizontal="center" vertical="center" wrapText="1"/>
    </xf>
    <xf numFmtId="4" fontId="21" fillId="2" borderId="1" xfId="0" applyNumberFormat="1" applyFont="1" applyFill="1" applyBorder="1" applyAlignment="1">
      <alignment horizontal="center" vertical="center" wrapText="1"/>
    </xf>
    <xf numFmtId="164" fontId="21" fillId="2" borderId="1" xfId="1" applyNumberFormat="1" applyFont="1" applyFill="1" applyBorder="1" applyAlignment="1" applyProtection="1">
      <alignment horizontal="center" vertical="center" wrapText="1"/>
      <protection locked="0"/>
    </xf>
    <xf numFmtId="49" fontId="45" fillId="2" borderId="2" xfId="0" applyNumberFormat="1" applyFont="1" applyFill="1" applyBorder="1" applyAlignment="1">
      <alignment horizontal="center" vertical="center" wrapText="1"/>
    </xf>
    <xf numFmtId="49" fontId="45" fillId="2" borderId="0" xfId="0" applyNumberFormat="1" applyFont="1" applyFill="1" applyAlignment="1">
      <alignment horizontal="center" wrapText="1"/>
    </xf>
    <xf numFmtId="4" fontId="21" fillId="2" borderId="2" xfId="0" applyNumberFormat="1" applyFont="1" applyFill="1" applyBorder="1" applyAlignment="1">
      <alignment horizontal="center" vertical="center" wrapText="1"/>
    </xf>
    <xf numFmtId="164" fontId="14" fillId="2" borderId="2" xfId="1" applyNumberFormat="1" applyFont="1" applyFill="1" applyBorder="1" applyAlignment="1" applyProtection="1">
      <alignment horizontal="center" vertical="center" wrapText="1"/>
      <protection locked="0"/>
    </xf>
    <xf numFmtId="164" fontId="21" fillId="2" borderId="2" xfId="1" applyNumberFormat="1" applyFont="1" applyFill="1" applyBorder="1" applyAlignment="1" applyProtection="1">
      <alignment horizontal="center" vertical="center" wrapText="1"/>
      <protection locked="0"/>
    </xf>
    <xf numFmtId="4" fontId="27" fillId="2" borderId="1" xfId="0" applyNumberFormat="1" applyFont="1" applyFill="1" applyBorder="1" applyAlignment="1">
      <alignment horizontal="center" vertical="center" wrapText="1"/>
    </xf>
    <xf numFmtId="164" fontId="27" fillId="2" borderId="1" xfId="1" applyNumberFormat="1" applyFont="1" applyFill="1" applyBorder="1" applyAlignment="1" applyProtection="1">
      <alignment horizontal="center" vertical="center" wrapText="1"/>
      <protection locked="0"/>
    </xf>
    <xf numFmtId="4" fontId="26" fillId="2" borderId="1" xfId="0" applyNumberFormat="1" applyFont="1" applyFill="1" applyBorder="1" applyAlignment="1">
      <alignment horizontal="center" vertical="center" wrapText="1"/>
    </xf>
    <xf numFmtId="4" fontId="19" fillId="2" borderId="1" xfId="0" applyNumberFormat="1"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 fontId="27" fillId="2" borderId="1" xfId="0" applyNumberFormat="1" applyFont="1" applyFill="1" applyBorder="1" applyAlignment="1">
      <alignment horizontal="center" vertical="center"/>
    </xf>
    <xf numFmtId="49" fontId="39" fillId="2" borderId="1" xfId="0" applyNumberFormat="1" applyFont="1" applyFill="1" applyBorder="1" applyAlignment="1">
      <alignment horizontal="center" vertical="center" wrapText="1"/>
    </xf>
    <xf numFmtId="4" fontId="34" fillId="2" borderId="1" xfId="0" applyNumberFormat="1" applyFont="1" applyFill="1" applyBorder="1" applyAlignment="1">
      <alignment horizontal="center" vertical="center" wrapText="1"/>
    </xf>
    <xf numFmtId="164" fontId="34" fillId="2" borderId="1" xfId="1" applyNumberFormat="1" applyFont="1" applyFill="1" applyBorder="1" applyAlignment="1" applyProtection="1">
      <alignment horizontal="center" vertical="center" wrapText="1"/>
      <protection locked="0"/>
    </xf>
    <xf numFmtId="4" fontId="14" fillId="2" borderId="1" xfId="1" applyNumberFormat="1" applyFont="1" applyFill="1" applyBorder="1" applyAlignment="1" applyProtection="1">
      <alignment horizontal="center" vertical="center" wrapText="1"/>
      <protection locked="0"/>
    </xf>
    <xf numFmtId="4" fontId="14" fillId="2" borderId="1" xfId="1" applyNumberFormat="1" applyFont="1" applyFill="1" applyBorder="1" applyAlignment="1">
      <alignment horizontal="center" vertical="center" wrapText="1"/>
    </xf>
    <xf numFmtId="4" fontId="27" fillId="2" borderId="1" xfId="1" applyNumberFormat="1" applyFont="1" applyFill="1" applyBorder="1" applyAlignment="1" applyProtection="1">
      <alignment horizontal="center" vertical="center" wrapText="1"/>
      <protection locked="0"/>
    </xf>
    <xf numFmtId="4" fontId="27" fillId="2" borderId="1" xfId="1" applyNumberFormat="1" applyFont="1" applyFill="1" applyBorder="1" applyAlignment="1">
      <alignment horizontal="center" vertical="center" wrapText="1"/>
    </xf>
    <xf numFmtId="49" fontId="3" fillId="2" borderId="2" xfId="0" applyNumberFormat="1" applyFont="1" applyFill="1" applyBorder="1" applyAlignment="1">
      <alignment horizontal="center" wrapText="1"/>
    </xf>
    <xf numFmtId="49" fontId="3" fillId="2" borderId="0" xfId="0" applyNumberFormat="1" applyFont="1" applyFill="1" applyAlignment="1">
      <alignment horizontal="center" vertical="center" wrapText="1"/>
    </xf>
    <xf numFmtId="49" fontId="3" fillId="2" borderId="3" xfId="0" applyNumberFormat="1" applyFont="1" applyFill="1" applyBorder="1" applyAlignment="1">
      <alignment horizontal="center" vertical="top" wrapText="1"/>
    </xf>
    <xf numFmtId="4" fontId="26" fillId="2" borderId="1" xfId="1" applyNumberFormat="1" applyFont="1" applyFill="1" applyBorder="1" applyAlignment="1" applyProtection="1">
      <alignment horizontal="center" vertical="center" wrapText="1"/>
      <protection locked="0"/>
    </xf>
    <xf numFmtId="49" fontId="4" fillId="2" borderId="1" xfId="0" applyNumberFormat="1" applyFont="1" applyFill="1" applyBorder="1" applyAlignment="1">
      <alignment horizontal="center" vertical="center" wrapText="1"/>
    </xf>
    <xf numFmtId="0" fontId="3" fillId="2" borderId="1" xfId="1" applyFont="1" applyFill="1" applyBorder="1" applyAlignment="1" applyProtection="1">
      <alignment horizontal="center" vertical="center" wrapText="1"/>
      <protection locked="0"/>
    </xf>
    <xf numFmtId="49" fontId="18" fillId="2" borderId="1" xfId="0" applyNumberFormat="1" applyFont="1" applyFill="1" applyBorder="1" applyAlignment="1">
      <alignment horizontal="center" vertical="center" wrapText="1"/>
    </xf>
    <xf numFmtId="49" fontId="43" fillId="2" borderId="1" xfId="0" applyNumberFormat="1" applyFont="1" applyFill="1" applyBorder="1" applyAlignment="1">
      <alignment horizontal="center" vertical="center" wrapText="1"/>
    </xf>
    <xf numFmtId="4" fontId="44" fillId="0" borderId="1" xfId="1" applyNumberFormat="1" applyFont="1" applyFill="1" applyBorder="1" applyAlignment="1" applyProtection="1">
      <alignment horizontal="center" vertical="center" wrapText="1"/>
      <protection locked="0"/>
    </xf>
    <xf numFmtId="164" fontId="14" fillId="0" borderId="1" xfId="1" applyNumberFormat="1" applyFont="1" applyFill="1" applyBorder="1" applyAlignment="1" applyProtection="1">
      <alignment horizontal="center" vertical="center" wrapText="1"/>
      <protection locked="0"/>
    </xf>
    <xf numFmtId="164" fontId="21" fillId="0" borderId="1" xfId="1" applyNumberFormat="1" applyFont="1" applyFill="1" applyBorder="1" applyAlignment="1" applyProtection="1">
      <alignment horizontal="center" vertical="center" wrapText="1"/>
      <protection locked="0"/>
    </xf>
    <xf numFmtId="0" fontId="3" fillId="0" borderId="1" xfId="1" applyFont="1" applyFill="1" applyBorder="1" applyAlignment="1" applyProtection="1">
      <alignment horizontal="center" vertical="center" wrapText="1"/>
      <protection locked="0"/>
    </xf>
    <xf numFmtId="4" fontId="45" fillId="0" borderId="1" xfId="1" applyNumberFormat="1" applyFont="1" applyFill="1" applyBorder="1" applyAlignment="1" applyProtection="1">
      <alignment horizontal="center" vertical="center" wrapText="1"/>
      <protection locked="0"/>
    </xf>
    <xf numFmtId="4" fontId="14" fillId="0" borderId="1" xfId="1" applyNumberFormat="1" applyFont="1" applyFill="1" applyBorder="1" applyAlignment="1" applyProtection="1">
      <alignment horizontal="center" vertical="center" wrapText="1"/>
      <protection locked="0"/>
    </xf>
    <xf numFmtId="4" fontId="21" fillId="0" borderId="1" xfId="1" applyNumberFormat="1" applyFont="1" applyFill="1" applyBorder="1" applyAlignment="1" applyProtection="1">
      <alignment horizontal="center" vertical="center" wrapText="1"/>
      <protection locked="0"/>
    </xf>
    <xf numFmtId="164" fontId="19" fillId="0" borderId="1" xfId="1" applyNumberFormat="1" applyFont="1" applyFill="1" applyBorder="1" applyAlignment="1" applyProtection="1">
      <alignment horizontal="center" vertical="center" wrapText="1"/>
      <protection locked="0"/>
    </xf>
    <xf numFmtId="4" fontId="19" fillId="0" borderId="1" xfId="1" applyNumberFormat="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top" wrapText="1"/>
      <protection locked="0"/>
    </xf>
    <xf numFmtId="164" fontId="12" fillId="0" borderId="1" xfId="1" applyNumberFormat="1" applyFont="1" applyFill="1" applyBorder="1" applyAlignment="1" applyProtection="1">
      <alignment horizontal="center" vertical="center" wrapText="1"/>
      <protection locked="0"/>
    </xf>
    <xf numFmtId="0" fontId="3" fillId="0" borderId="0" xfId="1" applyFont="1" applyFill="1" applyBorder="1" applyAlignment="1" applyProtection="1">
      <alignment horizontal="center" vertical="center" wrapText="1"/>
      <protection locked="0"/>
    </xf>
    <xf numFmtId="0" fontId="45" fillId="0" borderId="1" xfId="1" applyFont="1" applyFill="1" applyBorder="1" applyAlignment="1" applyProtection="1">
      <alignment horizontal="center" vertical="center" wrapText="1"/>
      <protection locked="0"/>
    </xf>
    <xf numFmtId="0" fontId="11" fillId="0" borderId="1" xfId="1" applyFont="1" applyFill="1" applyBorder="1" applyAlignment="1" applyProtection="1">
      <alignment horizontal="center" vertical="center" wrapText="1"/>
      <protection locked="0"/>
    </xf>
    <xf numFmtId="0" fontId="4" fillId="0" borderId="1" xfId="1" applyFont="1" applyFill="1" applyBorder="1" applyAlignment="1" applyProtection="1">
      <alignment horizontal="center" vertical="center" wrapText="1"/>
      <protection locked="0"/>
    </xf>
    <xf numFmtId="49" fontId="33" fillId="0" borderId="4" xfId="0" applyNumberFormat="1" applyFont="1" applyBorder="1" applyAlignment="1">
      <alignment horizontal="center" vertical="center" wrapText="1"/>
    </xf>
    <xf numFmtId="4" fontId="44" fillId="2" borderId="1" xfId="1" applyNumberFormat="1" applyFont="1" applyFill="1" applyBorder="1" applyAlignment="1">
      <alignment horizontal="center" vertical="center" wrapText="1"/>
    </xf>
    <xf numFmtId="4" fontId="17" fillId="2" borderId="1" xfId="1" applyNumberFormat="1" applyFont="1" applyFill="1" applyBorder="1" applyAlignment="1">
      <alignment horizontal="center" vertical="center" wrapText="1"/>
    </xf>
    <xf numFmtId="4" fontId="44" fillId="2" borderId="1" xfId="0" applyNumberFormat="1" applyFont="1" applyFill="1" applyBorder="1" applyAlignment="1">
      <alignment horizontal="center" vertical="center"/>
    </xf>
    <xf numFmtId="4" fontId="44" fillId="2" borderId="1" xfId="0" applyNumberFormat="1" applyFont="1" applyFill="1" applyBorder="1" applyAlignment="1">
      <alignment horizontal="center" vertical="center" wrapText="1"/>
    </xf>
    <xf numFmtId="4" fontId="21" fillId="2" borderId="1" xfId="0" applyNumberFormat="1" applyFont="1" applyFill="1" applyBorder="1" applyAlignment="1">
      <alignment horizontal="center" vertical="center"/>
    </xf>
    <xf numFmtId="4" fontId="21" fillId="2" borderId="1" xfId="1" applyNumberFormat="1"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49" fontId="3" fillId="0" borderId="5" xfId="0" applyNumberFormat="1" applyFont="1" applyBorder="1" applyAlignment="1">
      <alignment horizontal="center" vertical="top" wrapText="1"/>
    </xf>
    <xf numFmtId="49" fontId="3" fillId="0" borderId="0" xfId="0" applyNumberFormat="1" applyFont="1" applyAlignment="1">
      <alignment horizontal="center" vertical="top" wrapText="1"/>
    </xf>
    <xf numFmtId="49" fontId="3" fillId="0" borderId="3" xfId="0" applyNumberFormat="1" applyFont="1" applyBorder="1" applyAlignment="1">
      <alignment horizontal="center" vertical="top" wrapText="1"/>
    </xf>
    <xf numFmtId="49" fontId="3" fillId="0" borderId="3"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 fontId="44" fillId="0" borderId="1" xfId="0" applyNumberFormat="1" applyFont="1" applyBorder="1" applyAlignment="1">
      <alignment horizontal="center" vertical="center" wrapText="1"/>
    </xf>
    <xf numFmtId="49" fontId="16" fillId="7" borderId="1" xfId="0" applyNumberFormat="1" applyFont="1" applyFill="1" applyBorder="1" applyAlignment="1">
      <alignment horizontal="center" vertical="center" wrapText="1"/>
    </xf>
    <xf numFmtId="0" fontId="16" fillId="7" borderId="1" xfId="1" applyFont="1" applyFill="1" applyBorder="1" applyAlignment="1" applyProtection="1">
      <alignment horizontal="center" vertical="center" wrapText="1"/>
      <protection locked="0"/>
    </xf>
    <xf numFmtId="4" fontId="16" fillId="7" borderId="1" xfId="1" applyNumberFormat="1" applyFont="1" applyFill="1" applyBorder="1" applyAlignment="1" applyProtection="1">
      <alignment horizontal="center" vertical="center" wrapText="1"/>
      <protection locked="0"/>
    </xf>
    <xf numFmtId="164" fontId="4" fillId="7" borderId="1" xfId="1" applyNumberFormat="1" applyFont="1" applyFill="1" applyBorder="1" applyAlignment="1" applyProtection="1">
      <alignment horizontal="center" vertical="center" wrapText="1"/>
      <protection locked="0"/>
    </xf>
    <xf numFmtId="164" fontId="16" fillId="7" borderId="1" xfId="1" applyNumberFormat="1" applyFont="1" applyFill="1" applyBorder="1" applyAlignment="1" applyProtection="1">
      <alignment horizontal="center" vertical="center" wrapText="1"/>
      <protection locked="0"/>
    </xf>
    <xf numFmtId="4" fontId="16" fillId="7" borderId="1" xfId="0" applyNumberFormat="1" applyFont="1" applyFill="1" applyBorder="1" applyAlignment="1">
      <alignment horizontal="center" vertical="center" wrapText="1"/>
    </xf>
    <xf numFmtId="4" fontId="14" fillId="0" borderId="1" xfId="0" applyNumberFormat="1" applyFont="1" applyBorder="1" applyAlignment="1">
      <alignment horizontal="center" vertical="center" wrapText="1"/>
    </xf>
    <xf numFmtId="4" fontId="21" fillId="0" borderId="1"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4" fontId="14" fillId="0" borderId="3"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4" fontId="19"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4" fontId="44" fillId="0" borderId="1" xfId="1" applyNumberFormat="1" applyFont="1" applyFill="1" applyBorder="1" applyAlignment="1">
      <alignment horizontal="center" vertical="center" wrapText="1"/>
    </xf>
    <xf numFmtId="164" fontId="44" fillId="0" borderId="1" xfId="1" applyNumberFormat="1" applyFont="1" applyFill="1" applyBorder="1" applyAlignment="1" applyProtection="1">
      <alignment horizontal="center" vertical="center" wrapText="1"/>
      <protection locked="0"/>
    </xf>
    <xf numFmtId="4" fontId="17" fillId="0" borderId="1" xfId="1" applyNumberFormat="1" applyFont="1" applyFill="1" applyBorder="1" applyAlignment="1">
      <alignment horizontal="center" vertical="center" wrapText="1"/>
    </xf>
    <xf numFmtId="4" fontId="44" fillId="0" borderId="1"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14" fillId="0" borderId="1" xfId="1" applyNumberFormat="1" applyFont="1" applyFill="1" applyBorder="1" applyAlignment="1">
      <alignment horizontal="center" vertical="center" wrapText="1"/>
    </xf>
    <xf numFmtId="4" fontId="27" fillId="0" borderId="1" xfId="1" applyNumberFormat="1" applyFont="1" applyFill="1" applyBorder="1" applyAlignment="1">
      <alignment horizontal="center" vertical="center" wrapText="1"/>
    </xf>
    <xf numFmtId="4" fontId="21" fillId="0" borderId="1" xfId="0" applyNumberFormat="1" applyFont="1" applyBorder="1" applyAlignment="1">
      <alignment horizontal="center" vertical="center"/>
    </xf>
    <xf numFmtId="4" fontId="14" fillId="0" borderId="2" xfId="0" applyNumberFormat="1" applyFont="1" applyBorder="1" applyAlignment="1">
      <alignment horizontal="center" vertical="center"/>
    </xf>
    <xf numFmtId="4" fontId="27" fillId="0" borderId="1" xfId="1" applyNumberFormat="1" applyFont="1" applyFill="1" applyBorder="1" applyAlignment="1" applyProtection="1">
      <alignment horizontal="center" vertical="center" wrapText="1"/>
      <protection locked="0"/>
    </xf>
    <xf numFmtId="164" fontId="27" fillId="0" borderId="1" xfId="1" applyNumberFormat="1" applyFont="1" applyFill="1" applyBorder="1" applyAlignment="1" applyProtection="1">
      <alignment horizontal="center" vertical="center" wrapText="1"/>
      <protection locked="0"/>
    </xf>
    <xf numFmtId="4" fontId="27" fillId="0" borderId="1" xfId="0" applyNumberFormat="1" applyFont="1" applyBorder="1" applyAlignment="1">
      <alignment horizontal="center" vertical="center"/>
    </xf>
    <xf numFmtId="49" fontId="3" fillId="2" borderId="2"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 fontId="14" fillId="2" borderId="2" xfId="0" applyNumberFormat="1" applyFont="1" applyFill="1" applyBorder="1" applyAlignment="1">
      <alignment horizontal="center" vertical="center" wrapText="1"/>
    </xf>
    <xf numFmtId="4" fontId="14" fillId="2" borderId="5" xfId="0" applyNumberFormat="1" applyFont="1" applyFill="1" applyBorder="1" applyAlignment="1">
      <alignment horizontal="center" vertical="center" wrapText="1"/>
    </xf>
    <xf numFmtId="4" fontId="14" fillId="2" borderId="3" xfId="0" applyNumberFormat="1" applyFont="1" applyFill="1" applyBorder="1" applyAlignment="1">
      <alignment horizontal="center" vertical="center" wrapText="1"/>
    </xf>
    <xf numFmtId="164" fontId="14" fillId="2" borderId="2" xfId="1" applyNumberFormat="1" applyFont="1" applyFill="1" applyBorder="1" applyAlignment="1" applyProtection="1">
      <alignment horizontal="center" vertical="center" wrapText="1"/>
      <protection locked="0"/>
    </xf>
    <xf numFmtId="164" fontId="14" fillId="2" borderId="5" xfId="1" applyNumberFormat="1" applyFont="1" applyFill="1" applyBorder="1" applyAlignment="1" applyProtection="1">
      <alignment horizontal="center" vertical="center" wrapText="1"/>
      <protection locked="0"/>
    </xf>
    <xf numFmtId="164" fontId="14" fillId="2" borderId="3" xfId="1" applyNumberFormat="1" applyFont="1" applyFill="1" applyBorder="1" applyAlignment="1" applyProtection="1">
      <alignment horizontal="center" vertical="center" wrapText="1"/>
      <protection locked="0"/>
    </xf>
    <xf numFmtId="0" fontId="3" fillId="0" borderId="0" xfId="0" applyFont="1" applyAlignment="1">
      <alignment horizontal="center" vertical="center"/>
    </xf>
    <xf numFmtId="0" fontId="3" fillId="0" borderId="0" xfId="0" applyFont="1" applyAlignment="1">
      <alignment horizontal="right" vertical="center"/>
    </xf>
    <xf numFmtId="0" fontId="7" fillId="0" borderId="0" xfId="0" applyFont="1" applyAlignment="1">
      <alignment horizontal="center" vertical="top"/>
    </xf>
    <xf numFmtId="0" fontId="4" fillId="0" borderId="0" xfId="0" applyFont="1" applyAlignment="1">
      <alignment horizontal="center" vertical="center"/>
    </xf>
    <xf numFmtId="0" fontId="4" fillId="0" borderId="2" xfId="0" applyFont="1" applyBorder="1" applyAlignment="1">
      <alignment horizontal="center" vertical="top" wrapText="1"/>
    </xf>
    <xf numFmtId="0" fontId="4" fillId="0" borderId="5" xfId="0" applyFont="1" applyBorder="1" applyAlignment="1">
      <alignment horizontal="center" vertical="top" wrapText="1"/>
    </xf>
    <xf numFmtId="0" fontId="4" fillId="0" borderId="3" xfId="0" applyFont="1" applyBorder="1" applyAlignment="1">
      <alignment horizontal="center" vertical="top" wrapText="1"/>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xf>
    <xf numFmtId="0" fontId="6" fillId="0" borderId="0" xfId="0" applyFont="1" applyAlignment="1">
      <alignment horizontal="center"/>
    </xf>
    <xf numFmtId="0" fontId="3" fillId="0" borderId="0" xfId="0" applyFont="1"/>
    <xf numFmtId="0" fontId="29" fillId="0" borderId="6" xfId="0" applyFont="1" applyBorder="1" applyAlignment="1">
      <alignment horizontal="left" vertical="center"/>
    </xf>
    <xf numFmtId="0" fontId="9" fillId="0" borderId="0" xfId="0" applyFont="1"/>
    <xf numFmtId="49" fontId="33" fillId="0" borderId="4" xfId="0" applyNumberFormat="1" applyFont="1" applyBorder="1" applyAlignment="1">
      <alignment horizontal="center" vertical="center" wrapText="1"/>
    </xf>
    <xf numFmtId="49" fontId="33" fillId="0" borderId="0" xfId="0" applyNumberFormat="1" applyFont="1" applyAlignment="1">
      <alignment horizontal="center" vertical="center" wrapText="1"/>
    </xf>
    <xf numFmtId="49" fontId="33" fillId="0" borderId="4" xfId="0" applyNumberFormat="1" applyFont="1" applyBorder="1" applyAlignment="1">
      <alignment horizontal="left" vertical="center" wrapText="1"/>
    </xf>
    <xf numFmtId="49" fontId="33" fillId="0" borderId="0" xfId="0" applyNumberFormat="1" applyFont="1" applyAlignment="1">
      <alignment horizontal="left" vertical="center" wrapText="1"/>
    </xf>
    <xf numFmtId="4" fontId="14" fillId="0" borderId="1" xfId="0" applyNumberFormat="1" applyFont="1" applyFill="1" applyBorder="1" applyAlignment="1">
      <alignment horizontal="center" vertical="center" wrapText="1"/>
    </xf>
    <xf numFmtId="4" fontId="21" fillId="0" borderId="1" xfId="0" applyNumberFormat="1" applyFont="1" applyFill="1" applyBorder="1" applyAlignment="1">
      <alignment horizontal="center" vertical="center" wrapText="1"/>
    </xf>
    <xf numFmtId="4" fontId="14" fillId="0" borderId="1" xfId="0" applyNumberFormat="1" applyFont="1" applyFill="1" applyBorder="1" applyAlignment="1">
      <alignment horizontal="center" vertical="center"/>
    </xf>
    <xf numFmtId="4" fontId="21"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 fontId="19" fillId="0" borderId="1" xfId="0" applyNumberFormat="1" applyFont="1" applyFill="1" applyBorder="1" applyAlignment="1">
      <alignment horizontal="center" vertical="center" wrapText="1"/>
    </xf>
    <xf numFmtId="4" fontId="12" fillId="0" borderId="1" xfId="1" applyNumberFormat="1" applyFont="1" applyFill="1" applyBorder="1" applyAlignment="1" applyProtection="1">
      <alignment horizontal="center" vertical="center" wrapText="1"/>
      <protection locked="0"/>
    </xf>
    <xf numFmtId="4" fontId="3" fillId="0" borderId="2"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4" fontId="14" fillId="0" borderId="2"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4" fontId="19" fillId="0" borderId="1" xfId="0" applyNumberFormat="1" applyFont="1" applyFill="1" applyBorder="1" applyAlignment="1">
      <alignment horizontal="center" vertical="center"/>
    </xf>
    <xf numFmtId="4" fontId="12" fillId="0" borderId="1" xfId="0" applyNumberFormat="1" applyFont="1" applyFill="1" applyBorder="1" applyAlignment="1">
      <alignment horizontal="center" vertical="center" wrapText="1"/>
    </xf>
    <xf numFmtId="0" fontId="3" fillId="0" borderId="1" xfId="3" applyFont="1" applyFill="1" applyBorder="1" applyAlignment="1">
      <alignment horizontal="center" vertical="center" wrapText="1"/>
    </xf>
    <xf numFmtId="4" fontId="12" fillId="0" borderId="1" xfId="0" applyNumberFormat="1" applyFont="1" applyFill="1" applyBorder="1" applyAlignment="1">
      <alignment horizontal="center" vertical="center"/>
    </xf>
    <xf numFmtId="49" fontId="3" fillId="0" borderId="1" xfId="3" applyNumberFormat="1" applyFont="1" applyFill="1" applyBorder="1" applyAlignment="1">
      <alignment horizontal="center" vertical="center" wrapText="1"/>
    </xf>
    <xf numFmtId="49" fontId="45" fillId="0" borderId="1" xfId="3" applyNumberFormat="1" applyFont="1" applyFill="1" applyBorder="1" applyAlignment="1">
      <alignment horizontal="center" vertical="center" wrapText="1"/>
    </xf>
    <xf numFmtId="0" fontId="45" fillId="0" borderId="1" xfId="3"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cellXfs>
  <cellStyles count="4">
    <cellStyle name="Звичайний" xfId="0" builtinId="0"/>
    <cellStyle name="Обычный 3" xfId="3" xr:uid="{00000000-0005-0000-0000-000001000000}"/>
    <cellStyle name="Обычный_Додаток 2 до бюджету 2000 року" xfId="1" xr:uid="{00000000-0005-0000-0000-000002000000}"/>
    <cellStyle name="Обычный_Додаток №1" xfId="2" xr:uid="{00000000-0005-0000-0000-000003000000}"/>
  </cellStyles>
  <dxfs count="0"/>
  <tableStyles count="0" defaultTableStyle="TableStyleMedium2" defaultPivotStyle="PivotStyleLight16"/>
  <colors>
    <mruColors>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A290"/>
  <sheetViews>
    <sheetView tabSelected="1" view="pageBreakPreview" topLeftCell="B1" zoomScale="25" zoomScaleNormal="25" zoomScaleSheetLayoutView="25" zoomScalePageLayoutView="10" workbookViewId="0">
      <pane ySplit="13" topLeftCell="A207" activePane="bottomLeft" state="frozen"/>
      <selection activeCell="B1" sqref="B1"/>
      <selection pane="bottomLeft" activeCell="O1" sqref="O1:R1048576"/>
    </sheetView>
  </sheetViews>
  <sheetFormatPr defaultColWidth="9.140625" defaultRowHeight="12.75" x14ac:dyDescent="0.2"/>
  <cols>
    <col min="1" max="1" width="25.140625" style="1" hidden="1" customWidth="1"/>
    <col min="2" max="2" width="52.5703125" style="1" customWidth="1"/>
    <col min="3" max="3" width="59.28515625" style="1" customWidth="1"/>
    <col min="4" max="4" width="167.42578125" style="1" customWidth="1"/>
    <col min="5" max="5" width="82.42578125" style="1" customWidth="1"/>
    <col min="6" max="6" width="64.85546875" style="1" customWidth="1"/>
    <col min="7" max="7" width="63.28515625" style="1" customWidth="1"/>
    <col min="8" max="8" width="47.5703125" style="1" customWidth="1"/>
    <col min="9" max="9" width="52.5703125" style="42" customWidth="1"/>
    <col min="10" max="10" width="56.140625" style="1" customWidth="1"/>
    <col min="11" max="11" width="44.140625" style="1" customWidth="1"/>
    <col min="12" max="12" width="45.28515625" style="1" hidden="1" customWidth="1"/>
    <col min="13" max="13" width="56.140625" style="1" hidden="1" customWidth="1"/>
    <col min="14" max="14" width="86.28515625" style="42" customWidth="1"/>
    <col min="15" max="15" width="37.7109375" style="5" hidden="1" customWidth="1"/>
    <col min="16" max="16" width="39.42578125" style="5" hidden="1" customWidth="1"/>
    <col min="17" max="17" width="37.7109375" hidden="1" customWidth="1"/>
    <col min="18" max="18" width="22.85546875" hidden="1" customWidth="1"/>
    <col min="19" max="19" width="31.42578125" customWidth="1"/>
    <col min="20" max="20" width="23.42578125" customWidth="1"/>
    <col min="21" max="21" width="34.28515625" customWidth="1"/>
    <col min="22" max="22" width="27.42578125" customWidth="1"/>
    <col min="23" max="23" width="8.5703125" customWidth="1"/>
    <col min="27" max="27" width="145.5703125" customWidth="1"/>
  </cols>
  <sheetData>
    <row r="2" spans="1:18" ht="45.75" x14ac:dyDescent="0.2">
      <c r="D2" s="2"/>
      <c r="E2" s="4"/>
      <c r="F2" s="3"/>
      <c r="G2" s="3"/>
      <c r="H2" s="3"/>
      <c r="I2" s="3"/>
      <c r="J2" s="4"/>
      <c r="K2" s="180" t="s">
        <v>381</v>
      </c>
      <c r="L2" s="180"/>
      <c r="M2" s="180"/>
      <c r="N2" s="180"/>
      <c r="O2" s="43"/>
    </row>
    <row r="3" spans="1:18" ht="45.75" x14ac:dyDescent="0.2">
      <c r="A3" s="2"/>
      <c r="B3" s="2"/>
      <c r="C3" s="2"/>
      <c r="D3" s="2"/>
      <c r="E3" s="4"/>
      <c r="F3" s="3"/>
      <c r="G3" s="3"/>
      <c r="H3" s="3"/>
      <c r="I3" s="3"/>
      <c r="J3" s="181" t="s">
        <v>592</v>
      </c>
      <c r="K3" s="181"/>
      <c r="L3" s="181"/>
      <c r="M3" s="181"/>
      <c r="N3" s="181"/>
      <c r="O3" s="44"/>
    </row>
    <row r="4" spans="1:18" ht="45" x14ac:dyDescent="0.2">
      <c r="A4" s="183" t="s">
        <v>382</v>
      </c>
      <c r="B4" s="183"/>
      <c r="C4" s="183"/>
      <c r="D4" s="183"/>
      <c r="E4" s="183"/>
      <c r="F4" s="183"/>
      <c r="G4" s="183"/>
      <c r="H4" s="183"/>
      <c r="I4" s="183"/>
      <c r="J4" s="183"/>
      <c r="K4" s="183"/>
      <c r="L4" s="183"/>
      <c r="M4" s="183"/>
      <c r="N4" s="183"/>
    </row>
    <row r="5" spans="1:18" ht="45" x14ac:dyDescent="0.2">
      <c r="A5" s="183" t="s">
        <v>593</v>
      </c>
      <c r="B5" s="183"/>
      <c r="C5" s="183"/>
      <c r="D5" s="183"/>
      <c r="E5" s="183"/>
      <c r="F5" s="183"/>
      <c r="G5" s="183"/>
      <c r="H5" s="183"/>
      <c r="I5" s="183"/>
      <c r="J5" s="183"/>
      <c r="K5" s="183"/>
      <c r="L5" s="183"/>
      <c r="M5" s="183"/>
      <c r="N5" s="183"/>
    </row>
    <row r="6" spans="1:18" ht="45" x14ac:dyDescent="0.2">
      <c r="A6" s="3"/>
      <c r="B6" s="3"/>
      <c r="C6" s="3"/>
      <c r="D6" s="3"/>
      <c r="E6" s="3"/>
      <c r="F6" s="3"/>
      <c r="G6" s="3"/>
      <c r="H6" s="3"/>
      <c r="I6" s="3"/>
      <c r="J6" s="3"/>
      <c r="K6" s="3"/>
      <c r="L6" s="3"/>
      <c r="M6" s="3"/>
      <c r="N6" s="3"/>
    </row>
    <row r="7" spans="1:18" ht="61.5" customHeight="1" x14ac:dyDescent="0.65">
      <c r="A7" s="190">
        <v>2256400000</v>
      </c>
      <c r="B7" s="190"/>
      <c r="C7" s="3"/>
      <c r="D7" s="3"/>
      <c r="E7" s="3"/>
      <c r="F7" s="3"/>
      <c r="G7" s="3"/>
      <c r="H7" s="3"/>
      <c r="I7" s="3"/>
      <c r="J7" s="3"/>
      <c r="K7" s="3"/>
      <c r="L7" s="3"/>
      <c r="M7" s="3"/>
      <c r="N7" s="3"/>
    </row>
    <row r="8" spans="1:18" ht="45.75" x14ac:dyDescent="0.2">
      <c r="A8" s="182" t="s">
        <v>0</v>
      </c>
      <c r="B8" s="182"/>
      <c r="C8" s="3"/>
      <c r="D8" s="3"/>
      <c r="E8" s="3"/>
      <c r="F8" s="3"/>
      <c r="G8" s="3"/>
      <c r="H8" s="3"/>
      <c r="I8" s="3"/>
      <c r="J8" s="3"/>
      <c r="K8" s="3"/>
      <c r="L8" s="3"/>
      <c r="M8" s="3"/>
      <c r="N8" s="3"/>
    </row>
    <row r="9" spans="1:18" ht="53.45" customHeight="1" thickBot="1" x14ac:dyDescent="0.25">
      <c r="A9" s="3"/>
      <c r="B9" s="3"/>
      <c r="C9" s="3"/>
      <c r="D9" s="3"/>
      <c r="E9" s="4"/>
      <c r="F9" s="3"/>
      <c r="G9" s="3"/>
      <c r="H9" s="3"/>
      <c r="I9" s="3"/>
      <c r="J9" s="3"/>
      <c r="K9" s="3"/>
      <c r="L9" s="3"/>
      <c r="M9" s="3"/>
      <c r="N9" s="6" t="s">
        <v>1</v>
      </c>
    </row>
    <row r="10" spans="1:18" ht="62.45" customHeight="1" thickTop="1" thickBot="1" x14ac:dyDescent="0.25">
      <c r="A10" s="184" t="s">
        <v>2</v>
      </c>
      <c r="B10" s="184" t="s">
        <v>3</v>
      </c>
      <c r="C10" s="184" t="s">
        <v>4</v>
      </c>
      <c r="D10" s="184" t="s">
        <v>383</v>
      </c>
      <c r="E10" s="187" t="s">
        <v>5</v>
      </c>
      <c r="F10" s="188"/>
      <c r="G10" s="188"/>
      <c r="H10" s="189"/>
      <c r="I10" s="187" t="s">
        <v>6</v>
      </c>
      <c r="J10" s="188"/>
      <c r="K10" s="188"/>
      <c r="L10" s="188"/>
      <c r="M10" s="189"/>
      <c r="N10" s="184" t="s">
        <v>597</v>
      </c>
    </row>
    <row r="11" spans="1:18" ht="96" customHeight="1" thickTop="1" thickBot="1" x14ac:dyDescent="0.25">
      <c r="A11" s="185"/>
      <c r="B11" s="185"/>
      <c r="C11" s="185"/>
      <c r="D11" s="185"/>
      <c r="E11" s="184" t="s">
        <v>594</v>
      </c>
      <c r="F11" s="184" t="s">
        <v>595</v>
      </c>
      <c r="G11" s="184" t="s">
        <v>596</v>
      </c>
      <c r="H11" s="184" t="s">
        <v>384</v>
      </c>
      <c r="I11" s="184" t="s">
        <v>594</v>
      </c>
      <c r="J11" s="184" t="s">
        <v>596</v>
      </c>
      <c r="K11" s="184" t="s">
        <v>384</v>
      </c>
      <c r="L11" s="7"/>
      <c r="M11" s="184"/>
      <c r="N11" s="185"/>
    </row>
    <row r="12" spans="1:18" ht="208.5" customHeight="1" thickTop="1" thickBot="1" x14ac:dyDescent="0.25">
      <c r="A12" s="186"/>
      <c r="B12" s="186"/>
      <c r="C12" s="186"/>
      <c r="D12" s="186"/>
      <c r="E12" s="186"/>
      <c r="F12" s="186"/>
      <c r="G12" s="186"/>
      <c r="H12" s="186"/>
      <c r="I12" s="186"/>
      <c r="J12" s="186"/>
      <c r="K12" s="186"/>
      <c r="L12" s="7"/>
      <c r="M12" s="186"/>
      <c r="N12" s="186"/>
    </row>
    <row r="13" spans="1:18" s="11" customFormat="1" ht="47.25" thickTop="1" thickBot="1" x14ac:dyDescent="0.25">
      <c r="A13" s="8" t="s">
        <v>7</v>
      </c>
      <c r="B13" s="8" t="s">
        <v>7</v>
      </c>
      <c r="C13" s="8" t="s">
        <v>8</v>
      </c>
      <c r="D13" s="8" t="s">
        <v>9</v>
      </c>
      <c r="E13" s="8" t="s">
        <v>10</v>
      </c>
      <c r="F13" s="8" t="s">
        <v>11</v>
      </c>
      <c r="G13" s="8" t="s">
        <v>12</v>
      </c>
      <c r="H13" s="8" t="s">
        <v>444</v>
      </c>
      <c r="I13" s="8" t="s">
        <v>445</v>
      </c>
      <c r="J13" s="8" t="s">
        <v>446</v>
      </c>
      <c r="K13" s="8" t="s">
        <v>447</v>
      </c>
      <c r="L13" s="8"/>
      <c r="M13" s="8"/>
      <c r="N13" s="8" t="s">
        <v>566</v>
      </c>
      <c r="O13" s="9"/>
      <c r="P13" s="10"/>
    </row>
    <row r="14" spans="1:18" s="14" customFormat="1" ht="88.5" customHeight="1" thickTop="1" thickBot="1" x14ac:dyDescent="0.25">
      <c r="A14" s="52" t="s">
        <v>13</v>
      </c>
      <c r="B14" s="145" t="s">
        <v>14</v>
      </c>
      <c r="C14" s="145"/>
      <c r="D14" s="146" t="s">
        <v>15</v>
      </c>
      <c r="E14" s="147">
        <f>SUM(E15:E18)</f>
        <v>396159133.09000003</v>
      </c>
      <c r="F14" s="147">
        <f>SUM(F15:F18)</f>
        <v>97579917.670000002</v>
      </c>
      <c r="G14" s="147">
        <f>SUM(G15:G18)</f>
        <v>82120516.870000005</v>
      </c>
      <c r="H14" s="148">
        <f>G14/F14</f>
        <v>0.84157190158449124</v>
      </c>
      <c r="I14" s="147">
        <f>SUM(I15:I18)</f>
        <v>0</v>
      </c>
      <c r="J14" s="147">
        <f>SUM(J15:J18)</f>
        <v>0</v>
      </c>
      <c r="K14" s="149">
        <v>0</v>
      </c>
      <c r="L14" s="147"/>
      <c r="M14" s="147"/>
      <c r="N14" s="150">
        <f t="shared" ref="N14:N27" si="0">G14+J14</f>
        <v>82120516.870000005</v>
      </c>
      <c r="O14" s="48" t="b">
        <f>N14=N15+N16+N18</f>
        <v>1</v>
      </c>
      <c r="P14" s="13"/>
      <c r="Q14" s="194" t="s">
        <v>385</v>
      </c>
      <c r="R14" s="195"/>
    </row>
    <row r="15" spans="1:18" ht="230.25" thickTop="1" thickBot="1" x14ac:dyDescent="0.25">
      <c r="A15" s="53" t="s">
        <v>16</v>
      </c>
      <c r="B15" s="64" t="s">
        <v>17</v>
      </c>
      <c r="C15" s="64" t="s">
        <v>18</v>
      </c>
      <c r="D15" s="64" t="s">
        <v>19</v>
      </c>
      <c r="E15" s="115">
        <v>186581263</v>
      </c>
      <c r="F15" s="115">
        <v>46567300</v>
      </c>
      <c r="G15" s="115">
        <v>43028375.130000003</v>
      </c>
      <c r="H15" s="116">
        <f>G15/F15</f>
        <v>0.92400407861310407</v>
      </c>
      <c r="I15" s="115">
        <v>0</v>
      </c>
      <c r="J15" s="159">
        <v>0</v>
      </c>
      <c r="K15" s="160">
        <v>0</v>
      </c>
      <c r="L15" s="161"/>
      <c r="M15" s="162"/>
      <c r="N15" s="144">
        <f t="shared" si="0"/>
        <v>43028375.130000003</v>
      </c>
      <c r="O15" s="194" t="s">
        <v>385</v>
      </c>
      <c r="P15" s="195"/>
    </row>
    <row r="16" spans="1:18" ht="138.75" thickTop="1" thickBot="1" x14ac:dyDescent="0.25">
      <c r="A16" s="53" t="s">
        <v>20</v>
      </c>
      <c r="B16" s="64" t="s">
        <v>21</v>
      </c>
      <c r="C16" s="64" t="s">
        <v>18</v>
      </c>
      <c r="D16" s="64" t="s">
        <v>505</v>
      </c>
      <c r="E16" s="115">
        <v>166142308</v>
      </c>
      <c r="F16" s="115">
        <v>50389174.670000002</v>
      </c>
      <c r="G16" s="115">
        <v>38562419.829999998</v>
      </c>
      <c r="H16" s="116">
        <f t="shared" ref="H16:H18" si="1">G16/F16</f>
        <v>0.76529175328919907</v>
      </c>
      <c r="I16" s="115">
        <v>0</v>
      </c>
      <c r="J16" s="159">
        <v>0</v>
      </c>
      <c r="K16" s="160">
        <v>0</v>
      </c>
      <c r="L16" s="161"/>
      <c r="M16" s="162"/>
      <c r="N16" s="144">
        <f t="shared" si="0"/>
        <v>38562419.829999998</v>
      </c>
      <c r="O16" s="194" t="s">
        <v>385</v>
      </c>
      <c r="P16" s="195"/>
    </row>
    <row r="17" spans="1:18" ht="93" hidden="1" thickTop="1" thickBot="1" x14ac:dyDescent="0.25">
      <c r="A17" s="64" t="s">
        <v>22</v>
      </c>
      <c r="B17" s="114" t="s">
        <v>23</v>
      </c>
      <c r="C17" s="114" t="s">
        <v>24</v>
      </c>
      <c r="D17" s="114" t="s">
        <v>25</v>
      </c>
      <c r="E17" s="80">
        <v>0</v>
      </c>
      <c r="F17" s="80">
        <v>0</v>
      </c>
      <c r="G17" s="80">
        <v>0</v>
      </c>
      <c r="H17" s="81" t="e">
        <f t="shared" si="1"/>
        <v>#DIV/0!</v>
      </c>
      <c r="I17" s="80"/>
      <c r="J17" s="131"/>
      <c r="K17" s="132"/>
      <c r="L17" s="132"/>
      <c r="M17" s="133"/>
      <c r="N17" s="134">
        <f t="shared" si="0"/>
        <v>0</v>
      </c>
      <c r="O17" s="15"/>
      <c r="P17" s="16"/>
    </row>
    <row r="18" spans="1:18" ht="111" customHeight="1" thickTop="1" thickBot="1" x14ac:dyDescent="0.25">
      <c r="A18" s="53" t="s">
        <v>26</v>
      </c>
      <c r="B18" s="64" t="s">
        <v>27</v>
      </c>
      <c r="C18" s="64" t="s">
        <v>28</v>
      </c>
      <c r="D18" s="64" t="s">
        <v>29</v>
      </c>
      <c r="E18" s="144">
        <v>43435562.090000004</v>
      </c>
      <c r="F18" s="144">
        <v>623443</v>
      </c>
      <c r="G18" s="144">
        <v>529721.91</v>
      </c>
      <c r="H18" s="116">
        <f t="shared" si="1"/>
        <v>0.8496717582842378</v>
      </c>
      <c r="I18" s="115">
        <v>0</v>
      </c>
      <c r="J18" s="159">
        <v>0</v>
      </c>
      <c r="K18" s="160">
        <v>0</v>
      </c>
      <c r="L18" s="144"/>
      <c r="M18" s="162"/>
      <c r="N18" s="144">
        <f t="shared" si="0"/>
        <v>529721.91</v>
      </c>
      <c r="O18" s="194" t="s">
        <v>385</v>
      </c>
      <c r="P18" s="195"/>
    </row>
    <row r="19" spans="1:18" ht="83.25" customHeight="1" thickTop="1" thickBot="1" x14ac:dyDescent="0.25">
      <c r="A19" s="52" t="s">
        <v>59</v>
      </c>
      <c r="B19" s="145" t="s">
        <v>60</v>
      </c>
      <c r="C19" s="145"/>
      <c r="D19" s="146" t="s">
        <v>61</v>
      </c>
      <c r="E19" s="147">
        <f>SUM(E20:E68)-E21-E25-E32-E35-E38-E42-E49-E28-E52-E59-E63-E55-E65</f>
        <v>2786688707.8800001</v>
      </c>
      <c r="F19" s="147">
        <f>SUM(F20:F68)-F21-F25-F32-F35-F38-F42-F49-F28-F52-F59-F63-F55-F65</f>
        <v>858146385.87000012</v>
      </c>
      <c r="G19" s="147">
        <f>SUM(G20:G68)-G21-G25-G32-G35-G38-G42-G49-G28-G52-G59-G63-G55-G65</f>
        <v>777728877.74000049</v>
      </c>
      <c r="H19" s="148">
        <f>G19/F19</f>
        <v>0.9062892888041808</v>
      </c>
      <c r="I19" s="147">
        <f>SUM(I20:I68)-I21-I25-I32-I35-I38-I42-I49-I28-I52-I59-I63-I55-I65</f>
        <v>310944208.63999999</v>
      </c>
      <c r="J19" s="147">
        <f>SUM(J20:J68)-J21-J25-J32-J35-J38-J42-J49-J28-J52-J59-J63-J55-J65</f>
        <v>66645677.210000001</v>
      </c>
      <c r="K19" s="149">
        <f>J19/I19</f>
        <v>0.21433323200162885</v>
      </c>
      <c r="L19" s="147"/>
      <c r="M19" s="147"/>
      <c r="N19" s="150">
        <f>G19+J19</f>
        <v>844374554.95000052</v>
      </c>
      <c r="O19" s="48" t="b">
        <f>N19=N20+N22+N23+N24+N26+N27+N30+N31+N33+N34+N36+N37+N39+N40+N41+N45+N46+N47+N56+N62+N67+N68</f>
        <v>0</v>
      </c>
      <c r="P19" s="12"/>
    </row>
    <row r="20" spans="1:18" ht="99" customHeight="1" thickTop="1" thickBot="1" x14ac:dyDescent="0.6">
      <c r="A20" s="53" t="s">
        <v>62</v>
      </c>
      <c r="B20" s="65" t="s">
        <v>63</v>
      </c>
      <c r="C20" s="65" t="s">
        <v>64</v>
      </c>
      <c r="D20" s="65" t="s">
        <v>65</v>
      </c>
      <c r="E20" s="151">
        <v>841277975.54999995</v>
      </c>
      <c r="F20" s="151">
        <v>218955719</v>
      </c>
      <c r="G20" s="151">
        <v>204724217.66</v>
      </c>
      <c r="H20" s="116">
        <f>G20/F20</f>
        <v>0.9350028334267898</v>
      </c>
      <c r="I20" s="151">
        <v>116058594.48</v>
      </c>
      <c r="J20" s="151">
        <v>21582732.800000001</v>
      </c>
      <c r="K20" s="116">
        <f t="shared" ref="K20:K24" si="2">J20/I20</f>
        <v>0.1859641062921823</v>
      </c>
      <c r="L20" s="151"/>
      <c r="M20" s="163"/>
      <c r="N20" s="151">
        <f t="shared" si="0"/>
        <v>226306950.46000001</v>
      </c>
      <c r="O20" s="20"/>
      <c r="P20" s="12"/>
    </row>
    <row r="21" spans="1:18" ht="120" customHeight="1" thickTop="1" thickBot="1" x14ac:dyDescent="0.6">
      <c r="A21" s="66" t="s">
        <v>66</v>
      </c>
      <c r="B21" s="66" t="s">
        <v>67</v>
      </c>
      <c r="C21" s="66"/>
      <c r="D21" s="66" t="s">
        <v>68</v>
      </c>
      <c r="E21" s="152">
        <f>SUM(E22:E24)</f>
        <v>636578548.61000001</v>
      </c>
      <c r="F21" s="152">
        <f>SUM(F22:F24)</f>
        <v>194232064.71000001</v>
      </c>
      <c r="G21" s="152">
        <f>SUM(G22:G24)</f>
        <v>158995207.29000002</v>
      </c>
      <c r="H21" s="117">
        <f t="shared" ref="H21:H48" si="3">G21/F21</f>
        <v>0.8185837262626503</v>
      </c>
      <c r="I21" s="152">
        <f>SUM(I22:I24)</f>
        <v>111614908.02</v>
      </c>
      <c r="J21" s="152">
        <f>SUM(J22:J24)</f>
        <v>28319915.059999999</v>
      </c>
      <c r="K21" s="117">
        <f t="shared" si="2"/>
        <v>0.25372878553934231</v>
      </c>
      <c r="L21" s="152"/>
      <c r="M21" s="166"/>
      <c r="N21" s="152">
        <f>G21+J21</f>
        <v>187315122.35000002</v>
      </c>
      <c r="O21" s="20"/>
      <c r="P21" s="21"/>
    </row>
    <row r="22" spans="1:18" ht="138.75" thickTop="1" thickBot="1" x14ac:dyDescent="0.6">
      <c r="A22" s="65" t="s">
        <v>69</v>
      </c>
      <c r="B22" s="65" t="s">
        <v>70</v>
      </c>
      <c r="C22" s="65" t="s">
        <v>71</v>
      </c>
      <c r="D22" s="65" t="s">
        <v>506</v>
      </c>
      <c r="E22" s="151">
        <v>572282447.82000005</v>
      </c>
      <c r="F22" s="151">
        <v>176877757.47</v>
      </c>
      <c r="G22" s="151">
        <v>144530818.80000001</v>
      </c>
      <c r="H22" s="116">
        <f t="shared" si="3"/>
        <v>0.81712263241755367</v>
      </c>
      <c r="I22" s="151">
        <v>111355708.02</v>
      </c>
      <c r="J22" s="151">
        <v>28173367.399999999</v>
      </c>
      <c r="K22" s="116">
        <f t="shared" si="2"/>
        <v>0.25300335205932983</v>
      </c>
      <c r="L22" s="151"/>
      <c r="M22" s="163"/>
      <c r="N22" s="151">
        <f t="shared" si="0"/>
        <v>172704186.20000002</v>
      </c>
      <c r="O22" s="20"/>
      <c r="P22" s="13"/>
      <c r="R22" s="22"/>
    </row>
    <row r="23" spans="1:18" ht="276" thickTop="1" thickBot="1" x14ac:dyDescent="0.25">
      <c r="A23" s="53" t="s">
        <v>72</v>
      </c>
      <c r="B23" s="65" t="s">
        <v>73</v>
      </c>
      <c r="C23" s="65" t="s">
        <v>74</v>
      </c>
      <c r="D23" s="65" t="s">
        <v>507</v>
      </c>
      <c r="E23" s="151">
        <v>40137371.359999999</v>
      </c>
      <c r="F23" s="151">
        <v>10250558.24</v>
      </c>
      <c r="G23" s="151">
        <v>9394566.9100000001</v>
      </c>
      <c r="H23" s="116">
        <f t="shared" si="3"/>
        <v>0.91649319871578039</v>
      </c>
      <c r="I23" s="151">
        <v>172700</v>
      </c>
      <c r="J23" s="151">
        <v>60047.66</v>
      </c>
      <c r="K23" s="116">
        <f t="shared" si="2"/>
        <v>0.34769924724956575</v>
      </c>
      <c r="L23" s="151"/>
      <c r="M23" s="163"/>
      <c r="N23" s="151">
        <f t="shared" si="0"/>
        <v>9454614.5700000003</v>
      </c>
      <c r="P23" s="13"/>
    </row>
    <row r="24" spans="1:18" ht="138.75" thickTop="1" thickBot="1" x14ac:dyDescent="0.25">
      <c r="A24" s="65"/>
      <c r="B24" s="65" t="s">
        <v>402</v>
      </c>
      <c r="C24" s="65" t="s">
        <v>74</v>
      </c>
      <c r="D24" s="65" t="s">
        <v>508</v>
      </c>
      <c r="E24" s="151">
        <v>24158729.43</v>
      </c>
      <c r="F24" s="151">
        <v>7103749</v>
      </c>
      <c r="G24" s="151">
        <v>5069821.58</v>
      </c>
      <c r="H24" s="116">
        <f t="shared" si="3"/>
        <v>0.71368253298364004</v>
      </c>
      <c r="I24" s="151">
        <v>86500</v>
      </c>
      <c r="J24" s="151">
        <v>86500</v>
      </c>
      <c r="K24" s="116">
        <f t="shared" si="2"/>
        <v>1</v>
      </c>
      <c r="L24" s="151"/>
      <c r="M24" s="163"/>
      <c r="N24" s="151">
        <f>G24+J24</f>
        <v>5156321.58</v>
      </c>
      <c r="P24" s="13"/>
    </row>
    <row r="25" spans="1:18" ht="183.75" customHeight="1" thickTop="1" thickBot="1" x14ac:dyDescent="0.25">
      <c r="A25" s="54" t="s">
        <v>75</v>
      </c>
      <c r="B25" s="66" t="s">
        <v>76</v>
      </c>
      <c r="C25" s="66"/>
      <c r="D25" s="66" t="s">
        <v>77</v>
      </c>
      <c r="E25" s="152">
        <f>SUM(E26:E27)</f>
        <v>712102968</v>
      </c>
      <c r="F25" s="152">
        <f>SUM(F26:F27)</f>
        <v>244393835.68000001</v>
      </c>
      <c r="G25" s="152">
        <f>SUM(G26:G27)</f>
        <v>244164220.99000001</v>
      </c>
      <c r="H25" s="117">
        <f t="shared" si="3"/>
        <v>0.99906047266142728</v>
      </c>
      <c r="I25" s="152">
        <f>SUM(I26:I27)</f>
        <v>0</v>
      </c>
      <c r="J25" s="152">
        <f>SUM(J26:J27)</f>
        <v>0</v>
      </c>
      <c r="K25" s="117">
        <v>0</v>
      </c>
      <c r="L25" s="152"/>
      <c r="M25" s="152"/>
      <c r="N25" s="152">
        <f>G25+J25</f>
        <v>244164220.99000001</v>
      </c>
      <c r="O25" s="194" t="s">
        <v>385</v>
      </c>
      <c r="P25" s="195"/>
    </row>
    <row r="26" spans="1:18" ht="138.75" thickTop="1" thickBot="1" x14ac:dyDescent="0.25">
      <c r="A26" s="53" t="s">
        <v>78</v>
      </c>
      <c r="B26" s="65" t="s">
        <v>79</v>
      </c>
      <c r="C26" s="65" t="s">
        <v>71</v>
      </c>
      <c r="D26" s="65" t="s">
        <v>509</v>
      </c>
      <c r="E26" s="151">
        <v>701826084</v>
      </c>
      <c r="F26" s="151">
        <v>240866805.80000001</v>
      </c>
      <c r="G26" s="151">
        <v>240866805.80000001</v>
      </c>
      <c r="H26" s="116">
        <f t="shared" si="3"/>
        <v>1</v>
      </c>
      <c r="I26" s="151"/>
      <c r="J26" s="151"/>
      <c r="K26" s="151"/>
      <c r="L26" s="151"/>
      <c r="M26" s="163"/>
      <c r="N26" s="151">
        <f t="shared" si="0"/>
        <v>240866805.80000001</v>
      </c>
      <c r="P26" s="16"/>
    </row>
    <row r="27" spans="1:18" ht="138.75" thickTop="1" thickBot="1" x14ac:dyDescent="0.25">
      <c r="A27" s="72"/>
      <c r="B27" s="153" t="s">
        <v>443</v>
      </c>
      <c r="C27" s="65" t="s">
        <v>74</v>
      </c>
      <c r="D27" s="65" t="s">
        <v>510</v>
      </c>
      <c r="E27" s="154">
        <v>10276884</v>
      </c>
      <c r="F27" s="154">
        <v>3527029.88</v>
      </c>
      <c r="G27" s="154">
        <v>3297415.19</v>
      </c>
      <c r="H27" s="116">
        <f t="shared" si="3"/>
        <v>0.9348985696713179</v>
      </c>
      <c r="I27" s="154"/>
      <c r="J27" s="154"/>
      <c r="K27" s="154"/>
      <c r="L27" s="154"/>
      <c r="M27" s="167"/>
      <c r="N27" s="151">
        <f t="shared" si="0"/>
        <v>3297415.19</v>
      </c>
      <c r="P27" s="16"/>
    </row>
    <row r="28" spans="1:18" ht="290.25" hidden="1" customHeight="1" thickTop="1" thickBot="1" x14ac:dyDescent="0.7">
      <c r="A28" s="78" t="s">
        <v>80</v>
      </c>
      <c r="B28" s="88" t="s">
        <v>81</v>
      </c>
      <c r="C28" s="88"/>
      <c r="D28" s="89" t="s">
        <v>511</v>
      </c>
      <c r="E28" s="90">
        <f t="shared" ref="E28:J28" si="4">E29</f>
        <v>0</v>
      </c>
      <c r="F28" s="90">
        <f t="shared" si="4"/>
        <v>0</v>
      </c>
      <c r="G28" s="90">
        <f t="shared" si="4"/>
        <v>0</v>
      </c>
      <c r="H28" s="91" t="e">
        <f>G28/F28</f>
        <v>#DIV/0!</v>
      </c>
      <c r="I28" s="90">
        <f t="shared" si="4"/>
        <v>0</v>
      </c>
      <c r="J28" s="90">
        <f t="shared" si="4"/>
        <v>0</v>
      </c>
      <c r="K28" s="92">
        <v>0</v>
      </c>
      <c r="L28" s="90"/>
      <c r="M28" s="90"/>
      <c r="N28" s="90">
        <f>J28+G28</f>
        <v>0</v>
      </c>
      <c r="O28" s="79" t="s">
        <v>385</v>
      </c>
      <c r="P28" s="16"/>
    </row>
    <row r="29" spans="1:18" ht="321.75" hidden="1" thickTop="1" thickBot="1" x14ac:dyDescent="0.25">
      <c r="A29" s="53" t="s">
        <v>82</v>
      </c>
      <c r="B29" s="82" t="s">
        <v>83</v>
      </c>
      <c r="C29" s="82" t="s">
        <v>71</v>
      </c>
      <c r="D29" s="82" t="s">
        <v>512</v>
      </c>
      <c r="E29" s="83"/>
      <c r="F29" s="83"/>
      <c r="G29" s="83"/>
      <c r="H29" s="81" t="e">
        <f t="shared" si="3"/>
        <v>#DIV/0!</v>
      </c>
      <c r="I29" s="83"/>
      <c r="J29" s="83"/>
      <c r="K29" s="81"/>
      <c r="L29" s="83"/>
      <c r="M29" s="84"/>
      <c r="N29" s="83">
        <f t="shared" ref="N29:N35" si="5">G29+J29</f>
        <v>0</v>
      </c>
      <c r="P29" s="12"/>
    </row>
    <row r="30" spans="1:18" ht="138.75" thickTop="1" thickBot="1" x14ac:dyDescent="0.25">
      <c r="A30" s="65" t="s">
        <v>84</v>
      </c>
      <c r="B30" s="65" t="s">
        <v>85</v>
      </c>
      <c r="C30" s="65" t="s">
        <v>86</v>
      </c>
      <c r="D30" s="65" t="s">
        <v>87</v>
      </c>
      <c r="E30" s="151">
        <v>47585548.960000001</v>
      </c>
      <c r="F30" s="151">
        <v>12587736</v>
      </c>
      <c r="G30" s="151">
        <v>11495292.84</v>
      </c>
      <c r="H30" s="116">
        <f t="shared" si="3"/>
        <v>0.91321368989626095</v>
      </c>
      <c r="I30" s="151">
        <v>1798000</v>
      </c>
      <c r="J30" s="151">
        <v>353612.45</v>
      </c>
      <c r="K30" s="116">
        <f t="shared" ref="K30:K36" si="6">J30/I30</f>
        <v>0.19666988320355952</v>
      </c>
      <c r="L30" s="151"/>
      <c r="M30" s="163"/>
      <c r="N30" s="151">
        <f t="shared" si="5"/>
        <v>11848905.289999999</v>
      </c>
      <c r="P30" s="12"/>
    </row>
    <row r="31" spans="1:18" ht="93" thickTop="1" thickBot="1" x14ac:dyDescent="0.25">
      <c r="A31" s="53"/>
      <c r="B31" s="65" t="s">
        <v>238</v>
      </c>
      <c r="C31" s="65" t="s">
        <v>86</v>
      </c>
      <c r="D31" s="65" t="s">
        <v>448</v>
      </c>
      <c r="E31" s="151">
        <v>133493385</v>
      </c>
      <c r="F31" s="151">
        <v>33421769</v>
      </c>
      <c r="G31" s="151">
        <v>31698031.670000002</v>
      </c>
      <c r="H31" s="116">
        <f t="shared" si="3"/>
        <v>0.94842471294682218</v>
      </c>
      <c r="I31" s="151">
        <v>15716576</v>
      </c>
      <c r="J31" s="151">
        <v>3402332.71</v>
      </c>
      <c r="K31" s="116">
        <f t="shared" si="6"/>
        <v>0.21648053049213772</v>
      </c>
      <c r="L31" s="151"/>
      <c r="M31" s="163"/>
      <c r="N31" s="151">
        <f t="shared" si="5"/>
        <v>35100364.380000003</v>
      </c>
      <c r="P31" s="12"/>
    </row>
    <row r="32" spans="1:18" ht="93" thickTop="1" thickBot="1" x14ac:dyDescent="0.25">
      <c r="A32" s="54" t="s">
        <v>88</v>
      </c>
      <c r="B32" s="66" t="s">
        <v>89</v>
      </c>
      <c r="C32" s="66"/>
      <c r="D32" s="66" t="s">
        <v>598</v>
      </c>
      <c r="E32" s="152">
        <f>SUM(E33:E34)</f>
        <v>227577530.16</v>
      </c>
      <c r="F32" s="152">
        <f>SUM(F33:F34)</f>
        <v>65527596.479999997</v>
      </c>
      <c r="G32" s="152">
        <f>SUM(G33:G34)</f>
        <v>61464212.899999999</v>
      </c>
      <c r="H32" s="117">
        <f t="shared" si="3"/>
        <v>0.93798973564915966</v>
      </c>
      <c r="I32" s="152">
        <f>SUM(I33:I34)</f>
        <v>29572241.140000001</v>
      </c>
      <c r="J32" s="152">
        <f>SUM(J33:J34)</f>
        <v>8568356.1799999997</v>
      </c>
      <c r="K32" s="117">
        <f t="shared" si="6"/>
        <v>0.28974321355746929</v>
      </c>
      <c r="L32" s="152"/>
      <c r="M32" s="152"/>
      <c r="N32" s="152">
        <f t="shared" si="5"/>
        <v>70032569.079999998</v>
      </c>
      <c r="P32" s="18"/>
    </row>
    <row r="33" spans="1:16" ht="138.75" thickTop="1" thickBot="1" x14ac:dyDescent="0.25">
      <c r="A33" s="65" t="s">
        <v>90</v>
      </c>
      <c r="B33" s="65" t="s">
        <v>91</v>
      </c>
      <c r="C33" s="65" t="s">
        <v>92</v>
      </c>
      <c r="D33" s="65" t="s">
        <v>599</v>
      </c>
      <c r="E33" s="151">
        <v>201719198.16</v>
      </c>
      <c r="F33" s="151">
        <v>56653032.159999996</v>
      </c>
      <c r="G33" s="151">
        <v>53173406.390000001</v>
      </c>
      <c r="H33" s="116">
        <f t="shared" si="3"/>
        <v>0.9385800611664914</v>
      </c>
      <c r="I33" s="151">
        <v>29572241.140000001</v>
      </c>
      <c r="J33" s="151">
        <v>8568356.1799999997</v>
      </c>
      <c r="K33" s="116">
        <f t="shared" si="6"/>
        <v>0.28974321355746929</v>
      </c>
      <c r="L33" s="151"/>
      <c r="M33" s="163"/>
      <c r="N33" s="151">
        <f t="shared" si="5"/>
        <v>61741762.57</v>
      </c>
      <c r="P33" s="12"/>
    </row>
    <row r="34" spans="1:16" ht="138.75" thickTop="1" thickBot="1" x14ac:dyDescent="0.25">
      <c r="A34" s="53" t="s">
        <v>93</v>
      </c>
      <c r="B34" s="65" t="s">
        <v>94</v>
      </c>
      <c r="C34" s="65" t="s">
        <v>92</v>
      </c>
      <c r="D34" s="65" t="s">
        <v>600</v>
      </c>
      <c r="E34" s="151">
        <v>25858332</v>
      </c>
      <c r="F34" s="151">
        <v>8874564.3200000003</v>
      </c>
      <c r="G34" s="151">
        <v>8290806.5099999998</v>
      </c>
      <c r="H34" s="116">
        <f t="shared" si="3"/>
        <v>0.93422124298717113</v>
      </c>
      <c r="I34" s="151"/>
      <c r="J34" s="151"/>
      <c r="K34" s="151"/>
      <c r="L34" s="151"/>
      <c r="M34" s="163"/>
      <c r="N34" s="151">
        <f t="shared" si="5"/>
        <v>8290806.5099999998</v>
      </c>
      <c r="P34" s="16"/>
    </row>
    <row r="35" spans="1:16" ht="93" thickTop="1" thickBot="1" x14ac:dyDescent="0.25">
      <c r="A35" s="54" t="s">
        <v>95</v>
      </c>
      <c r="B35" s="66" t="s">
        <v>96</v>
      </c>
      <c r="C35" s="66"/>
      <c r="D35" s="66" t="s">
        <v>97</v>
      </c>
      <c r="E35" s="152">
        <f>SUM(E36:E37)</f>
        <v>34216421.600000001</v>
      </c>
      <c r="F35" s="152">
        <f>SUM(F36:F37)</f>
        <v>8329362</v>
      </c>
      <c r="G35" s="152">
        <f>SUM(G36:G37)</f>
        <v>7296102.6500000004</v>
      </c>
      <c r="H35" s="117">
        <f t="shared" si="3"/>
        <v>0.87594976061792007</v>
      </c>
      <c r="I35" s="152">
        <f>SUM(I36:I37)</f>
        <v>367129</v>
      </c>
      <c r="J35" s="152">
        <f>SUM(J36:J37)</f>
        <v>39672.379999999997</v>
      </c>
      <c r="K35" s="117">
        <f t="shared" si="6"/>
        <v>0.10806114472024819</v>
      </c>
      <c r="L35" s="152"/>
      <c r="M35" s="152"/>
      <c r="N35" s="152">
        <f t="shared" si="5"/>
        <v>7335775.0300000003</v>
      </c>
      <c r="P35" s="18"/>
    </row>
    <row r="36" spans="1:16" ht="93" thickTop="1" thickBot="1" x14ac:dyDescent="0.25">
      <c r="A36" s="53" t="s">
        <v>98</v>
      </c>
      <c r="B36" s="65" t="s">
        <v>99</v>
      </c>
      <c r="C36" s="65" t="s">
        <v>100</v>
      </c>
      <c r="D36" s="65" t="s">
        <v>101</v>
      </c>
      <c r="E36" s="151">
        <v>31079011.600000001</v>
      </c>
      <c r="F36" s="151">
        <v>7763412</v>
      </c>
      <c r="G36" s="151">
        <v>7045906.25</v>
      </c>
      <c r="H36" s="116">
        <f t="shared" si="3"/>
        <v>0.90757855566598811</v>
      </c>
      <c r="I36" s="151">
        <v>367129</v>
      </c>
      <c r="J36" s="151">
        <v>39672.379999999997</v>
      </c>
      <c r="K36" s="116">
        <f t="shared" si="6"/>
        <v>0.10806114472024819</v>
      </c>
      <c r="L36" s="151"/>
      <c r="M36" s="163"/>
      <c r="N36" s="151">
        <f t="shared" ref="N36:N47" si="7">G36+J36</f>
        <v>7085578.6299999999</v>
      </c>
      <c r="P36" s="16"/>
    </row>
    <row r="37" spans="1:16" ht="93" thickTop="1" thickBot="1" x14ac:dyDescent="0.25">
      <c r="A37" s="53" t="s">
        <v>102</v>
      </c>
      <c r="B37" s="65" t="s">
        <v>103</v>
      </c>
      <c r="C37" s="65" t="s">
        <v>100</v>
      </c>
      <c r="D37" s="65" t="s">
        <v>104</v>
      </c>
      <c r="E37" s="151">
        <v>3137410</v>
      </c>
      <c r="F37" s="151">
        <v>565950</v>
      </c>
      <c r="G37" s="151">
        <v>250196.4</v>
      </c>
      <c r="H37" s="116">
        <f t="shared" si="3"/>
        <v>0.44208216273522394</v>
      </c>
      <c r="I37" s="151">
        <v>0</v>
      </c>
      <c r="J37" s="151">
        <v>0</v>
      </c>
      <c r="K37" s="116">
        <v>0</v>
      </c>
      <c r="L37" s="151"/>
      <c r="M37" s="163"/>
      <c r="N37" s="151">
        <f t="shared" si="7"/>
        <v>250196.4</v>
      </c>
      <c r="O37" s="194" t="s">
        <v>385</v>
      </c>
      <c r="P37" s="195"/>
    </row>
    <row r="38" spans="1:16" ht="93" thickTop="1" thickBot="1" x14ac:dyDescent="0.25">
      <c r="A38" s="54" t="s">
        <v>105</v>
      </c>
      <c r="B38" s="66" t="s">
        <v>106</v>
      </c>
      <c r="C38" s="66"/>
      <c r="D38" s="66" t="s">
        <v>107</v>
      </c>
      <c r="E38" s="152">
        <f>SUM(E39:E40)</f>
        <v>5628910</v>
      </c>
      <c r="F38" s="152">
        <f>SUM(F39:F40)</f>
        <v>1876743</v>
      </c>
      <c r="G38" s="152">
        <f>SUM(G39:G40)</f>
        <v>1488687.21</v>
      </c>
      <c r="H38" s="117">
        <f t="shared" si="3"/>
        <v>0.79322912620428043</v>
      </c>
      <c r="I38" s="152">
        <f>SUM(I39:I40)</f>
        <v>0</v>
      </c>
      <c r="J38" s="152">
        <f>SUM(J39:J40)</f>
        <v>0</v>
      </c>
      <c r="K38" s="117">
        <v>0</v>
      </c>
      <c r="L38" s="152"/>
      <c r="M38" s="152"/>
      <c r="N38" s="152">
        <f t="shared" si="7"/>
        <v>1488687.21</v>
      </c>
      <c r="O38" s="194" t="s">
        <v>385</v>
      </c>
      <c r="P38" s="195"/>
    </row>
    <row r="39" spans="1:16" ht="111" customHeight="1" thickTop="1" thickBot="1" x14ac:dyDescent="0.25">
      <c r="A39" s="53" t="s">
        <v>108</v>
      </c>
      <c r="B39" s="65" t="s">
        <v>109</v>
      </c>
      <c r="C39" s="65" t="s">
        <v>100</v>
      </c>
      <c r="D39" s="65" t="s">
        <v>110</v>
      </c>
      <c r="E39" s="151">
        <v>2064210</v>
      </c>
      <c r="F39" s="151">
        <v>540033</v>
      </c>
      <c r="G39" s="151">
        <v>393294.06</v>
      </c>
      <c r="H39" s="116">
        <f t="shared" si="3"/>
        <v>0.72827782746609926</v>
      </c>
      <c r="I39" s="151">
        <v>0</v>
      </c>
      <c r="J39" s="151">
        <v>0</v>
      </c>
      <c r="K39" s="116">
        <v>0</v>
      </c>
      <c r="L39" s="151"/>
      <c r="M39" s="163"/>
      <c r="N39" s="151">
        <f>G39+J39</f>
        <v>393294.06</v>
      </c>
      <c r="P39" s="12"/>
    </row>
    <row r="40" spans="1:16" ht="111" customHeight="1" thickTop="1" thickBot="1" x14ac:dyDescent="0.25">
      <c r="A40" s="53" t="s">
        <v>111</v>
      </c>
      <c r="B40" s="65" t="s">
        <v>112</v>
      </c>
      <c r="C40" s="65" t="s">
        <v>100</v>
      </c>
      <c r="D40" s="65" t="s">
        <v>113</v>
      </c>
      <c r="E40" s="151">
        <v>3564700</v>
      </c>
      <c r="F40" s="151">
        <v>1336710</v>
      </c>
      <c r="G40" s="151">
        <v>1095393.1499999999</v>
      </c>
      <c r="H40" s="116">
        <f t="shared" si="3"/>
        <v>0.81946955584981029</v>
      </c>
      <c r="I40" s="151"/>
      <c r="J40" s="151"/>
      <c r="K40" s="151"/>
      <c r="L40" s="151"/>
      <c r="M40" s="163"/>
      <c r="N40" s="151">
        <f t="shared" si="7"/>
        <v>1095393.1499999999</v>
      </c>
      <c r="P40" s="16"/>
    </row>
    <row r="41" spans="1:16" ht="108" customHeight="1" thickTop="1" thickBot="1" x14ac:dyDescent="0.25">
      <c r="A41" s="53" t="s">
        <v>114</v>
      </c>
      <c r="B41" s="65" t="s">
        <v>115</v>
      </c>
      <c r="C41" s="65" t="s">
        <v>100</v>
      </c>
      <c r="D41" s="65" t="s">
        <v>601</v>
      </c>
      <c r="E41" s="151">
        <v>4352120</v>
      </c>
      <c r="F41" s="151">
        <v>989260</v>
      </c>
      <c r="G41" s="151">
        <v>940243.95</v>
      </c>
      <c r="H41" s="116">
        <f t="shared" si="3"/>
        <v>0.95045180235731752</v>
      </c>
      <c r="I41" s="151"/>
      <c r="J41" s="151"/>
      <c r="K41" s="116"/>
      <c r="L41" s="151"/>
      <c r="M41" s="163"/>
      <c r="N41" s="151">
        <f>G41+J41</f>
        <v>940243.95</v>
      </c>
      <c r="O41" s="45"/>
      <c r="P41" s="12"/>
    </row>
    <row r="42" spans="1:16" s="17" customFormat="1" ht="138.75" thickTop="1" thickBot="1" x14ac:dyDescent="0.25">
      <c r="A42" s="54" t="s">
        <v>116</v>
      </c>
      <c r="B42" s="66" t="s">
        <v>117</v>
      </c>
      <c r="C42" s="66"/>
      <c r="D42" s="66" t="s">
        <v>545</v>
      </c>
      <c r="E42" s="152">
        <f>SUM(E43:E46)</f>
        <v>0</v>
      </c>
      <c r="F42" s="152">
        <f>SUM(F43:F46)</f>
        <v>0</v>
      </c>
      <c r="G42" s="152">
        <f>SUM(G43:G46)</f>
        <v>0</v>
      </c>
      <c r="H42" s="116">
        <v>0</v>
      </c>
      <c r="I42" s="152">
        <f>SUM(I43:I46)</f>
        <v>7637000</v>
      </c>
      <c r="J42" s="152">
        <f>SUM(J43:J46)</f>
        <v>0</v>
      </c>
      <c r="K42" s="117">
        <f t="shared" ref="K42:K46" si="8">J42/I42</f>
        <v>0</v>
      </c>
      <c r="L42" s="152"/>
      <c r="M42" s="152"/>
      <c r="N42" s="152">
        <f t="shared" si="7"/>
        <v>0</v>
      </c>
      <c r="O42" s="194" t="s">
        <v>385</v>
      </c>
      <c r="P42" s="195"/>
    </row>
    <row r="43" spans="1:16" s="17" customFormat="1" ht="230.25" hidden="1" thickTop="1" thickBot="1" x14ac:dyDescent="0.25">
      <c r="A43" s="53" t="s">
        <v>118</v>
      </c>
      <c r="B43" s="82" t="s">
        <v>119</v>
      </c>
      <c r="C43" s="82" t="s">
        <v>100</v>
      </c>
      <c r="D43" s="82" t="s">
        <v>120</v>
      </c>
      <c r="E43" s="83"/>
      <c r="F43" s="83"/>
      <c r="G43" s="83"/>
      <c r="H43" s="81" t="e">
        <f t="shared" si="3"/>
        <v>#DIV/0!</v>
      </c>
      <c r="I43" s="83"/>
      <c r="J43" s="83"/>
      <c r="K43" s="81" t="e">
        <f t="shared" si="8"/>
        <v>#DIV/0!</v>
      </c>
      <c r="L43" s="83"/>
      <c r="M43" s="84"/>
      <c r="N43" s="83">
        <f t="shared" si="7"/>
        <v>0</v>
      </c>
      <c r="O43" s="45"/>
      <c r="P43" s="12"/>
    </row>
    <row r="44" spans="1:16" s="17" customFormat="1" ht="230.25" hidden="1" thickTop="1" thickBot="1" x14ac:dyDescent="0.25">
      <c r="A44" s="53"/>
      <c r="B44" s="82" t="s">
        <v>400</v>
      </c>
      <c r="C44" s="82" t="s">
        <v>100</v>
      </c>
      <c r="D44" s="82" t="s">
        <v>401</v>
      </c>
      <c r="E44" s="83"/>
      <c r="F44" s="83"/>
      <c r="G44" s="83"/>
      <c r="H44" s="81" t="e">
        <f t="shared" si="3"/>
        <v>#DIV/0!</v>
      </c>
      <c r="I44" s="83"/>
      <c r="J44" s="83"/>
      <c r="K44" s="81" t="e">
        <f t="shared" si="8"/>
        <v>#DIV/0!</v>
      </c>
      <c r="L44" s="83"/>
      <c r="M44" s="84"/>
      <c r="N44" s="83">
        <f t="shared" si="7"/>
        <v>0</v>
      </c>
      <c r="O44" s="47"/>
      <c r="P44" s="12"/>
    </row>
    <row r="45" spans="1:16" s="17" customFormat="1" ht="276" thickTop="1" thickBot="1" x14ac:dyDescent="0.25">
      <c r="A45" s="53"/>
      <c r="B45" s="65" t="s">
        <v>546</v>
      </c>
      <c r="C45" s="65" t="s">
        <v>100</v>
      </c>
      <c r="D45" s="65" t="s">
        <v>548</v>
      </c>
      <c r="E45" s="151"/>
      <c r="F45" s="151"/>
      <c r="G45" s="151"/>
      <c r="H45" s="116"/>
      <c r="I45" s="151">
        <v>2291100</v>
      </c>
      <c r="J45" s="151">
        <v>0</v>
      </c>
      <c r="K45" s="116">
        <f t="shared" si="8"/>
        <v>0</v>
      </c>
      <c r="L45" s="151"/>
      <c r="M45" s="163"/>
      <c r="N45" s="151">
        <f t="shared" si="7"/>
        <v>0</v>
      </c>
      <c r="O45" s="45"/>
      <c r="P45" s="12"/>
    </row>
    <row r="46" spans="1:16" s="17" customFormat="1" ht="276" thickTop="1" thickBot="1" x14ac:dyDescent="0.25">
      <c r="A46" s="53"/>
      <c r="B46" s="65" t="s">
        <v>547</v>
      </c>
      <c r="C46" s="65" t="s">
        <v>100</v>
      </c>
      <c r="D46" s="65" t="s">
        <v>549</v>
      </c>
      <c r="E46" s="151"/>
      <c r="F46" s="151"/>
      <c r="G46" s="151"/>
      <c r="H46" s="116"/>
      <c r="I46" s="151">
        <v>5345900</v>
      </c>
      <c r="J46" s="151">
        <v>0</v>
      </c>
      <c r="K46" s="116">
        <f t="shared" si="8"/>
        <v>0</v>
      </c>
      <c r="L46" s="151"/>
      <c r="M46" s="163"/>
      <c r="N46" s="151">
        <f t="shared" si="7"/>
        <v>0</v>
      </c>
      <c r="O46" s="45"/>
      <c r="P46" s="12"/>
    </row>
    <row r="47" spans="1:16" s="17" customFormat="1" ht="276" thickTop="1" thickBot="1" x14ac:dyDescent="0.25">
      <c r="A47" s="53" t="s">
        <v>121</v>
      </c>
      <c r="B47" s="65" t="s">
        <v>122</v>
      </c>
      <c r="C47" s="65" t="s">
        <v>100</v>
      </c>
      <c r="D47" s="65" t="s">
        <v>513</v>
      </c>
      <c r="E47" s="151">
        <v>5194600</v>
      </c>
      <c r="F47" s="151">
        <v>2597400</v>
      </c>
      <c r="G47" s="151">
        <v>2297822.4</v>
      </c>
      <c r="H47" s="116">
        <f t="shared" si="3"/>
        <v>0.88466250866250862</v>
      </c>
      <c r="I47" s="151"/>
      <c r="J47" s="151"/>
      <c r="K47" s="116"/>
      <c r="L47" s="151"/>
      <c r="M47" s="163"/>
      <c r="N47" s="151">
        <f t="shared" si="7"/>
        <v>2297822.4</v>
      </c>
      <c r="O47" s="19"/>
      <c r="P47" s="12"/>
    </row>
    <row r="48" spans="1:16" s="17" customFormat="1" ht="276" hidden="1" thickTop="1" thickBot="1" x14ac:dyDescent="0.25">
      <c r="A48" s="52"/>
      <c r="B48" s="82" t="s">
        <v>123</v>
      </c>
      <c r="C48" s="82" t="s">
        <v>100</v>
      </c>
      <c r="D48" s="82" t="s">
        <v>514</v>
      </c>
      <c r="E48" s="83"/>
      <c r="F48" s="83"/>
      <c r="G48" s="83"/>
      <c r="H48" s="81" t="e">
        <f t="shared" si="3"/>
        <v>#DIV/0!</v>
      </c>
      <c r="I48" s="93"/>
      <c r="J48" s="93"/>
      <c r="K48" s="94"/>
      <c r="L48" s="95"/>
      <c r="M48" s="95"/>
      <c r="N48" s="83">
        <f t="shared" ref="N48:N51" si="9">G48+J48</f>
        <v>0</v>
      </c>
      <c r="O48" s="19"/>
      <c r="P48" s="12"/>
    </row>
    <row r="49" spans="1:16" s="17" customFormat="1" ht="230.25" hidden="1" thickTop="1" thickBot="1" x14ac:dyDescent="0.25">
      <c r="A49" s="8"/>
      <c r="B49" s="85" t="s">
        <v>403</v>
      </c>
      <c r="C49" s="85"/>
      <c r="D49" s="85" t="s">
        <v>515</v>
      </c>
      <c r="E49" s="86">
        <f>E51+E50</f>
        <v>0</v>
      </c>
      <c r="F49" s="86">
        <f>F51+F50</f>
        <v>0</v>
      </c>
      <c r="G49" s="86">
        <f>G51+G50</f>
        <v>0</v>
      </c>
      <c r="H49" s="87">
        <v>0</v>
      </c>
      <c r="I49" s="86">
        <f>I51+I50</f>
        <v>0</v>
      </c>
      <c r="J49" s="86">
        <f>J51+J50</f>
        <v>0</v>
      </c>
      <c r="K49" s="87" t="e">
        <f>J49/I49</f>
        <v>#DIV/0!</v>
      </c>
      <c r="L49" s="96"/>
      <c r="M49" s="96"/>
      <c r="N49" s="86">
        <f>G49+J49</f>
        <v>0</v>
      </c>
      <c r="O49" s="45" t="s">
        <v>385</v>
      </c>
      <c r="P49" s="12"/>
    </row>
    <row r="50" spans="1:16" s="17" customFormat="1" ht="367.5" hidden="1" thickTop="1" thickBot="1" x14ac:dyDescent="0.25">
      <c r="A50" s="8"/>
      <c r="B50" s="82" t="s">
        <v>416</v>
      </c>
      <c r="C50" s="82" t="s">
        <v>100</v>
      </c>
      <c r="D50" s="82" t="s">
        <v>516</v>
      </c>
      <c r="E50" s="83"/>
      <c r="F50" s="83"/>
      <c r="G50" s="83"/>
      <c r="H50" s="81">
        <v>0</v>
      </c>
      <c r="I50" s="83"/>
      <c r="J50" s="83"/>
      <c r="K50" s="81" t="e">
        <f>J50/I50</f>
        <v>#DIV/0!</v>
      </c>
      <c r="L50" s="97"/>
      <c r="M50" s="97"/>
      <c r="N50" s="83">
        <f>G50+J50</f>
        <v>0</v>
      </c>
      <c r="O50" s="45" t="s">
        <v>385</v>
      </c>
      <c r="P50" s="12"/>
    </row>
    <row r="51" spans="1:16" s="17" customFormat="1" ht="354.75" hidden="1" customHeight="1" thickTop="1" thickBot="1" x14ac:dyDescent="0.25">
      <c r="A51" s="8"/>
      <c r="B51" s="82" t="s">
        <v>404</v>
      </c>
      <c r="C51" s="82" t="s">
        <v>100</v>
      </c>
      <c r="D51" s="82" t="s">
        <v>517</v>
      </c>
      <c r="E51" s="83"/>
      <c r="F51" s="83"/>
      <c r="G51" s="83"/>
      <c r="H51" s="81">
        <v>0</v>
      </c>
      <c r="I51" s="83"/>
      <c r="J51" s="83"/>
      <c r="K51" s="81" t="e">
        <f>J51/I51</f>
        <v>#DIV/0!</v>
      </c>
      <c r="L51" s="97"/>
      <c r="M51" s="97"/>
      <c r="N51" s="83">
        <f t="shared" si="9"/>
        <v>0</v>
      </c>
      <c r="O51" s="45" t="s">
        <v>385</v>
      </c>
      <c r="P51" s="12"/>
    </row>
    <row r="52" spans="1:16" s="17" customFormat="1" ht="321.75" hidden="1" thickTop="1" thickBot="1" x14ac:dyDescent="0.25">
      <c r="A52" s="52"/>
      <c r="B52" s="85" t="s">
        <v>480</v>
      </c>
      <c r="C52" s="85"/>
      <c r="D52" s="66" t="s">
        <v>602</v>
      </c>
      <c r="E52" s="86">
        <f>SUM(E53:E54)</f>
        <v>0</v>
      </c>
      <c r="F52" s="86">
        <f>SUM(F53:F54)</f>
        <v>0</v>
      </c>
      <c r="G52" s="86">
        <f>SUM(G53:G54)</f>
        <v>0</v>
      </c>
      <c r="H52" s="87">
        <v>0</v>
      </c>
      <c r="I52" s="86">
        <f>SUM(I53:I54)</f>
        <v>0</v>
      </c>
      <c r="J52" s="86">
        <f>SUM(J53:J54)</f>
        <v>0</v>
      </c>
      <c r="K52" s="87" t="e">
        <f>J52/I52</f>
        <v>#DIV/0!</v>
      </c>
      <c r="L52" s="96"/>
      <c r="M52" s="96"/>
      <c r="N52" s="86">
        <f t="shared" ref="N52:N68" si="10">G52+J52</f>
        <v>0</v>
      </c>
      <c r="O52" s="194" t="s">
        <v>385</v>
      </c>
      <c r="P52" s="195"/>
    </row>
    <row r="53" spans="1:16" s="17" customFormat="1" ht="409.6" hidden="1" thickTop="1" thickBot="1" x14ac:dyDescent="0.25">
      <c r="A53" s="52"/>
      <c r="B53" s="82" t="s">
        <v>491</v>
      </c>
      <c r="C53" s="82" t="s">
        <v>100</v>
      </c>
      <c r="D53" s="65" t="s">
        <v>603</v>
      </c>
      <c r="E53" s="83"/>
      <c r="F53" s="83"/>
      <c r="G53" s="83"/>
      <c r="H53" s="81"/>
      <c r="I53" s="83"/>
      <c r="J53" s="83"/>
      <c r="K53" s="81" t="e">
        <f t="shared" ref="K53" si="11">J53/I53</f>
        <v>#DIV/0!</v>
      </c>
      <c r="L53" s="97"/>
      <c r="M53" s="97"/>
      <c r="N53" s="83">
        <f t="shared" si="10"/>
        <v>0</v>
      </c>
      <c r="O53" s="47"/>
      <c r="P53" s="12"/>
    </row>
    <row r="54" spans="1:16" s="17" customFormat="1" ht="184.5" hidden="1" thickTop="1" thickBot="1" x14ac:dyDescent="0.25">
      <c r="A54" s="52"/>
      <c r="B54" s="82" t="s">
        <v>479</v>
      </c>
      <c r="C54" s="82" t="s">
        <v>100</v>
      </c>
      <c r="D54" s="82" t="s">
        <v>478</v>
      </c>
      <c r="E54" s="83"/>
      <c r="F54" s="83"/>
      <c r="G54" s="83"/>
      <c r="H54" s="81"/>
      <c r="I54" s="83"/>
      <c r="J54" s="83"/>
      <c r="K54" s="81" t="e">
        <f t="shared" ref="K54" si="12">J54/I54</f>
        <v>#DIV/0!</v>
      </c>
      <c r="L54" s="97"/>
      <c r="M54" s="97"/>
      <c r="N54" s="83">
        <f t="shared" si="10"/>
        <v>0</v>
      </c>
      <c r="O54" s="47"/>
      <c r="P54" s="12"/>
    </row>
    <row r="55" spans="1:16" s="17" customFormat="1" ht="184.5" thickTop="1" thickBot="1" x14ac:dyDescent="0.25">
      <c r="A55" s="52"/>
      <c r="B55" s="66" t="s">
        <v>575</v>
      </c>
      <c r="C55" s="66"/>
      <c r="D55" s="66" t="s">
        <v>576</v>
      </c>
      <c r="E55" s="152">
        <f>SUM(E56:E58)</f>
        <v>0</v>
      </c>
      <c r="F55" s="152">
        <f>SUM(F56:F58)</f>
        <v>0</v>
      </c>
      <c r="G55" s="152">
        <f>SUM(G56:G58)</f>
        <v>0</v>
      </c>
      <c r="H55" s="117">
        <v>0</v>
      </c>
      <c r="I55" s="152">
        <f>SUM(I56:I58)</f>
        <v>2500000</v>
      </c>
      <c r="J55" s="152">
        <f>SUM(J56:J58)</f>
        <v>321527.15000000002</v>
      </c>
      <c r="K55" s="117">
        <v>0</v>
      </c>
      <c r="L55" s="152"/>
      <c r="M55" s="152"/>
      <c r="N55" s="152">
        <f t="shared" ref="N55:N56" si="13">G55+J55</f>
        <v>321527.15000000002</v>
      </c>
      <c r="O55" s="194" t="s">
        <v>385</v>
      </c>
      <c r="P55" s="195"/>
    </row>
    <row r="56" spans="1:16" s="17" customFormat="1" ht="367.5" thickTop="1" thickBot="1" x14ac:dyDescent="0.25">
      <c r="A56" s="52"/>
      <c r="B56" s="65" t="s">
        <v>619</v>
      </c>
      <c r="C56" s="65" t="s">
        <v>100</v>
      </c>
      <c r="D56" s="65" t="s">
        <v>618</v>
      </c>
      <c r="E56" s="152"/>
      <c r="F56" s="152"/>
      <c r="G56" s="152"/>
      <c r="H56" s="117"/>
      <c r="I56" s="151">
        <v>2500000</v>
      </c>
      <c r="J56" s="151">
        <v>321527.15000000002</v>
      </c>
      <c r="K56" s="116">
        <f>J56/I56</f>
        <v>0.12861086000000002</v>
      </c>
      <c r="L56" s="158"/>
      <c r="M56" s="158"/>
      <c r="N56" s="151">
        <f t="shared" si="13"/>
        <v>321527.15000000002</v>
      </c>
      <c r="O56" s="45"/>
      <c r="P56" s="12"/>
    </row>
    <row r="57" spans="1:16" s="17" customFormat="1" ht="230.25" hidden="1" thickTop="1" thickBot="1" x14ac:dyDescent="0.25">
      <c r="A57" s="52"/>
      <c r="B57" s="82" t="s">
        <v>577</v>
      </c>
      <c r="C57" s="82" t="s">
        <v>100</v>
      </c>
      <c r="D57" s="65" t="s">
        <v>578</v>
      </c>
      <c r="E57" s="83"/>
      <c r="F57" s="83"/>
      <c r="G57" s="83"/>
      <c r="H57" s="81" t="e">
        <f>G57/F57</f>
        <v>#DIV/0!</v>
      </c>
      <c r="I57" s="83"/>
      <c r="J57" s="83"/>
      <c r="K57" s="81" t="e">
        <f>J57/I57</f>
        <v>#DIV/0!</v>
      </c>
      <c r="L57" s="97"/>
      <c r="M57" s="97"/>
      <c r="N57" s="83">
        <f t="shared" si="10"/>
        <v>0</v>
      </c>
      <c r="O57" s="45"/>
      <c r="P57" s="12"/>
    </row>
    <row r="58" spans="1:16" s="17" customFormat="1" ht="184.5" hidden="1" thickTop="1" thickBot="1" x14ac:dyDescent="0.25">
      <c r="A58" s="52"/>
      <c r="B58" s="82" t="s">
        <v>580</v>
      </c>
      <c r="C58" s="82" t="s">
        <v>100</v>
      </c>
      <c r="D58" s="65" t="s">
        <v>581</v>
      </c>
      <c r="E58" s="83"/>
      <c r="F58" s="83"/>
      <c r="G58" s="83"/>
      <c r="H58" s="81"/>
      <c r="I58" s="83"/>
      <c r="J58" s="83"/>
      <c r="K58" s="81" t="e">
        <f>J58/I58</f>
        <v>#DIV/0!</v>
      </c>
      <c r="L58" s="97"/>
      <c r="M58" s="97"/>
      <c r="N58" s="83">
        <f t="shared" si="10"/>
        <v>0</v>
      </c>
      <c r="O58" s="45"/>
      <c r="P58" s="12"/>
    </row>
    <row r="59" spans="1:16" s="17" customFormat="1" ht="321.75" hidden="1" thickTop="1" thickBot="1" x14ac:dyDescent="0.25">
      <c r="A59" s="52"/>
      <c r="B59" s="85" t="s">
        <v>495</v>
      </c>
      <c r="C59" s="85"/>
      <c r="D59" s="85" t="s">
        <v>494</v>
      </c>
      <c r="E59" s="86">
        <f>SUM(E60:E61)</f>
        <v>0</v>
      </c>
      <c r="F59" s="86">
        <f>SUM(F60:F61)</f>
        <v>0</v>
      </c>
      <c r="G59" s="86">
        <f>SUM(G60:G61)</f>
        <v>0</v>
      </c>
      <c r="H59" s="87" t="e">
        <f>G59/F59</f>
        <v>#DIV/0!</v>
      </c>
      <c r="I59" s="86">
        <f>SUM(I60:I61)</f>
        <v>0</v>
      </c>
      <c r="J59" s="86">
        <f>SUM(J60:J61)</f>
        <v>0</v>
      </c>
      <c r="K59" s="87" t="e">
        <f>J59/I59</f>
        <v>#DIV/0!</v>
      </c>
      <c r="L59" s="86"/>
      <c r="M59" s="86"/>
      <c r="N59" s="86">
        <f t="shared" si="10"/>
        <v>0</v>
      </c>
      <c r="O59" s="45"/>
      <c r="P59" s="12"/>
    </row>
    <row r="60" spans="1:16" s="17" customFormat="1" ht="321.75" hidden="1" thickTop="1" thickBot="1" x14ac:dyDescent="0.25">
      <c r="A60" s="52"/>
      <c r="B60" s="82" t="s">
        <v>496</v>
      </c>
      <c r="C60" s="82" t="s">
        <v>100</v>
      </c>
      <c r="D60" s="82" t="s">
        <v>498</v>
      </c>
      <c r="E60" s="83"/>
      <c r="F60" s="83"/>
      <c r="G60" s="83"/>
      <c r="H60" s="81" t="e">
        <f>G60/F60</f>
        <v>#DIV/0!</v>
      </c>
      <c r="I60" s="83"/>
      <c r="J60" s="83"/>
      <c r="K60" s="81" t="e">
        <f>J60/I60</f>
        <v>#DIV/0!</v>
      </c>
      <c r="L60" s="97"/>
      <c r="M60" s="97"/>
      <c r="N60" s="83">
        <f t="shared" si="10"/>
        <v>0</v>
      </c>
      <c r="O60" s="45"/>
      <c r="P60" s="12"/>
    </row>
    <row r="61" spans="1:16" s="17" customFormat="1" ht="295.5" hidden="1" customHeight="1" thickTop="1" thickBot="1" x14ac:dyDescent="0.25">
      <c r="A61" s="52"/>
      <c r="B61" s="82" t="s">
        <v>497</v>
      </c>
      <c r="C61" s="82" t="s">
        <v>100</v>
      </c>
      <c r="D61" s="82" t="s">
        <v>571</v>
      </c>
      <c r="E61" s="83"/>
      <c r="F61" s="83"/>
      <c r="G61" s="83"/>
      <c r="H61" s="87"/>
      <c r="I61" s="83"/>
      <c r="J61" s="83"/>
      <c r="K61" s="81" t="e">
        <f t="shared" ref="K61" si="14">J61/I61</f>
        <v>#DIV/0!</v>
      </c>
      <c r="L61" s="97"/>
      <c r="M61" s="97"/>
      <c r="N61" s="83">
        <f t="shared" si="10"/>
        <v>0</v>
      </c>
      <c r="O61" s="45"/>
      <c r="P61" s="12"/>
    </row>
    <row r="62" spans="1:16" s="17" customFormat="1" ht="138.75" thickTop="1" thickBot="1" x14ac:dyDescent="0.25">
      <c r="A62" s="52"/>
      <c r="B62" s="65" t="s">
        <v>550</v>
      </c>
      <c r="C62" s="65" t="s">
        <v>100</v>
      </c>
      <c r="D62" s="65" t="s">
        <v>604</v>
      </c>
      <c r="E62" s="151"/>
      <c r="F62" s="151"/>
      <c r="G62" s="151"/>
      <c r="H62" s="117"/>
      <c r="I62" s="151">
        <f>9379760+16300000</f>
        <v>25679760</v>
      </c>
      <c r="J62" s="151">
        <v>4057528.48</v>
      </c>
      <c r="K62" s="116">
        <f t="shared" ref="K62:K63" si="15">J62/I62</f>
        <v>0.15800492216438161</v>
      </c>
      <c r="L62" s="158"/>
      <c r="M62" s="158"/>
      <c r="N62" s="151">
        <f t="shared" ref="N62:N63" si="16">G62+J62</f>
        <v>4057528.48</v>
      </c>
      <c r="O62" s="47"/>
      <c r="P62" s="12"/>
    </row>
    <row r="63" spans="1:16" s="17" customFormat="1" ht="93" hidden="1" thickTop="1" thickBot="1" x14ac:dyDescent="0.25">
      <c r="A63" s="52"/>
      <c r="B63" s="85" t="s">
        <v>551</v>
      </c>
      <c r="C63" s="85"/>
      <c r="D63" s="66" t="s">
        <v>552</v>
      </c>
      <c r="E63" s="86">
        <f>E64</f>
        <v>0</v>
      </c>
      <c r="F63" s="86">
        <f>F64</f>
        <v>0</v>
      </c>
      <c r="G63" s="86">
        <f>G64</f>
        <v>0</v>
      </c>
      <c r="H63" s="81">
        <v>0</v>
      </c>
      <c r="I63" s="86">
        <f t="shared" ref="I63:J65" si="17">I64</f>
        <v>0</v>
      </c>
      <c r="J63" s="86">
        <f t="shared" si="17"/>
        <v>0</v>
      </c>
      <c r="K63" s="87" t="e">
        <f t="shared" si="15"/>
        <v>#DIV/0!</v>
      </c>
      <c r="L63" s="96"/>
      <c r="M63" s="96"/>
      <c r="N63" s="86">
        <f t="shared" si="16"/>
        <v>0</v>
      </c>
      <c r="O63" s="194" t="s">
        <v>385</v>
      </c>
      <c r="P63" s="195"/>
    </row>
    <row r="64" spans="1:16" s="17" customFormat="1" ht="184.5" hidden="1" thickTop="1" thickBot="1" x14ac:dyDescent="0.25">
      <c r="A64" s="52"/>
      <c r="B64" s="82" t="s">
        <v>554</v>
      </c>
      <c r="C64" s="82" t="s">
        <v>100</v>
      </c>
      <c r="D64" s="65" t="s">
        <v>553</v>
      </c>
      <c r="E64" s="83"/>
      <c r="F64" s="83"/>
      <c r="G64" s="83"/>
      <c r="H64" s="87"/>
      <c r="I64" s="83"/>
      <c r="J64" s="83"/>
      <c r="K64" s="81" t="e">
        <f>J64/I64</f>
        <v>#DIV/0!</v>
      </c>
      <c r="L64" s="97"/>
      <c r="M64" s="97"/>
      <c r="N64" s="83">
        <f t="shared" si="10"/>
        <v>0</v>
      </c>
      <c r="O64" s="47"/>
      <c r="P64" s="12"/>
    </row>
    <row r="65" spans="1:16" s="17" customFormat="1" ht="230.25" hidden="1" thickTop="1" thickBot="1" x14ac:dyDescent="0.25">
      <c r="A65" s="52"/>
      <c r="B65" s="85" t="s">
        <v>582</v>
      </c>
      <c r="C65" s="85"/>
      <c r="D65" s="66" t="s">
        <v>584</v>
      </c>
      <c r="E65" s="86">
        <f>E66</f>
        <v>0</v>
      </c>
      <c r="F65" s="86">
        <f>F66</f>
        <v>0</v>
      </c>
      <c r="G65" s="86">
        <f>G66</f>
        <v>0</v>
      </c>
      <c r="H65" s="81">
        <v>0</v>
      </c>
      <c r="I65" s="86">
        <f t="shared" si="17"/>
        <v>0</v>
      </c>
      <c r="J65" s="86">
        <f t="shared" si="17"/>
        <v>0</v>
      </c>
      <c r="K65" s="87" t="e">
        <f t="shared" ref="K65" si="18">J65/I65</f>
        <v>#DIV/0!</v>
      </c>
      <c r="L65" s="96"/>
      <c r="M65" s="96"/>
      <c r="N65" s="86">
        <f t="shared" si="10"/>
        <v>0</v>
      </c>
      <c r="O65" s="47"/>
      <c r="P65" s="12"/>
    </row>
    <row r="66" spans="1:16" s="17" customFormat="1" ht="321.75" hidden="1" thickTop="1" thickBot="1" x14ac:dyDescent="0.25">
      <c r="A66" s="52"/>
      <c r="B66" s="82" t="s">
        <v>583</v>
      </c>
      <c r="C66" s="82" t="s">
        <v>100</v>
      </c>
      <c r="D66" s="65" t="s">
        <v>585</v>
      </c>
      <c r="E66" s="83"/>
      <c r="F66" s="83"/>
      <c r="G66" s="83"/>
      <c r="H66" s="81"/>
      <c r="I66" s="83"/>
      <c r="J66" s="83">
        <v>0</v>
      </c>
      <c r="K66" s="81" t="e">
        <f>J66/I66</f>
        <v>#DIV/0!</v>
      </c>
      <c r="L66" s="97"/>
      <c r="M66" s="97"/>
      <c r="N66" s="83">
        <f t="shared" ref="N66" si="19">G66+J66</f>
        <v>0</v>
      </c>
      <c r="O66" s="47"/>
      <c r="P66" s="12"/>
    </row>
    <row r="67" spans="1:16" s="17" customFormat="1" ht="184.5" thickTop="1" thickBot="1" x14ac:dyDescent="0.25">
      <c r="A67" s="52"/>
      <c r="B67" s="65" t="s">
        <v>544</v>
      </c>
      <c r="C67" s="65" t="s">
        <v>100</v>
      </c>
      <c r="D67" s="65" t="s">
        <v>543</v>
      </c>
      <c r="E67" s="151">
        <v>79736300</v>
      </c>
      <c r="F67" s="151">
        <v>39868200</v>
      </c>
      <c r="G67" s="151">
        <v>35749685.119999997</v>
      </c>
      <c r="H67" s="116">
        <f>G67/F67</f>
        <v>0.8966967437707245</v>
      </c>
      <c r="I67" s="151"/>
      <c r="J67" s="151"/>
      <c r="K67" s="116"/>
      <c r="L67" s="158"/>
      <c r="M67" s="158"/>
      <c r="N67" s="151">
        <f t="shared" si="10"/>
        <v>35749685.119999997</v>
      </c>
      <c r="O67" s="47"/>
      <c r="P67" s="12"/>
    </row>
    <row r="68" spans="1:16" s="17" customFormat="1" ht="138.75" thickTop="1" thickBot="1" x14ac:dyDescent="0.25">
      <c r="A68" s="52"/>
      <c r="B68" s="65" t="s">
        <v>616</v>
      </c>
      <c r="C68" s="65" t="s">
        <v>100</v>
      </c>
      <c r="D68" s="65" t="s">
        <v>615</v>
      </c>
      <c r="E68" s="151">
        <v>58944400</v>
      </c>
      <c r="F68" s="151">
        <v>35366700</v>
      </c>
      <c r="G68" s="151">
        <v>17415153.059999999</v>
      </c>
      <c r="H68" s="116">
        <f>G68/F68</f>
        <v>0.49241668179389081</v>
      </c>
      <c r="I68" s="151"/>
      <c r="J68" s="151"/>
      <c r="K68" s="116"/>
      <c r="L68" s="158"/>
      <c r="M68" s="158"/>
      <c r="N68" s="151">
        <f t="shared" si="10"/>
        <v>17415153.059999999</v>
      </c>
      <c r="O68" s="47"/>
      <c r="P68" s="12"/>
    </row>
    <row r="69" spans="1:16" ht="91.5" thickTop="1" thickBot="1" x14ac:dyDescent="0.25">
      <c r="A69" s="52" t="s">
        <v>127</v>
      </c>
      <c r="B69" s="145" t="s">
        <v>128</v>
      </c>
      <c r="C69" s="145"/>
      <c r="D69" s="146" t="s">
        <v>129</v>
      </c>
      <c r="E69" s="147">
        <f>SUM(E70:E84)-E75-E77-E79-E82</f>
        <v>148387316</v>
      </c>
      <c r="F69" s="147">
        <f>SUM(F70:F84)-F75-F77-F79-F82</f>
        <v>64826862</v>
      </c>
      <c r="G69" s="147">
        <f>SUM(G70:G84)-G75-G77-G79-G82</f>
        <v>43511208.230000004</v>
      </c>
      <c r="H69" s="148">
        <f>G69/F69</f>
        <v>0.67119102926808338</v>
      </c>
      <c r="I69" s="147">
        <f>SUM(I70:I84)-I75-I77-I79-I82</f>
        <v>15000000</v>
      </c>
      <c r="J69" s="147">
        <f>SUM(J70:J84)-J75-J77-J79-J82</f>
        <v>579628.93999999994</v>
      </c>
      <c r="K69" s="149">
        <f>J69/I69</f>
        <v>3.8641929333333332E-2</v>
      </c>
      <c r="L69" s="147"/>
      <c r="M69" s="147"/>
      <c r="N69" s="150">
        <f>J69+G69</f>
        <v>44090837.170000002</v>
      </c>
      <c r="O69" s="48" t="b">
        <f>N69=N70+N71+N72+N73+N76+N80+N81+N84</f>
        <v>1</v>
      </c>
      <c r="P69" s="23"/>
    </row>
    <row r="70" spans="1:16" ht="93" thickTop="1" thickBot="1" x14ac:dyDescent="0.25">
      <c r="A70" s="53" t="s">
        <v>130</v>
      </c>
      <c r="B70" s="65" t="s">
        <v>131</v>
      </c>
      <c r="C70" s="65" t="s">
        <v>132</v>
      </c>
      <c r="D70" s="65" t="s">
        <v>133</v>
      </c>
      <c r="E70" s="151">
        <v>59730642</v>
      </c>
      <c r="F70" s="151">
        <v>32296271</v>
      </c>
      <c r="G70" s="151">
        <v>17698337.629999999</v>
      </c>
      <c r="H70" s="116">
        <f>G70/F70</f>
        <v>0.54799941547431275</v>
      </c>
      <c r="I70" s="151"/>
      <c r="J70" s="151"/>
      <c r="K70" s="116"/>
      <c r="L70" s="151"/>
      <c r="M70" s="163"/>
      <c r="N70" s="151">
        <f>G70+J70</f>
        <v>17698337.629999999</v>
      </c>
      <c r="P70" s="16"/>
    </row>
    <row r="71" spans="1:16" ht="93" thickTop="1" thickBot="1" x14ac:dyDescent="0.25">
      <c r="A71" s="53" t="s">
        <v>134</v>
      </c>
      <c r="B71" s="65" t="s">
        <v>135</v>
      </c>
      <c r="C71" s="65" t="s">
        <v>136</v>
      </c>
      <c r="D71" s="65" t="s">
        <v>137</v>
      </c>
      <c r="E71" s="151">
        <v>17360700</v>
      </c>
      <c r="F71" s="151">
        <v>7196070</v>
      </c>
      <c r="G71" s="151">
        <v>6931849.8899999997</v>
      </c>
      <c r="H71" s="116">
        <f t="shared" ref="H71:H73" si="20">G71/F71</f>
        <v>0.9632827209852044</v>
      </c>
      <c r="I71" s="151"/>
      <c r="J71" s="151"/>
      <c r="K71" s="116"/>
      <c r="L71" s="151"/>
      <c r="M71" s="163"/>
      <c r="N71" s="151">
        <f t="shared" ref="N71:N138" si="21">G71+J71</f>
        <v>6931849.8899999997</v>
      </c>
      <c r="P71" s="23"/>
    </row>
    <row r="72" spans="1:16" ht="93" thickTop="1" thickBot="1" x14ac:dyDescent="0.25">
      <c r="A72" s="65" t="s">
        <v>138</v>
      </c>
      <c r="B72" s="65" t="s">
        <v>139</v>
      </c>
      <c r="C72" s="65" t="s">
        <v>140</v>
      </c>
      <c r="D72" s="65" t="s">
        <v>141</v>
      </c>
      <c r="E72" s="151">
        <v>12457450</v>
      </c>
      <c r="F72" s="151">
        <v>7391450</v>
      </c>
      <c r="G72" s="151">
        <v>6873095.2699999996</v>
      </c>
      <c r="H72" s="116">
        <f t="shared" si="20"/>
        <v>0.92987103612958211</v>
      </c>
      <c r="I72" s="151"/>
      <c r="J72" s="151"/>
      <c r="K72" s="116"/>
      <c r="L72" s="151"/>
      <c r="M72" s="163"/>
      <c r="N72" s="151">
        <f t="shared" si="21"/>
        <v>6873095.2699999996</v>
      </c>
      <c r="P72" s="23"/>
    </row>
    <row r="73" spans="1:16" ht="93" thickTop="1" thickBot="1" x14ac:dyDescent="0.25">
      <c r="A73" s="53" t="s">
        <v>142</v>
      </c>
      <c r="B73" s="65" t="s">
        <v>143</v>
      </c>
      <c r="C73" s="65" t="s">
        <v>144</v>
      </c>
      <c r="D73" s="65" t="s">
        <v>145</v>
      </c>
      <c r="E73" s="151">
        <v>24176665</v>
      </c>
      <c r="F73" s="151">
        <v>7268500</v>
      </c>
      <c r="G73" s="151">
        <v>5732048.1699999999</v>
      </c>
      <c r="H73" s="116">
        <f t="shared" si="20"/>
        <v>0.78861500584714861</v>
      </c>
      <c r="I73" s="151"/>
      <c r="J73" s="151"/>
      <c r="K73" s="116"/>
      <c r="L73" s="151"/>
      <c r="M73" s="163"/>
      <c r="N73" s="151">
        <f t="shared" si="21"/>
        <v>5732048.1699999999</v>
      </c>
      <c r="O73" s="45"/>
      <c r="P73" s="23"/>
    </row>
    <row r="74" spans="1:16" ht="93" hidden="1" thickTop="1" thickBot="1" x14ac:dyDescent="0.25">
      <c r="A74" s="53" t="s">
        <v>146</v>
      </c>
      <c r="B74" s="98" t="s">
        <v>147</v>
      </c>
      <c r="C74" s="98" t="s">
        <v>148</v>
      </c>
      <c r="D74" s="98" t="s">
        <v>149</v>
      </c>
      <c r="E74" s="93"/>
      <c r="F74" s="93"/>
      <c r="G74" s="93"/>
      <c r="H74" s="94"/>
      <c r="I74" s="93"/>
      <c r="J74" s="93"/>
      <c r="K74" s="94" t="e">
        <f>J74/I74</f>
        <v>#DIV/0!</v>
      </c>
      <c r="L74" s="93"/>
      <c r="M74" s="99"/>
      <c r="N74" s="93">
        <f t="shared" si="21"/>
        <v>0</v>
      </c>
      <c r="P74" s="23"/>
    </row>
    <row r="75" spans="1:16" ht="93" thickTop="1" thickBot="1" x14ac:dyDescent="0.25">
      <c r="A75" s="53" t="s">
        <v>150</v>
      </c>
      <c r="B75" s="66" t="s">
        <v>151</v>
      </c>
      <c r="C75" s="66"/>
      <c r="D75" s="66" t="s">
        <v>152</v>
      </c>
      <c r="E75" s="152">
        <f t="shared" ref="E75:G75" si="22">E76</f>
        <v>24390259</v>
      </c>
      <c r="F75" s="152">
        <f t="shared" si="22"/>
        <v>7426071</v>
      </c>
      <c r="G75" s="152">
        <f t="shared" si="22"/>
        <v>5137202.24</v>
      </c>
      <c r="H75" s="117">
        <f t="shared" ref="H75:H76" si="23">G75/F75</f>
        <v>0.69177930563820356</v>
      </c>
      <c r="I75" s="152">
        <f>I76</f>
        <v>0</v>
      </c>
      <c r="J75" s="152">
        <f t="shared" ref="J75" si="24">J76</f>
        <v>0</v>
      </c>
      <c r="K75" s="117">
        <v>0</v>
      </c>
      <c r="L75" s="152"/>
      <c r="M75" s="152"/>
      <c r="N75" s="152">
        <f t="shared" si="21"/>
        <v>5137202.24</v>
      </c>
      <c r="O75" s="194" t="s">
        <v>385</v>
      </c>
      <c r="P75" s="195"/>
    </row>
    <row r="76" spans="1:16" ht="138.75" thickTop="1" thickBot="1" x14ac:dyDescent="0.25">
      <c r="A76" s="53" t="s">
        <v>153</v>
      </c>
      <c r="B76" s="65" t="s">
        <v>154</v>
      </c>
      <c r="C76" s="65" t="s">
        <v>155</v>
      </c>
      <c r="D76" s="65" t="s">
        <v>156</v>
      </c>
      <c r="E76" s="151">
        <v>24390259</v>
      </c>
      <c r="F76" s="151">
        <v>7426071</v>
      </c>
      <c r="G76" s="151">
        <v>5137202.24</v>
      </c>
      <c r="H76" s="116">
        <f t="shared" si="23"/>
        <v>0.69177930563820356</v>
      </c>
      <c r="I76" s="151"/>
      <c r="J76" s="151"/>
      <c r="K76" s="116"/>
      <c r="L76" s="151"/>
      <c r="M76" s="163"/>
      <c r="N76" s="151">
        <f t="shared" si="21"/>
        <v>5137202.24</v>
      </c>
      <c r="P76" s="23"/>
    </row>
    <row r="77" spans="1:16" ht="93" hidden="1" customHeight="1" thickTop="1" thickBot="1" x14ac:dyDescent="0.25">
      <c r="A77" s="54" t="s">
        <v>157</v>
      </c>
      <c r="B77" s="100" t="s">
        <v>158</v>
      </c>
      <c r="C77" s="100"/>
      <c r="D77" s="100" t="s">
        <v>159</v>
      </c>
      <c r="E77" s="101">
        <f t="shared" ref="E77:G77" si="25">E78</f>
        <v>0</v>
      </c>
      <c r="F77" s="101">
        <f t="shared" si="25"/>
        <v>0</v>
      </c>
      <c r="G77" s="101">
        <f t="shared" si="25"/>
        <v>0</v>
      </c>
      <c r="H77" s="102"/>
      <c r="I77" s="101"/>
      <c r="J77" s="101"/>
      <c r="K77" s="102"/>
      <c r="L77" s="101"/>
      <c r="M77" s="101"/>
      <c r="N77" s="101">
        <f t="shared" si="21"/>
        <v>0</v>
      </c>
      <c r="O77" s="45"/>
      <c r="P77" s="23"/>
    </row>
    <row r="78" spans="1:16" ht="93" hidden="1" customHeight="1" thickTop="1" thickBot="1" x14ac:dyDescent="0.25">
      <c r="A78" s="53" t="s">
        <v>160</v>
      </c>
      <c r="B78" s="98" t="s">
        <v>161</v>
      </c>
      <c r="C78" s="98" t="s">
        <v>162</v>
      </c>
      <c r="D78" s="98" t="s">
        <v>163</v>
      </c>
      <c r="E78" s="93"/>
      <c r="F78" s="93"/>
      <c r="G78" s="93"/>
      <c r="H78" s="94"/>
      <c r="I78" s="93"/>
      <c r="J78" s="93"/>
      <c r="K78" s="93"/>
      <c r="L78" s="93"/>
      <c r="M78" s="99"/>
      <c r="N78" s="93">
        <f t="shared" si="21"/>
        <v>0</v>
      </c>
      <c r="P78" s="23"/>
    </row>
    <row r="79" spans="1:16" ht="183.75" customHeight="1" thickTop="1" thickBot="1" x14ac:dyDescent="0.25">
      <c r="A79" s="53" t="s">
        <v>164</v>
      </c>
      <c r="B79" s="66" t="s">
        <v>165</v>
      </c>
      <c r="C79" s="66"/>
      <c r="D79" s="66" t="s">
        <v>518</v>
      </c>
      <c r="E79" s="152">
        <f t="shared" ref="E79:J79" si="26">SUM(E80:E81)</f>
        <v>10271600</v>
      </c>
      <c r="F79" s="152">
        <f t="shared" si="26"/>
        <v>3248500</v>
      </c>
      <c r="G79" s="152">
        <f t="shared" si="26"/>
        <v>1138675.03</v>
      </c>
      <c r="H79" s="117">
        <f t="shared" ref="H79:H81" si="27">G79/F79</f>
        <v>0.35052332768970296</v>
      </c>
      <c r="I79" s="152">
        <f t="shared" si="26"/>
        <v>0</v>
      </c>
      <c r="J79" s="152">
        <f t="shared" si="26"/>
        <v>0</v>
      </c>
      <c r="K79" s="117">
        <v>0</v>
      </c>
      <c r="L79" s="152"/>
      <c r="M79" s="152"/>
      <c r="N79" s="152">
        <f t="shared" si="21"/>
        <v>1138675.03</v>
      </c>
      <c r="O79" s="194" t="s">
        <v>385</v>
      </c>
      <c r="P79" s="195"/>
    </row>
    <row r="80" spans="1:16" s="17" customFormat="1" ht="93" thickTop="1" thickBot="1" x14ac:dyDescent="0.25">
      <c r="A80" s="53" t="s">
        <v>166</v>
      </c>
      <c r="B80" s="65" t="s">
        <v>167</v>
      </c>
      <c r="C80" s="65" t="s">
        <v>162</v>
      </c>
      <c r="D80" s="118" t="s">
        <v>519</v>
      </c>
      <c r="E80" s="151">
        <v>4771600</v>
      </c>
      <c r="F80" s="151">
        <v>1283500</v>
      </c>
      <c r="G80" s="151">
        <v>957875.03</v>
      </c>
      <c r="H80" s="116">
        <f t="shared" si="27"/>
        <v>0.7462992052980133</v>
      </c>
      <c r="I80" s="151"/>
      <c r="J80" s="151"/>
      <c r="K80" s="116"/>
      <c r="L80" s="151"/>
      <c r="M80" s="163"/>
      <c r="N80" s="151">
        <f t="shared" si="21"/>
        <v>957875.03</v>
      </c>
      <c r="O80" s="19"/>
      <c r="P80" s="23"/>
    </row>
    <row r="81" spans="1:18" s="17" customFormat="1" ht="96" customHeight="1" thickTop="1" thickBot="1" x14ac:dyDescent="0.25">
      <c r="A81" s="53" t="s">
        <v>168</v>
      </c>
      <c r="B81" s="65" t="s">
        <v>169</v>
      </c>
      <c r="C81" s="65" t="s">
        <v>162</v>
      </c>
      <c r="D81" s="118" t="s">
        <v>520</v>
      </c>
      <c r="E81" s="151">
        <v>5500000</v>
      </c>
      <c r="F81" s="151">
        <v>1965000</v>
      </c>
      <c r="G81" s="151">
        <v>180800</v>
      </c>
      <c r="H81" s="116">
        <f t="shared" si="27"/>
        <v>9.2010178117048341E-2</v>
      </c>
      <c r="I81" s="151"/>
      <c r="J81" s="151"/>
      <c r="K81" s="151"/>
      <c r="L81" s="151"/>
      <c r="M81" s="163"/>
      <c r="N81" s="151">
        <f t="shared" si="21"/>
        <v>180800</v>
      </c>
      <c r="O81" s="19"/>
      <c r="P81" s="23"/>
    </row>
    <row r="82" spans="1:18" s="17" customFormat="1" ht="183.75" hidden="1" thickTop="1" thickBot="1" x14ac:dyDescent="0.25">
      <c r="A82" s="53"/>
      <c r="B82" s="85" t="s">
        <v>502</v>
      </c>
      <c r="C82" s="85"/>
      <c r="D82" s="85" t="s">
        <v>501</v>
      </c>
      <c r="E82" s="86">
        <f>E83</f>
        <v>0</v>
      </c>
      <c r="F82" s="86">
        <f>F83</f>
        <v>0</v>
      </c>
      <c r="G82" s="86">
        <f>G83</f>
        <v>0</v>
      </c>
      <c r="H82" s="87">
        <v>0</v>
      </c>
      <c r="I82" s="86">
        <v>0</v>
      </c>
      <c r="J82" s="86">
        <v>0</v>
      </c>
      <c r="K82" s="87">
        <v>0</v>
      </c>
      <c r="L82" s="86"/>
      <c r="M82" s="86"/>
      <c r="N82" s="86">
        <f t="shared" ref="N82:N83" si="28">G82+J82</f>
        <v>0</v>
      </c>
      <c r="O82" s="45" t="s">
        <v>385</v>
      </c>
      <c r="P82" s="23"/>
    </row>
    <row r="83" spans="1:18" s="17" customFormat="1" ht="184.5" hidden="1" thickTop="1" thickBot="1" x14ac:dyDescent="0.25">
      <c r="A83" s="53"/>
      <c r="B83" s="82" t="s">
        <v>503</v>
      </c>
      <c r="C83" s="82" t="s">
        <v>162</v>
      </c>
      <c r="D83" s="112" t="s">
        <v>504</v>
      </c>
      <c r="E83" s="83"/>
      <c r="F83" s="83"/>
      <c r="G83" s="83"/>
      <c r="H83" s="81">
        <v>0</v>
      </c>
      <c r="I83" s="83">
        <v>0</v>
      </c>
      <c r="J83" s="83">
        <v>0</v>
      </c>
      <c r="K83" s="81">
        <v>0</v>
      </c>
      <c r="L83" s="83"/>
      <c r="M83" s="84"/>
      <c r="N83" s="83">
        <f t="shared" si="28"/>
        <v>0</v>
      </c>
      <c r="O83" s="45" t="s">
        <v>385</v>
      </c>
      <c r="P83" s="23"/>
    </row>
    <row r="84" spans="1:18" s="17" customFormat="1" ht="184.5" thickTop="1" thickBot="1" x14ac:dyDescent="0.25">
      <c r="A84" s="53"/>
      <c r="B84" s="65" t="s">
        <v>572</v>
      </c>
      <c r="C84" s="65" t="s">
        <v>162</v>
      </c>
      <c r="D84" s="65" t="s">
        <v>605</v>
      </c>
      <c r="E84" s="151"/>
      <c r="F84" s="151"/>
      <c r="G84" s="151"/>
      <c r="H84" s="116"/>
      <c r="I84" s="151">
        <v>15000000</v>
      </c>
      <c r="J84" s="151">
        <v>579628.93999999994</v>
      </c>
      <c r="K84" s="116">
        <f>J84/I84</f>
        <v>3.8641929333333332E-2</v>
      </c>
      <c r="L84" s="151"/>
      <c r="M84" s="163"/>
      <c r="N84" s="151">
        <f t="shared" si="21"/>
        <v>579628.93999999994</v>
      </c>
      <c r="O84" s="196"/>
      <c r="P84" s="197"/>
    </row>
    <row r="85" spans="1:18" ht="99" customHeight="1" thickTop="1" thickBot="1" x14ac:dyDescent="0.25">
      <c r="A85" s="52" t="s">
        <v>171</v>
      </c>
      <c r="B85" s="145" t="s">
        <v>124</v>
      </c>
      <c r="C85" s="145"/>
      <c r="D85" s="146" t="s">
        <v>125</v>
      </c>
      <c r="E85" s="147">
        <f>SUM(E86:E138)-E86-E95-E112-E134-E109-E100-E104-E116-E99</f>
        <v>584688849.43000007</v>
      </c>
      <c r="F85" s="147">
        <f>SUM(F86:F138)-F86-F95-F112-F134-F109-F100-F104-F116-F99</f>
        <v>179266905.17000002</v>
      </c>
      <c r="G85" s="147">
        <f>SUM(G86:G138)-G86-G95-G112-G134-G109-G100-G104-G116-G99</f>
        <v>136271157.31000006</v>
      </c>
      <c r="H85" s="148">
        <f>G85/F85</f>
        <v>0.76015791749611117</v>
      </c>
      <c r="I85" s="147">
        <f>SUM(I86:I138)-I86-I95-I112-I134-I109-I100-I104-I116-I99</f>
        <v>116259691.8</v>
      </c>
      <c r="J85" s="147">
        <f>SUM(J86:J138)-J86-J95-J112-J134-J109-J100-J104-J116-J99</f>
        <v>38893569.799999997</v>
      </c>
      <c r="K85" s="149">
        <f>J85/I85</f>
        <v>0.33454045162022356</v>
      </c>
      <c r="L85" s="147"/>
      <c r="M85" s="147"/>
      <c r="N85" s="150">
        <f>J85+G85</f>
        <v>175164727.11000007</v>
      </c>
      <c r="O85" s="48" t="b">
        <f>N85=N87+N88+N89+N90+N91+N92+N93+N94+N96+N97+N99+N101+N103+N105+N106+N107+N108+N110+N111+N113+N114+N115+N133+N135+N136+N137+N138</f>
        <v>1</v>
      </c>
      <c r="P85" s="25"/>
      <c r="R85" s="24"/>
    </row>
    <row r="86" spans="1:18" ht="276" customHeight="1" thickTop="1" thickBot="1" x14ac:dyDescent="0.25">
      <c r="A86" s="54" t="s">
        <v>172</v>
      </c>
      <c r="B86" s="66" t="s">
        <v>173</v>
      </c>
      <c r="C86" s="66"/>
      <c r="D86" s="66" t="s">
        <v>521</v>
      </c>
      <c r="E86" s="152">
        <f t="shared" ref="E86:J86" si="29">SUM(E87:E91)</f>
        <v>138815500</v>
      </c>
      <c r="F86" s="152">
        <f t="shared" si="29"/>
        <v>29566035</v>
      </c>
      <c r="G86" s="152">
        <f t="shared" si="29"/>
        <v>28557249.969999999</v>
      </c>
      <c r="H86" s="117">
        <f>G86/F86</f>
        <v>0.96588027342861493</v>
      </c>
      <c r="I86" s="152">
        <f t="shared" si="29"/>
        <v>0</v>
      </c>
      <c r="J86" s="152">
        <f t="shared" si="29"/>
        <v>0</v>
      </c>
      <c r="K86" s="117">
        <v>0</v>
      </c>
      <c r="L86" s="152"/>
      <c r="M86" s="152"/>
      <c r="N86" s="152">
        <f t="shared" si="21"/>
        <v>28557249.969999999</v>
      </c>
      <c r="O86" s="194" t="s">
        <v>385</v>
      </c>
      <c r="P86" s="195"/>
      <c r="R86" s="26"/>
    </row>
    <row r="87" spans="1:18" s="17" customFormat="1" ht="93" thickTop="1" thickBot="1" x14ac:dyDescent="0.25">
      <c r="A87" s="53" t="s">
        <v>174</v>
      </c>
      <c r="B87" s="65" t="s">
        <v>175</v>
      </c>
      <c r="C87" s="65" t="s">
        <v>76</v>
      </c>
      <c r="D87" s="137" t="s">
        <v>176</v>
      </c>
      <c r="E87" s="151">
        <v>1050000</v>
      </c>
      <c r="F87" s="151">
        <v>30000</v>
      </c>
      <c r="G87" s="151">
        <v>1049</v>
      </c>
      <c r="H87" s="116">
        <f>G87/F87</f>
        <v>3.4966666666666667E-2</v>
      </c>
      <c r="I87" s="151"/>
      <c r="J87" s="151"/>
      <c r="K87" s="116"/>
      <c r="L87" s="151"/>
      <c r="M87" s="163"/>
      <c r="N87" s="151">
        <f t="shared" si="21"/>
        <v>1049</v>
      </c>
      <c r="O87" s="19"/>
      <c r="P87" s="25"/>
    </row>
    <row r="88" spans="1:18" s="17" customFormat="1" ht="93" thickTop="1" thickBot="1" x14ac:dyDescent="0.25">
      <c r="A88" s="53" t="s">
        <v>177</v>
      </c>
      <c r="B88" s="65" t="s">
        <v>178</v>
      </c>
      <c r="C88" s="65" t="s">
        <v>85</v>
      </c>
      <c r="D88" s="65" t="s">
        <v>179</v>
      </c>
      <c r="E88" s="151">
        <v>465500</v>
      </c>
      <c r="F88" s="151">
        <v>106000</v>
      </c>
      <c r="G88" s="151">
        <v>42270.52</v>
      </c>
      <c r="H88" s="116">
        <f t="shared" ref="H88:H136" si="30">G88/F88</f>
        <v>0.3987784905660377</v>
      </c>
      <c r="I88" s="151"/>
      <c r="J88" s="151"/>
      <c r="K88" s="151"/>
      <c r="L88" s="151"/>
      <c r="M88" s="163"/>
      <c r="N88" s="151">
        <f t="shared" si="21"/>
        <v>42270.52</v>
      </c>
      <c r="O88" s="19"/>
      <c r="P88" s="27"/>
    </row>
    <row r="89" spans="1:18" s="17" customFormat="1" ht="138.75" thickTop="1" thickBot="1" x14ac:dyDescent="0.25">
      <c r="A89" s="53" t="s">
        <v>180</v>
      </c>
      <c r="B89" s="65" t="s">
        <v>181</v>
      </c>
      <c r="C89" s="65" t="s">
        <v>85</v>
      </c>
      <c r="D89" s="65" t="s">
        <v>579</v>
      </c>
      <c r="E89" s="151">
        <v>52100000</v>
      </c>
      <c r="F89" s="151">
        <v>10604535</v>
      </c>
      <c r="G89" s="151">
        <v>10146310</v>
      </c>
      <c r="H89" s="116">
        <f t="shared" si="30"/>
        <v>0.95678971308030003</v>
      </c>
      <c r="I89" s="151"/>
      <c r="J89" s="151"/>
      <c r="K89" s="151"/>
      <c r="L89" s="151"/>
      <c r="M89" s="163"/>
      <c r="N89" s="151">
        <f t="shared" si="21"/>
        <v>10146310</v>
      </c>
      <c r="O89" s="19"/>
      <c r="P89" s="27"/>
    </row>
    <row r="90" spans="1:18" s="17" customFormat="1" ht="138.75" thickTop="1" thickBot="1" x14ac:dyDescent="0.25">
      <c r="A90" s="53" t="s">
        <v>182</v>
      </c>
      <c r="B90" s="65" t="s">
        <v>183</v>
      </c>
      <c r="C90" s="65" t="s">
        <v>85</v>
      </c>
      <c r="D90" s="65" t="s">
        <v>184</v>
      </c>
      <c r="E90" s="151">
        <v>1500000</v>
      </c>
      <c r="F90" s="151">
        <v>375000</v>
      </c>
      <c r="G90" s="151">
        <v>234060.45</v>
      </c>
      <c r="H90" s="116">
        <f t="shared" si="30"/>
        <v>0.62416120000000008</v>
      </c>
      <c r="I90" s="151"/>
      <c r="J90" s="151"/>
      <c r="K90" s="151"/>
      <c r="L90" s="151"/>
      <c r="M90" s="163"/>
      <c r="N90" s="151">
        <f t="shared" si="21"/>
        <v>234060.45</v>
      </c>
      <c r="O90" s="45"/>
      <c r="P90" s="27"/>
    </row>
    <row r="91" spans="1:18" s="17" customFormat="1" ht="138.75" thickTop="1" thickBot="1" x14ac:dyDescent="0.25">
      <c r="A91" s="53" t="s">
        <v>185</v>
      </c>
      <c r="B91" s="65" t="s">
        <v>186</v>
      </c>
      <c r="C91" s="65" t="s">
        <v>85</v>
      </c>
      <c r="D91" s="65" t="s">
        <v>187</v>
      </c>
      <c r="E91" s="151">
        <v>83700000</v>
      </c>
      <c r="F91" s="151">
        <v>18450500</v>
      </c>
      <c r="G91" s="151">
        <v>18133560</v>
      </c>
      <c r="H91" s="116">
        <f t="shared" si="30"/>
        <v>0.98282214574130777</v>
      </c>
      <c r="I91" s="151"/>
      <c r="J91" s="151"/>
      <c r="K91" s="151"/>
      <c r="L91" s="151"/>
      <c r="M91" s="163"/>
      <c r="N91" s="151">
        <f t="shared" si="21"/>
        <v>18133560</v>
      </c>
      <c r="O91" s="19"/>
      <c r="P91" s="27"/>
    </row>
    <row r="92" spans="1:18" s="17" customFormat="1" ht="138.75" thickTop="1" thickBot="1" x14ac:dyDescent="0.25">
      <c r="A92" s="53" t="s">
        <v>188</v>
      </c>
      <c r="B92" s="65" t="s">
        <v>189</v>
      </c>
      <c r="C92" s="65" t="s">
        <v>85</v>
      </c>
      <c r="D92" s="65" t="s">
        <v>190</v>
      </c>
      <c r="E92" s="151">
        <v>399986</v>
      </c>
      <c r="F92" s="151">
        <v>99996</v>
      </c>
      <c r="G92" s="151">
        <v>75367</v>
      </c>
      <c r="H92" s="116">
        <f t="shared" si="30"/>
        <v>0.75370014800592022</v>
      </c>
      <c r="I92" s="151"/>
      <c r="J92" s="151"/>
      <c r="K92" s="151"/>
      <c r="L92" s="151"/>
      <c r="M92" s="163"/>
      <c r="N92" s="151">
        <f t="shared" si="21"/>
        <v>75367</v>
      </c>
      <c r="O92" s="19"/>
      <c r="P92" s="27"/>
    </row>
    <row r="93" spans="1:18" s="17" customFormat="1" ht="165" customHeight="1" thickTop="1" thickBot="1" x14ac:dyDescent="0.25">
      <c r="A93" s="53"/>
      <c r="B93" s="65" t="s">
        <v>191</v>
      </c>
      <c r="C93" s="65" t="s">
        <v>85</v>
      </c>
      <c r="D93" s="65" t="s">
        <v>192</v>
      </c>
      <c r="E93" s="151">
        <v>2200000</v>
      </c>
      <c r="F93" s="151">
        <v>150000</v>
      </c>
      <c r="G93" s="151">
        <v>0</v>
      </c>
      <c r="H93" s="116">
        <f t="shared" si="30"/>
        <v>0</v>
      </c>
      <c r="I93" s="151"/>
      <c r="J93" s="151"/>
      <c r="K93" s="151"/>
      <c r="L93" s="151"/>
      <c r="M93" s="163"/>
      <c r="N93" s="151">
        <f>G93+J93</f>
        <v>0</v>
      </c>
      <c r="O93" s="45"/>
      <c r="P93" s="27"/>
    </row>
    <row r="94" spans="1:18" ht="93" thickTop="1" thickBot="1" x14ac:dyDescent="0.25">
      <c r="A94" s="53" t="s">
        <v>193</v>
      </c>
      <c r="B94" s="65" t="s">
        <v>194</v>
      </c>
      <c r="C94" s="65" t="s">
        <v>76</v>
      </c>
      <c r="D94" s="65" t="s">
        <v>195</v>
      </c>
      <c r="E94" s="151">
        <v>1146655</v>
      </c>
      <c r="F94" s="151">
        <v>286665</v>
      </c>
      <c r="G94" s="151">
        <v>280836.32</v>
      </c>
      <c r="H94" s="116">
        <f t="shared" si="30"/>
        <v>0.97966727713533219</v>
      </c>
      <c r="I94" s="151"/>
      <c r="J94" s="151"/>
      <c r="K94" s="151"/>
      <c r="L94" s="151"/>
      <c r="M94" s="163"/>
      <c r="N94" s="151">
        <f t="shared" si="21"/>
        <v>280836.32</v>
      </c>
      <c r="P94" s="27"/>
    </row>
    <row r="95" spans="1:18" s="17" customFormat="1" ht="184.5" thickTop="1" thickBot="1" x14ac:dyDescent="0.25">
      <c r="A95" s="66" t="s">
        <v>196</v>
      </c>
      <c r="B95" s="66" t="s">
        <v>197</v>
      </c>
      <c r="C95" s="66"/>
      <c r="D95" s="66" t="s">
        <v>198</v>
      </c>
      <c r="E95" s="152">
        <f t="shared" ref="E95:J95" si="31">SUM(E96:E97)</f>
        <v>102290384</v>
      </c>
      <c r="F95" s="152">
        <f t="shared" si="31"/>
        <v>20993748</v>
      </c>
      <c r="G95" s="152">
        <f t="shared" si="31"/>
        <v>19610868.289999999</v>
      </c>
      <c r="H95" s="117">
        <f t="shared" si="30"/>
        <v>0.93412897449278709</v>
      </c>
      <c r="I95" s="152">
        <f t="shared" si="31"/>
        <v>2846611.38</v>
      </c>
      <c r="J95" s="152">
        <f t="shared" si="31"/>
        <v>1003463.07</v>
      </c>
      <c r="K95" s="117">
        <f t="shared" ref="K95:K102" si="32">J95/I95</f>
        <v>0.35251143765187926</v>
      </c>
      <c r="L95" s="86"/>
      <c r="M95" s="86"/>
      <c r="N95" s="152">
        <f t="shared" si="21"/>
        <v>20614331.359999999</v>
      </c>
      <c r="O95" s="19"/>
      <c r="P95" s="28"/>
    </row>
    <row r="96" spans="1:18" ht="184.5" thickTop="1" thickBot="1" x14ac:dyDescent="0.25">
      <c r="A96" s="65" t="s">
        <v>199</v>
      </c>
      <c r="B96" s="65" t="s">
        <v>200</v>
      </c>
      <c r="C96" s="65" t="s">
        <v>67</v>
      </c>
      <c r="D96" s="65" t="s">
        <v>201</v>
      </c>
      <c r="E96" s="151">
        <v>81598495</v>
      </c>
      <c r="F96" s="151">
        <v>15843230</v>
      </c>
      <c r="G96" s="151">
        <v>15092053.539999999</v>
      </c>
      <c r="H96" s="116">
        <f t="shared" si="30"/>
        <v>0.95258691188602318</v>
      </c>
      <c r="I96" s="151">
        <v>2831010.77</v>
      </c>
      <c r="J96" s="151">
        <v>992923.07</v>
      </c>
      <c r="K96" s="116">
        <f t="shared" si="32"/>
        <v>0.35073094052552828</v>
      </c>
      <c r="L96" s="83"/>
      <c r="M96" s="84"/>
      <c r="N96" s="151">
        <f t="shared" si="21"/>
        <v>16084976.609999999</v>
      </c>
      <c r="P96" s="25"/>
    </row>
    <row r="97" spans="1:16" ht="93" thickTop="1" thickBot="1" x14ac:dyDescent="0.25">
      <c r="A97" s="53" t="s">
        <v>202</v>
      </c>
      <c r="B97" s="65" t="s">
        <v>203</v>
      </c>
      <c r="C97" s="65" t="s">
        <v>63</v>
      </c>
      <c r="D97" s="65" t="s">
        <v>204</v>
      </c>
      <c r="E97" s="151">
        <v>20691889</v>
      </c>
      <c r="F97" s="151">
        <v>5150518</v>
      </c>
      <c r="G97" s="151">
        <v>4518814.75</v>
      </c>
      <c r="H97" s="116">
        <f t="shared" si="30"/>
        <v>0.87735151105189813</v>
      </c>
      <c r="I97" s="151">
        <v>15600.61</v>
      </c>
      <c r="J97" s="151">
        <v>10540</v>
      </c>
      <c r="K97" s="116">
        <f t="shared" si="32"/>
        <v>0.67561460737753198</v>
      </c>
      <c r="L97" s="151"/>
      <c r="M97" s="163"/>
      <c r="N97" s="151">
        <f t="shared" si="21"/>
        <v>4529354.75</v>
      </c>
      <c r="P97" s="25"/>
    </row>
    <row r="98" spans="1:16" ht="93" thickTop="1" thickBot="1" x14ac:dyDescent="0.25">
      <c r="A98" s="53"/>
      <c r="B98" s="66" t="s">
        <v>567</v>
      </c>
      <c r="C98" s="66"/>
      <c r="D98" s="66" t="s">
        <v>568</v>
      </c>
      <c r="E98" s="152">
        <f>E99</f>
        <v>35120</v>
      </c>
      <c r="F98" s="152">
        <f>F99</f>
        <v>35120</v>
      </c>
      <c r="G98" s="152">
        <f>G99</f>
        <v>0</v>
      </c>
      <c r="H98" s="117">
        <f>G98/F98</f>
        <v>0</v>
      </c>
      <c r="I98" s="152">
        <f>I99</f>
        <v>0</v>
      </c>
      <c r="J98" s="152">
        <f>J99</f>
        <v>0</v>
      </c>
      <c r="K98" s="117">
        <v>0</v>
      </c>
      <c r="L98" s="152"/>
      <c r="M98" s="152"/>
      <c r="N98" s="152">
        <f t="shared" ref="N98:N99" si="33">G98+J98</f>
        <v>0</v>
      </c>
      <c r="O98" s="194" t="s">
        <v>385</v>
      </c>
      <c r="P98" s="195"/>
    </row>
    <row r="99" spans="1:16" ht="184.5" thickTop="1" thickBot="1" x14ac:dyDescent="0.25">
      <c r="A99" s="53"/>
      <c r="B99" s="65" t="s">
        <v>569</v>
      </c>
      <c r="C99" s="65" t="s">
        <v>126</v>
      </c>
      <c r="D99" s="65" t="s">
        <v>570</v>
      </c>
      <c r="E99" s="151">
        <v>35120</v>
      </c>
      <c r="F99" s="151">
        <v>35120</v>
      </c>
      <c r="G99" s="151">
        <v>0</v>
      </c>
      <c r="H99" s="116">
        <f t="shared" ref="H99" si="34">G99/F99</f>
        <v>0</v>
      </c>
      <c r="I99" s="151"/>
      <c r="J99" s="151"/>
      <c r="K99" s="116"/>
      <c r="L99" s="151"/>
      <c r="M99" s="163"/>
      <c r="N99" s="151">
        <f t="shared" si="33"/>
        <v>0</v>
      </c>
      <c r="P99" s="25"/>
    </row>
    <row r="100" spans="1:16" ht="93" thickTop="1" thickBot="1" x14ac:dyDescent="0.25">
      <c r="A100" s="53"/>
      <c r="B100" s="66" t="s">
        <v>265</v>
      </c>
      <c r="C100" s="66"/>
      <c r="D100" s="66" t="s">
        <v>266</v>
      </c>
      <c r="E100" s="119">
        <f>SUM(E101:E103)</f>
        <v>20880498</v>
      </c>
      <c r="F100" s="119">
        <f>SUM(F101:F103)</f>
        <v>4309648</v>
      </c>
      <c r="G100" s="119">
        <f>SUM(G101:G103)</f>
        <v>4085235</v>
      </c>
      <c r="H100" s="117">
        <f t="shared" si="30"/>
        <v>0.94792776579432936</v>
      </c>
      <c r="I100" s="119">
        <f>SUM(I101:I103)</f>
        <v>56400</v>
      </c>
      <c r="J100" s="119">
        <f>SUM(J101:J103)</f>
        <v>5808.1</v>
      </c>
      <c r="K100" s="117">
        <f t="shared" si="32"/>
        <v>0.10298049645390071</v>
      </c>
      <c r="L100" s="119"/>
      <c r="M100" s="119"/>
      <c r="N100" s="152">
        <f>G100+J100</f>
        <v>4091043.1</v>
      </c>
      <c r="O100" s="45"/>
      <c r="P100" s="25"/>
    </row>
    <row r="101" spans="1:16" ht="276" thickTop="1" thickBot="1" x14ac:dyDescent="0.25">
      <c r="A101" s="53"/>
      <c r="B101" s="65" t="s">
        <v>267</v>
      </c>
      <c r="C101" s="65" t="s">
        <v>126</v>
      </c>
      <c r="D101" s="65" t="s">
        <v>522</v>
      </c>
      <c r="E101" s="120">
        <v>13137580</v>
      </c>
      <c r="F101" s="120">
        <v>2684241</v>
      </c>
      <c r="G101" s="120">
        <v>2614298.5499999998</v>
      </c>
      <c r="H101" s="116">
        <f t="shared" si="30"/>
        <v>0.97394330464365897</v>
      </c>
      <c r="I101" s="120">
        <v>56400</v>
      </c>
      <c r="J101" s="164">
        <v>5808.1</v>
      </c>
      <c r="K101" s="116">
        <f t="shared" si="32"/>
        <v>0.10298049645390071</v>
      </c>
      <c r="L101" s="164"/>
      <c r="M101" s="163"/>
      <c r="N101" s="151">
        <f t="shared" si="21"/>
        <v>2620106.65</v>
      </c>
      <c r="P101" s="25"/>
    </row>
    <row r="102" spans="1:16" ht="276" hidden="1" customHeight="1" thickTop="1" thickBot="1" x14ac:dyDescent="0.25">
      <c r="A102" s="53"/>
      <c r="B102" s="98" t="s">
        <v>405</v>
      </c>
      <c r="C102" s="98" t="s">
        <v>126</v>
      </c>
      <c r="D102" s="98" t="s">
        <v>406</v>
      </c>
      <c r="E102" s="105"/>
      <c r="F102" s="105"/>
      <c r="G102" s="105"/>
      <c r="H102" s="81" t="e">
        <f t="shared" si="30"/>
        <v>#DIV/0!</v>
      </c>
      <c r="I102" s="105"/>
      <c r="J102" s="106"/>
      <c r="K102" s="94" t="e">
        <f t="shared" si="32"/>
        <v>#DIV/0!</v>
      </c>
      <c r="L102" s="106"/>
      <c r="M102" s="99"/>
      <c r="N102" s="93">
        <f t="shared" si="21"/>
        <v>0</v>
      </c>
      <c r="P102" s="25"/>
    </row>
    <row r="103" spans="1:16" ht="174" customHeight="1" thickTop="1" thickBot="1" x14ac:dyDescent="0.25">
      <c r="A103" s="53"/>
      <c r="B103" s="65" t="s">
        <v>405</v>
      </c>
      <c r="C103" s="65" t="s">
        <v>126</v>
      </c>
      <c r="D103" s="65" t="s">
        <v>523</v>
      </c>
      <c r="E103" s="120">
        <v>7742918</v>
      </c>
      <c r="F103" s="120">
        <v>1625407</v>
      </c>
      <c r="G103" s="120">
        <v>1470936.45</v>
      </c>
      <c r="H103" s="116">
        <f t="shared" si="30"/>
        <v>0.90496500261165358</v>
      </c>
      <c r="I103" s="168"/>
      <c r="J103" s="165"/>
      <c r="K103" s="169"/>
      <c r="L103" s="165"/>
      <c r="M103" s="170"/>
      <c r="N103" s="151">
        <f t="shared" si="21"/>
        <v>1470936.45</v>
      </c>
      <c r="P103" s="25"/>
    </row>
    <row r="104" spans="1:16" ht="138.75" thickTop="1" thickBot="1" x14ac:dyDescent="0.25">
      <c r="A104" s="65"/>
      <c r="B104" s="66" t="s">
        <v>268</v>
      </c>
      <c r="C104" s="66"/>
      <c r="D104" s="66" t="s">
        <v>524</v>
      </c>
      <c r="E104" s="121">
        <f t="shared" ref="E104:G104" si="35">SUM(E105:E106)</f>
        <v>18135127</v>
      </c>
      <c r="F104" s="121">
        <f t="shared" si="35"/>
        <v>4566285.18</v>
      </c>
      <c r="G104" s="121">
        <f t="shared" si="35"/>
        <v>4067269.73</v>
      </c>
      <c r="H104" s="117">
        <f t="shared" si="30"/>
        <v>0.8907174146315584</v>
      </c>
      <c r="I104" s="121">
        <f t="shared" ref="I104:J104" si="36">SUM(I105:I106)</f>
        <v>878750.3</v>
      </c>
      <c r="J104" s="121">
        <f t="shared" si="36"/>
        <v>306341.17</v>
      </c>
      <c r="K104" s="117">
        <f t="shared" ref="K104:K106" si="37">J104/I104</f>
        <v>0.34861003176897915</v>
      </c>
      <c r="L104" s="121"/>
      <c r="M104" s="121"/>
      <c r="N104" s="152">
        <f t="shared" si="21"/>
        <v>4373610.9000000004</v>
      </c>
      <c r="P104" s="25"/>
    </row>
    <row r="105" spans="1:16" ht="138.75" thickTop="1" thickBot="1" x14ac:dyDescent="0.25">
      <c r="A105" s="65"/>
      <c r="B105" s="65" t="s">
        <v>269</v>
      </c>
      <c r="C105" s="65" t="s">
        <v>126</v>
      </c>
      <c r="D105" s="65" t="s">
        <v>525</v>
      </c>
      <c r="E105" s="120">
        <v>7493216</v>
      </c>
      <c r="F105" s="120">
        <v>2069751.18</v>
      </c>
      <c r="G105" s="120">
        <v>1834646.58</v>
      </c>
      <c r="H105" s="116">
        <f t="shared" si="30"/>
        <v>0.88640924461267856</v>
      </c>
      <c r="I105" s="120">
        <v>866000</v>
      </c>
      <c r="J105" s="164">
        <v>293590.87</v>
      </c>
      <c r="K105" s="116">
        <f t="shared" si="37"/>
        <v>0.33901948036951501</v>
      </c>
      <c r="L105" s="164"/>
      <c r="M105" s="163"/>
      <c r="N105" s="151">
        <f t="shared" si="21"/>
        <v>2128237.4500000002</v>
      </c>
      <c r="P105" s="25"/>
    </row>
    <row r="106" spans="1:16" ht="138.75" thickTop="1" thickBot="1" x14ac:dyDescent="0.25">
      <c r="A106" s="65"/>
      <c r="B106" s="65" t="s">
        <v>270</v>
      </c>
      <c r="C106" s="65" t="s">
        <v>126</v>
      </c>
      <c r="D106" s="65" t="s">
        <v>526</v>
      </c>
      <c r="E106" s="120">
        <v>10641911</v>
      </c>
      <c r="F106" s="120">
        <v>2496534</v>
      </c>
      <c r="G106" s="120">
        <v>2232623.15</v>
      </c>
      <c r="H106" s="116">
        <f t="shared" si="30"/>
        <v>0.89428910241158344</v>
      </c>
      <c r="I106" s="120">
        <v>12750.3</v>
      </c>
      <c r="J106" s="164">
        <v>12750.3</v>
      </c>
      <c r="K106" s="116">
        <f t="shared" si="37"/>
        <v>1</v>
      </c>
      <c r="L106" s="164"/>
      <c r="M106" s="163"/>
      <c r="N106" s="151">
        <f t="shared" si="21"/>
        <v>2245373.4499999997</v>
      </c>
      <c r="P106" s="25"/>
    </row>
    <row r="107" spans="1:16" ht="230.25" thickTop="1" thickBot="1" x14ac:dyDescent="0.25">
      <c r="A107" s="65"/>
      <c r="B107" s="65" t="s">
        <v>471</v>
      </c>
      <c r="C107" s="65" t="s">
        <v>126</v>
      </c>
      <c r="D107" s="65" t="s">
        <v>472</v>
      </c>
      <c r="E107" s="120">
        <v>715000</v>
      </c>
      <c r="F107" s="120">
        <v>0</v>
      </c>
      <c r="G107" s="120">
        <v>0</v>
      </c>
      <c r="H107" s="116">
        <v>0</v>
      </c>
      <c r="I107" s="158"/>
      <c r="J107" s="151"/>
      <c r="K107" s="151"/>
      <c r="L107" s="164"/>
      <c r="M107" s="163"/>
      <c r="N107" s="151">
        <f t="shared" ref="N107" si="38">G107+J107</f>
        <v>0</v>
      </c>
      <c r="O107" s="194" t="s">
        <v>385</v>
      </c>
      <c r="P107" s="195"/>
    </row>
    <row r="108" spans="1:16" ht="276" thickTop="1" thickBot="1" x14ac:dyDescent="0.25">
      <c r="A108" s="53" t="s">
        <v>205</v>
      </c>
      <c r="B108" s="65" t="s">
        <v>206</v>
      </c>
      <c r="C108" s="65" t="s">
        <v>63</v>
      </c>
      <c r="D108" s="65" t="s">
        <v>527</v>
      </c>
      <c r="E108" s="151">
        <v>11007200</v>
      </c>
      <c r="F108" s="151">
        <v>2761800</v>
      </c>
      <c r="G108" s="151">
        <v>1572097.02</v>
      </c>
      <c r="H108" s="116">
        <f t="shared" si="30"/>
        <v>0.56922913317401691</v>
      </c>
      <c r="I108" s="158"/>
      <c r="J108" s="151"/>
      <c r="K108" s="151"/>
      <c r="L108" s="151"/>
      <c r="M108" s="163"/>
      <c r="N108" s="151">
        <f t="shared" si="21"/>
        <v>1572097.02</v>
      </c>
      <c r="P108" s="27"/>
    </row>
    <row r="109" spans="1:16" ht="93" thickTop="1" thickBot="1" x14ac:dyDescent="0.25">
      <c r="A109" s="66" t="s">
        <v>207</v>
      </c>
      <c r="B109" s="66" t="s">
        <v>208</v>
      </c>
      <c r="C109" s="66"/>
      <c r="D109" s="66" t="s">
        <v>209</v>
      </c>
      <c r="E109" s="152">
        <f>E110</f>
        <v>177006</v>
      </c>
      <c r="F109" s="152">
        <f t="shared" ref="F109:G109" si="39">F110</f>
        <v>88503</v>
      </c>
      <c r="G109" s="152">
        <f t="shared" si="39"/>
        <v>81530.509999999995</v>
      </c>
      <c r="H109" s="117">
        <f t="shared" si="30"/>
        <v>0.92121747285402744</v>
      </c>
      <c r="I109" s="152">
        <f t="shared" ref="I109:J109" si="40">I110</f>
        <v>0</v>
      </c>
      <c r="J109" s="152">
        <f t="shared" si="40"/>
        <v>0</v>
      </c>
      <c r="K109" s="117">
        <v>0</v>
      </c>
      <c r="L109" s="152"/>
      <c r="M109" s="152"/>
      <c r="N109" s="152">
        <f t="shared" si="21"/>
        <v>81530.509999999995</v>
      </c>
      <c r="O109" s="194" t="s">
        <v>385</v>
      </c>
      <c r="P109" s="195"/>
    </row>
    <row r="110" spans="1:16" ht="184.5" thickTop="1" thickBot="1" x14ac:dyDescent="0.25">
      <c r="A110" s="65" t="s">
        <v>210</v>
      </c>
      <c r="B110" s="65" t="s">
        <v>211</v>
      </c>
      <c r="C110" s="65" t="s">
        <v>63</v>
      </c>
      <c r="D110" s="65" t="s">
        <v>212</v>
      </c>
      <c r="E110" s="151">
        <v>177006</v>
      </c>
      <c r="F110" s="151">
        <v>88503</v>
      </c>
      <c r="G110" s="151">
        <v>81530.509999999995</v>
      </c>
      <c r="H110" s="116">
        <f t="shared" si="30"/>
        <v>0.92121747285402744</v>
      </c>
      <c r="I110" s="158"/>
      <c r="J110" s="151"/>
      <c r="K110" s="151"/>
      <c r="L110" s="151"/>
      <c r="M110" s="163"/>
      <c r="N110" s="151">
        <f t="shared" si="21"/>
        <v>81530.509999999995</v>
      </c>
      <c r="P110" s="27"/>
    </row>
    <row r="111" spans="1:16" ht="230.25" thickTop="1" thickBot="1" x14ac:dyDescent="0.25">
      <c r="A111" s="53" t="s">
        <v>213</v>
      </c>
      <c r="B111" s="65" t="s">
        <v>214</v>
      </c>
      <c r="C111" s="65" t="s">
        <v>81</v>
      </c>
      <c r="D111" s="65" t="s">
        <v>215</v>
      </c>
      <c r="E111" s="151">
        <v>6781600</v>
      </c>
      <c r="F111" s="151">
        <v>2250000</v>
      </c>
      <c r="G111" s="151">
        <v>1497664.18</v>
      </c>
      <c r="H111" s="116">
        <f t="shared" si="30"/>
        <v>0.66562852444444442</v>
      </c>
      <c r="I111" s="158"/>
      <c r="J111" s="151"/>
      <c r="K111" s="151"/>
      <c r="L111" s="151"/>
      <c r="M111" s="163"/>
      <c r="N111" s="151">
        <f t="shared" si="21"/>
        <v>1497664.18</v>
      </c>
      <c r="P111" s="27"/>
    </row>
    <row r="112" spans="1:16" s="17" customFormat="1" ht="93" thickTop="1" thickBot="1" x14ac:dyDescent="0.25">
      <c r="A112" s="66" t="s">
        <v>216</v>
      </c>
      <c r="B112" s="66" t="s">
        <v>217</v>
      </c>
      <c r="C112" s="66"/>
      <c r="D112" s="66" t="s">
        <v>528</v>
      </c>
      <c r="E112" s="152">
        <f>SUM(E113:E114)</f>
        <v>9004512</v>
      </c>
      <c r="F112" s="152">
        <f>SUM(F113:F114)</f>
        <v>3326088</v>
      </c>
      <c r="G112" s="152">
        <f>SUM(G113:G114)</f>
        <v>1421459.2</v>
      </c>
      <c r="H112" s="117">
        <f t="shared" si="30"/>
        <v>0.42736668422483109</v>
      </c>
      <c r="I112" s="152">
        <f t="shared" ref="I112:J112" si="41">SUM(I113:I114)</f>
        <v>0</v>
      </c>
      <c r="J112" s="152">
        <f t="shared" si="41"/>
        <v>0</v>
      </c>
      <c r="K112" s="117">
        <v>0</v>
      </c>
      <c r="L112" s="152"/>
      <c r="M112" s="152"/>
      <c r="N112" s="152">
        <f>G112+J112</f>
        <v>1421459.2</v>
      </c>
      <c r="O112" s="194" t="s">
        <v>385</v>
      </c>
      <c r="P112" s="195"/>
    </row>
    <row r="113" spans="1:16" ht="138.75" thickTop="1" thickBot="1" x14ac:dyDescent="0.25">
      <c r="A113" s="65" t="s">
        <v>218</v>
      </c>
      <c r="B113" s="65" t="s">
        <v>219</v>
      </c>
      <c r="C113" s="65" t="s">
        <v>76</v>
      </c>
      <c r="D113" s="65" t="s">
        <v>220</v>
      </c>
      <c r="E113" s="151">
        <v>1500000</v>
      </c>
      <c r="F113" s="151">
        <v>1500000</v>
      </c>
      <c r="G113" s="151">
        <v>0</v>
      </c>
      <c r="H113" s="116">
        <f t="shared" si="30"/>
        <v>0</v>
      </c>
      <c r="I113" s="151"/>
      <c r="J113" s="151"/>
      <c r="K113" s="151"/>
      <c r="L113" s="151"/>
      <c r="M113" s="163"/>
      <c r="N113" s="151">
        <f t="shared" si="21"/>
        <v>0</v>
      </c>
      <c r="P113" s="27"/>
    </row>
    <row r="114" spans="1:16" ht="230.25" thickTop="1" thickBot="1" x14ac:dyDescent="0.25">
      <c r="A114" s="65"/>
      <c r="B114" s="65" t="s">
        <v>555</v>
      </c>
      <c r="C114" s="65" t="s">
        <v>76</v>
      </c>
      <c r="D114" s="65" t="s">
        <v>556</v>
      </c>
      <c r="E114" s="151">
        <v>7504512</v>
      </c>
      <c r="F114" s="151">
        <v>1826088</v>
      </c>
      <c r="G114" s="151">
        <v>1421459.2</v>
      </c>
      <c r="H114" s="116">
        <f t="shared" si="30"/>
        <v>0.77841768852322557</v>
      </c>
      <c r="I114" s="151"/>
      <c r="J114" s="151"/>
      <c r="K114" s="151"/>
      <c r="L114" s="151"/>
      <c r="M114" s="163"/>
      <c r="N114" s="151">
        <f t="shared" si="21"/>
        <v>1421459.2</v>
      </c>
      <c r="P114" s="27"/>
    </row>
    <row r="115" spans="1:16" ht="93" thickTop="1" thickBot="1" x14ac:dyDescent="0.25">
      <c r="A115" s="65" t="s">
        <v>221</v>
      </c>
      <c r="B115" s="65" t="s">
        <v>222</v>
      </c>
      <c r="C115" s="65" t="s">
        <v>223</v>
      </c>
      <c r="D115" s="65" t="s">
        <v>224</v>
      </c>
      <c r="E115" s="151">
        <v>117000</v>
      </c>
      <c r="F115" s="151">
        <v>29250</v>
      </c>
      <c r="G115" s="151">
        <v>0</v>
      </c>
      <c r="H115" s="116">
        <f t="shared" si="30"/>
        <v>0</v>
      </c>
      <c r="I115" s="151"/>
      <c r="J115" s="151"/>
      <c r="K115" s="116"/>
      <c r="L115" s="151"/>
      <c r="M115" s="163"/>
      <c r="N115" s="151">
        <f>G115+J115</f>
        <v>0</v>
      </c>
      <c r="P115" s="27"/>
    </row>
    <row r="116" spans="1:16" ht="183.75" hidden="1" thickTop="1" thickBot="1" x14ac:dyDescent="0.25">
      <c r="A116" s="65"/>
      <c r="B116" s="85" t="s">
        <v>417</v>
      </c>
      <c r="C116" s="85"/>
      <c r="D116" s="66" t="s">
        <v>418</v>
      </c>
      <c r="E116" s="86">
        <f>SUM(E117:E130)</f>
        <v>0</v>
      </c>
      <c r="F116" s="86">
        <f>SUM(F117:F130)</f>
        <v>0</v>
      </c>
      <c r="G116" s="86">
        <f>SUM(G117:G130)</f>
        <v>0</v>
      </c>
      <c r="H116" s="81">
        <v>0</v>
      </c>
      <c r="I116" s="86">
        <f>SUM(I117:I130)</f>
        <v>0</v>
      </c>
      <c r="J116" s="86">
        <f>SUM(J117:J130)</f>
        <v>0</v>
      </c>
      <c r="K116" s="87" t="e">
        <f>J116/I116</f>
        <v>#DIV/0!</v>
      </c>
      <c r="L116" s="83"/>
      <c r="M116" s="84"/>
      <c r="N116" s="86">
        <f>G116+J116</f>
        <v>0</v>
      </c>
      <c r="O116" s="45" t="s">
        <v>385</v>
      </c>
      <c r="P116" s="27"/>
    </row>
    <row r="117" spans="1:16" ht="276" hidden="1" thickTop="1" thickBot="1" x14ac:dyDescent="0.7">
      <c r="A117" s="65"/>
      <c r="B117" s="171" t="s">
        <v>419</v>
      </c>
      <c r="C117" s="171" t="s">
        <v>81</v>
      </c>
      <c r="D117" s="107" t="s">
        <v>420</v>
      </c>
      <c r="E117" s="174"/>
      <c r="F117" s="174"/>
      <c r="G117" s="174"/>
      <c r="H117" s="174"/>
      <c r="I117" s="174"/>
      <c r="J117" s="174"/>
      <c r="K117" s="177" t="e">
        <f>J117/I117</f>
        <v>#DIV/0!</v>
      </c>
      <c r="L117" s="83"/>
      <c r="M117" s="84"/>
      <c r="N117" s="174">
        <f>G117+J117</f>
        <v>0</v>
      </c>
      <c r="P117" s="27"/>
    </row>
    <row r="118" spans="1:16" ht="276" hidden="1" thickTop="1" thickBot="1" x14ac:dyDescent="0.25">
      <c r="A118" s="65"/>
      <c r="B118" s="172"/>
      <c r="C118" s="172"/>
      <c r="D118" s="108" t="s">
        <v>421</v>
      </c>
      <c r="E118" s="175"/>
      <c r="F118" s="175"/>
      <c r="G118" s="175"/>
      <c r="H118" s="175"/>
      <c r="I118" s="175"/>
      <c r="J118" s="175"/>
      <c r="K118" s="178"/>
      <c r="L118" s="83"/>
      <c r="M118" s="84"/>
      <c r="N118" s="175"/>
      <c r="P118" s="27"/>
    </row>
    <row r="119" spans="1:16" ht="230.25" hidden="1" thickTop="1" thickBot="1" x14ac:dyDescent="0.25">
      <c r="A119" s="65"/>
      <c r="B119" s="173"/>
      <c r="C119" s="173"/>
      <c r="D119" s="109" t="s">
        <v>422</v>
      </c>
      <c r="E119" s="176"/>
      <c r="F119" s="176"/>
      <c r="G119" s="176"/>
      <c r="H119" s="176"/>
      <c r="I119" s="176"/>
      <c r="J119" s="176"/>
      <c r="K119" s="179"/>
      <c r="L119" s="83"/>
      <c r="M119" s="84"/>
      <c r="N119" s="176"/>
      <c r="P119" s="27"/>
    </row>
    <row r="120" spans="1:16" ht="276" hidden="1" thickTop="1" thickBot="1" x14ac:dyDescent="0.7">
      <c r="A120" s="65"/>
      <c r="B120" s="171" t="s">
        <v>423</v>
      </c>
      <c r="C120" s="171" t="s">
        <v>81</v>
      </c>
      <c r="D120" s="107" t="s">
        <v>424</v>
      </c>
      <c r="E120" s="174"/>
      <c r="F120" s="174"/>
      <c r="G120" s="174"/>
      <c r="H120" s="174"/>
      <c r="I120" s="174"/>
      <c r="J120" s="174">
        <v>0</v>
      </c>
      <c r="K120" s="177" t="e">
        <f>J120/I120</f>
        <v>#DIV/0!</v>
      </c>
      <c r="L120" s="83"/>
      <c r="M120" s="84"/>
      <c r="N120" s="174">
        <f>G120+J120</f>
        <v>0</v>
      </c>
      <c r="P120" s="27"/>
    </row>
    <row r="121" spans="1:16" ht="321.75" hidden="1" thickTop="1" thickBot="1" x14ac:dyDescent="0.25">
      <c r="A121" s="65"/>
      <c r="B121" s="172"/>
      <c r="C121" s="172"/>
      <c r="D121" s="108" t="s">
        <v>425</v>
      </c>
      <c r="E121" s="175"/>
      <c r="F121" s="175"/>
      <c r="G121" s="175"/>
      <c r="H121" s="175"/>
      <c r="I121" s="175"/>
      <c r="J121" s="175"/>
      <c r="K121" s="178"/>
      <c r="L121" s="83"/>
      <c r="M121" s="84"/>
      <c r="N121" s="175"/>
      <c r="P121" s="27"/>
    </row>
    <row r="122" spans="1:16" ht="276" hidden="1" thickTop="1" thickBot="1" x14ac:dyDescent="0.25">
      <c r="A122" s="65"/>
      <c r="B122" s="172"/>
      <c r="C122" s="172"/>
      <c r="D122" s="108" t="s">
        <v>426</v>
      </c>
      <c r="E122" s="175"/>
      <c r="F122" s="175"/>
      <c r="G122" s="175"/>
      <c r="H122" s="175"/>
      <c r="I122" s="175"/>
      <c r="J122" s="175"/>
      <c r="K122" s="178"/>
      <c r="L122" s="83"/>
      <c r="M122" s="84"/>
      <c r="N122" s="175"/>
      <c r="P122" s="27"/>
    </row>
    <row r="123" spans="1:16" ht="138.75" hidden="1" thickTop="1" thickBot="1" x14ac:dyDescent="0.25">
      <c r="A123" s="65"/>
      <c r="B123" s="173"/>
      <c r="C123" s="173"/>
      <c r="D123" s="109" t="s">
        <v>427</v>
      </c>
      <c r="E123" s="176"/>
      <c r="F123" s="176"/>
      <c r="G123" s="176"/>
      <c r="H123" s="176"/>
      <c r="I123" s="176"/>
      <c r="J123" s="176"/>
      <c r="K123" s="179"/>
      <c r="L123" s="83"/>
      <c r="M123" s="84"/>
      <c r="N123" s="176"/>
      <c r="P123" s="27"/>
    </row>
    <row r="124" spans="1:16" ht="276" hidden="1" thickTop="1" thickBot="1" x14ac:dyDescent="0.7">
      <c r="A124" s="65"/>
      <c r="B124" s="171" t="s">
        <v>428</v>
      </c>
      <c r="C124" s="171" t="s">
        <v>81</v>
      </c>
      <c r="D124" s="107" t="s">
        <v>429</v>
      </c>
      <c r="E124" s="174"/>
      <c r="F124" s="174"/>
      <c r="G124" s="174"/>
      <c r="H124" s="174"/>
      <c r="I124" s="174">
        <v>0</v>
      </c>
      <c r="J124" s="174">
        <v>0</v>
      </c>
      <c r="K124" s="177" t="e">
        <f>J124/I124</f>
        <v>#DIV/0!</v>
      </c>
      <c r="L124" s="83"/>
      <c r="M124" s="84"/>
      <c r="N124" s="174">
        <f>G124+J124</f>
        <v>0</v>
      </c>
      <c r="P124" s="27"/>
    </row>
    <row r="125" spans="1:16" ht="276" hidden="1" thickTop="1" thickBot="1" x14ac:dyDescent="0.25">
      <c r="A125" s="65"/>
      <c r="B125" s="172"/>
      <c r="C125" s="172"/>
      <c r="D125" s="108" t="s">
        <v>430</v>
      </c>
      <c r="E125" s="175"/>
      <c r="F125" s="175"/>
      <c r="G125" s="175"/>
      <c r="H125" s="175"/>
      <c r="I125" s="175"/>
      <c r="J125" s="175"/>
      <c r="K125" s="178"/>
      <c r="L125" s="83"/>
      <c r="M125" s="84"/>
      <c r="N125" s="175"/>
      <c r="P125" s="27"/>
    </row>
    <row r="126" spans="1:16" ht="93" hidden="1" thickTop="1" thickBot="1" x14ac:dyDescent="0.25">
      <c r="A126" s="65"/>
      <c r="B126" s="173"/>
      <c r="C126" s="173"/>
      <c r="D126" s="109" t="s">
        <v>431</v>
      </c>
      <c r="E126" s="176"/>
      <c r="F126" s="176"/>
      <c r="G126" s="176"/>
      <c r="H126" s="176"/>
      <c r="I126" s="176"/>
      <c r="J126" s="176"/>
      <c r="K126" s="179"/>
      <c r="L126" s="83"/>
      <c r="M126" s="84"/>
      <c r="N126" s="176"/>
      <c r="P126" s="27"/>
    </row>
    <row r="127" spans="1:16" ht="276" hidden="1" thickTop="1" thickBot="1" x14ac:dyDescent="0.7">
      <c r="A127" s="65"/>
      <c r="B127" s="171" t="s">
        <v>432</v>
      </c>
      <c r="C127" s="171" t="s">
        <v>81</v>
      </c>
      <c r="D127" s="107" t="s">
        <v>433</v>
      </c>
      <c r="E127" s="174"/>
      <c r="F127" s="174"/>
      <c r="G127" s="174"/>
      <c r="H127" s="174"/>
      <c r="I127" s="174"/>
      <c r="J127" s="174"/>
      <c r="K127" s="177" t="e">
        <f>J127/I127</f>
        <v>#DIV/0!</v>
      </c>
      <c r="L127" s="83"/>
      <c r="M127" s="84"/>
      <c r="N127" s="174">
        <f t="shared" si="21"/>
        <v>0</v>
      </c>
      <c r="P127" s="27"/>
    </row>
    <row r="128" spans="1:16" ht="230.25" hidden="1" thickTop="1" thickBot="1" x14ac:dyDescent="0.25">
      <c r="A128" s="65"/>
      <c r="B128" s="172"/>
      <c r="C128" s="172"/>
      <c r="D128" s="108" t="s">
        <v>434</v>
      </c>
      <c r="E128" s="175"/>
      <c r="F128" s="175"/>
      <c r="G128" s="175"/>
      <c r="H128" s="175"/>
      <c r="I128" s="175"/>
      <c r="J128" s="175"/>
      <c r="K128" s="178"/>
      <c r="L128" s="83"/>
      <c r="M128" s="84"/>
      <c r="N128" s="175"/>
      <c r="P128" s="27"/>
    </row>
    <row r="129" spans="1:19" ht="48" hidden="1" thickTop="1" thickBot="1" x14ac:dyDescent="0.25">
      <c r="A129" s="65"/>
      <c r="B129" s="173"/>
      <c r="C129" s="173"/>
      <c r="D129" s="109" t="s">
        <v>435</v>
      </c>
      <c r="E129" s="176"/>
      <c r="F129" s="176"/>
      <c r="G129" s="176"/>
      <c r="H129" s="176"/>
      <c r="I129" s="176"/>
      <c r="J129" s="176"/>
      <c r="K129" s="179"/>
      <c r="L129" s="83"/>
      <c r="M129" s="84"/>
      <c r="N129" s="176"/>
      <c r="P129" s="27"/>
    </row>
    <row r="130" spans="1:19" ht="409.6" hidden="1" thickTop="1" thickBot="1" x14ac:dyDescent="0.25">
      <c r="A130" s="65"/>
      <c r="B130" s="171" t="s">
        <v>586</v>
      </c>
      <c r="C130" s="171" t="s">
        <v>81</v>
      </c>
      <c r="D130" s="138" t="s">
        <v>587</v>
      </c>
      <c r="E130" s="174"/>
      <c r="F130" s="174"/>
      <c r="G130" s="174"/>
      <c r="H130" s="174"/>
      <c r="I130" s="174"/>
      <c r="J130" s="174"/>
      <c r="K130" s="177" t="e">
        <f t="shared" ref="K130" si="42">J130/I130</f>
        <v>#DIV/0!</v>
      </c>
      <c r="L130" s="83"/>
      <c r="M130" s="84"/>
      <c r="N130" s="174">
        <f t="shared" ref="N130" si="43">G130+J130</f>
        <v>0</v>
      </c>
      <c r="P130" s="27"/>
    </row>
    <row r="131" spans="1:19" ht="409.6" hidden="1" thickTop="1" thickBot="1" x14ac:dyDescent="0.25">
      <c r="A131" s="65"/>
      <c r="B131" s="172"/>
      <c r="C131" s="172"/>
      <c r="D131" s="139" t="s">
        <v>589</v>
      </c>
      <c r="E131" s="175"/>
      <c r="F131" s="175"/>
      <c r="G131" s="175"/>
      <c r="H131" s="175"/>
      <c r="I131" s="175"/>
      <c r="J131" s="175"/>
      <c r="K131" s="178"/>
      <c r="L131" s="83"/>
      <c r="M131" s="84"/>
      <c r="N131" s="175"/>
      <c r="P131" s="27"/>
    </row>
    <row r="132" spans="1:19" ht="93" hidden="1" thickTop="1" thickBot="1" x14ac:dyDescent="0.25">
      <c r="A132" s="65"/>
      <c r="B132" s="173"/>
      <c r="C132" s="173"/>
      <c r="D132" s="140" t="s">
        <v>588</v>
      </c>
      <c r="E132" s="176"/>
      <c r="F132" s="176"/>
      <c r="G132" s="176"/>
      <c r="H132" s="176"/>
      <c r="I132" s="176"/>
      <c r="J132" s="176"/>
      <c r="K132" s="179"/>
      <c r="L132" s="83"/>
      <c r="M132" s="84"/>
      <c r="N132" s="176"/>
      <c r="P132" s="27"/>
    </row>
    <row r="133" spans="1:19" ht="138.75" thickTop="1" thickBot="1" x14ac:dyDescent="0.25">
      <c r="A133" s="65"/>
      <c r="B133" s="65" t="s">
        <v>463</v>
      </c>
      <c r="C133" s="141" t="s">
        <v>85</v>
      </c>
      <c r="D133" s="141" t="s">
        <v>473</v>
      </c>
      <c r="E133" s="155">
        <v>5944950</v>
      </c>
      <c r="F133" s="155">
        <v>2824410</v>
      </c>
      <c r="G133" s="155">
        <v>120950</v>
      </c>
      <c r="H133" s="116">
        <f t="shared" si="30"/>
        <v>4.2823102878123222E-2</v>
      </c>
      <c r="I133" s="155">
        <v>224528.8</v>
      </c>
      <c r="J133" s="155">
        <v>101804</v>
      </c>
      <c r="K133" s="116">
        <f t="shared" ref="K133" si="44">J133/I133</f>
        <v>0.45341176722095344</v>
      </c>
      <c r="L133" s="151"/>
      <c r="M133" s="163"/>
      <c r="N133" s="151">
        <f t="shared" si="21"/>
        <v>222754</v>
      </c>
      <c r="P133" s="27"/>
    </row>
    <row r="134" spans="1:19" s="17" customFormat="1" ht="93" thickTop="1" thickBot="1" x14ac:dyDescent="0.25">
      <c r="A134" s="66" t="s">
        <v>225</v>
      </c>
      <c r="B134" s="66" t="s">
        <v>226</v>
      </c>
      <c r="C134" s="66"/>
      <c r="D134" s="66" t="s">
        <v>529</v>
      </c>
      <c r="E134" s="152">
        <f>SUM(E135:E137)</f>
        <v>267038311.43000001</v>
      </c>
      <c r="F134" s="152">
        <f>SUM(F135:F137)</f>
        <v>107979356.98999999</v>
      </c>
      <c r="G134" s="152">
        <f>SUM(G135:G137)</f>
        <v>74900630.090000004</v>
      </c>
      <c r="H134" s="117">
        <f t="shared" si="30"/>
        <v>0.6936569375657291</v>
      </c>
      <c r="I134" s="152">
        <f>SUM(I135:I137)</f>
        <v>21009846.690000001</v>
      </c>
      <c r="J134" s="152">
        <f>SUM(J135:J137)</f>
        <v>6897368.8300000001</v>
      </c>
      <c r="K134" s="117">
        <f t="shared" ref="K134:K138" si="45">J134/I134</f>
        <v>0.32829220183138802</v>
      </c>
      <c r="L134" s="152"/>
      <c r="M134" s="152"/>
      <c r="N134" s="152">
        <f t="shared" si="21"/>
        <v>81797998.920000002</v>
      </c>
      <c r="O134" s="19"/>
      <c r="P134" s="28"/>
    </row>
    <row r="135" spans="1:19" ht="138.75" thickTop="1" thickBot="1" x14ac:dyDescent="0.25">
      <c r="A135" s="65" t="s">
        <v>227</v>
      </c>
      <c r="B135" s="65" t="s">
        <v>228</v>
      </c>
      <c r="C135" s="65" t="s">
        <v>89</v>
      </c>
      <c r="D135" s="118" t="s">
        <v>530</v>
      </c>
      <c r="E135" s="151">
        <v>59103191.43</v>
      </c>
      <c r="F135" s="151">
        <v>19502420.989999998</v>
      </c>
      <c r="G135" s="120">
        <v>11358911.060000001</v>
      </c>
      <c r="H135" s="116">
        <f t="shared" si="30"/>
        <v>0.582435948122767</v>
      </c>
      <c r="I135" s="151">
        <v>18893699.140000001</v>
      </c>
      <c r="J135" s="151">
        <v>6081206.2800000003</v>
      </c>
      <c r="K135" s="116">
        <f t="shared" si="45"/>
        <v>0.32186424876034098</v>
      </c>
      <c r="L135" s="151"/>
      <c r="M135" s="163"/>
      <c r="N135" s="151">
        <f t="shared" si="21"/>
        <v>17440117.34</v>
      </c>
      <c r="P135" s="25"/>
    </row>
    <row r="136" spans="1:19" ht="93" thickTop="1" thickBot="1" x14ac:dyDescent="0.25">
      <c r="A136" s="53" t="s">
        <v>229</v>
      </c>
      <c r="B136" s="65" t="s">
        <v>230</v>
      </c>
      <c r="C136" s="65" t="s">
        <v>89</v>
      </c>
      <c r="D136" s="118" t="s">
        <v>606</v>
      </c>
      <c r="E136" s="151">
        <v>207935120</v>
      </c>
      <c r="F136" s="151">
        <v>88476936</v>
      </c>
      <c r="G136" s="151">
        <v>63541719.030000001</v>
      </c>
      <c r="H136" s="116">
        <f t="shared" si="30"/>
        <v>0.71817268886888219</v>
      </c>
      <c r="I136" s="151">
        <v>816162.55</v>
      </c>
      <c r="J136" s="151">
        <v>816162.55</v>
      </c>
      <c r="K136" s="116">
        <f t="shared" si="45"/>
        <v>1</v>
      </c>
      <c r="L136" s="151"/>
      <c r="M136" s="163"/>
      <c r="N136" s="151">
        <f t="shared" si="21"/>
        <v>64357881.579999998</v>
      </c>
      <c r="P136" s="25"/>
    </row>
    <row r="137" spans="1:19" ht="138.75" thickTop="1" thickBot="1" x14ac:dyDescent="0.25">
      <c r="A137" s="53"/>
      <c r="B137" s="65" t="s">
        <v>590</v>
      </c>
      <c r="C137" s="65" t="s">
        <v>126</v>
      </c>
      <c r="D137" s="118" t="s">
        <v>607</v>
      </c>
      <c r="E137" s="151"/>
      <c r="F137" s="151"/>
      <c r="G137" s="151"/>
      <c r="H137" s="116"/>
      <c r="I137" s="151">
        <f>799985+500000</f>
        <v>1299985</v>
      </c>
      <c r="J137" s="151">
        <v>0</v>
      </c>
      <c r="K137" s="116">
        <f t="shared" ref="K137" si="46">J137/I137</f>
        <v>0</v>
      </c>
      <c r="L137" s="151"/>
      <c r="M137" s="163"/>
      <c r="N137" s="151">
        <f t="shared" ref="N137" si="47">G137+J137</f>
        <v>0</v>
      </c>
      <c r="P137" s="25"/>
    </row>
    <row r="138" spans="1:19" ht="184.5" thickTop="1" thickBot="1" x14ac:dyDescent="0.25">
      <c r="A138" s="53"/>
      <c r="B138" s="65" t="s">
        <v>557</v>
      </c>
      <c r="C138" s="65" t="s">
        <v>89</v>
      </c>
      <c r="D138" s="65" t="s">
        <v>608</v>
      </c>
      <c r="E138" s="151"/>
      <c r="F138" s="151"/>
      <c r="G138" s="151"/>
      <c r="H138" s="116"/>
      <c r="I138" s="151">
        <f>51000000+40243554.63</f>
        <v>91243554.629999995</v>
      </c>
      <c r="J138" s="151">
        <v>30578784.629999999</v>
      </c>
      <c r="K138" s="116">
        <f t="shared" si="45"/>
        <v>0.3351336404417764</v>
      </c>
      <c r="L138" s="151"/>
      <c r="M138" s="163"/>
      <c r="N138" s="151">
        <f t="shared" si="21"/>
        <v>30578784.629999999</v>
      </c>
      <c r="P138" s="25"/>
    </row>
    <row r="139" spans="1:19" s="11" customFormat="1" ht="92.25" customHeight="1" thickTop="1" thickBot="1" x14ac:dyDescent="0.25">
      <c r="A139" s="52" t="s">
        <v>239</v>
      </c>
      <c r="B139" s="145" t="s">
        <v>240</v>
      </c>
      <c r="C139" s="145"/>
      <c r="D139" s="146" t="s">
        <v>241</v>
      </c>
      <c r="E139" s="147">
        <f>SUM(E140:E149)-E145</f>
        <v>95653325</v>
      </c>
      <c r="F139" s="147">
        <f>SUM(F140:F149)-F145</f>
        <v>22596759</v>
      </c>
      <c r="G139" s="147">
        <f>SUM(G140:G149)-G145</f>
        <v>19497378.09</v>
      </c>
      <c r="H139" s="148">
        <f>G139/F139</f>
        <v>0.86283958199492239</v>
      </c>
      <c r="I139" s="147">
        <f>SUM(I140:I149)-I145</f>
        <v>4340846</v>
      </c>
      <c r="J139" s="147">
        <f>SUM(J140:J149)-J145</f>
        <v>296134.87</v>
      </c>
      <c r="K139" s="149">
        <f>J139/I139</f>
        <v>6.8220542723699484E-2</v>
      </c>
      <c r="L139" s="147"/>
      <c r="M139" s="147"/>
      <c r="N139" s="150">
        <f>J139+G139</f>
        <v>19793512.960000001</v>
      </c>
      <c r="O139" s="48" t="b">
        <f>N139=N141+N142+N143+N146+N147+N148</f>
        <v>1</v>
      </c>
      <c r="P139" s="27"/>
      <c r="S139" s="60">
        <f>N139/(I139+E139)*100</f>
        <v>19.794666791127256</v>
      </c>
    </row>
    <row r="140" spans="1:19" ht="93" hidden="1" thickTop="1" thickBot="1" x14ac:dyDescent="0.25">
      <c r="A140" s="53" t="s">
        <v>242</v>
      </c>
      <c r="B140" s="74" t="s">
        <v>243</v>
      </c>
      <c r="C140" s="74" t="s">
        <v>244</v>
      </c>
      <c r="D140" s="74" t="s">
        <v>245</v>
      </c>
      <c r="E140" s="75">
        <v>0</v>
      </c>
      <c r="F140" s="75">
        <v>0</v>
      </c>
      <c r="G140" s="75">
        <v>0</v>
      </c>
      <c r="H140" s="73" t="e">
        <f>G140/F140</f>
        <v>#DIV/0!</v>
      </c>
      <c r="I140" s="75"/>
      <c r="J140" s="75"/>
      <c r="K140" s="75"/>
      <c r="L140" s="75"/>
      <c r="M140" s="76"/>
      <c r="N140" s="75">
        <f t="shared" ref="N140:N165" si="48">G140+J140</f>
        <v>0</v>
      </c>
      <c r="P140" s="27"/>
    </row>
    <row r="141" spans="1:19" ht="93" thickTop="1" thickBot="1" x14ac:dyDescent="0.25">
      <c r="A141" s="53" t="s">
        <v>246</v>
      </c>
      <c r="B141" s="65" t="s">
        <v>247</v>
      </c>
      <c r="C141" s="65" t="s">
        <v>248</v>
      </c>
      <c r="D141" s="65" t="s">
        <v>249</v>
      </c>
      <c r="E141" s="151">
        <v>23086769</v>
      </c>
      <c r="F141" s="151">
        <v>5966523</v>
      </c>
      <c r="G141" s="151">
        <v>4875098.9400000004</v>
      </c>
      <c r="H141" s="116">
        <f t="shared" ref="H141:H143" si="49">G141/F141</f>
        <v>0.81707536198217967</v>
      </c>
      <c r="I141" s="151">
        <v>262400</v>
      </c>
      <c r="J141" s="151">
        <v>38620.9</v>
      </c>
      <c r="K141" s="116">
        <f t="shared" ref="K141:K146" si="50">J141/I141</f>
        <v>0.14718330792682927</v>
      </c>
      <c r="L141" s="151"/>
      <c r="M141" s="163"/>
      <c r="N141" s="151">
        <f t="shared" si="48"/>
        <v>4913719.8400000008</v>
      </c>
      <c r="P141" s="25"/>
    </row>
    <row r="142" spans="1:19" ht="93" thickTop="1" thickBot="1" x14ac:dyDescent="0.25">
      <c r="A142" s="53" t="s">
        <v>250</v>
      </c>
      <c r="B142" s="65" t="s">
        <v>251</v>
      </c>
      <c r="C142" s="65" t="s">
        <v>248</v>
      </c>
      <c r="D142" s="65" t="s">
        <v>531</v>
      </c>
      <c r="E142" s="151">
        <v>3533180</v>
      </c>
      <c r="F142" s="151">
        <v>962076</v>
      </c>
      <c r="G142" s="151">
        <v>773183.81</v>
      </c>
      <c r="H142" s="116">
        <f t="shared" si="49"/>
        <v>0.80366188326078192</v>
      </c>
      <c r="I142" s="151">
        <v>165000</v>
      </c>
      <c r="J142" s="151">
        <v>11496</v>
      </c>
      <c r="K142" s="116">
        <f t="shared" si="50"/>
        <v>6.9672727272727275E-2</v>
      </c>
      <c r="L142" s="151"/>
      <c r="M142" s="163"/>
      <c r="N142" s="151">
        <f t="shared" si="48"/>
        <v>784679.81</v>
      </c>
      <c r="P142" s="25"/>
    </row>
    <row r="143" spans="1:19" ht="138.75" thickTop="1" thickBot="1" x14ac:dyDescent="0.25">
      <c r="A143" s="53" t="s">
        <v>252</v>
      </c>
      <c r="B143" s="65" t="s">
        <v>253</v>
      </c>
      <c r="C143" s="65" t="s">
        <v>254</v>
      </c>
      <c r="D143" s="65" t="s">
        <v>532</v>
      </c>
      <c r="E143" s="151">
        <v>27750862</v>
      </c>
      <c r="F143" s="151">
        <v>6662946</v>
      </c>
      <c r="G143" s="151">
        <v>5650057.9100000001</v>
      </c>
      <c r="H143" s="116">
        <f t="shared" si="49"/>
        <v>0.84798194522362935</v>
      </c>
      <c r="I143" s="151">
        <v>764900</v>
      </c>
      <c r="J143" s="151">
        <v>85628.42</v>
      </c>
      <c r="K143" s="116">
        <f t="shared" si="50"/>
        <v>0.11194720878546215</v>
      </c>
      <c r="L143" s="151"/>
      <c r="M143" s="163"/>
      <c r="N143" s="151">
        <f t="shared" si="48"/>
        <v>5735686.3300000001</v>
      </c>
      <c r="P143" s="25"/>
    </row>
    <row r="144" spans="1:19" ht="48" hidden="1" thickTop="1" thickBot="1" x14ac:dyDescent="0.25">
      <c r="A144" s="53"/>
      <c r="B144" s="82" t="s">
        <v>464</v>
      </c>
      <c r="C144" s="82" t="s">
        <v>465</v>
      </c>
      <c r="D144" s="82" t="s">
        <v>466</v>
      </c>
      <c r="E144" s="83">
        <v>0</v>
      </c>
      <c r="F144" s="83">
        <v>0</v>
      </c>
      <c r="G144" s="83">
        <v>0</v>
      </c>
      <c r="H144" s="81" t="e">
        <f>G144/F144</f>
        <v>#DIV/0!</v>
      </c>
      <c r="I144" s="83"/>
      <c r="J144" s="83"/>
      <c r="K144" s="81"/>
      <c r="L144" s="83"/>
      <c r="M144" s="84"/>
      <c r="N144" s="83">
        <f t="shared" si="48"/>
        <v>0</v>
      </c>
      <c r="P144" s="25"/>
    </row>
    <row r="145" spans="1:19" ht="93" thickTop="1" thickBot="1" x14ac:dyDescent="0.25">
      <c r="A145" s="66" t="s">
        <v>255</v>
      </c>
      <c r="B145" s="66" t="s">
        <v>256</v>
      </c>
      <c r="C145" s="66"/>
      <c r="D145" s="66" t="s">
        <v>257</v>
      </c>
      <c r="E145" s="152">
        <f>SUM(E146:E149)</f>
        <v>41282514</v>
      </c>
      <c r="F145" s="152">
        <f>SUM(F146:F149)</f>
        <v>9005214</v>
      </c>
      <c r="G145" s="152">
        <f>SUM(G146:G149)</f>
        <v>8199037.4300000006</v>
      </c>
      <c r="H145" s="117">
        <f>G145/F145</f>
        <v>0.91047668939350035</v>
      </c>
      <c r="I145" s="152">
        <f>SUM(I146:I149)</f>
        <v>3148546</v>
      </c>
      <c r="J145" s="152">
        <f>SUM(J146:J149)</f>
        <v>160389.54999999999</v>
      </c>
      <c r="K145" s="117">
        <f t="shared" si="50"/>
        <v>5.094083110108602E-2</v>
      </c>
      <c r="L145" s="152"/>
      <c r="M145" s="152"/>
      <c r="N145" s="152">
        <f t="shared" si="48"/>
        <v>8359426.9800000004</v>
      </c>
      <c r="P145" s="25"/>
    </row>
    <row r="146" spans="1:19" ht="93" thickTop="1" thickBot="1" x14ac:dyDescent="0.25">
      <c r="A146" s="65" t="s">
        <v>258</v>
      </c>
      <c r="B146" s="65" t="s">
        <v>259</v>
      </c>
      <c r="C146" s="65" t="s">
        <v>260</v>
      </c>
      <c r="D146" s="65" t="s">
        <v>261</v>
      </c>
      <c r="E146" s="151">
        <v>35726166</v>
      </c>
      <c r="F146" s="151">
        <v>8099627</v>
      </c>
      <c r="G146" s="151">
        <v>7650118.1100000003</v>
      </c>
      <c r="H146" s="116">
        <f t="shared" ref="H146:H147" si="51">G146/F146</f>
        <v>0.94450251968393117</v>
      </c>
      <c r="I146" s="151">
        <v>312250</v>
      </c>
      <c r="J146" s="151">
        <v>160389.54999999999</v>
      </c>
      <c r="K146" s="116">
        <f t="shared" si="50"/>
        <v>0.51365748598879102</v>
      </c>
      <c r="L146" s="151"/>
      <c r="M146" s="163"/>
      <c r="N146" s="151">
        <f t="shared" si="48"/>
        <v>7810507.6600000001</v>
      </c>
      <c r="P146" s="27"/>
    </row>
    <row r="147" spans="1:19" ht="93" thickTop="1" thickBot="1" x14ac:dyDescent="0.25">
      <c r="A147" s="65" t="s">
        <v>262</v>
      </c>
      <c r="B147" s="65" t="s">
        <v>263</v>
      </c>
      <c r="C147" s="65" t="s">
        <v>260</v>
      </c>
      <c r="D147" s="65" t="s">
        <v>264</v>
      </c>
      <c r="E147" s="151">
        <v>5556348</v>
      </c>
      <c r="F147" s="151">
        <v>905587</v>
      </c>
      <c r="G147" s="151">
        <v>548919.31999999995</v>
      </c>
      <c r="H147" s="116">
        <f t="shared" si="51"/>
        <v>0.60614752641104608</v>
      </c>
      <c r="I147" s="151"/>
      <c r="J147" s="151"/>
      <c r="K147" s="116"/>
      <c r="L147" s="151"/>
      <c r="M147" s="163"/>
      <c r="N147" s="151">
        <f t="shared" si="48"/>
        <v>548919.31999999995</v>
      </c>
      <c r="P147" s="27"/>
    </row>
    <row r="148" spans="1:19" ht="184.5" thickTop="1" thickBot="1" x14ac:dyDescent="0.25">
      <c r="A148" s="65"/>
      <c r="B148" s="65" t="s">
        <v>621</v>
      </c>
      <c r="C148" s="65" t="s">
        <v>260</v>
      </c>
      <c r="D148" s="65" t="s">
        <v>620</v>
      </c>
      <c r="E148" s="151"/>
      <c r="F148" s="151"/>
      <c r="G148" s="151"/>
      <c r="H148" s="116"/>
      <c r="I148" s="151">
        <v>2836296</v>
      </c>
      <c r="J148" s="151">
        <v>0</v>
      </c>
      <c r="K148" s="116">
        <f t="shared" ref="K148" si="52">J148/I148</f>
        <v>0</v>
      </c>
      <c r="L148" s="151"/>
      <c r="M148" s="163"/>
      <c r="N148" s="151">
        <f t="shared" ref="N148" si="53">G148+J148</f>
        <v>0</v>
      </c>
      <c r="P148" s="27"/>
    </row>
    <row r="149" spans="1:19" ht="93" hidden="1" thickTop="1" thickBot="1" x14ac:dyDescent="0.25">
      <c r="A149" s="65"/>
      <c r="B149" s="82" t="s">
        <v>558</v>
      </c>
      <c r="C149" s="82" t="s">
        <v>260</v>
      </c>
      <c r="D149" s="65" t="s">
        <v>559</v>
      </c>
      <c r="E149" s="83"/>
      <c r="F149" s="83"/>
      <c r="G149" s="83"/>
      <c r="H149" s="81"/>
      <c r="I149" s="83"/>
      <c r="J149" s="83"/>
      <c r="K149" s="81" t="e">
        <f t="shared" ref="K149" si="54">J149/I149</f>
        <v>#DIV/0!</v>
      </c>
      <c r="L149" s="83"/>
      <c r="M149" s="84"/>
      <c r="N149" s="83">
        <f t="shared" ref="N149" si="55">G149+J149</f>
        <v>0</v>
      </c>
      <c r="P149" s="27"/>
    </row>
    <row r="150" spans="1:19" ht="77.25" customHeight="1" thickTop="1" thickBot="1" x14ac:dyDescent="0.25">
      <c r="A150" s="52" t="s">
        <v>271</v>
      </c>
      <c r="B150" s="145" t="s">
        <v>272</v>
      </c>
      <c r="C150" s="145"/>
      <c r="D150" s="146" t="s">
        <v>273</v>
      </c>
      <c r="E150" s="147">
        <f>SUM(E151:E166)-E151-E154-E156-E162-E159</f>
        <v>144529941.68000001</v>
      </c>
      <c r="F150" s="147">
        <f>SUM(F151:F166)-F151-F154-F156-F162-F159</f>
        <v>34156626</v>
      </c>
      <c r="G150" s="147">
        <f>SUM(G151:G166)-G151-G154-G156-G162-G159</f>
        <v>30185808.839999996</v>
      </c>
      <c r="H150" s="148">
        <f>G150/F150</f>
        <v>0.88374679747349738</v>
      </c>
      <c r="I150" s="147">
        <f>SUM(I151:I166)-I151-I154-I156-I162-I159</f>
        <v>5469866.04</v>
      </c>
      <c r="J150" s="147">
        <f>SUM(J151:J166)-J151-J154-J156-J162-J159</f>
        <v>646553.34</v>
      </c>
      <c r="K150" s="149">
        <f>J150/I150</f>
        <v>0.11820277412132016</v>
      </c>
      <c r="L150" s="147"/>
      <c r="M150" s="147"/>
      <c r="N150" s="150">
        <f>J150+G150</f>
        <v>30832362.179999996</v>
      </c>
      <c r="O150" s="48" t="b">
        <f>N150=N152+N153+N155+N157+N158+N163+N164+N165+N166</f>
        <v>1</v>
      </c>
      <c r="P150" s="25"/>
      <c r="S150" s="60">
        <f>N150/(I150+E150)*100</f>
        <v>20.554934468685328</v>
      </c>
    </row>
    <row r="151" spans="1:19" s="17" customFormat="1" ht="93" thickTop="1" thickBot="1" x14ac:dyDescent="0.25">
      <c r="A151" s="54" t="s">
        <v>274</v>
      </c>
      <c r="B151" s="66" t="s">
        <v>275</v>
      </c>
      <c r="C151" s="66"/>
      <c r="D151" s="66" t="s">
        <v>276</v>
      </c>
      <c r="E151" s="121">
        <f t="shared" ref="E151:J151" si="56">SUM(E152:E153)</f>
        <v>49630289.619999997</v>
      </c>
      <c r="F151" s="121">
        <f t="shared" si="56"/>
        <v>10654677</v>
      </c>
      <c r="G151" s="121">
        <f t="shared" si="56"/>
        <v>9463711.3200000003</v>
      </c>
      <c r="H151" s="117">
        <f>G151/F151</f>
        <v>0.8882213247759646</v>
      </c>
      <c r="I151" s="121">
        <f t="shared" si="56"/>
        <v>0</v>
      </c>
      <c r="J151" s="121">
        <f t="shared" si="56"/>
        <v>0</v>
      </c>
      <c r="K151" s="117">
        <v>0</v>
      </c>
      <c r="L151" s="121"/>
      <c r="M151" s="121"/>
      <c r="N151" s="199">
        <f t="shared" si="48"/>
        <v>9463711.3200000003</v>
      </c>
      <c r="O151" s="194" t="s">
        <v>385</v>
      </c>
      <c r="P151" s="195"/>
    </row>
    <row r="152" spans="1:19" s="31" customFormat="1" ht="93" thickTop="1" thickBot="1" x14ac:dyDescent="0.25">
      <c r="A152" s="53" t="s">
        <v>277</v>
      </c>
      <c r="B152" s="65" t="s">
        <v>278</v>
      </c>
      <c r="C152" s="65" t="s">
        <v>279</v>
      </c>
      <c r="D152" s="65" t="s">
        <v>280</v>
      </c>
      <c r="E152" s="120">
        <v>44327495</v>
      </c>
      <c r="F152" s="120">
        <v>9520200</v>
      </c>
      <c r="G152" s="151">
        <v>8467143.3200000003</v>
      </c>
      <c r="H152" s="116">
        <f t="shared" ref="H152:H165" si="57">G152/F152</f>
        <v>0.88938712632087569</v>
      </c>
      <c r="I152" s="198"/>
      <c r="J152" s="198"/>
      <c r="K152" s="198"/>
      <c r="L152" s="198"/>
      <c r="M152" s="200"/>
      <c r="N152" s="198">
        <f t="shared" si="48"/>
        <v>8467143.3200000003</v>
      </c>
      <c r="O152" s="29"/>
      <c r="P152" s="30"/>
    </row>
    <row r="153" spans="1:19" s="31" customFormat="1" ht="93" thickTop="1" thickBot="1" x14ac:dyDescent="0.25">
      <c r="A153" s="53" t="s">
        <v>281</v>
      </c>
      <c r="B153" s="65" t="s">
        <v>282</v>
      </c>
      <c r="C153" s="65" t="s">
        <v>279</v>
      </c>
      <c r="D153" s="65" t="s">
        <v>283</v>
      </c>
      <c r="E153" s="120">
        <v>5302794.62</v>
      </c>
      <c r="F153" s="120">
        <v>1134477</v>
      </c>
      <c r="G153" s="151">
        <v>996568</v>
      </c>
      <c r="H153" s="116">
        <f t="shared" si="57"/>
        <v>0.87843825833401645</v>
      </c>
      <c r="I153" s="198"/>
      <c r="J153" s="198"/>
      <c r="K153" s="198"/>
      <c r="L153" s="198"/>
      <c r="M153" s="200"/>
      <c r="N153" s="198">
        <f t="shared" si="48"/>
        <v>996568</v>
      </c>
      <c r="O153" s="29"/>
      <c r="P153" s="30"/>
    </row>
    <row r="154" spans="1:19" s="17" customFormat="1" ht="93" thickTop="1" thickBot="1" x14ac:dyDescent="0.25">
      <c r="A154" s="54" t="s">
        <v>284</v>
      </c>
      <c r="B154" s="66" t="s">
        <v>285</v>
      </c>
      <c r="C154" s="66"/>
      <c r="D154" s="66" t="s">
        <v>286</v>
      </c>
      <c r="E154" s="121">
        <f t="shared" ref="E154:J154" si="58">E155</f>
        <v>781464</v>
      </c>
      <c r="F154" s="121">
        <f t="shared" si="58"/>
        <v>231464</v>
      </c>
      <c r="G154" s="121">
        <f t="shared" si="58"/>
        <v>114428</v>
      </c>
      <c r="H154" s="117">
        <f>G154/F154</f>
        <v>0.49436629454256387</v>
      </c>
      <c r="I154" s="121">
        <f>I155</f>
        <v>0</v>
      </c>
      <c r="J154" s="121">
        <f t="shared" si="58"/>
        <v>0</v>
      </c>
      <c r="K154" s="117">
        <v>0</v>
      </c>
      <c r="L154" s="121"/>
      <c r="M154" s="121"/>
      <c r="N154" s="199">
        <f t="shared" si="48"/>
        <v>114428</v>
      </c>
      <c r="O154" s="194" t="s">
        <v>385</v>
      </c>
      <c r="P154" s="195"/>
    </row>
    <row r="155" spans="1:19" s="31" customFormat="1" ht="93" thickTop="1" thickBot="1" x14ac:dyDescent="0.25">
      <c r="A155" s="53" t="s">
        <v>287</v>
      </c>
      <c r="B155" s="65" t="s">
        <v>288</v>
      </c>
      <c r="C155" s="65" t="s">
        <v>279</v>
      </c>
      <c r="D155" s="65" t="s">
        <v>533</v>
      </c>
      <c r="E155" s="120">
        <v>781464</v>
      </c>
      <c r="F155" s="120">
        <v>231464</v>
      </c>
      <c r="G155" s="120">
        <v>114428</v>
      </c>
      <c r="H155" s="116">
        <f t="shared" si="57"/>
        <v>0.49436629454256387</v>
      </c>
      <c r="I155" s="198"/>
      <c r="J155" s="120"/>
      <c r="K155" s="120"/>
      <c r="L155" s="103"/>
      <c r="M155" s="84"/>
      <c r="N155" s="198">
        <f t="shared" si="48"/>
        <v>114428</v>
      </c>
      <c r="O155" s="45"/>
      <c r="P155" s="30"/>
    </row>
    <row r="156" spans="1:19" ht="93" thickTop="1" thickBot="1" x14ac:dyDescent="0.25">
      <c r="A156" s="66" t="s">
        <v>289</v>
      </c>
      <c r="B156" s="66" t="s">
        <v>290</v>
      </c>
      <c r="C156" s="66"/>
      <c r="D156" s="66" t="s">
        <v>291</v>
      </c>
      <c r="E156" s="121">
        <f t="shared" ref="E156:J156" si="59">SUM(E157:E158)</f>
        <v>82473459</v>
      </c>
      <c r="F156" s="121">
        <f t="shared" si="59"/>
        <v>20377553</v>
      </c>
      <c r="G156" s="121">
        <f t="shared" si="59"/>
        <v>18479863.760000002</v>
      </c>
      <c r="H156" s="117">
        <f t="shared" si="57"/>
        <v>0.90687354659315578</v>
      </c>
      <c r="I156" s="121">
        <f t="shared" si="59"/>
        <v>2010003.04</v>
      </c>
      <c r="J156" s="121">
        <f t="shared" si="59"/>
        <v>627000.38</v>
      </c>
      <c r="K156" s="117">
        <f t="shared" ref="K156:K162" si="60">J156/I156</f>
        <v>0.31194001577231445</v>
      </c>
      <c r="L156" s="136"/>
      <c r="M156" s="136"/>
      <c r="N156" s="199">
        <f t="shared" si="48"/>
        <v>19106864.140000001</v>
      </c>
      <c r="P156" s="25"/>
    </row>
    <row r="157" spans="1:19" s="31" customFormat="1" ht="138.75" thickTop="1" thickBot="1" x14ac:dyDescent="0.25">
      <c r="A157" s="65" t="s">
        <v>292</v>
      </c>
      <c r="B157" s="65" t="s">
        <v>293</v>
      </c>
      <c r="C157" s="65" t="s">
        <v>279</v>
      </c>
      <c r="D157" s="65" t="s">
        <v>534</v>
      </c>
      <c r="E157" s="120">
        <v>77739854</v>
      </c>
      <c r="F157" s="120">
        <v>19079315</v>
      </c>
      <c r="G157" s="120">
        <v>17362639.350000001</v>
      </c>
      <c r="H157" s="116">
        <f t="shared" si="57"/>
        <v>0.91002425139476972</v>
      </c>
      <c r="I157" s="120">
        <v>2010003.04</v>
      </c>
      <c r="J157" s="120">
        <v>627000.38</v>
      </c>
      <c r="K157" s="116">
        <f t="shared" si="60"/>
        <v>0.31194001577231445</v>
      </c>
      <c r="L157" s="103"/>
      <c r="M157" s="84"/>
      <c r="N157" s="198">
        <f t="shared" si="48"/>
        <v>17989639.73</v>
      </c>
      <c r="O157" s="29"/>
      <c r="P157" s="30"/>
    </row>
    <row r="158" spans="1:19" s="31" customFormat="1" ht="138.75" thickTop="1" thickBot="1" x14ac:dyDescent="0.25">
      <c r="A158" s="65" t="s">
        <v>294</v>
      </c>
      <c r="B158" s="65" t="s">
        <v>295</v>
      </c>
      <c r="C158" s="65" t="s">
        <v>279</v>
      </c>
      <c r="D158" s="65" t="s">
        <v>296</v>
      </c>
      <c r="E158" s="120">
        <v>4733605</v>
      </c>
      <c r="F158" s="120">
        <v>1298238</v>
      </c>
      <c r="G158" s="120">
        <v>1117224.4099999999</v>
      </c>
      <c r="H158" s="116">
        <f t="shared" si="57"/>
        <v>0.86056979536879985</v>
      </c>
      <c r="I158" s="120"/>
      <c r="J158" s="120"/>
      <c r="K158" s="116"/>
      <c r="L158" s="120"/>
      <c r="M158" s="200"/>
      <c r="N158" s="198">
        <f t="shared" si="48"/>
        <v>1117224.4099999999</v>
      </c>
      <c r="O158" s="45"/>
      <c r="P158" s="30"/>
    </row>
    <row r="159" spans="1:19" s="31" customFormat="1" ht="93" hidden="1" thickTop="1" thickBot="1" x14ac:dyDescent="0.25">
      <c r="A159" s="53"/>
      <c r="B159" s="85" t="s">
        <v>347</v>
      </c>
      <c r="C159" s="85"/>
      <c r="D159" s="66" t="s">
        <v>348</v>
      </c>
      <c r="E159" s="136">
        <f>SUM(E160:E161)</f>
        <v>0</v>
      </c>
      <c r="F159" s="136">
        <f>SUM(F160:F161)</f>
        <v>0</v>
      </c>
      <c r="G159" s="136">
        <f>SUM(G160:G161)</f>
        <v>0</v>
      </c>
      <c r="H159" s="87" t="e">
        <f t="shared" si="57"/>
        <v>#DIV/0!</v>
      </c>
      <c r="I159" s="136">
        <f>SUM(I160:I161)</f>
        <v>0</v>
      </c>
      <c r="J159" s="136">
        <f>SUM(J160:J161)</f>
        <v>0</v>
      </c>
      <c r="K159" s="87" t="e">
        <f t="shared" si="60"/>
        <v>#DIV/0!</v>
      </c>
      <c r="L159" s="136"/>
      <c r="M159" s="136"/>
      <c r="N159" s="86">
        <f t="shared" si="48"/>
        <v>0</v>
      </c>
      <c r="O159" s="45"/>
      <c r="P159" s="30"/>
    </row>
    <row r="160" spans="1:19" s="31" customFormat="1" ht="277.5" hidden="1" customHeight="1" thickTop="1" thickBot="1" x14ac:dyDescent="0.25">
      <c r="A160" s="53"/>
      <c r="B160" s="82" t="s">
        <v>349</v>
      </c>
      <c r="C160" s="82" t="s">
        <v>279</v>
      </c>
      <c r="D160" s="65" t="s">
        <v>573</v>
      </c>
      <c r="E160" s="83"/>
      <c r="F160" s="83"/>
      <c r="G160" s="83"/>
      <c r="H160" s="81">
        <v>0</v>
      </c>
      <c r="I160" s="83"/>
      <c r="J160" s="83">
        <v>0</v>
      </c>
      <c r="K160" s="81" t="e">
        <f t="shared" si="60"/>
        <v>#DIV/0!</v>
      </c>
      <c r="L160" s="83"/>
      <c r="M160" s="84"/>
      <c r="N160" s="83">
        <f t="shared" si="48"/>
        <v>0</v>
      </c>
      <c r="O160" s="29"/>
      <c r="P160" s="30"/>
    </row>
    <row r="161" spans="1:16" s="31" customFormat="1" ht="138.75" hidden="1" thickTop="1" thickBot="1" x14ac:dyDescent="0.25">
      <c r="A161" s="53"/>
      <c r="B161" s="82" t="s">
        <v>474</v>
      </c>
      <c r="C161" s="82" t="s">
        <v>279</v>
      </c>
      <c r="D161" s="65" t="s">
        <v>475</v>
      </c>
      <c r="E161" s="83"/>
      <c r="F161" s="83"/>
      <c r="G161" s="83"/>
      <c r="H161" s="81" t="e">
        <f t="shared" si="57"/>
        <v>#DIV/0!</v>
      </c>
      <c r="I161" s="83"/>
      <c r="J161" s="83"/>
      <c r="K161" s="81"/>
      <c r="L161" s="83"/>
      <c r="M161" s="84"/>
      <c r="N161" s="83">
        <f t="shared" si="48"/>
        <v>0</v>
      </c>
      <c r="O161" s="29"/>
      <c r="P161" s="30"/>
    </row>
    <row r="162" spans="1:16" ht="93" thickTop="1" thickBot="1" x14ac:dyDescent="0.25">
      <c r="A162" s="62" t="s">
        <v>297</v>
      </c>
      <c r="B162" s="66" t="s">
        <v>298</v>
      </c>
      <c r="C162" s="66"/>
      <c r="D162" s="66" t="s">
        <v>299</v>
      </c>
      <c r="E162" s="121">
        <f t="shared" ref="E162:J162" si="61">SUM(E163:E165)</f>
        <v>11644729.060000001</v>
      </c>
      <c r="F162" s="121">
        <f t="shared" si="61"/>
        <v>2892932</v>
      </c>
      <c r="G162" s="121">
        <f t="shared" si="61"/>
        <v>2127805.7599999998</v>
      </c>
      <c r="H162" s="117">
        <f t="shared" si="57"/>
        <v>0.73551876089724877</v>
      </c>
      <c r="I162" s="121">
        <f t="shared" si="61"/>
        <v>144048</v>
      </c>
      <c r="J162" s="121">
        <f t="shared" si="61"/>
        <v>19552.96</v>
      </c>
      <c r="K162" s="117">
        <f t="shared" si="60"/>
        <v>0.13573919804509607</v>
      </c>
      <c r="L162" s="121"/>
      <c r="M162" s="121"/>
      <c r="N162" s="199">
        <f t="shared" si="48"/>
        <v>2147358.7199999997</v>
      </c>
      <c r="O162" s="45"/>
      <c r="P162" s="25"/>
    </row>
    <row r="163" spans="1:16" s="31" customFormat="1" ht="184.5" thickTop="1" thickBot="1" x14ac:dyDescent="0.25">
      <c r="A163" s="63" t="s">
        <v>300</v>
      </c>
      <c r="B163" s="156" t="s">
        <v>301</v>
      </c>
      <c r="C163" s="156" t="s">
        <v>279</v>
      </c>
      <c r="D163" s="65" t="s">
        <v>609</v>
      </c>
      <c r="E163" s="120">
        <v>1048981.06</v>
      </c>
      <c r="F163" s="120">
        <v>182997</v>
      </c>
      <c r="G163" s="151">
        <v>0</v>
      </c>
      <c r="H163" s="116">
        <f t="shared" si="57"/>
        <v>0</v>
      </c>
      <c r="I163" s="198"/>
      <c r="J163" s="198"/>
      <c r="K163" s="198"/>
      <c r="L163" s="198"/>
      <c r="M163" s="200"/>
      <c r="N163" s="198">
        <f t="shared" si="48"/>
        <v>0</v>
      </c>
      <c r="O163" s="29"/>
      <c r="P163" s="30"/>
    </row>
    <row r="164" spans="1:16" s="31" customFormat="1" ht="138.75" thickTop="1" thickBot="1" x14ac:dyDescent="0.25">
      <c r="A164" s="63" t="s">
        <v>302</v>
      </c>
      <c r="B164" s="156" t="s">
        <v>303</v>
      </c>
      <c r="C164" s="156" t="s">
        <v>279</v>
      </c>
      <c r="D164" s="65" t="s">
        <v>304</v>
      </c>
      <c r="E164" s="120">
        <v>7726000</v>
      </c>
      <c r="F164" s="120">
        <v>1994000</v>
      </c>
      <c r="G164" s="151">
        <v>1500000</v>
      </c>
      <c r="H164" s="116">
        <f t="shared" si="57"/>
        <v>0.75225677031093274</v>
      </c>
      <c r="I164" s="198"/>
      <c r="J164" s="198"/>
      <c r="K164" s="198"/>
      <c r="L164" s="198"/>
      <c r="M164" s="200"/>
      <c r="N164" s="198">
        <f t="shared" si="48"/>
        <v>1500000</v>
      </c>
      <c r="O164" s="29"/>
      <c r="P164" s="30"/>
    </row>
    <row r="165" spans="1:16" s="31" customFormat="1" ht="93" thickTop="1" thickBot="1" x14ac:dyDescent="0.25">
      <c r="A165" s="63" t="s">
        <v>305</v>
      </c>
      <c r="B165" s="156" t="s">
        <v>306</v>
      </c>
      <c r="C165" s="156" t="s">
        <v>279</v>
      </c>
      <c r="D165" s="65" t="s">
        <v>307</v>
      </c>
      <c r="E165" s="120">
        <v>2869748</v>
      </c>
      <c r="F165" s="120">
        <v>715935</v>
      </c>
      <c r="G165" s="151">
        <v>627805.76</v>
      </c>
      <c r="H165" s="116">
        <f t="shared" si="57"/>
        <v>0.87690329429347635</v>
      </c>
      <c r="I165" s="198">
        <v>144048</v>
      </c>
      <c r="J165" s="198">
        <v>19552.96</v>
      </c>
      <c r="K165" s="116">
        <f t="shared" ref="K165" si="62">J165/I165</f>
        <v>0.13573919804509607</v>
      </c>
      <c r="L165" s="198"/>
      <c r="M165" s="200"/>
      <c r="N165" s="198">
        <f t="shared" si="48"/>
        <v>647358.71999999997</v>
      </c>
      <c r="O165" s="29"/>
      <c r="P165" s="30"/>
    </row>
    <row r="166" spans="1:16" s="31" customFormat="1" ht="184.5" thickTop="1" thickBot="1" x14ac:dyDescent="0.25">
      <c r="A166" s="63"/>
      <c r="B166" s="156" t="s">
        <v>591</v>
      </c>
      <c r="C166" s="156" t="s">
        <v>279</v>
      </c>
      <c r="D166" s="65" t="s">
        <v>610</v>
      </c>
      <c r="E166" s="120"/>
      <c r="F166" s="120"/>
      <c r="G166" s="198"/>
      <c r="H166" s="116"/>
      <c r="I166" s="198">
        <v>3315815</v>
      </c>
      <c r="J166" s="198">
        <v>0</v>
      </c>
      <c r="K166" s="116">
        <f t="shared" ref="K166" si="63">J166/I166</f>
        <v>0</v>
      </c>
      <c r="L166" s="198"/>
      <c r="M166" s="200"/>
      <c r="N166" s="198">
        <f t="shared" ref="N166" si="64">G166+J166</f>
        <v>0</v>
      </c>
      <c r="O166" s="29"/>
      <c r="P166" s="30"/>
    </row>
    <row r="167" spans="1:16" ht="91.5" thickTop="1" thickBot="1" x14ac:dyDescent="0.25">
      <c r="A167" s="52" t="s">
        <v>309</v>
      </c>
      <c r="B167" s="145" t="s">
        <v>231</v>
      </c>
      <c r="C167" s="145"/>
      <c r="D167" s="146" t="s">
        <v>232</v>
      </c>
      <c r="E167" s="147">
        <f>SUM(E168:E182)-E168-E177</f>
        <v>663759804.52999997</v>
      </c>
      <c r="F167" s="147">
        <f>SUM(F168:F182)-F168-F177</f>
        <v>199059100.27999997</v>
      </c>
      <c r="G167" s="147">
        <f>SUM(G168:G182)-G168-G177</f>
        <v>180867331.67000002</v>
      </c>
      <c r="H167" s="148">
        <f>G167/F167</f>
        <v>0.90861121855563953</v>
      </c>
      <c r="I167" s="147">
        <f t="shared" ref="I167:J167" si="65">SUM(I168:I182)-I168-I177</f>
        <v>19059339.370000001</v>
      </c>
      <c r="J167" s="147">
        <f t="shared" si="65"/>
        <v>0</v>
      </c>
      <c r="K167" s="149">
        <f>J167/I167</f>
        <v>0</v>
      </c>
      <c r="L167" s="147"/>
      <c r="M167" s="147"/>
      <c r="N167" s="150">
        <f>J167+G167</f>
        <v>180867331.67000002</v>
      </c>
      <c r="O167" s="48" t="b">
        <f>N167=N169+N170+N171+N172+N174+N175+N176+N180+N181+N182</f>
        <v>1</v>
      </c>
      <c r="P167" s="32"/>
    </row>
    <row r="168" spans="1:16" s="17" customFormat="1" ht="93" thickTop="1" thickBot="1" x14ac:dyDescent="0.25">
      <c r="A168" s="66" t="s">
        <v>310</v>
      </c>
      <c r="B168" s="66" t="s">
        <v>311</v>
      </c>
      <c r="C168" s="66"/>
      <c r="D168" s="66" t="s">
        <v>535</v>
      </c>
      <c r="E168" s="152">
        <f t="shared" ref="E168:J168" si="66">SUM(E169:E174)</f>
        <v>174959273</v>
      </c>
      <c r="F168" s="152">
        <f t="shared" si="66"/>
        <v>123465000</v>
      </c>
      <c r="G168" s="152">
        <f t="shared" si="66"/>
        <v>122030012.77</v>
      </c>
      <c r="H168" s="117">
        <f>G168/F168</f>
        <v>0.98837737634147327</v>
      </c>
      <c r="I168" s="199">
        <f t="shared" si="66"/>
        <v>0</v>
      </c>
      <c r="J168" s="199">
        <f t="shared" si="66"/>
        <v>0</v>
      </c>
      <c r="K168" s="117">
        <v>0</v>
      </c>
      <c r="L168" s="199"/>
      <c r="M168" s="199"/>
      <c r="N168" s="199">
        <f t="shared" ref="N168:N216" si="67">G168+J168</f>
        <v>122030012.77</v>
      </c>
      <c r="O168" s="194" t="s">
        <v>385</v>
      </c>
      <c r="P168" s="195"/>
    </row>
    <row r="169" spans="1:16" ht="93" thickTop="1" thickBot="1" x14ac:dyDescent="0.25">
      <c r="A169" s="65" t="s">
        <v>312</v>
      </c>
      <c r="B169" s="65" t="s">
        <v>313</v>
      </c>
      <c r="C169" s="65" t="s">
        <v>235</v>
      </c>
      <c r="D169" s="65" t="s">
        <v>314</v>
      </c>
      <c r="E169" s="120">
        <v>6180533</v>
      </c>
      <c r="F169" s="120">
        <v>1870000</v>
      </c>
      <c r="G169" s="120">
        <v>694560.63</v>
      </c>
      <c r="H169" s="116">
        <f>G169/F169</f>
        <v>0.37142279679144385</v>
      </c>
      <c r="I169" s="120"/>
      <c r="J169" s="164"/>
      <c r="K169" s="116"/>
      <c r="L169" s="164"/>
      <c r="M169" s="200"/>
      <c r="N169" s="198">
        <f t="shared" si="67"/>
        <v>694560.63</v>
      </c>
      <c r="P169" s="32"/>
    </row>
    <row r="170" spans="1:16" ht="138.75" customHeight="1" thickTop="1" thickBot="1" x14ac:dyDescent="0.25">
      <c r="A170" s="53"/>
      <c r="B170" s="65" t="s">
        <v>332</v>
      </c>
      <c r="C170" s="65" t="s">
        <v>317</v>
      </c>
      <c r="D170" s="65" t="s">
        <v>333</v>
      </c>
      <c r="E170" s="120">
        <v>90000000</v>
      </c>
      <c r="F170" s="120">
        <v>90000000</v>
      </c>
      <c r="G170" s="120">
        <v>90000000</v>
      </c>
      <c r="H170" s="116">
        <f t="shared" ref="H170:H181" si="68">G170/F170</f>
        <v>1</v>
      </c>
      <c r="I170" s="120"/>
      <c r="J170" s="164"/>
      <c r="K170" s="164"/>
      <c r="L170" s="164"/>
      <c r="M170" s="200"/>
      <c r="N170" s="198">
        <f t="shared" si="67"/>
        <v>90000000</v>
      </c>
      <c r="P170" s="32"/>
    </row>
    <row r="171" spans="1:16" ht="93" thickTop="1" thickBot="1" x14ac:dyDescent="0.25">
      <c r="A171" s="53"/>
      <c r="B171" s="65" t="s">
        <v>334</v>
      </c>
      <c r="C171" s="65" t="s">
        <v>317</v>
      </c>
      <c r="D171" s="65" t="s">
        <v>335</v>
      </c>
      <c r="E171" s="120">
        <v>70600240</v>
      </c>
      <c r="F171" s="120">
        <v>30150000</v>
      </c>
      <c r="G171" s="120">
        <v>30112315.59</v>
      </c>
      <c r="H171" s="116">
        <f t="shared" si="68"/>
        <v>0.99875010248756213</v>
      </c>
      <c r="I171" s="120"/>
      <c r="J171" s="164"/>
      <c r="K171" s="116"/>
      <c r="L171" s="164"/>
      <c r="M171" s="200"/>
      <c r="N171" s="198">
        <f t="shared" si="67"/>
        <v>30112315.59</v>
      </c>
      <c r="P171" s="32"/>
    </row>
    <row r="172" spans="1:16" ht="93" thickTop="1" thickBot="1" x14ac:dyDescent="0.25">
      <c r="A172" s="53" t="s">
        <v>315</v>
      </c>
      <c r="B172" s="65" t="s">
        <v>316</v>
      </c>
      <c r="C172" s="65" t="s">
        <v>317</v>
      </c>
      <c r="D172" s="65" t="s">
        <v>318</v>
      </c>
      <c r="E172" s="120">
        <v>7000000</v>
      </c>
      <c r="F172" s="120">
        <v>1400000</v>
      </c>
      <c r="G172" s="120">
        <v>1223136.55</v>
      </c>
      <c r="H172" s="116">
        <f t="shared" si="68"/>
        <v>0.87366896428571428</v>
      </c>
      <c r="I172" s="120"/>
      <c r="J172" s="164"/>
      <c r="K172" s="116"/>
      <c r="L172" s="164"/>
      <c r="M172" s="200"/>
      <c r="N172" s="198">
        <f t="shared" si="67"/>
        <v>1223136.55</v>
      </c>
      <c r="O172" s="45"/>
      <c r="P172" s="32"/>
    </row>
    <row r="173" spans="1:16" ht="93" hidden="1" thickTop="1" thickBot="1" x14ac:dyDescent="0.25">
      <c r="A173" s="53"/>
      <c r="B173" s="82" t="s">
        <v>489</v>
      </c>
      <c r="C173" s="82" t="s">
        <v>317</v>
      </c>
      <c r="D173" s="82" t="s">
        <v>490</v>
      </c>
      <c r="E173" s="103">
        <v>0</v>
      </c>
      <c r="F173" s="103">
        <v>0</v>
      </c>
      <c r="G173" s="103">
        <v>0</v>
      </c>
      <c r="H173" s="81" t="e">
        <f t="shared" si="68"/>
        <v>#DIV/0!</v>
      </c>
      <c r="I173" s="103"/>
      <c r="J173" s="104"/>
      <c r="K173" s="81"/>
      <c r="L173" s="104"/>
      <c r="M173" s="84"/>
      <c r="N173" s="83">
        <f t="shared" si="67"/>
        <v>0</v>
      </c>
      <c r="O173" s="45"/>
      <c r="P173" s="32"/>
    </row>
    <row r="174" spans="1:16" ht="93" thickTop="1" thickBot="1" x14ac:dyDescent="0.25">
      <c r="A174" s="53" t="s">
        <v>319</v>
      </c>
      <c r="B174" s="65" t="s">
        <v>320</v>
      </c>
      <c r="C174" s="65" t="s">
        <v>317</v>
      </c>
      <c r="D174" s="65" t="s">
        <v>560</v>
      </c>
      <c r="E174" s="120">
        <v>1178500</v>
      </c>
      <c r="F174" s="120">
        <v>45000</v>
      </c>
      <c r="G174" s="120">
        <v>0</v>
      </c>
      <c r="H174" s="116">
        <f t="shared" si="68"/>
        <v>0</v>
      </c>
      <c r="I174" s="120"/>
      <c r="J174" s="164"/>
      <c r="K174" s="116"/>
      <c r="L174" s="164"/>
      <c r="M174" s="200"/>
      <c r="N174" s="198">
        <f t="shared" si="67"/>
        <v>0</v>
      </c>
      <c r="O174" s="45"/>
      <c r="P174" s="32"/>
    </row>
    <row r="175" spans="1:16" ht="184.5" thickTop="1" thickBot="1" x14ac:dyDescent="0.25">
      <c r="A175" s="53" t="s">
        <v>321</v>
      </c>
      <c r="B175" s="65" t="s">
        <v>322</v>
      </c>
      <c r="C175" s="65" t="s">
        <v>317</v>
      </c>
      <c r="D175" s="65" t="s">
        <v>323</v>
      </c>
      <c r="E175" s="120">
        <v>69924626.620000005</v>
      </c>
      <c r="F175" s="120">
        <v>576000</v>
      </c>
      <c r="G175" s="120">
        <v>424245.03</v>
      </c>
      <c r="H175" s="116">
        <f t="shared" si="68"/>
        <v>0.73653651041666668</v>
      </c>
      <c r="I175" s="120"/>
      <c r="J175" s="164"/>
      <c r="K175" s="164"/>
      <c r="L175" s="164"/>
      <c r="M175" s="200"/>
      <c r="N175" s="198">
        <f t="shared" si="67"/>
        <v>424245.03</v>
      </c>
      <c r="O175" s="45"/>
      <c r="P175" s="32"/>
    </row>
    <row r="176" spans="1:16" ht="62.25" thickTop="1" thickBot="1" x14ac:dyDescent="0.25">
      <c r="A176" s="53"/>
      <c r="B176" s="65" t="s">
        <v>325</v>
      </c>
      <c r="C176" s="65" t="s">
        <v>317</v>
      </c>
      <c r="D176" s="65" t="s">
        <v>326</v>
      </c>
      <c r="E176" s="120">
        <v>413770832.36000001</v>
      </c>
      <c r="F176" s="120">
        <v>73500335.280000001</v>
      </c>
      <c r="G176" s="120">
        <v>57129364.5</v>
      </c>
      <c r="H176" s="116">
        <f t="shared" si="68"/>
        <v>0.77726671970087369</v>
      </c>
      <c r="I176" s="198"/>
      <c r="J176" s="120"/>
      <c r="K176" s="116"/>
      <c r="L176" s="120"/>
      <c r="M176" s="200"/>
      <c r="N176" s="198">
        <f t="shared" si="67"/>
        <v>57129364.5</v>
      </c>
      <c r="O176" s="47"/>
      <c r="P176" s="32"/>
    </row>
    <row r="177" spans="1:16" ht="93" thickTop="1" thickBot="1" x14ac:dyDescent="0.25">
      <c r="A177" s="53"/>
      <c r="B177" s="66" t="s">
        <v>233</v>
      </c>
      <c r="C177" s="66"/>
      <c r="D177" s="66" t="s">
        <v>536</v>
      </c>
      <c r="E177" s="121">
        <f>SUM(E178:E180)</f>
        <v>60000</v>
      </c>
      <c r="F177" s="121">
        <f>SUM(F178:F180)</f>
        <v>0</v>
      </c>
      <c r="G177" s="121">
        <f>SUM(G178:G180)</f>
        <v>0</v>
      </c>
      <c r="H177" s="117">
        <v>0</v>
      </c>
      <c r="I177" s="121">
        <f>SUM(I178:I180)</f>
        <v>0</v>
      </c>
      <c r="J177" s="121">
        <f>SUM(J178:J180)</f>
        <v>0</v>
      </c>
      <c r="K177" s="116">
        <v>0</v>
      </c>
      <c r="L177" s="121"/>
      <c r="M177" s="201"/>
      <c r="N177" s="199">
        <f t="shared" si="67"/>
        <v>0</v>
      </c>
      <c r="O177" s="194" t="s">
        <v>385</v>
      </c>
      <c r="P177" s="195"/>
    </row>
    <row r="178" spans="1:16" ht="93" hidden="1" thickTop="1" thickBot="1" x14ac:dyDescent="0.25">
      <c r="A178" s="53" t="s">
        <v>324</v>
      </c>
      <c r="B178" s="82" t="s">
        <v>234</v>
      </c>
      <c r="C178" s="82" t="s">
        <v>235</v>
      </c>
      <c r="D178" s="65" t="s">
        <v>537</v>
      </c>
      <c r="E178" s="103"/>
      <c r="F178" s="103"/>
      <c r="G178" s="103"/>
      <c r="H178" s="81"/>
      <c r="I178" s="83"/>
      <c r="J178" s="103"/>
      <c r="K178" s="81" t="e">
        <f t="shared" ref="K172:K181" si="69">J178/I178</f>
        <v>#DIV/0!</v>
      </c>
      <c r="L178" s="103"/>
      <c r="M178" s="84"/>
      <c r="N178" s="83">
        <f t="shared" si="67"/>
        <v>0</v>
      </c>
      <c r="O178" s="45"/>
      <c r="P178" s="27"/>
    </row>
    <row r="179" spans="1:16" ht="276" hidden="1" thickTop="1" thickBot="1" x14ac:dyDescent="0.25">
      <c r="A179" s="53"/>
      <c r="B179" s="82" t="s">
        <v>436</v>
      </c>
      <c r="C179" s="82" t="s">
        <v>235</v>
      </c>
      <c r="D179" s="82" t="s">
        <v>437</v>
      </c>
      <c r="E179" s="103"/>
      <c r="F179" s="103"/>
      <c r="G179" s="103"/>
      <c r="H179" s="81" t="e">
        <f t="shared" si="68"/>
        <v>#DIV/0!</v>
      </c>
      <c r="I179" s="83">
        <v>0</v>
      </c>
      <c r="J179" s="103">
        <v>0</v>
      </c>
      <c r="K179" s="81" t="e">
        <f t="shared" si="69"/>
        <v>#DIV/0!</v>
      </c>
      <c r="L179" s="103"/>
      <c r="M179" s="84"/>
      <c r="N179" s="83">
        <f t="shared" si="67"/>
        <v>0</v>
      </c>
      <c r="P179" s="27"/>
    </row>
    <row r="180" spans="1:16" ht="184.5" thickTop="1" thickBot="1" x14ac:dyDescent="0.25">
      <c r="A180" s="53"/>
      <c r="B180" s="156" t="s">
        <v>308</v>
      </c>
      <c r="C180" s="156" t="s">
        <v>235</v>
      </c>
      <c r="D180" s="65" t="s">
        <v>617</v>
      </c>
      <c r="E180" s="120">
        <v>60000</v>
      </c>
      <c r="F180" s="120">
        <v>0</v>
      </c>
      <c r="G180" s="151">
        <v>0</v>
      </c>
      <c r="H180" s="116">
        <v>0</v>
      </c>
      <c r="I180" s="198"/>
      <c r="J180" s="198"/>
      <c r="K180" s="198"/>
      <c r="L180" s="198"/>
      <c r="M180" s="200"/>
      <c r="N180" s="198">
        <f t="shared" si="67"/>
        <v>0</v>
      </c>
      <c r="O180" s="194" t="s">
        <v>385</v>
      </c>
      <c r="P180" s="195"/>
    </row>
    <row r="181" spans="1:16" ht="93" thickTop="1" thickBot="1" x14ac:dyDescent="0.25">
      <c r="A181" s="53"/>
      <c r="B181" s="65" t="s">
        <v>449</v>
      </c>
      <c r="C181" s="65" t="s">
        <v>450</v>
      </c>
      <c r="D181" s="65" t="s">
        <v>451</v>
      </c>
      <c r="E181" s="120">
        <v>5045072.55</v>
      </c>
      <c r="F181" s="120">
        <v>1517765</v>
      </c>
      <c r="G181" s="151">
        <v>1283709.3700000001</v>
      </c>
      <c r="H181" s="116">
        <f t="shared" si="68"/>
        <v>0.84578928226701766</v>
      </c>
      <c r="I181" s="198"/>
      <c r="J181" s="198"/>
      <c r="K181" s="116"/>
      <c r="L181" s="198"/>
      <c r="M181" s="200"/>
      <c r="N181" s="198">
        <f t="shared" si="67"/>
        <v>1283709.3700000001</v>
      </c>
      <c r="O181" s="194"/>
      <c r="P181" s="195"/>
    </row>
    <row r="182" spans="1:16" ht="184.5" thickTop="1" thickBot="1" x14ac:dyDescent="0.25">
      <c r="A182" s="53"/>
      <c r="B182" s="202" t="s">
        <v>561</v>
      </c>
      <c r="C182" s="202" t="s">
        <v>450</v>
      </c>
      <c r="D182" s="202" t="s">
        <v>611</v>
      </c>
      <c r="E182" s="120"/>
      <c r="F182" s="120"/>
      <c r="G182" s="198"/>
      <c r="H182" s="116"/>
      <c r="I182" s="198">
        <v>19059339.370000001</v>
      </c>
      <c r="J182" s="198">
        <v>0</v>
      </c>
      <c r="K182" s="116">
        <f t="shared" ref="K182" si="70">J182/I182</f>
        <v>0</v>
      </c>
      <c r="L182" s="198"/>
      <c r="M182" s="200"/>
      <c r="N182" s="198">
        <f t="shared" si="67"/>
        <v>0</v>
      </c>
      <c r="O182" s="47"/>
      <c r="P182" s="47"/>
    </row>
    <row r="183" spans="1:16" s="33" customFormat="1" ht="101.25" customHeight="1" thickTop="1" thickBot="1" x14ac:dyDescent="0.25">
      <c r="A183" s="55" t="s">
        <v>327</v>
      </c>
      <c r="B183" s="145" t="s">
        <v>30</v>
      </c>
      <c r="C183" s="145"/>
      <c r="D183" s="146" t="s">
        <v>328</v>
      </c>
      <c r="E183" s="147">
        <f>E184+E186+E194+E204+E207</f>
        <v>249299140.77999997</v>
      </c>
      <c r="F183" s="147">
        <f>F184+F186+F194+F204+F207</f>
        <v>58607457</v>
      </c>
      <c r="G183" s="147">
        <f>G184+G186+G194+G204+G207</f>
        <v>33647010.570000008</v>
      </c>
      <c r="H183" s="148">
        <f>G183/F183</f>
        <v>0.57410801103347664</v>
      </c>
      <c r="I183" s="147">
        <f>I184+I186+I194+I204+I207</f>
        <v>53933386.539999999</v>
      </c>
      <c r="J183" s="147">
        <f>J184+J186+J194+J204+J207</f>
        <v>4246981.2699999996</v>
      </c>
      <c r="K183" s="149">
        <f>J183/I183</f>
        <v>7.8744939683144166E-2</v>
      </c>
      <c r="L183" s="147"/>
      <c r="M183" s="147"/>
      <c r="N183" s="150">
        <f>J183+G183</f>
        <v>37893991.840000004</v>
      </c>
      <c r="O183" s="48" t="b">
        <f>N183=N185+N188+N189+N193+N196+N198+N199+N200+N203+N205+N208+N210+N211+N212+N214+N215+N217+N218</f>
        <v>1</v>
      </c>
      <c r="P183" s="46"/>
    </row>
    <row r="184" spans="1:16" s="33" customFormat="1" ht="91.5" thickTop="1" thickBot="1" x14ac:dyDescent="0.25">
      <c r="A184" s="111"/>
      <c r="B184" s="142" t="s">
        <v>366</v>
      </c>
      <c r="C184" s="142"/>
      <c r="D184" s="142" t="s">
        <v>367</v>
      </c>
      <c r="E184" s="157">
        <f>SUM(E185)</f>
        <v>400000</v>
      </c>
      <c r="F184" s="157">
        <f>SUM(F185)</f>
        <v>300000</v>
      </c>
      <c r="G184" s="157">
        <f>SUM(G185)</f>
        <v>24000</v>
      </c>
      <c r="H184" s="122">
        <f>G184/F184</f>
        <v>0.08</v>
      </c>
      <c r="I184" s="203">
        <f>SUM(I185)</f>
        <v>0</v>
      </c>
      <c r="J184" s="203">
        <f>SUM(J185)</f>
        <v>0</v>
      </c>
      <c r="K184" s="122">
        <v>0</v>
      </c>
      <c r="L184" s="203"/>
      <c r="M184" s="203"/>
      <c r="N184" s="203">
        <f t="shared" si="67"/>
        <v>24000</v>
      </c>
      <c r="O184" s="194" t="s">
        <v>385</v>
      </c>
      <c r="P184" s="195"/>
    </row>
    <row r="185" spans="1:16" s="33" customFormat="1" ht="62.25" thickTop="1" thickBot="1" x14ac:dyDescent="0.25">
      <c r="A185" s="111"/>
      <c r="B185" s="65" t="s">
        <v>368</v>
      </c>
      <c r="C185" s="65" t="s">
        <v>369</v>
      </c>
      <c r="D185" s="65" t="s">
        <v>370</v>
      </c>
      <c r="E185" s="151">
        <v>400000</v>
      </c>
      <c r="F185" s="151">
        <v>300000</v>
      </c>
      <c r="G185" s="151">
        <v>24000</v>
      </c>
      <c r="H185" s="116">
        <f>G185/F185</f>
        <v>0.08</v>
      </c>
      <c r="I185" s="198"/>
      <c r="J185" s="198"/>
      <c r="K185" s="116"/>
      <c r="L185" s="198"/>
      <c r="M185" s="200"/>
      <c r="N185" s="198">
        <f t="shared" si="67"/>
        <v>24000</v>
      </c>
      <c r="O185" s="194"/>
      <c r="P185" s="195"/>
    </row>
    <row r="186" spans="1:16" s="33" customFormat="1" ht="136.5" thickTop="1" thickBot="1" x14ac:dyDescent="0.25">
      <c r="A186" s="111"/>
      <c r="B186" s="142" t="s">
        <v>236</v>
      </c>
      <c r="C186" s="142"/>
      <c r="D186" s="142" t="s">
        <v>612</v>
      </c>
      <c r="E186" s="123">
        <f>SUM(E188:E193)</f>
        <v>6110000</v>
      </c>
      <c r="F186" s="123">
        <f>SUM(F188:F193)</f>
        <v>4900000</v>
      </c>
      <c r="G186" s="123">
        <f>SUM(G188:G193)</f>
        <v>0</v>
      </c>
      <c r="H186" s="122">
        <f>G186/F186</f>
        <v>0</v>
      </c>
      <c r="I186" s="123">
        <f>SUM(I188:I193)</f>
        <v>24213938</v>
      </c>
      <c r="J186" s="123">
        <f>SUM(J188:J193)</f>
        <v>264252.19</v>
      </c>
      <c r="K186" s="122">
        <f t="shared" ref="K186" si="71">J186/I186</f>
        <v>1.0913226506155256E-2</v>
      </c>
      <c r="L186" s="123"/>
      <c r="M186" s="123"/>
      <c r="N186" s="203">
        <f>G186+J186</f>
        <v>264252.19</v>
      </c>
      <c r="O186" s="194"/>
      <c r="P186" s="195"/>
    </row>
    <row r="187" spans="1:16" s="33" customFormat="1" ht="93" hidden="1" thickTop="1" thickBot="1" x14ac:dyDescent="0.25">
      <c r="A187" s="111"/>
      <c r="B187" s="82" t="s">
        <v>459</v>
      </c>
      <c r="C187" s="82" t="s">
        <v>237</v>
      </c>
      <c r="D187" s="82" t="s">
        <v>462</v>
      </c>
      <c r="E187" s="83"/>
      <c r="F187" s="83"/>
      <c r="G187" s="83"/>
      <c r="H187" s="83"/>
      <c r="I187" s="83">
        <v>0</v>
      </c>
      <c r="J187" s="83">
        <v>0</v>
      </c>
      <c r="K187" s="81" t="e">
        <f t="shared" ref="K187:K194" si="72">J187/I187</f>
        <v>#DIV/0!</v>
      </c>
      <c r="L187" s="83"/>
      <c r="M187" s="84"/>
      <c r="N187" s="83">
        <f t="shared" si="67"/>
        <v>0</v>
      </c>
      <c r="O187" s="34"/>
      <c r="P187" s="46"/>
    </row>
    <row r="188" spans="1:16" s="33" customFormat="1" ht="184.5" thickTop="1" thickBot="1" x14ac:dyDescent="0.25">
      <c r="A188" s="111"/>
      <c r="B188" s="65" t="s">
        <v>350</v>
      </c>
      <c r="C188" s="65" t="s">
        <v>237</v>
      </c>
      <c r="D188" s="65" t="s">
        <v>613</v>
      </c>
      <c r="E188" s="198"/>
      <c r="F188" s="198"/>
      <c r="G188" s="198"/>
      <c r="H188" s="198"/>
      <c r="I188" s="198">
        <f>22973938+1140000</f>
        <v>24113938</v>
      </c>
      <c r="J188" s="198">
        <v>167252.19</v>
      </c>
      <c r="K188" s="116">
        <f>J188/I188</f>
        <v>6.9359135782799146E-3</v>
      </c>
      <c r="L188" s="198"/>
      <c r="M188" s="200"/>
      <c r="N188" s="198">
        <f t="shared" si="67"/>
        <v>167252.19</v>
      </c>
      <c r="O188" s="34"/>
      <c r="P188" s="46"/>
    </row>
    <row r="189" spans="1:16" s="33" customFormat="1" ht="138.75" thickTop="1" thickBot="1" x14ac:dyDescent="0.25">
      <c r="A189" s="111"/>
      <c r="B189" s="65" t="s">
        <v>397</v>
      </c>
      <c r="C189" s="65" t="s">
        <v>237</v>
      </c>
      <c r="D189" s="65" t="s">
        <v>574</v>
      </c>
      <c r="E189" s="198"/>
      <c r="F189" s="198"/>
      <c r="G189" s="198"/>
      <c r="H189" s="198"/>
      <c r="I189" s="198">
        <v>100000</v>
      </c>
      <c r="J189" s="198">
        <v>97000</v>
      </c>
      <c r="K189" s="116">
        <f t="shared" si="72"/>
        <v>0.97</v>
      </c>
      <c r="L189" s="198"/>
      <c r="M189" s="200"/>
      <c r="N189" s="198">
        <f t="shared" si="67"/>
        <v>97000</v>
      </c>
      <c r="O189" s="34"/>
      <c r="P189" s="46"/>
    </row>
    <row r="190" spans="1:16" s="33" customFormat="1" ht="93" hidden="1" thickTop="1" thickBot="1" x14ac:dyDescent="0.25">
      <c r="A190" s="111"/>
      <c r="B190" s="82" t="s">
        <v>562</v>
      </c>
      <c r="C190" s="82" t="s">
        <v>237</v>
      </c>
      <c r="D190" s="82" t="s">
        <v>563</v>
      </c>
      <c r="E190" s="83"/>
      <c r="F190" s="83"/>
      <c r="G190" s="83"/>
      <c r="H190" s="81"/>
      <c r="I190" s="83">
        <v>0</v>
      </c>
      <c r="J190" s="83">
        <v>0</v>
      </c>
      <c r="K190" s="81" t="e">
        <f t="shared" si="72"/>
        <v>#DIV/0!</v>
      </c>
      <c r="L190" s="83"/>
      <c r="M190" s="84"/>
      <c r="N190" s="83">
        <f t="shared" si="67"/>
        <v>0</v>
      </c>
      <c r="O190" s="34"/>
      <c r="P190" s="46"/>
    </row>
    <row r="191" spans="1:16" s="33" customFormat="1" ht="62.25" hidden="1" thickTop="1" thickBot="1" x14ac:dyDescent="0.25">
      <c r="A191" s="111"/>
      <c r="B191" s="85" t="s">
        <v>438</v>
      </c>
      <c r="C191" s="85"/>
      <c r="D191" s="85" t="s">
        <v>440</v>
      </c>
      <c r="E191" s="86">
        <f>E192</f>
        <v>0</v>
      </c>
      <c r="F191" s="86">
        <f>F192</f>
        <v>0</v>
      </c>
      <c r="G191" s="86">
        <f t="shared" ref="G191" si="73">G192</f>
        <v>0</v>
      </c>
      <c r="H191" s="87"/>
      <c r="I191" s="86">
        <f>I192</f>
        <v>0</v>
      </c>
      <c r="J191" s="86">
        <f>J192</f>
        <v>0</v>
      </c>
      <c r="K191" s="81" t="e">
        <f t="shared" si="72"/>
        <v>#DIV/0!</v>
      </c>
      <c r="L191" s="86"/>
      <c r="M191" s="86"/>
      <c r="N191" s="86">
        <f t="shared" si="67"/>
        <v>0</v>
      </c>
      <c r="O191" s="194" t="s">
        <v>385</v>
      </c>
      <c r="P191" s="195"/>
    </row>
    <row r="192" spans="1:16" s="33" customFormat="1" ht="138.75" hidden="1" thickTop="1" thickBot="1" x14ac:dyDescent="0.25">
      <c r="A192" s="111"/>
      <c r="B192" s="82" t="s">
        <v>439</v>
      </c>
      <c r="C192" s="82" t="s">
        <v>38</v>
      </c>
      <c r="D192" s="82" t="s">
        <v>441</v>
      </c>
      <c r="E192" s="83"/>
      <c r="F192" s="83"/>
      <c r="G192" s="83"/>
      <c r="H192" s="83"/>
      <c r="I192" s="83"/>
      <c r="J192" s="83">
        <v>0</v>
      </c>
      <c r="K192" s="81" t="e">
        <f t="shared" si="72"/>
        <v>#DIV/0!</v>
      </c>
      <c r="L192" s="83"/>
      <c r="M192" s="84"/>
      <c r="N192" s="83">
        <f t="shared" si="67"/>
        <v>0</v>
      </c>
      <c r="O192" s="34"/>
      <c r="P192" s="46"/>
    </row>
    <row r="193" spans="1:16" s="33" customFormat="1" ht="93" thickTop="1" thickBot="1" x14ac:dyDescent="0.25">
      <c r="A193" s="111"/>
      <c r="B193" s="65" t="s">
        <v>351</v>
      </c>
      <c r="C193" s="65" t="s">
        <v>38</v>
      </c>
      <c r="D193" s="65" t="s">
        <v>352</v>
      </c>
      <c r="E193" s="151">
        <v>6110000</v>
      </c>
      <c r="F193" s="151">
        <v>4900000</v>
      </c>
      <c r="G193" s="151">
        <v>0</v>
      </c>
      <c r="H193" s="116">
        <f t="shared" ref="H193" si="74">G193/F193</f>
        <v>0</v>
      </c>
      <c r="I193" s="198"/>
      <c r="J193" s="198"/>
      <c r="K193" s="116"/>
      <c r="L193" s="198"/>
      <c r="M193" s="200"/>
      <c r="N193" s="198">
        <f>G193+J193</f>
        <v>0</v>
      </c>
      <c r="O193" s="194"/>
      <c r="P193" s="195"/>
    </row>
    <row r="194" spans="1:16" s="33" customFormat="1" ht="91.5" thickTop="1" thickBot="1" x14ac:dyDescent="0.25">
      <c r="A194" s="113"/>
      <c r="B194" s="142" t="s">
        <v>336</v>
      </c>
      <c r="C194" s="142"/>
      <c r="D194" s="142" t="s">
        <v>337</v>
      </c>
      <c r="E194" s="157">
        <f>SUM(E195:E203)-E197-E201-E195</f>
        <v>200643293.47999999</v>
      </c>
      <c r="F194" s="157">
        <f>SUM(F195:F203)-F197-F201-F195</f>
        <v>41991982</v>
      </c>
      <c r="G194" s="157">
        <f>SUM(G195:G203)-G197-G201-G195</f>
        <v>27353749.660000008</v>
      </c>
      <c r="H194" s="122">
        <f t="shared" ref="H194" si="75">G194/F194</f>
        <v>0.65140410995603892</v>
      </c>
      <c r="I194" s="157">
        <f>SUM(I195:I203)-I197-I201-I195</f>
        <v>13000000</v>
      </c>
      <c r="J194" s="157">
        <f>SUM(J195:J203)-J197-J201-J195</f>
        <v>2888624.98</v>
      </c>
      <c r="K194" s="122">
        <f t="shared" si="72"/>
        <v>0.22220192153846155</v>
      </c>
      <c r="L194" s="203"/>
      <c r="M194" s="203"/>
      <c r="N194" s="203">
        <f>G194+J194</f>
        <v>30242374.640000008</v>
      </c>
      <c r="O194" s="34"/>
      <c r="P194" s="46"/>
    </row>
    <row r="195" spans="1:16" s="33" customFormat="1" ht="93" thickTop="1" thickBot="1" x14ac:dyDescent="0.25">
      <c r="A195" s="113"/>
      <c r="B195" s="66" t="s">
        <v>407</v>
      </c>
      <c r="C195" s="66"/>
      <c r="D195" s="66" t="s">
        <v>408</v>
      </c>
      <c r="E195" s="152">
        <f>E196</f>
        <v>3100000</v>
      </c>
      <c r="F195" s="152">
        <f>F196</f>
        <v>1149999</v>
      </c>
      <c r="G195" s="152">
        <f>G196</f>
        <v>736813.9</v>
      </c>
      <c r="H195" s="117">
        <f t="shared" ref="H195:H212" si="76">G195/F195</f>
        <v>0.64070829626808368</v>
      </c>
      <c r="I195" s="199">
        <f t="shared" ref="I195:J195" si="77">I196</f>
        <v>0</v>
      </c>
      <c r="J195" s="199">
        <f t="shared" si="77"/>
        <v>0</v>
      </c>
      <c r="K195" s="117">
        <v>0</v>
      </c>
      <c r="L195" s="199"/>
      <c r="M195" s="199"/>
      <c r="N195" s="199">
        <f t="shared" si="67"/>
        <v>736813.9</v>
      </c>
      <c r="O195" s="194" t="s">
        <v>385</v>
      </c>
      <c r="P195" s="195"/>
    </row>
    <row r="196" spans="1:16" s="33" customFormat="1" ht="48" thickTop="1" thickBot="1" x14ac:dyDescent="0.25">
      <c r="A196" s="113"/>
      <c r="B196" s="65" t="s">
        <v>409</v>
      </c>
      <c r="C196" s="65" t="s">
        <v>410</v>
      </c>
      <c r="D196" s="65" t="s">
        <v>411</v>
      </c>
      <c r="E196" s="151">
        <v>3100000</v>
      </c>
      <c r="F196" s="151">
        <v>1149999</v>
      </c>
      <c r="G196" s="151">
        <v>736813.9</v>
      </c>
      <c r="H196" s="116">
        <f>G196/F196</f>
        <v>0.64070829626808368</v>
      </c>
      <c r="I196" s="198"/>
      <c r="J196" s="198"/>
      <c r="K196" s="198"/>
      <c r="L196" s="198"/>
      <c r="M196" s="200"/>
      <c r="N196" s="198">
        <f t="shared" si="67"/>
        <v>736813.9</v>
      </c>
      <c r="O196" s="34"/>
      <c r="P196" s="46"/>
    </row>
    <row r="197" spans="1:16" s="33" customFormat="1" ht="93" thickTop="1" thickBot="1" x14ac:dyDescent="0.25">
      <c r="A197" s="113"/>
      <c r="B197" s="66" t="s">
        <v>353</v>
      </c>
      <c r="C197" s="66"/>
      <c r="D197" s="66" t="s">
        <v>354</v>
      </c>
      <c r="E197" s="152">
        <f>SUM(E198:E199)</f>
        <v>197518293.47999999</v>
      </c>
      <c r="F197" s="152">
        <f>SUM(F198:F199)</f>
        <v>40816983</v>
      </c>
      <c r="G197" s="152">
        <f>SUM(G198:G199)</f>
        <v>26616935.760000002</v>
      </c>
      <c r="H197" s="116">
        <f t="shared" si="76"/>
        <v>0.65210443799827145</v>
      </c>
      <c r="I197" s="152">
        <f>SUM(I198:I199)</f>
        <v>3000000</v>
      </c>
      <c r="J197" s="152">
        <f>SUM(J198:J199)</f>
        <v>2888624.98</v>
      </c>
      <c r="K197" s="117">
        <f t="shared" ref="K197" si="78">J197/I197</f>
        <v>0.96287499333333337</v>
      </c>
      <c r="L197" s="86"/>
      <c r="M197" s="86"/>
      <c r="N197" s="152">
        <f t="shared" si="67"/>
        <v>29505560.740000002</v>
      </c>
      <c r="O197" s="194"/>
      <c r="P197" s="195"/>
    </row>
    <row r="198" spans="1:16" s="33" customFormat="1" ht="78" customHeight="1" thickTop="1" thickBot="1" x14ac:dyDescent="0.25">
      <c r="A198" s="113"/>
      <c r="B198" s="65" t="s">
        <v>355</v>
      </c>
      <c r="C198" s="65" t="s">
        <v>356</v>
      </c>
      <c r="D198" s="65" t="s">
        <v>357</v>
      </c>
      <c r="E198" s="151">
        <v>197518293.47999999</v>
      </c>
      <c r="F198" s="151">
        <v>40816983</v>
      </c>
      <c r="G198" s="151">
        <v>26616935.760000002</v>
      </c>
      <c r="H198" s="116">
        <f t="shared" si="76"/>
        <v>0.65210443799827145</v>
      </c>
      <c r="I198" s="198"/>
      <c r="J198" s="198"/>
      <c r="K198" s="198"/>
      <c r="L198" s="198"/>
      <c r="M198" s="200"/>
      <c r="N198" s="198">
        <f t="shared" si="67"/>
        <v>26616935.760000002</v>
      </c>
      <c r="O198" s="34"/>
      <c r="P198" s="46"/>
    </row>
    <row r="199" spans="1:16" s="33" customFormat="1" ht="184.5" thickTop="1" thickBot="1" x14ac:dyDescent="0.25">
      <c r="A199" s="113"/>
      <c r="B199" s="65" t="s">
        <v>622</v>
      </c>
      <c r="C199" s="65" t="s">
        <v>623</v>
      </c>
      <c r="D199" s="65" t="s">
        <v>624</v>
      </c>
      <c r="E199" s="151"/>
      <c r="F199" s="151"/>
      <c r="G199" s="151"/>
      <c r="H199" s="116"/>
      <c r="I199" s="120">
        <v>3000000</v>
      </c>
      <c r="J199" s="164">
        <v>2888624.98</v>
      </c>
      <c r="K199" s="116">
        <f t="shared" ref="K199" si="79">J199/I199</f>
        <v>0.96287499333333337</v>
      </c>
      <c r="L199" s="164"/>
      <c r="M199" s="200"/>
      <c r="N199" s="198">
        <f t="shared" ref="N199" si="80">G199+J199</f>
        <v>2888624.98</v>
      </c>
      <c r="O199" s="34"/>
      <c r="P199" s="46"/>
    </row>
    <row r="200" spans="1:16" s="33" customFormat="1" ht="62.25" thickTop="1" thickBot="1" x14ac:dyDescent="0.25">
      <c r="A200" s="113"/>
      <c r="B200" s="65" t="s">
        <v>452</v>
      </c>
      <c r="C200" s="65" t="s">
        <v>339</v>
      </c>
      <c r="D200" s="65" t="s">
        <v>453</v>
      </c>
      <c r="E200" s="151">
        <v>25000</v>
      </c>
      <c r="F200" s="151">
        <v>25000</v>
      </c>
      <c r="G200" s="151">
        <v>0</v>
      </c>
      <c r="H200" s="116">
        <f t="shared" si="76"/>
        <v>0</v>
      </c>
      <c r="I200" s="198"/>
      <c r="J200" s="198"/>
      <c r="K200" s="198"/>
      <c r="L200" s="198"/>
      <c r="M200" s="200"/>
      <c r="N200" s="198">
        <f t="shared" si="67"/>
        <v>0</v>
      </c>
      <c r="O200" s="45"/>
      <c r="P200" s="46"/>
    </row>
    <row r="201" spans="1:16" s="33" customFormat="1" ht="93" hidden="1" thickTop="1" thickBot="1" x14ac:dyDescent="0.25">
      <c r="A201" s="113"/>
      <c r="B201" s="85" t="s">
        <v>395</v>
      </c>
      <c r="C201" s="85"/>
      <c r="D201" s="66" t="s">
        <v>396</v>
      </c>
      <c r="E201" s="86">
        <f>E202</f>
        <v>0</v>
      </c>
      <c r="F201" s="86">
        <f>F202</f>
        <v>0</v>
      </c>
      <c r="G201" s="86">
        <f>G202</f>
        <v>0</v>
      </c>
      <c r="H201" s="87">
        <v>0</v>
      </c>
      <c r="I201" s="86">
        <f>I202</f>
        <v>0</v>
      </c>
      <c r="J201" s="86">
        <f>J202</f>
        <v>0</v>
      </c>
      <c r="K201" s="87" t="e">
        <f t="shared" ref="K201:K202" si="81">J201/I201</f>
        <v>#DIV/0!</v>
      </c>
      <c r="L201" s="86"/>
      <c r="M201" s="135"/>
      <c r="N201" s="86">
        <f t="shared" si="67"/>
        <v>0</v>
      </c>
      <c r="O201" s="194" t="s">
        <v>385</v>
      </c>
      <c r="P201" s="195"/>
    </row>
    <row r="202" spans="1:16" s="33" customFormat="1" ht="138.75" hidden="1" thickTop="1" thickBot="1" x14ac:dyDescent="0.25">
      <c r="A202" s="111"/>
      <c r="B202" s="82" t="s">
        <v>338</v>
      </c>
      <c r="C202" s="82" t="s">
        <v>339</v>
      </c>
      <c r="D202" s="65" t="s">
        <v>340</v>
      </c>
      <c r="E202" s="103"/>
      <c r="F202" s="103"/>
      <c r="G202" s="103"/>
      <c r="H202" s="81"/>
      <c r="I202" s="103"/>
      <c r="J202" s="104"/>
      <c r="K202" s="81" t="e">
        <f t="shared" si="81"/>
        <v>#DIV/0!</v>
      </c>
      <c r="L202" s="104"/>
      <c r="M202" s="84"/>
      <c r="N202" s="83">
        <f t="shared" si="67"/>
        <v>0</v>
      </c>
      <c r="O202" s="194"/>
      <c r="P202" s="195"/>
    </row>
    <row r="203" spans="1:16" s="33" customFormat="1" ht="184.5" thickTop="1" thickBot="1" x14ac:dyDescent="0.25">
      <c r="A203" s="111"/>
      <c r="B203" s="65" t="s">
        <v>626</v>
      </c>
      <c r="C203" s="65" t="s">
        <v>339</v>
      </c>
      <c r="D203" s="65" t="s">
        <v>625</v>
      </c>
      <c r="E203" s="120"/>
      <c r="F203" s="120"/>
      <c r="G203" s="120"/>
      <c r="H203" s="116"/>
      <c r="I203" s="120">
        <v>10000000</v>
      </c>
      <c r="J203" s="164">
        <v>0</v>
      </c>
      <c r="K203" s="116">
        <f t="shared" ref="K203" si="82">J203/I203</f>
        <v>0</v>
      </c>
      <c r="L203" s="164"/>
      <c r="M203" s="200"/>
      <c r="N203" s="198">
        <f t="shared" ref="N203" si="83">G203+J203</f>
        <v>0</v>
      </c>
      <c r="O203" s="130"/>
      <c r="P203" s="47"/>
    </row>
    <row r="204" spans="1:16" s="33" customFormat="1" ht="62.25" thickTop="1" thickBot="1" x14ac:dyDescent="0.25">
      <c r="A204" s="111"/>
      <c r="B204" s="142" t="s">
        <v>31</v>
      </c>
      <c r="C204" s="8"/>
      <c r="D204" s="142" t="s">
        <v>32</v>
      </c>
      <c r="E204" s="123">
        <f>E205+E206</f>
        <v>11460060</v>
      </c>
      <c r="F204" s="123">
        <f>F205+F206</f>
        <v>1850000</v>
      </c>
      <c r="G204" s="123">
        <f>G205+G206</f>
        <v>1549494.84</v>
      </c>
      <c r="H204" s="122">
        <f t="shared" si="76"/>
        <v>0.83756477837837839</v>
      </c>
      <c r="I204" s="123">
        <f>I205+I206</f>
        <v>0</v>
      </c>
      <c r="J204" s="123">
        <f>J205+J206</f>
        <v>0</v>
      </c>
      <c r="K204" s="122">
        <v>0</v>
      </c>
      <c r="L204" s="204"/>
      <c r="M204" s="204"/>
      <c r="N204" s="203">
        <f>G204+J204</f>
        <v>1549494.84</v>
      </c>
      <c r="O204" s="194" t="s">
        <v>385</v>
      </c>
      <c r="P204" s="195"/>
    </row>
    <row r="205" spans="1:16" s="33" customFormat="1" ht="66" customHeight="1" thickTop="1" thickBot="1" x14ac:dyDescent="0.25">
      <c r="A205" s="111"/>
      <c r="B205" s="65" t="s">
        <v>33</v>
      </c>
      <c r="C205" s="65" t="s">
        <v>442</v>
      </c>
      <c r="D205" s="65" t="s">
        <v>34</v>
      </c>
      <c r="E205" s="120">
        <v>11460060</v>
      </c>
      <c r="F205" s="120">
        <v>1850000</v>
      </c>
      <c r="G205" s="120">
        <v>1549494.84</v>
      </c>
      <c r="H205" s="116">
        <f t="shared" si="76"/>
        <v>0.83756477837837839</v>
      </c>
      <c r="I205" s="120"/>
      <c r="J205" s="120"/>
      <c r="K205" s="116"/>
      <c r="L205" s="204"/>
      <c r="M205" s="204"/>
      <c r="N205" s="198">
        <f t="shared" si="67"/>
        <v>1549494.84</v>
      </c>
      <c r="O205" s="34"/>
      <c r="P205" s="46"/>
    </row>
    <row r="206" spans="1:16" s="33" customFormat="1" ht="183.75" hidden="1" thickTop="1" thickBot="1" x14ac:dyDescent="0.25">
      <c r="A206" s="113"/>
      <c r="B206" s="98" t="s">
        <v>398</v>
      </c>
      <c r="C206" s="98" t="s">
        <v>442</v>
      </c>
      <c r="D206" s="98" t="s">
        <v>399</v>
      </c>
      <c r="E206" s="105"/>
      <c r="F206" s="105"/>
      <c r="G206" s="105"/>
      <c r="H206" s="81" t="e">
        <f t="shared" si="76"/>
        <v>#DIV/0!</v>
      </c>
      <c r="I206" s="105">
        <v>0</v>
      </c>
      <c r="J206" s="105">
        <v>0</v>
      </c>
      <c r="K206" s="94">
        <v>0</v>
      </c>
      <c r="L206" s="110"/>
      <c r="M206" s="110"/>
      <c r="N206" s="93">
        <f t="shared" si="67"/>
        <v>0</v>
      </c>
      <c r="O206" s="45" t="s">
        <v>385</v>
      </c>
      <c r="P206" s="46"/>
    </row>
    <row r="207" spans="1:16" s="33" customFormat="1" ht="91.5" thickTop="1" thickBot="1" x14ac:dyDescent="0.25">
      <c r="A207" s="113"/>
      <c r="B207" s="142" t="s">
        <v>35</v>
      </c>
      <c r="C207" s="8"/>
      <c r="D207" s="142" t="s">
        <v>36</v>
      </c>
      <c r="E207" s="123">
        <f>SUM(E208:E218)-E216-E209</f>
        <v>30685787.299999997</v>
      </c>
      <c r="F207" s="123">
        <f>SUM(F208:F218)-F216-F209</f>
        <v>9565475</v>
      </c>
      <c r="G207" s="123">
        <f>SUM(G208:G218)-G216-G209</f>
        <v>4719766.07</v>
      </c>
      <c r="H207" s="122">
        <f t="shared" si="76"/>
        <v>0.49341680052480408</v>
      </c>
      <c r="I207" s="123">
        <f>SUM(I208:I218)-I216-I209</f>
        <v>16719448.540000001</v>
      </c>
      <c r="J207" s="123">
        <f>SUM(J208:J218)-J216-J209</f>
        <v>1094104.1000000001</v>
      </c>
      <c r="K207" s="122">
        <f>J207/I207</f>
        <v>6.543900639919073E-2</v>
      </c>
      <c r="L207" s="204"/>
      <c r="M207" s="204"/>
      <c r="N207" s="203">
        <f t="shared" si="67"/>
        <v>5813870.1699999999</v>
      </c>
      <c r="O207" s="34"/>
      <c r="P207" s="46"/>
    </row>
    <row r="208" spans="1:16" s="33" customFormat="1" ht="93" thickTop="1" thickBot="1" x14ac:dyDescent="0.25">
      <c r="A208" s="113"/>
      <c r="B208" s="65" t="s">
        <v>358</v>
      </c>
      <c r="C208" s="65" t="s">
        <v>359</v>
      </c>
      <c r="D208" s="65" t="s">
        <v>360</v>
      </c>
      <c r="E208" s="151">
        <v>14065000</v>
      </c>
      <c r="F208" s="151">
        <v>6180000</v>
      </c>
      <c r="G208" s="151">
        <v>3466157.75</v>
      </c>
      <c r="H208" s="116">
        <f t="shared" si="76"/>
        <v>0.56086694983818774</v>
      </c>
      <c r="I208" s="198"/>
      <c r="J208" s="198"/>
      <c r="K208" s="116"/>
      <c r="L208" s="198"/>
      <c r="M208" s="200"/>
      <c r="N208" s="198">
        <f t="shared" si="67"/>
        <v>3466157.75</v>
      </c>
      <c r="O208" s="34"/>
      <c r="P208" s="46"/>
    </row>
    <row r="209" spans="1:19" s="33" customFormat="1" ht="74.25" customHeight="1" thickTop="1" thickBot="1" x14ac:dyDescent="0.25">
      <c r="A209" s="113"/>
      <c r="B209" s="66" t="s">
        <v>412</v>
      </c>
      <c r="C209" s="66"/>
      <c r="D209" s="66" t="s">
        <v>414</v>
      </c>
      <c r="E209" s="152">
        <f>E210</f>
        <v>1430035</v>
      </c>
      <c r="F209" s="152">
        <f>F210</f>
        <v>391132</v>
      </c>
      <c r="G209" s="152">
        <f>G210</f>
        <v>318048.46000000002</v>
      </c>
      <c r="H209" s="117">
        <f t="shared" si="76"/>
        <v>0.81314865569679806</v>
      </c>
      <c r="I209" s="199">
        <f>I210</f>
        <v>0</v>
      </c>
      <c r="J209" s="199">
        <f>J210</f>
        <v>0</v>
      </c>
      <c r="K209" s="117">
        <v>0</v>
      </c>
      <c r="L209" s="199"/>
      <c r="M209" s="201"/>
      <c r="N209" s="199">
        <f t="shared" si="67"/>
        <v>318048.46000000002</v>
      </c>
      <c r="O209" s="194" t="s">
        <v>385</v>
      </c>
      <c r="P209" s="195"/>
    </row>
    <row r="210" spans="1:19" s="33" customFormat="1" ht="93" thickTop="1" thickBot="1" x14ac:dyDescent="0.25">
      <c r="A210" s="113"/>
      <c r="B210" s="65" t="s">
        <v>413</v>
      </c>
      <c r="C210" s="65" t="s">
        <v>330</v>
      </c>
      <c r="D210" s="65" t="s">
        <v>415</v>
      </c>
      <c r="E210" s="151">
        <v>1430035</v>
      </c>
      <c r="F210" s="151">
        <v>391132</v>
      </c>
      <c r="G210" s="151">
        <v>318048.46000000002</v>
      </c>
      <c r="H210" s="116">
        <f t="shared" si="76"/>
        <v>0.81314865569679806</v>
      </c>
      <c r="I210" s="198"/>
      <c r="J210" s="198"/>
      <c r="K210" s="116"/>
      <c r="L210" s="198"/>
      <c r="M210" s="200"/>
      <c r="N210" s="198">
        <f t="shared" si="67"/>
        <v>318048.46000000002</v>
      </c>
      <c r="O210" s="34"/>
      <c r="P210" s="46"/>
    </row>
    <row r="211" spans="1:19" s="33" customFormat="1" ht="93" thickTop="1" thickBot="1" x14ac:dyDescent="0.25">
      <c r="A211" s="52"/>
      <c r="B211" s="65" t="s">
        <v>361</v>
      </c>
      <c r="C211" s="65" t="s">
        <v>330</v>
      </c>
      <c r="D211" s="65" t="s">
        <v>362</v>
      </c>
      <c r="E211" s="151">
        <v>1087440</v>
      </c>
      <c r="F211" s="151">
        <v>490000</v>
      </c>
      <c r="G211" s="151">
        <v>2167</v>
      </c>
      <c r="H211" s="116">
        <f t="shared" si="76"/>
        <v>4.4224489795918372E-3</v>
      </c>
      <c r="I211" s="198"/>
      <c r="J211" s="198"/>
      <c r="K211" s="116"/>
      <c r="L211" s="198"/>
      <c r="M211" s="200"/>
      <c r="N211" s="198">
        <f t="shared" si="67"/>
        <v>2167</v>
      </c>
      <c r="O211" s="34"/>
      <c r="P211" s="46"/>
    </row>
    <row r="212" spans="1:19" s="33" customFormat="1" ht="62.25" thickTop="1" thickBot="1" x14ac:dyDescent="0.25">
      <c r="A212" s="113"/>
      <c r="B212" s="65" t="s">
        <v>329</v>
      </c>
      <c r="C212" s="65" t="s">
        <v>330</v>
      </c>
      <c r="D212" s="65" t="s">
        <v>331</v>
      </c>
      <c r="E212" s="120">
        <v>9717242.3000000007</v>
      </c>
      <c r="F212" s="120">
        <v>1500000</v>
      </c>
      <c r="G212" s="120">
        <v>326096</v>
      </c>
      <c r="H212" s="116">
        <f t="shared" si="76"/>
        <v>0.21739733333333333</v>
      </c>
      <c r="I212" s="198"/>
      <c r="J212" s="120"/>
      <c r="K212" s="116"/>
      <c r="L212" s="120"/>
      <c r="M212" s="200"/>
      <c r="N212" s="198">
        <f t="shared" si="67"/>
        <v>326096</v>
      </c>
      <c r="O212" s="194"/>
      <c r="P212" s="195"/>
      <c r="S212" s="60">
        <f>N212/(I212+E212)*100</f>
        <v>3.3558492207197506</v>
      </c>
    </row>
    <row r="213" spans="1:19" s="33" customFormat="1" ht="93" hidden="1" thickTop="1" thickBot="1" x14ac:dyDescent="0.25">
      <c r="A213" s="113"/>
      <c r="B213" s="82" t="s">
        <v>371</v>
      </c>
      <c r="C213" s="82" t="s">
        <v>38</v>
      </c>
      <c r="D213" s="65" t="s">
        <v>372</v>
      </c>
      <c r="E213" s="83"/>
      <c r="F213" s="83"/>
      <c r="G213" s="83"/>
      <c r="H213" s="83"/>
      <c r="I213" s="83"/>
      <c r="J213" s="83">
        <v>0</v>
      </c>
      <c r="K213" s="81" t="e">
        <f>J213/I213</f>
        <v>#DIV/0!</v>
      </c>
      <c r="L213" s="83"/>
      <c r="M213" s="84"/>
      <c r="N213" s="83">
        <f t="shared" si="67"/>
        <v>0</v>
      </c>
      <c r="O213" s="34"/>
      <c r="P213" s="46"/>
    </row>
    <row r="214" spans="1:19" s="33" customFormat="1" ht="111" customHeight="1" thickTop="1" thickBot="1" x14ac:dyDescent="0.25">
      <c r="A214" s="113"/>
      <c r="B214" s="202" t="s">
        <v>170</v>
      </c>
      <c r="C214" s="202" t="s">
        <v>38</v>
      </c>
      <c r="D214" s="202" t="s">
        <v>538</v>
      </c>
      <c r="E214" s="120"/>
      <c r="F214" s="120"/>
      <c r="G214" s="120"/>
      <c r="H214" s="120"/>
      <c r="I214" s="198">
        <v>5961778</v>
      </c>
      <c r="J214" s="120">
        <v>586110</v>
      </c>
      <c r="K214" s="116">
        <f>J214/I214</f>
        <v>9.831127559597154E-2</v>
      </c>
      <c r="L214" s="120"/>
      <c r="M214" s="200"/>
      <c r="N214" s="198">
        <f t="shared" si="67"/>
        <v>586110</v>
      </c>
      <c r="O214" s="34"/>
      <c r="P214" s="46"/>
    </row>
    <row r="215" spans="1:19" s="33" customFormat="1" ht="102" customHeight="1" thickTop="1" thickBot="1" x14ac:dyDescent="0.25">
      <c r="A215" s="113"/>
      <c r="B215" s="65" t="s">
        <v>37</v>
      </c>
      <c r="C215" s="65" t="s">
        <v>38</v>
      </c>
      <c r="D215" s="65" t="s">
        <v>39</v>
      </c>
      <c r="E215" s="151">
        <v>532970</v>
      </c>
      <c r="F215" s="151">
        <v>81243</v>
      </c>
      <c r="G215" s="151">
        <v>81242.490000000005</v>
      </c>
      <c r="H215" s="116">
        <f t="shared" ref="H215:H216" si="84">G215/F215</f>
        <v>0.99999372253609553</v>
      </c>
      <c r="I215" s="204"/>
      <c r="J215" s="204"/>
      <c r="K215" s="204"/>
      <c r="L215" s="204"/>
      <c r="M215" s="204"/>
      <c r="N215" s="198">
        <f t="shared" si="67"/>
        <v>81242.490000000005</v>
      </c>
      <c r="O215" s="34"/>
      <c r="P215" s="46"/>
    </row>
    <row r="216" spans="1:19" s="33" customFormat="1" ht="72" customHeight="1" thickTop="1" thickBot="1" x14ac:dyDescent="0.25">
      <c r="A216" s="113"/>
      <c r="B216" s="66" t="s">
        <v>40</v>
      </c>
      <c r="C216" s="66"/>
      <c r="D216" s="66" t="s">
        <v>539</v>
      </c>
      <c r="E216" s="121">
        <f>SUM(E217:E218)</f>
        <v>3853100</v>
      </c>
      <c r="F216" s="121">
        <f>SUM(F217:F218)</f>
        <v>923100</v>
      </c>
      <c r="G216" s="121">
        <f>SUM(G217:G218)</f>
        <v>526054.37</v>
      </c>
      <c r="H216" s="117">
        <f t="shared" si="84"/>
        <v>0.56987798721698624</v>
      </c>
      <c r="I216" s="121">
        <f>SUM(I217:I218)</f>
        <v>10757670.540000001</v>
      </c>
      <c r="J216" s="121">
        <f>SUM(J217:J218)</f>
        <v>507994.1</v>
      </c>
      <c r="K216" s="117">
        <f>J216/I216</f>
        <v>4.7221570702610488E-2</v>
      </c>
      <c r="L216" s="121"/>
      <c r="M216" s="121"/>
      <c r="N216" s="199">
        <f t="shared" si="67"/>
        <v>1034048.47</v>
      </c>
      <c r="O216" s="34"/>
      <c r="P216" s="46"/>
    </row>
    <row r="217" spans="1:19" s="33" customFormat="1" ht="367.5" thickTop="1" thickBot="1" x14ac:dyDescent="0.25">
      <c r="A217" s="113"/>
      <c r="B217" s="153" t="s">
        <v>41</v>
      </c>
      <c r="C217" s="153" t="s">
        <v>38</v>
      </c>
      <c r="D217" s="126" t="s">
        <v>540</v>
      </c>
      <c r="E217" s="205"/>
      <c r="F217" s="205"/>
      <c r="G217" s="205"/>
      <c r="H217" s="205"/>
      <c r="I217" s="205">
        <f>10173946.91+583723.63</f>
        <v>10757670.540000001</v>
      </c>
      <c r="J217" s="205">
        <v>507994.1</v>
      </c>
      <c r="K217" s="206">
        <f>J217/I217</f>
        <v>4.7221570702610488E-2</v>
      </c>
      <c r="L217" s="205"/>
      <c r="M217" s="207"/>
      <c r="N217" s="205">
        <f>J217+G217</f>
        <v>507994.1</v>
      </c>
      <c r="O217" s="34"/>
      <c r="P217" s="46"/>
      <c r="S217" s="60"/>
    </row>
    <row r="218" spans="1:19" s="33" customFormat="1" ht="66" customHeight="1" thickTop="1" thickBot="1" x14ac:dyDescent="0.25">
      <c r="A218" s="113"/>
      <c r="B218" s="65" t="s">
        <v>42</v>
      </c>
      <c r="C218" s="65" t="s">
        <v>38</v>
      </c>
      <c r="D218" s="65" t="s">
        <v>43</v>
      </c>
      <c r="E218" s="151">
        <v>3853100</v>
      </c>
      <c r="F218" s="151">
        <v>923100</v>
      </c>
      <c r="G218" s="151">
        <v>526054.37</v>
      </c>
      <c r="H218" s="116">
        <f t="shared" ref="H218" si="85">G218/F218</f>
        <v>0.56987798721698624</v>
      </c>
      <c r="I218" s="198"/>
      <c r="J218" s="198"/>
      <c r="K218" s="116"/>
      <c r="L218" s="198"/>
      <c r="M218" s="200"/>
      <c r="N218" s="198">
        <f>G218+J218</f>
        <v>526054.37</v>
      </c>
      <c r="O218" s="34"/>
      <c r="P218" s="46"/>
    </row>
    <row r="219" spans="1:19" s="33" customFormat="1" ht="107.45" customHeight="1" thickTop="1" thickBot="1" x14ac:dyDescent="0.25">
      <c r="A219" s="55"/>
      <c r="B219" s="145" t="s">
        <v>44</v>
      </c>
      <c r="C219" s="145"/>
      <c r="D219" s="146" t="s">
        <v>45</v>
      </c>
      <c r="E219" s="147">
        <f>SUM(E220:E233)-E220-E227-E229-E232-E223</f>
        <v>116907840.36999997</v>
      </c>
      <c r="F219" s="147">
        <f>SUM(F220:F233)-F220-F227-F229-F232-F223</f>
        <v>55122952.640000001</v>
      </c>
      <c r="G219" s="147">
        <f>SUM(G220:G233)-G220-G227-G229-G232-G223</f>
        <v>39531377.659999996</v>
      </c>
      <c r="H219" s="148">
        <f>G219/F219</f>
        <v>0.717149132380003</v>
      </c>
      <c r="I219" s="147">
        <f>SUM(I220:I233)-I220-I227-I229-I232-I223</f>
        <v>4351532</v>
      </c>
      <c r="J219" s="147">
        <f>SUM(J220:J233)-J220-J227-J229-J232-J223</f>
        <v>0</v>
      </c>
      <c r="K219" s="149">
        <f t="shared" ref="K219:K225" si="86">J219/I219</f>
        <v>0</v>
      </c>
      <c r="L219" s="147"/>
      <c r="M219" s="147"/>
      <c r="N219" s="150">
        <f>J219+G219</f>
        <v>39531377.659999996</v>
      </c>
      <c r="O219" s="48" t="b">
        <f>N219=N221+N222+N224+N225+N226+N228+N230+N231+N233</f>
        <v>1</v>
      </c>
      <c r="P219" s="46"/>
      <c r="S219" s="60">
        <f>N219/(I219+E219)*100</f>
        <v>32.600678106247734</v>
      </c>
    </row>
    <row r="220" spans="1:19" s="33" customFormat="1" ht="107.45" customHeight="1" thickTop="1" thickBot="1" x14ac:dyDescent="0.25">
      <c r="A220" s="55"/>
      <c r="B220" s="142" t="s">
        <v>341</v>
      </c>
      <c r="C220" s="142"/>
      <c r="D220" s="124" t="s">
        <v>541</v>
      </c>
      <c r="E220" s="157">
        <f>SUM(E221:E222)</f>
        <v>11548476</v>
      </c>
      <c r="F220" s="157">
        <f>SUM(F221:F222)</f>
        <v>1919760</v>
      </c>
      <c r="G220" s="157">
        <f>SUM(G221:G222)</f>
        <v>1194591.42</v>
      </c>
      <c r="H220" s="122">
        <f>G220/F220</f>
        <v>0.62226081385173138</v>
      </c>
      <c r="I220" s="203">
        <f t="shared" ref="I220:J220" si="87">SUM(I221:I222)</f>
        <v>0</v>
      </c>
      <c r="J220" s="203">
        <f t="shared" si="87"/>
        <v>0</v>
      </c>
      <c r="K220" s="122">
        <v>0</v>
      </c>
      <c r="L220" s="203"/>
      <c r="M220" s="203"/>
      <c r="N220" s="203">
        <f t="shared" ref="N220:N239" si="88">G220+J220</f>
        <v>1194591.42</v>
      </c>
      <c r="O220" s="194" t="s">
        <v>385</v>
      </c>
      <c r="P220" s="195"/>
    </row>
    <row r="221" spans="1:19" s="33" customFormat="1" ht="102" customHeight="1" thickTop="1" thickBot="1" x14ac:dyDescent="0.25">
      <c r="A221" s="52"/>
      <c r="B221" s="65" t="s">
        <v>342</v>
      </c>
      <c r="C221" s="65" t="s">
        <v>343</v>
      </c>
      <c r="D221" s="65" t="s">
        <v>344</v>
      </c>
      <c r="E221" s="120">
        <v>8500000</v>
      </c>
      <c r="F221" s="120">
        <v>924000</v>
      </c>
      <c r="G221" s="120">
        <v>634386.64</v>
      </c>
      <c r="H221" s="116">
        <f>G221/F221</f>
        <v>0.68656562770562768</v>
      </c>
      <c r="I221" s="198"/>
      <c r="J221" s="198"/>
      <c r="K221" s="116"/>
      <c r="L221" s="120"/>
      <c r="M221" s="200"/>
      <c r="N221" s="198">
        <f t="shared" si="88"/>
        <v>634386.64</v>
      </c>
      <c r="O221" s="194"/>
      <c r="P221" s="195"/>
    </row>
    <row r="222" spans="1:19" s="33" customFormat="1" ht="66" customHeight="1" thickTop="1" thickBot="1" x14ac:dyDescent="0.25">
      <c r="A222" s="52"/>
      <c r="B222" s="65" t="s">
        <v>345</v>
      </c>
      <c r="C222" s="65" t="s">
        <v>343</v>
      </c>
      <c r="D222" s="65" t="s">
        <v>346</v>
      </c>
      <c r="E222" s="120">
        <v>3048476</v>
      </c>
      <c r="F222" s="120">
        <v>995760</v>
      </c>
      <c r="G222" s="120">
        <v>560204.78</v>
      </c>
      <c r="H222" s="116">
        <f t="shared" ref="H222:H231" si="89">G222/F222</f>
        <v>0.56259016228810155</v>
      </c>
      <c r="I222" s="198"/>
      <c r="J222" s="198"/>
      <c r="K222" s="206"/>
      <c r="L222" s="120"/>
      <c r="M222" s="200"/>
      <c r="N222" s="198">
        <f>G222+J222</f>
        <v>560204.78</v>
      </c>
      <c r="O222" s="12"/>
      <c r="P222" s="46"/>
    </row>
    <row r="223" spans="1:19" s="33" customFormat="1" ht="62.25" thickTop="1" thickBot="1" x14ac:dyDescent="0.25">
      <c r="A223" s="52"/>
      <c r="B223" s="142" t="s">
        <v>454</v>
      </c>
      <c r="C223" s="142"/>
      <c r="D223" s="142" t="s">
        <v>455</v>
      </c>
      <c r="E223" s="123">
        <f>SUM(E224:E226)</f>
        <v>84542363</v>
      </c>
      <c r="F223" s="123">
        <f>SUM(F224:F226)</f>
        <v>49502105</v>
      </c>
      <c r="G223" s="123">
        <f>SUM(G224:G226)</f>
        <v>35510394.170000002</v>
      </c>
      <c r="H223" s="122">
        <f t="shared" si="89"/>
        <v>0.71735119486332954</v>
      </c>
      <c r="I223" s="123">
        <f t="shared" ref="I223:J223" si="90">SUM(I224:I226)</f>
        <v>0</v>
      </c>
      <c r="J223" s="123">
        <f t="shared" si="90"/>
        <v>0</v>
      </c>
      <c r="K223" s="122">
        <v>0</v>
      </c>
      <c r="L223" s="123"/>
      <c r="M223" s="123"/>
      <c r="N223" s="203">
        <f>G223+J223</f>
        <v>35510394.170000002</v>
      </c>
      <c r="O223" s="194" t="s">
        <v>385</v>
      </c>
      <c r="P223" s="195"/>
    </row>
    <row r="224" spans="1:19" s="33" customFormat="1" ht="93" thickTop="1" thickBot="1" x14ac:dyDescent="0.25">
      <c r="A224" s="52"/>
      <c r="B224" s="65" t="s">
        <v>467</v>
      </c>
      <c r="C224" s="65" t="s">
        <v>457</v>
      </c>
      <c r="D224" s="65" t="s">
        <v>468</v>
      </c>
      <c r="E224" s="120">
        <v>1200000</v>
      </c>
      <c r="F224" s="120">
        <v>200000</v>
      </c>
      <c r="G224" s="120">
        <v>180029.61</v>
      </c>
      <c r="H224" s="116">
        <f t="shared" si="89"/>
        <v>0.90014804999999998</v>
      </c>
      <c r="I224" s="198"/>
      <c r="J224" s="120"/>
      <c r="K224" s="117"/>
      <c r="L224" s="120"/>
      <c r="M224" s="200"/>
      <c r="N224" s="198">
        <f t="shared" ref="N224" si="91">G224+J224</f>
        <v>180029.61</v>
      </c>
      <c r="O224" s="47"/>
      <c r="P224" s="47"/>
    </row>
    <row r="225" spans="1:17" s="33" customFormat="1" ht="74.25" customHeight="1" thickTop="1" thickBot="1" x14ac:dyDescent="0.25">
      <c r="A225" s="52"/>
      <c r="B225" s="65" t="s">
        <v>469</v>
      </c>
      <c r="C225" s="65" t="s">
        <v>457</v>
      </c>
      <c r="D225" s="65" t="s">
        <v>470</v>
      </c>
      <c r="E225" s="120">
        <v>75130000</v>
      </c>
      <c r="F225" s="120">
        <v>47000000</v>
      </c>
      <c r="G225" s="120">
        <v>33966650</v>
      </c>
      <c r="H225" s="116">
        <f t="shared" si="89"/>
        <v>0.72269468085106381</v>
      </c>
      <c r="I225" s="198"/>
      <c r="J225" s="120"/>
      <c r="K225" s="116"/>
      <c r="L225" s="120"/>
      <c r="M225" s="200"/>
      <c r="N225" s="198">
        <f>G225+J225</f>
        <v>33966650</v>
      </c>
      <c r="O225" s="47"/>
      <c r="P225" s="47"/>
    </row>
    <row r="226" spans="1:17" s="33" customFormat="1" ht="78" customHeight="1" thickTop="1" thickBot="1" x14ac:dyDescent="0.25">
      <c r="A226" s="52"/>
      <c r="B226" s="65" t="s">
        <v>456</v>
      </c>
      <c r="C226" s="65" t="s">
        <v>457</v>
      </c>
      <c r="D226" s="65" t="s">
        <v>458</v>
      </c>
      <c r="E226" s="120">
        <v>8212363</v>
      </c>
      <c r="F226" s="120">
        <v>2302105</v>
      </c>
      <c r="G226" s="120">
        <v>1363714.56</v>
      </c>
      <c r="H226" s="116">
        <f t="shared" si="89"/>
        <v>0.59237721997910608</v>
      </c>
      <c r="I226" s="198"/>
      <c r="J226" s="120"/>
      <c r="K226" s="116"/>
      <c r="L226" s="120"/>
      <c r="M226" s="200"/>
      <c r="N226" s="198">
        <f>G226+J226</f>
        <v>1363714.56</v>
      </c>
      <c r="O226" s="12"/>
      <c r="P226" s="46"/>
    </row>
    <row r="227" spans="1:17" s="33" customFormat="1" ht="91.5" thickTop="1" thickBot="1" x14ac:dyDescent="0.25">
      <c r="A227" s="52"/>
      <c r="B227" s="208" t="s">
        <v>363</v>
      </c>
      <c r="C227" s="208"/>
      <c r="D227" s="208" t="s">
        <v>364</v>
      </c>
      <c r="E227" s="123">
        <f>SUM(E228:E228)</f>
        <v>0</v>
      </c>
      <c r="F227" s="123">
        <f>SUM(F228:F228)</f>
        <v>0</v>
      </c>
      <c r="G227" s="123">
        <f>SUM(G228:G228)</f>
        <v>0</v>
      </c>
      <c r="H227" s="122">
        <v>0</v>
      </c>
      <c r="I227" s="123">
        <f>SUM(I228:I228)</f>
        <v>4351532</v>
      </c>
      <c r="J227" s="123">
        <f>SUM(J228:J228)</f>
        <v>0</v>
      </c>
      <c r="K227" s="122">
        <f t="shared" ref="K227:K230" si="92">J227/I227</f>
        <v>0</v>
      </c>
      <c r="L227" s="123"/>
      <c r="M227" s="123"/>
      <c r="N227" s="203">
        <f t="shared" si="88"/>
        <v>0</v>
      </c>
      <c r="O227" s="194" t="s">
        <v>385</v>
      </c>
      <c r="P227" s="195"/>
    </row>
    <row r="228" spans="1:17" s="33" customFormat="1" ht="48" thickTop="1" thickBot="1" x14ac:dyDescent="0.25">
      <c r="A228" s="52"/>
      <c r="B228" s="202" t="s">
        <v>460</v>
      </c>
      <c r="C228" s="202" t="s">
        <v>365</v>
      </c>
      <c r="D228" s="202" t="s">
        <v>461</v>
      </c>
      <c r="E228" s="198"/>
      <c r="F228" s="198"/>
      <c r="G228" s="198"/>
      <c r="H228" s="116"/>
      <c r="I228" s="198">
        <v>4351532</v>
      </c>
      <c r="J228" s="198"/>
      <c r="K228" s="116">
        <f t="shared" si="92"/>
        <v>0</v>
      </c>
      <c r="L228" s="198"/>
      <c r="M228" s="200"/>
      <c r="N228" s="198">
        <f t="shared" si="88"/>
        <v>0</v>
      </c>
      <c r="O228" s="34"/>
      <c r="P228" s="46"/>
    </row>
    <row r="229" spans="1:17" s="33" customFormat="1" ht="62.25" thickTop="1" thickBot="1" x14ac:dyDescent="0.25">
      <c r="A229" s="52"/>
      <c r="B229" s="142" t="s">
        <v>46</v>
      </c>
      <c r="C229" s="142"/>
      <c r="D229" s="142" t="s">
        <v>614</v>
      </c>
      <c r="E229" s="157">
        <f>SUM(E230)</f>
        <v>12268778</v>
      </c>
      <c r="F229" s="157">
        <f>SUM(F230)</f>
        <v>3268778</v>
      </c>
      <c r="G229" s="157">
        <f t="shared" ref="G229:J229" si="93">SUM(G230)</f>
        <v>2826392.07</v>
      </c>
      <c r="H229" s="122">
        <f t="shared" si="89"/>
        <v>0.86466320747386327</v>
      </c>
      <c r="I229" s="203">
        <f t="shared" si="93"/>
        <v>0</v>
      </c>
      <c r="J229" s="203">
        <f t="shared" si="93"/>
        <v>0</v>
      </c>
      <c r="K229" s="122">
        <v>0</v>
      </c>
      <c r="L229" s="203"/>
      <c r="M229" s="203"/>
      <c r="N229" s="203">
        <f t="shared" si="88"/>
        <v>2826392.07</v>
      </c>
      <c r="O229" s="194" t="s">
        <v>385</v>
      </c>
      <c r="P229" s="195"/>
    </row>
    <row r="230" spans="1:17" s="33" customFormat="1" ht="93" thickTop="1" thickBot="1" x14ac:dyDescent="0.25">
      <c r="A230" s="52"/>
      <c r="B230" s="65" t="s">
        <v>47</v>
      </c>
      <c r="C230" s="65" t="s">
        <v>48</v>
      </c>
      <c r="D230" s="65" t="s">
        <v>542</v>
      </c>
      <c r="E230" s="151">
        <v>12268778</v>
      </c>
      <c r="F230" s="151">
        <v>3268778</v>
      </c>
      <c r="G230" s="151">
        <v>2826392.07</v>
      </c>
      <c r="H230" s="116">
        <f t="shared" si="89"/>
        <v>0.86466320747386327</v>
      </c>
      <c r="I230" s="198"/>
      <c r="J230" s="198"/>
      <c r="K230" s="116"/>
      <c r="L230" s="198"/>
      <c r="M230" s="200"/>
      <c r="N230" s="198">
        <f t="shared" si="88"/>
        <v>2826392.07</v>
      </c>
      <c r="O230" s="34"/>
      <c r="P230" s="46"/>
    </row>
    <row r="231" spans="1:17" s="33" customFormat="1" ht="62.25" thickTop="1" thickBot="1" x14ac:dyDescent="0.25">
      <c r="A231" s="52"/>
      <c r="B231" s="143">
        <v>8600</v>
      </c>
      <c r="C231" s="142" t="s">
        <v>23</v>
      </c>
      <c r="D231" s="143" t="s">
        <v>373</v>
      </c>
      <c r="E231" s="157">
        <v>782309.64</v>
      </c>
      <c r="F231" s="157">
        <v>432309.64</v>
      </c>
      <c r="G231" s="157">
        <v>0</v>
      </c>
      <c r="H231" s="122">
        <f t="shared" si="89"/>
        <v>0</v>
      </c>
      <c r="I231" s="203"/>
      <c r="J231" s="203"/>
      <c r="K231" s="203"/>
      <c r="L231" s="203"/>
      <c r="M231" s="209"/>
      <c r="N231" s="203">
        <f t="shared" si="88"/>
        <v>0</v>
      </c>
      <c r="O231" s="194"/>
      <c r="P231" s="195"/>
    </row>
    <row r="232" spans="1:17" s="33" customFormat="1" ht="62.25" thickTop="1" thickBot="1" x14ac:dyDescent="0.25">
      <c r="A232" s="52"/>
      <c r="B232" s="143">
        <v>8700</v>
      </c>
      <c r="C232" s="142"/>
      <c r="D232" s="143" t="s">
        <v>374</v>
      </c>
      <c r="E232" s="157">
        <f t="shared" ref="E232:J232" si="94">E233</f>
        <v>7765913.7300000004</v>
      </c>
      <c r="F232" s="157">
        <f t="shared" si="94"/>
        <v>0</v>
      </c>
      <c r="G232" s="157">
        <f t="shared" si="94"/>
        <v>0</v>
      </c>
      <c r="H232" s="122">
        <v>0</v>
      </c>
      <c r="I232" s="203">
        <f t="shared" si="94"/>
        <v>0</v>
      </c>
      <c r="J232" s="203">
        <f t="shared" si="94"/>
        <v>0</v>
      </c>
      <c r="K232" s="122">
        <v>0</v>
      </c>
      <c r="L232" s="203"/>
      <c r="M232" s="203"/>
      <c r="N232" s="203">
        <f t="shared" si="88"/>
        <v>0</v>
      </c>
      <c r="O232" s="194" t="s">
        <v>385</v>
      </c>
      <c r="P232" s="195"/>
    </row>
    <row r="233" spans="1:17" s="33" customFormat="1" ht="62.25" thickTop="1" thickBot="1" x14ac:dyDescent="0.25">
      <c r="A233" s="52"/>
      <c r="B233" s="137">
        <v>8710</v>
      </c>
      <c r="C233" s="65" t="s">
        <v>28</v>
      </c>
      <c r="D233" s="118" t="s">
        <v>375</v>
      </c>
      <c r="E233" s="151">
        <v>7765913.7300000004</v>
      </c>
      <c r="F233" s="151">
        <v>0</v>
      </c>
      <c r="G233" s="151">
        <v>0</v>
      </c>
      <c r="H233" s="116">
        <v>0</v>
      </c>
      <c r="I233" s="198"/>
      <c r="J233" s="198"/>
      <c r="K233" s="116"/>
      <c r="L233" s="198"/>
      <c r="M233" s="200"/>
      <c r="N233" s="198">
        <f t="shared" si="88"/>
        <v>0</v>
      </c>
      <c r="O233" s="194" t="s">
        <v>385</v>
      </c>
      <c r="P233" s="195"/>
    </row>
    <row r="234" spans="1:17" s="33" customFormat="1" ht="86.25" customHeight="1" thickTop="1" thickBot="1" x14ac:dyDescent="0.25">
      <c r="A234" s="55"/>
      <c r="B234" s="145" t="s">
        <v>49</v>
      </c>
      <c r="C234" s="145"/>
      <c r="D234" s="146" t="s">
        <v>50</v>
      </c>
      <c r="E234" s="147">
        <f>SUM(E235:E241)-E235-E237</f>
        <v>391317744.48000002</v>
      </c>
      <c r="F234" s="147">
        <f>SUM(F235:F241)-F235-F237</f>
        <v>165082891.07999998</v>
      </c>
      <c r="G234" s="147">
        <f>SUM(G235:G241)-G235-G237</f>
        <v>149723021.72</v>
      </c>
      <c r="H234" s="148">
        <f>G234/F234</f>
        <v>0.9069566248839408</v>
      </c>
      <c r="I234" s="147">
        <f>SUM(I235:I241)-I235-I237</f>
        <v>0</v>
      </c>
      <c r="J234" s="147">
        <f>SUM(J235:J241)-J235-J237</f>
        <v>0</v>
      </c>
      <c r="K234" s="149">
        <v>0</v>
      </c>
      <c r="L234" s="147"/>
      <c r="M234" s="147"/>
      <c r="N234" s="150">
        <f>J234+G234</f>
        <v>149723021.72</v>
      </c>
      <c r="O234" s="48" t="b">
        <f>N234=N236+N238+N239+N240</f>
        <v>1</v>
      </c>
      <c r="P234" s="194" t="s">
        <v>385</v>
      </c>
      <c r="Q234" s="195"/>
    </row>
    <row r="235" spans="1:17" s="33" customFormat="1" ht="62.25" thickTop="1" thickBot="1" x14ac:dyDescent="0.25">
      <c r="A235" s="55"/>
      <c r="B235" s="142" t="s">
        <v>376</v>
      </c>
      <c r="C235" s="142"/>
      <c r="D235" s="142" t="s">
        <v>377</v>
      </c>
      <c r="E235" s="157">
        <f t="shared" ref="E235:J235" si="95">E236</f>
        <v>205286500</v>
      </c>
      <c r="F235" s="157">
        <f t="shared" si="95"/>
        <v>51321600</v>
      </c>
      <c r="G235" s="157">
        <f t="shared" si="95"/>
        <v>51321600</v>
      </c>
      <c r="H235" s="122">
        <f>G235/F235</f>
        <v>1</v>
      </c>
      <c r="I235" s="203">
        <f t="shared" si="95"/>
        <v>0</v>
      </c>
      <c r="J235" s="203">
        <f t="shared" si="95"/>
        <v>0</v>
      </c>
      <c r="K235" s="122">
        <v>0</v>
      </c>
      <c r="L235" s="203"/>
      <c r="M235" s="203"/>
      <c r="N235" s="203">
        <f t="shared" si="88"/>
        <v>51321600</v>
      </c>
      <c r="O235" s="194" t="s">
        <v>385</v>
      </c>
      <c r="P235" s="195"/>
    </row>
    <row r="236" spans="1:17" s="33" customFormat="1" ht="69" customHeight="1" thickTop="1" thickBot="1" x14ac:dyDescent="0.25">
      <c r="A236" s="55"/>
      <c r="B236" s="137">
        <v>9110</v>
      </c>
      <c r="C236" s="65" t="s">
        <v>27</v>
      </c>
      <c r="D236" s="118" t="s">
        <v>378</v>
      </c>
      <c r="E236" s="151">
        <v>205286500</v>
      </c>
      <c r="F236" s="151">
        <v>51321600</v>
      </c>
      <c r="G236" s="151">
        <v>51321600</v>
      </c>
      <c r="H236" s="116">
        <f>G236/F236</f>
        <v>1</v>
      </c>
      <c r="I236" s="198"/>
      <c r="J236" s="198"/>
      <c r="K236" s="198"/>
      <c r="L236" s="198"/>
      <c r="M236" s="200"/>
      <c r="N236" s="198">
        <f t="shared" si="88"/>
        <v>51321600</v>
      </c>
      <c r="O236" s="12"/>
    </row>
    <row r="237" spans="1:17" s="33" customFormat="1" ht="136.5" thickTop="1" thickBot="1" x14ac:dyDescent="0.25">
      <c r="A237" s="55"/>
      <c r="B237" s="142" t="s">
        <v>51</v>
      </c>
      <c r="C237" s="142"/>
      <c r="D237" s="142" t="s">
        <v>52</v>
      </c>
      <c r="E237" s="157">
        <f>SUM(E238:E239)</f>
        <v>10159800</v>
      </c>
      <c r="F237" s="157">
        <f>SUM(F238:F239)</f>
        <v>791000</v>
      </c>
      <c r="G237" s="157">
        <f t="shared" ref="G237" si="96">SUM(G238:G239)</f>
        <v>791000</v>
      </c>
      <c r="H237" s="122">
        <f t="shared" ref="H237:H241" si="97">G237/F237</f>
        <v>1</v>
      </c>
      <c r="I237" s="203">
        <f t="shared" ref="I237:J237" si="98">SUM(I238:I239)</f>
        <v>0</v>
      </c>
      <c r="J237" s="203">
        <f t="shared" si="98"/>
        <v>0</v>
      </c>
      <c r="K237" s="122">
        <v>0</v>
      </c>
      <c r="L237" s="203"/>
      <c r="M237" s="203"/>
      <c r="N237" s="203">
        <f t="shared" si="88"/>
        <v>791000</v>
      </c>
      <c r="O237" s="194" t="s">
        <v>385</v>
      </c>
      <c r="P237" s="195"/>
    </row>
    <row r="238" spans="1:17" s="33" customFormat="1" ht="184.5" thickTop="1" thickBot="1" x14ac:dyDescent="0.25">
      <c r="A238" s="52"/>
      <c r="B238" s="65" t="s">
        <v>53</v>
      </c>
      <c r="C238" s="65" t="s">
        <v>27</v>
      </c>
      <c r="D238" s="65" t="s">
        <v>54</v>
      </c>
      <c r="E238" s="151">
        <v>1159800</v>
      </c>
      <c r="F238" s="151">
        <v>291000</v>
      </c>
      <c r="G238" s="151">
        <v>291000</v>
      </c>
      <c r="H238" s="116">
        <f>G238/F238</f>
        <v>1</v>
      </c>
      <c r="I238" s="198"/>
      <c r="J238" s="198"/>
      <c r="K238" s="198"/>
      <c r="L238" s="198"/>
      <c r="M238" s="200"/>
      <c r="N238" s="198">
        <f t="shared" si="88"/>
        <v>291000</v>
      </c>
      <c r="O238" s="34"/>
      <c r="P238" s="46"/>
    </row>
    <row r="239" spans="1:17" s="33" customFormat="1" ht="60.75" thickTop="1" thickBot="1" x14ac:dyDescent="0.8">
      <c r="A239" s="52"/>
      <c r="B239" s="65" t="s">
        <v>55</v>
      </c>
      <c r="C239" s="65" t="s">
        <v>27</v>
      </c>
      <c r="D239" s="65" t="s">
        <v>56</v>
      </c>
      <c r="E239" s="151">
        <v>9000000</v>
      </c>
      <c r="F239" s="151">
        <v>500000</v>
      </c>
      <c r="G239" s="151">
        <v>500000</v>
      </c>
      <c r="H239" s="116">
        <f>G239/F239</f>
        <v>1</v>
      </c>
      <c r="I239" s="198"/>
      <c r="J239" s="198"/>
      <c r="K239" s="116"/>
      <c r="L239" s="198"/>
      <c r="M239" s="200"/>
      <c r="N239" s="198">
        <f t="shared" si="88"/>
        <v>500000</v>
      </c>
      <c r="O239" s="49"/>
      <c r="P239" s="46"/>
    </row>
    <row r="240" spans="1:17" s="33" customFormat="1" ht="136.5" thickTop="1" thickBot="1" x14ac:dyDescent="0.25">
      <c r="A240" s="52"/>
      <c r="B240" s="142" t="s">
        <v>57</v>
      </c>
      <c r="C240" s="142" t="s">
        <v>27</v>
      </c>
      <c r="D240" s="142" t="s">
        <v>58</v>
      </c>
      <c r="E240" s="158">
        <v>175871444.47999999</v>
      </c>
      <c r="F240" s="158">
        <v>112970291.08</v>
      </c>
      <c r="G240" s="158">
        <v>97610421.719999999</v>
      </c>
      <c r="H240" s="125">
        <f t="shared" si="97"/>
        <v>0.86403620621705846</v>
      </c>
      <c r="I240" s="210"/>
      <c r="J240" s="210"/>
      <c r="K240" s="122"/>
      <c r="L240" s="203"/>
      <c r="M240" s="203"/>
      <c r="N240" s="210">
        <f t="shared" ref="N240:N241" si="99">G240+J240</f>
        <v>97610421.719999999</v>
      </c>
      <c r="O240" s="34"/>
      <c r="P240" s="46"/>
    </row>
    <row r="241" spans="1:27" s="33" customFormat="1" ht="367.5" hidden="1" thickTop="1" thickBot="1" x14ac:dyDescent="0.25">
      <c r="A241" s="52"/>
      <c r="B241" s="69" t="s">
        <v>477</v>
      </c>
      <c r="C241" s="69" t="s">
        <v>27</v>
      </c>
      <c r="D241" s="69" t="s">
        <v>476</v>
      </c>
      <c r="E241" s="70">
        <v>0</v>
      </c>
      <c r="F241" s="70">
        <v>0</v>
      </c>
      <c r="G241" s="70">
        <v>0</v>
      </c>
      <c r="H241" s="68" t="e">
        <f t="shared" si="97"/>
        <v>#DIV/0!</v>
      </c>
      <c r="I241" s="70"/>
      <c r="J241" s="70"/>
      <c r="K241" s="68"/>
      <c r="L241" s="70"/>
      <c r="M241" s="71"/>
      <c r="N241" s="70">
        <f t="shared" si="99"/>
        <v>0</v>
      </c>
      <c r="O241" s="34"/>
      <c r="P241" s="46"/>
    </row>
    <row r="242" spans="1:27" s="33" customFormat="1" ht="71.45" customHeight="1" thickTop="1" thickBot="1" x14ac:dyDescent="0.25">
      <c r="A242" s="55"/>
      <c r="B242" s="58" t="s">
        <v>379</v>
      </c>
      <c r="C242" s="58" t="s">
        <v>379</v>
      </c>
      <c r="D242" s="59" t="s">
        <v>386</v>
      </c>
      <c r="E242" s="60">
        <f>E14+E19+E69+E85+E139+E150+E167+E183+E219+E234</f>
        <v>5577391803.2399998</v>
      </c>
      <c r="F242" s="60">
        <f>F14+F19+F69+F85+F139+F150+F167+F183+F219+F234</f>
        <v>1734445856.71</v>
      </c>
      <c r="G242" s="60">
        <f>G14+G19+G69+G85+G139+G150+G167+G183+G219+G234</f>
        <v>1493083688.7000008</v>
      </c>
      <c r="H242" s="61">
        <f>G242/F242</f>
        <v>0.86084191266262444</v>
      </c>
      <c r="I242" s="60">
        <f>I14+I19+I69+I85+I139+I150+I167+I183+I219+I234</f>
        <v>529358870.39000005</v>
      </c>
      <c r="J242" s="60">
        <f>J14+J19+J69+J85+J139+J150+J167+J183+J219+J234</f>
        <v>111308545.43000001</v>
      </c>
      <c r="K242" s="61">
        <f>J242/I242</f>
        <v>0.21027048313744987</v>
      </c>
      <c r="L242" s="60" t="e">
        <f>#REF!+#REF!+#REF!+#REF!+#REF!+#REF!++L158+L168+L230+L187+L211+L222+L177+#REF!+#REF!</f>
        <v>#REF!</v>
      </c>
      <c r="M242" s="60" t="e">
        <f>#REF!+#REF!+#REF!+#REF!+#REF!+#REF!++M158+M168+M230+M187+M211+M222+M177+#REF!+#REF!</f>
        <v>#REF!</v>
      </c>
      <c r="N242" s="60">
        <f>N14+N19+N69+N85+N139+N150+N167+N183+N219+N234</f>
        <v>1604392234.1300008</v>
      </c>
      <c r="O242" s="48" t="b">
        <f>N242=J242+G242</f>
        <v>1</v>
      </c>
      <c r="P242" s="46"/>
    </row>
    <row r="243" spans="1:27" s="33" customFormat="1" ht="62.25" thickTop="1" thickBot="1" x14ac:dyDescent="0.25">
      <c r="A243" s="52"/>
      <c r="B243" s="219" t="s">
        <v>44</v>
      </c>
      <c r="C243" s="217"/>
      <c r="D243" s="129" t="s">
        <v>391</v>
      </c>
      <c r="E243" s="212">
        <f>E244</f>
        <v>0</v>
      </c>
      <c r="F243" s="212">
        <f t="shared" ref="F243:G243" si="100">F244</f>
        <v>0</v>
      </c>
      <c r="G243" s="212">
        <f t="shared" si="100"/>
        <v>0</v>
      </c>
      <c r="H243" s="125">
        <v>0</v>
      </c>
      <c r="I243" s="212">
        <f>I244</f>
        <v>0</v>
      </c>
      <c r="J243" s="212">
        <f>J244</f>
        <v>-44722.67</v>
      </c>
      <c r="K243" s="125"/>
      <c r="L243" s="212"/>
      <c r="M243" s="212"/>
      <c r="N243" s="210">
        <f t="shared" ref="N243:N250" si="101">G243+J243</f>
        <v>-44722.67</v>
      </c>
      <c r="O243" s="194" t="s">
        <v>385</v>
      </c>
      <c r="P243" s="195"/>
    </row>
    <row r="244" spans="1:27" s="33" customFormat="1" ht="62.25" thickTop="1" thickBot="1" x14ac:dyDescent="0.25">
      <c r="A244" s="52"/>
      <c r="B244" s="208" t="s">
        <v>389</v>
      </c>
      <c r="C244" s="217"/>
      <c r="D244" s="128" t="s">
        <v>392</v>
      </c>
      <c r="E244" s="209">
        <f>E245+E250+E248</f>
        <v>0</v>
      </c>
      <c r="F244" s="209">
        <f t="shared" ref="F244:G244" si="102">F245+F250+F248</f>
        <v>0</v>
      </c>
      <c r="G244" s="209">
        <f t="shared" si="102"/>
        <v>0</v>
      </c>
      <c r="H244" s="122">
        <v>0</v>
      </c>
      <c r="I244" s="209">
        <f>I245+I250+I248</f>
        <v>0</v>
      </c>
      <c r="J244" s="209">
        <f>J245+J250+J248</f>
        <v>-44722.67</v>
      </c>
      <c r="K244" s="122"/>
      <c r="L244" s="209"/>
      <c r="M244" s="209"/>
      <c r="N244" s="203">
        <f t="shared" si="101"/>
        <v>-44722.67</v>
      </c>
      <c r="O244" s="194" t="s">
        <v>385</v>
      </c>
      <c r="P244" s="195"/>
    </row>
    <row r="245" spans="1:27" s="33" customFormat="1" ht="184.5" thickTop="1" thickBot="1" x14ac:dyDescent="0.25">
      <c r="A245" s="55"/>
      <c r="B245" s="218" t="s">
        <v>390</v>
      </c>
      <c r="C245" s="217"/>
      <c r="D245" s="127" t="s">
        <v>393</v>
      </c>
      <c r="E245" s="201">
        <f>E246+E247</f>
        <v>0</v>
      </c>
      <c r="F245" s="201">
        <f>F246+F247</f>
        <v>0</v>
      </c>
      <c r="G245" s="201">
        <f>G246+G247</f>
        <v>0</v>
      </c>
      <c r="H245" s="117">
        <v>0</v>
      </c>
      <c r="I245" s="201">
        <f>SUM(I246:I247)</f>
        <v>0</v>
      </c>
      <c r="J245" s="201">
        <f>SUM(J246:J247)</f>
        <v>-28079.19</v>
      </c>
      <c r="K245" s="116"/>
      <c r="L245" s="201"/>
      <c r="M245" s="201"/>
      <c r="N245" s="199">
        <f t="shared" si="101"/>
        <v>-28079.19</v>
      </c>
      <c r="O245" s="194" t="s">
        <v>385</v>
      </c>
      <c r="P245" s="195"/>
    </row>
    <row r="246" spans="1:27" s="33" customFormat="1" ht="138.75" thickTop="1" thickBot="1" x14ac:dyDescent="0.25">
      <c r="A246" s="55"/>
      <c r="B246" s="213" t="s">
        <v>387</v>
      </c>
      <c r="C246" s="213" t="s">
        <v>81</v>
      </c>
      <c r="D246" s="211" t="s">
        <v>628</v>
      </c>
      <c r="E246" s="200">
        <v>0</v>
      </c>
      <c r="F246" s="200">
        <v>0</v>
      </c>
      <c r="G246" s="200">
        <v>0</v>
      </c>
      <c r="H246" s="116">
        <v>0</v>
      </c>
      <c r="I246" s="200">
        <v>1000000</v>
      </c>
      <c r="J246" s="200">
        <v>0</v>
      </c>
      <c r="K246" s="116">
        <f>J246/I246</f>
        <v>0</v>
      </c>
      <c r="L246" s="212"/>
      <c r="M246" s="212"/>
      <c r="N246" s="198">
        <f>G246+J246</f>
        <v>0</v>
      </c>
      <c r="O246" s="194" t="s">
        <v>385</v>
      </c>
      <c r="P246" s="195"/>
    </row>
    <row r="247" spans="1:27" s="33" customFormat="1" ht="184.5" thickTop="1" thickBot="1" x14ac:dyDescent="1.2">
      <c r="A247" s="52"/>
      <c r="B247" s="213" t="s">
        <v>388</v>
      </c>
      <c r="C247" s="213" t="s">
        <v>81</v>
      </c>
      <c r="D247" s="211" t="s">
        <v>394</v>
      </c>
      <c r="E247" s="212"/>
      <c r="F247" s="212"/>
      <c r="G247" s="212"/>
      <c r="H247" s="122"/>
      <c r="I247" s="200">
        <v>-1000000</v>
      </c>
      <c r="J247" s="200">
        <v>-28079.19</v>
      </c>
      <c r="K247" s="116"/>
      <c r="L247" s="212"/>
      <c r="M247" s="212"/>
      <c r="N247" s="198">
        <f t="shared" si="101"/>
        <v>-28079.19</v>
      </c>
      <c r="O247" s="194" t="s">
        <v>385</v>
      </c>
      <c r="P247" s="195"/>
      <c r="AA247" s="51"/>
    </row>
    <row r="248" spans="1:27" s="33" customFormat="1" ht="138.75" thickTop="1" thickBot="1" x14ac:dyDescent="1.2">
      <c r="A248" s="55"/>
      <c r="B248" s="214" t="s">
        <v>486</v>
      </c>
      <c r="C248" s="214"/>
      <c r="D248" s="215" t="s">
        <v>485</v>
      </c>
      <c r="E248" s="201">
        <f>E249</f>
        <v>0</v>
      </c>
      <c r="F248" s="201">
        <f>F249</f>
        <v>0</v>
      </c>
      <c r="G248" s="201">
        <f>G249</f>
        <v>0</v>
      </c>
      <c r="H248" s="117">
        <v>0</v>
      </c>
      <c r="I248" s="201">
        <f>I249</f>
        <v>0</v>
      </c>
      <c r="J248" s="201">
        <f>J249</f>
        <v>-16643.48</v>
      </c>
      <c r="K248" s="117"/>
      <c r="L248" s="201"/>
      <c r="M248" s="201"/>
      <c r="N248" s="199">
        <f t="shared" ref="N248" si="103">G248+J248</f>
        <v>-16643.48</v>
      </c>
      <c r="O248" s="194" t="s">
        <v>385</v>
      </c>
      <c r="P248" s="195"/>
      <c r="AA248" s="51"/>
    </row>
    <row r="249" spans="1:27" s="33" customFormat="1" ht="138.75" thickTop="1" thickBot="1" x14ac:dyDescent="1.2">
      <c r="A249" s="55"/>
      <c r="B249" s="213" t="s">
        <v>487</v>
      </c>
      <c r="C249" s="213" t="s">
        <v>81</v>
      </c>
      <c r="D249" s="211" t="s">
        <v>488</v>
      </c>
      <c r="E249" s="200"/>
      <c r="F249" s="200"/>
      <c r="G249" s="200"/>
      <c r="H249" s="116"/>
      <c r="I249" s="200">
        <v>0</v>
      </c>
      <c r="J249" s="200">
        <v>-16643.48</v>
      </c>
      <c r="K249" s="116"/>
      <c r="L249" s="212"/>
      <c r="M249" s="212"/>
      <c r="N249" s="198">
        <f>G249+J249</f>
        <v>-16643.48</v>
      </c>
      <c r="O249" s="194" t="s">
        <v>385</v>
      </c>
      <c r="P249" s="195"/>
      <c r="AA249" s="51"/>
    </row>
    <row r="250" spans="1:27" s="33" customFormat="1" ht="138.75" thickTop="1" thickBot="1" x14ac:dyDescent="1.2">
      <c r="A250" s="216"/>
      <c r="B250" s="214" t="s">
        <v>484</v>
      </c>
      <c r="C250" s="217"/>
      <c r="D250" s="127" t="s">
        <v>481</v>
      </c>
      <c r="E250" s="201">
        <f>SUM(E251:E252)</f>
        <v>0</v>
      </c>
      <c r="F250" s="201">
        <f>SUM(F251:F252)</f>
        <v>0</v>
      </c>
      <c r="G250" s="201">
        <f>SUM(G251:G252)</f>
        <v>0</v>
      </c>
      <c r="H250" s="117">
        <v>0</v>
      </c>
      <c r="I250" s="201">
        <f>SUM(I251:I252)</f>
        <v>0</v>
      </c>
      <c r="J250" s="201">
        <f>SUM(J251:J252)</f>
        <v>0</v>
      </c>
      <c r="K250" s="117">
        <v>0</v>
      </c>
      <c r="L250" s="201"/>
      <c r="M250" s="201"/>
      <c r="N250" s="199">
        <f t="shared" si="101"/>
        <v>0</v>
      </c>
      <c r="O250" s="194" t="s">
        <v>385</v>
      </c>
      <c r="P250" s="195"/>
      <c r="AA250" s="51"/>
    </row>
    <row r="251" spans="1:27" s="33" customFormat="1" ht="138.75" thickTop="1" thickBot="1" x14ac:dyDescent="1.2">
      <c r="A251" s="55"/>
      <c r="B251" s="213" t="s">
        <v>483</v>
      </c>
      <c r="C251" s="213" t="s">
        <v>38</v>
      </c>
      <c r="D251" s="211" t="s">
        <v>482</v>
      </c>
      <c r="E251" s="212"/>
      <c r="F251" s="212"/>
      <c r="G251" s="212"/>
      <c r="H251" s="122"/>
      <c r="I251" s="200">
        <v>142448720.09999999</v>
      </c>
      <c r="J251" s="200">
        <v>0</v>
      </c>
      <c r="K251" s="116">
        <f>J251/I251</f>
        <v>0</v>
      </c>
      <c r="L251" s="212"/>
      <c r="M251" s="212"/>
      <c r="N251" s="198">
        <f>G251+J251</f>
        <v>0</v>
      </c>
      <c r="O251" s="67"/>
      <c r="P251" s="46"/>
      <c r="AA251" s="51"/>
    </row>
    <row r="252" spans="1:27" s="33" customFormat="1" ht="138.75" thickTop="1" thickBot="1" x14ac:dyDescent="1.2">
      <c r="A252" s="55"/>
      <c r="B252" s="213" t="s">
        <v>499</v>
      </c>
      <c r="C252" s="213" t="s">
        <v>38</v>
      </c>
      <c r="D252" s="211" t="s">
        <v>500</v>
      </c>
      <c r="E252" s="212"/>
      <c r="F252" s="212"/>
      <c r="G252" s="212"/>
      <c r="H252" s="122"/>
      <c r="I252" s="200">
        <v>-142448720.09999999</v>
      </c>
      <c r="J252" s="200">
        <v>0</v>
      </c>
      <c r="K252" s="116">
        <f>J252/I252</f>
        <v>0</v>
      </c>
      <c r="L252" s="212"/>
      <c r="M252" s="212"/>
      <c r="N252" s="198">
        <f>G252+J252</f>
        <v>0</v>
      </c>
      <c r="O252" s="67"/>
      <c r="P252" s="46"/>
      <c r="AA252" s="51"/>
    </row>
    <row r="253" spans="1:27" s="33" customFormat="1" ht="119.25" customHeight="1" thickTop="1" thickBot="1" x14ac:dyDescent="0.25">
      <c r="A253" s="55"/>
      <c r="B253" s="58" t="s">
        <v>379</v>
      </c>
      <c r="C253" s="58" t="s">
        <v>379</v>
      </c>
      <c r="D253" s="59" t="s">
        <v>380</v>
      </c>
      <c r="E253" s="60">
        <f>E242+E243</f>
        <v>5577391803.2399998</v>
      </c>
      <c r="F253" s="60">
        <f>F242+F243</f>
        <v>1734445856.71</v>
      </c>
      <c r="G253" s="60">
        <f>G242+G243</f>
        <v>1493083688.7000008</v>
      </c>
      <c r="H253" s="61">
        <f>G253/F253</f>
        <v>0.86084191266262444</v>
      </c>
      <c r="I253" s="60">
        <f>I242+I243</f>
        <v>529358870.39000005</v>
      </c>
      <c r="J253" s="60">
        <f>J242+J243</f>
        <v>111263822.76000001</v>
      </c>
      <c r="K253" s="61">
        <f>J253/I253</f>
        <v>0.21018599854202397</v>
      </c>
      <c r="L253" s="60" t="e">
        <f>#REF!+#REF!+#REF!+#REF!+#REF!+#REF!++L165+L175+L236+L202+L217+#REF!+L186+#REF!+#REF!</f>
        <v>#REF!</v>
      </c>
      <c r="M253" s="60" t="e">
        <f>#REF!+#REF!+#REF!+#REF!+#REF!+#REF!++M165+M175+M236+M202+M217+#REF!+M186+#REF!+#REF!</f>
        <v>#REF!</v>
      </c>
      <c r="N253" s="60">
        <f>N242+N243</f>
        <v>1604347511.4600008</v>
      </c>
      <c r="O253" s="48" t="b">
        <f>N253=J253+G253</f>
        <v>1</v>
      </c>
      <c r="P253" s="46"/>
      <c r="S253" s="60">
        <f>N253/(I253+E253)*100</f>
        <v>26.271704826395638</v>
      </c>
      <c r="T253" s="60">
        <f>G253/E253*100</f>
        <v>26.770285132786327</v>
      </c>
    </row>
    <row r="254" spans="1:27" ht="46.5" thickTop="1" x14ac:dyDescent="0.2">
      <c r="A254" s="192" t="s">
        <v>627</v>
      </c>
      <c r="B254" s="192"/>
      <c r="C254" s="192"/>
      <c r="D254" s="192"/>
      <c r="E254" s="192"/>
      <c r="F254" s="192"/>
      <c r="G254" s="192"/>
      <c r="H254" s="192"/>
      <c r="I254" s="192"/>
      <c r="J254" s="192"/>
      <c r="K254" s="192"/>
      <c r="L254" s="192"/>
      <c r="M254" s="192"/>
      <c r="N254" s="192"/>
      <c r="O254" s="35"/>
    </row>
    <row r="255" spans="1:27" ht="45.75" x14ac:dyDescent="0.65">
      <c r="A255" s="36"/>
      <c r="B255" s="37"/>
      <c r="C255" s="37"/>
      <c r="D255" s="38" t="s">
        <v>564</v>
      </c>
      <c r="E255"/>
      <c r="F255"/>
      <c r="G255" s="38"/>
      <c r="H255" s="40"/>
      <c r="I255" s="38" t="s">
        <v>565</v>
      </c>
      <c r="J255" s="40"/>
      <c r="K255" s="40"/>
      <c r="L255" s="40"/>
      <c r="M255" s="40"/>
      <c r="N255" s="40"/>
      <c r="O255" s="35"/>
    </row>
    <row r="256" spans="1:27" ht="45.75" x14ac:dyDescent="0.65">
      <c r="A256" s="56"/>
      <c r="B256" s="57"/>
      <c r="C256" s="57"/>
      <c r="D256" s="193"/>
      <c r="E256" s="193"/>
      <c r="F256" s="193"/>
      <c r="G256" s="193"/>
      <c r="H256" s="193"/>
      <c r="I256" s="193"/>
      <c r="J256" s="193"/>
      <c r="K256" s="193"/>
      <c r="L256" s="193"/>
      <c r="M256" s="193"/>
      <c r="N256" s="193"/>
      <c r="O256" s="35"/>
    </row>
    <row r="257" spans="1:15" ht="45.75" x14ac:dyDescent="0.65">
      <c r="A257" s="36"/>
      <c r="B257" s="37"/>
      <c r="C257" s="37"/>
      <c r="D257" s="38" t="s">
        <v>492</v>
      </c>
      <c r="E257" s="39"/>
      <c r="F257" s="39"/>
      <c r="G257" s="38"/>
      <c r="H257" s="40"/>
      <c r="I257" s="38" t="s">
        <v>493</v>
      </c>
      <c r="J257" s="40"/>
      <c r="K257" s="40"/>
      <c r="L257" s="40"/>
      <c r="M257" s="40"/>
      <c r="N257" s="40"/>
      <c r="O257" s="35"/>
    </row>
    <row r="258" spans="1:15" ht="45.75" x14ac:dyDescent="0.65">
      <c r="A258" s="2"/>
      <c r="B258" s="2"/>
      <c r="C258" s="2"/>
      <c r="D258" s="191"/>
      <c r="E258" s="191"/>
      <c r="F258" s="191"/>
      <c r="G258" s="191"/>
      <c r="H258" s="191"/>
      <c r="I258" s="191"/>
      <c r="J258" s="191"/>
      <c r="K258" s="191"/>
      <c r="L258" s="191"/>
      <c r="M258" s="191"/>
      <c r="N258" s="191"/>
      <c r="O258" s="41"/>
    </row>
    <row r="275" spans="5:10" ht="47.25" hidden="1" thickTop="1" thickBot="1" x14ac:dyDescent="0.25">
      <c r="E275" s="50">
        <f>E242-E234-E232</f>
        <v>5178308145.0300007</v>
      </c>
      <c r="F275" s="50">
        <f>F242-F234-F232</f>
        <v>1569362965.6300001</v>
      </c>
      <c r="I275" s="50">
        <f>I242-I234-I232</f>
        <v>529358870.39000005</v>
      </c>
      <c r="J275" s="77"/>
    </row>
    <row r="283" spans="5:10" ht="45.75" x14ac:dyDescent="0.2">
      <c r="I283" s="77"/>
    </row>
    <row r="286" spans="5:10" ht="228" customHeight="1" x14ac:dyDescent="0.2"/>
    <row r="287" spans="5:10" ht="294" customHeight="1" x14ac:dyDescent="0.2"/>
    <row r="288" spans="5:10" ht="258" customHeight="1" x14ac:dyDescent="0.2"/>
    <row r="289" ht="180" customHeight="1" x14ac:dyDescent="0.2"/>
    <row r="290" ht="249" customHeight="1" x14ac:dyDescent="0.2"/>
  </sheetData>
  <mergeCells count="130">
    <mergeCell ref="O25:P25"/>
    <mergeCell ref="O15:P15"/>
    <mergeCell ref="O16:P16"/>
    <mergeCell ref="O18:P18"/>
    <mergeCell ref="Q14:R14"/>
    <mergeCell ref="O79:P79"/>
    <mergeCell ref="O75:P75"/>
    <mergeCell ref="O86:P86"/>
    <mergeCell ref="O151:P151"/>
    <mergeCell ref="O38:P38"/>
    <mergeCell ref="O42:P42"/>
    <mergeCell ref="O52:P52"/>
    <mergeCell ref="O55:P55"/>
    <mergeCell ref="O63:P63"/>
    <mergeCell ref="O98:P98"/>
    <mergeCell ref="O107:P107"/>
    <mergeCell ref="O109:P109"/>
    <mergeCell ref="O112:P112"/>
    <mergeCell ref="O84:P84"/>
    <mergeCell ref="O37:P37"/>
    <mergeCell ref="O195:P195"/>
    <mergeCell ref="O197:P197"/>
    <mergeCell ref="O191:P191"/>
    <mergeCell ref="O180:P180"/>
    <mergeCell ref="O181:P181"/>
    <mergeCell ref="O201:P201"/>
    <mergeCell ref="O202:P202"/>
    <mergeCell ref="O204:P204"/>
    <mergeCell ref="O154:P154"/>
    <mergeCell ref="O177:P177"/>
    <mergeCell ref="O168:P168"/>
    <mergeCell ref="O209:P209"/>
    <mergeCell ref="O250:P250"/>
    <mergeCell ref="O246:P246"/>
    <mergeCell ref="O245:P245"/>
    <mergeCell ref="O244:P244"/>
    <mergeCell ref="O243:P243"/>
    <mergeCell ref="O221:P221"/>
    <mergeCell ref="O233:P233"/>
    <mergeCell ref="O232:P232"/>
    <mergeCell ref="O223:P223"/>
    <mergeCell ref="O248:P248"/>
    <mergeCell ref="O237:P237"/>
    <mergeCell ref="P234:Q234"/>
    <mergeCell ref="O247:P247"/>
    <mergeCell ref="O249:P249"/>
    <mergeCell ref="O227:P227"/>
    <mergeCell ref="O229:P229"/>
    <mergeCell ref="O235:P235"/>
    <mergeCell ref="K127:K129"/>
    <mergeCell ref="N127:N129"/>
    <mergeCell ref="G127:G129"/>
    <mergeCell ref="G120:G123"/>
    <mergeCell ref="N130:N132"/>
    <mergeCell ref="O231:P231"/>
    <mergeCell ref="O212:P212"/>
    <mergeCell ref="C124:C126"/>
    <mergeCell ref="E120:E123"/>
    <mergeCell ref="E124:E126"/>
    <mergeCell ref="O220:P220"/>
    <mergeCell ref="O184:P184"/>
    <mergeCell ref="O185:P185"/>
    <mergeCell ref="K124:K126"/>
    <mergeCell ref="K120:K123"/>
    <mergeCell ref="I124:I126"/>
    <mergeCell ref="J124:J126"/>
    <mergeCell ref="I120:I123"/>
    <mergeCell ref="J120:J123"/>
    <mergeCell ref="E127:E129"/>
    <mergeCell ref="I127:I129"/>
    <mergeCell ref="J127:J129"/>
    <mergeCell ref="O186:P186"/>
    <mergeCell ref="O193:P193"/>
    <mergeCell ref="D258:N258"/>
    <mergeCell ref="F11:F12"/>
    <mergeCell ref="G11:G12"/>
    <mergeCell ref="K11:K12"/>
    <mergeCell ref="A254:N254"/>
    <mergeCell ref="D256:N256"/>
    <mergeCell ref="B127:B129"/>
    <mergeCell ref="C127:C129"/>
    <mergeCell ref="E117:E119"/>
    <mergeCell ref="K117:K119"/>
    <mergeCell ref="F117:F119"/>
    <mergeCell ref="N120:N123"/>
    <mergeCell ref="F124:F126"/>
    <mergeCell ref="G124:G126"/>
    <mergeCell ref="F127:F129"/>
    <mergeCell ref="F120:F123"/>
    <mergeCell ref="B117:B119"/>
    <mergeCell ref="C117:C119"/>
    <mergeCell ref="H117:H119"/>
    <mergeCell ref="H120:H123"/>
    <mergeCell ref="H124:H126"/>
    <mergeCell ref="H127:H129"/>
    <mergeCell ref="N124:N126"/>
    <mergeCell ref="G117:G119"/>
    <mergeCell ref="B120:B123"/>
    <mergeCell ref="C120:C123"/>
    <mergeCell ref="B124:B126"/>
    <mergeCell ref="K2:N2"/>
    <mergeCell ref="J3:N3"/>
    <mergeCell ref="A8:B8"/>
    <mergeCell ref="A4:N4"/>
    <mergeCell ref="N10:N12"/>
    <mergeCell ref="E11:E12"/>
    <mergeCell ref="H11:H12"/>
    <mergeCell ref="I11:I12"/>
    <mergeCell ref="J11:J12"/>
    <mergeCell ref="E10:H10"/>
    <mergeCell ref="A10:A12"/>
    <mergeCell ref="B10:B12"/>
    <mergeCell ref="C10:C12"/>
    <mergeCell ref="D10:D12"/>
    <mergeCell ref="M11:M12"/>
    <mergeCell ref="I10:M10"/>
    <mergeCell ref="A5:N5"/>
    <mergeCell ref="A7:B7"/>
    <mergeCell ref="I117:I119"/>
    <mergeCell ref="J117:J119"/>
    <mergeCell ref="N117:N119"/>
    <mergeCell ref="C130:C132"/>
    <mergeCell ref="B130:B132"/>
    <mergeCell ref="E130:E132"/>
    <mergeCell ref="F130:F132"/>
    <mergeCell ref="G130:G132"/>
    <mergeCell ref="H130:H132"/>
    <mergeCell ref="I130:I132"/>
    <mergeCell ref="J130:J132"/>
    <mergeCell ref="K130:K132"/>
  </mergeCells>
  <pageMargins left="0.23622047244094491" right="0.27559055118110237" top="0.27559055118110237" bottom="0.15748031496062992" header="0.23622047244094491" footer="0.27559055118110237"/>
  <pageSetup paperSize="9" scale="18" orientation="landscape" horizontalDpi="300" verticalDpi="300" r:id="rId1"/>
  <headerFooter alignWithMargins="0">
    <oddFooter>&amp;C&amp;"Times New Roman Cyr,курсив"Сторінка &amp;P з &amp;N</oddFooter>
  </headerFooter>
  <rowBreaks count="1" manualBreakCount="1">
    <brk id="112"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d2</vt:lpstr>
      <vt:lpstr>'d2'!Заголовки_для_друку</vt:lpstr>
      <vt:lpstr>'d2'!Область_друку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Ковтун Денис Леонідович</dc:creator>
  <cp:lastModifiedBy>Ковтун Денис Леонідович</cp:lastModifiedBy>
  <cp:lastPrinted>2025-11-07T08:12:22Z</cp:lastPrinted>
  <dcterms:created xsi:type="dcterms:W3CDTF">2021-05-18T12:47:38Z</dcterms:created>
  <dcterms:modified xsi:type="dcterms:W3CDTF">2026-04-22T08:00:32Z</dcterms:modified>
</cp:coreProperties>
</file>