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O:\BUDJET\2025\Звіт за 2025 рік\"/>
    </mc:Choice>
  </mc:AlternateContent>
  <xr:revisionPtr revIDLastSave="0" documentId="13_ncr:1_{B3DA8827-9690-4751-BEFE-2FDB071604C1}" xr6:coauthVersionLast="47" xr6:coauthVersionMax="47" xr10:uidLastSave="{00000000-0000-0000-0000-000000000000}"/>
  <bookViews>
    <workbookView xWindow="-120" yWindow="-120" windowWidth="29040" windowHeight="15720" xr2:uid="{00000000-000D-0000-FFFF-FFFF00000000}"/>
  </bookViews>
  <sheets>
    <sheet name="d2" sheetId="1" r:id="rId1"/>
  </sheets>
  <definedNames>
    <definedName name="_xlnm.Print_Titles" localSheetId="0">'d2'!$10:$13</definedName>
    <definedName name="_xlnm.Print_Area" localSheetId="0">'d2'!$B$1:$M$253</definedName>
    <definedName name="С1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1" l="1"/>
  <c r="H213" i="1" l="1"/>
  <c r="H210" i="1"/>
  <c r="H208" i="1"/>
  <c r="J200" i="1"/>
  <c r="N165" i="1"/>
  <c r="M180" i="1"/>
  <c r="H180" i="1"/>
  <c r="J161" i="1"/>
  <c r="H135" i="1" l="1"/>
  <c r="H134" i="1"/>
  <c r="H132" i="1"/>
  <c r="I97" i="1"/>
  <c r="H97" i="1"/>
  <c r="I108" i="1"/>
  <c r="H108" i="1"/>
  <c r="H61" i="1"/>
  <c r="J55" i="1"/>
  <c r="J38" i="1"/>
  <c r="H18" i="1"/>
  <c r="H16" i="1" l="1"/>
  <c r="F19" i="1"/>
  <c r="E19" i="1"/>
  <c r="M67" i="1"/>
  <c r="G67" i="1"/>
  <c r="F32" i="1"/>
  <c r="E32" i="1"/>
  <c r="E246" i="1" l="1"/>
  <c r="E244" i="1"/>
  <c r="E241" i="1"/>
  <c r="E240" i="1" s="1"/>
  <c r="E239" i="1" s="1"/>
  <c r="E233" i="1"/>
  <c r="E230" i="1" s="1"/>
  <c r="E231" i="1"/>
  <c r="E228" i="1"/>
  <c r="E225" i="1"/>
  <c r="E223" i="1"/>
  <c r="E219" i="1"/>
  <c r="E216" i="1"/>
  <c r="E212" i="1"/>
  <c r="E203" i="1" s="1"/>
  <c r="E205" i="1"/>
  <c r="E200" i="1"/>
  <c r="E198" i="1"/>
  <c r="E195" i="1"/>
  <c r="E193" i="1"/>
  <c r="E189" i="1"/>
  <c r="E184" i="1" s="1"/>
  <c r="E182" i="1"/>
  <c r="E175" i="1"/>
  <c r="E166" i="1"/>
  <c r="E160" i="1"/>
  <c r="E157" i="1"/>
  <c r="E154" i="1"/>
  <c r="E152" i="1"/>
  <c r="E149" i="1"/>
  <c r="E144" i="1"/>
  <c r="E138" i="1" s="1"/>
  <c r="E133" i="1"/>
  <c r="E115" i="1"/>
  <c r="E111" i="1"/>
  <c r="E108" i="1"/>
  <c r="E103" i="1"/>
  <c r="E99" i="1"/>
  <c r="E97" i="1"/>
  <c r="E94" i="1"/>
  <c r="E85" i="1"/>
  <c r="E81" i="1"/>
  <c r="E78" i="1"/>
  <c r="E76" i="1"/>
  <c r="E74" i="1"/>
  <c r="E64" i="1"/>
  <c r="E62" i="1"/>
  <c r="E58" i="1"/>
  <c r="E55" i="1"/>
  <c r="E52" i="1"/>
  <c r="E49" i="1"/>
  <c r="E42" i="1"/>
  <c r="E38" i="1"/>
  <c r="E35" i="1"/>
  <c r="E28" i="1"/>
  <c r="E25" i="1"/>
  <c r="E21" i="1"/>
  <c r="E14" i="1"/>
  <c r="J235" i="1"/>
  <c r="J226" i="1"/>
  <c r="M164" i="1"/>
  <c r="J164" i="1"/>
  <c r="H133" i="1"/>
  <c r="I133" i="1"/>
  <c r="F133" i="1"/>
  <c r="M136" i="1"/>
  <c r="J136" i="1"/>
  <c r="M129" i="1"/>
  <c r="H115" i="1"/>
  <c r="I115" i="1"/>
  <c r="F115" i="1"/>
  <c r="J75" i="1"/>
  <c r="J39" i="1"/>
  <c r="J65" i="1"/>
  <c r="M65" i="1"/>
  <c r="I64" i="1"/>
  <c r="H64" i="1"/>
  <c r="F64" i="1"/>
  <c r="I55" i="1"/>
  <c r="H55" i="1"/>
  <c r="F55" i="1"/>
  <c r="J57" i="1"/>
  <c r="M57" i="1"/>
  <c r="M15" i="1"/>
  <c r="E165" i="1" l="1"/>
  <c r="E215" i="1"/>
  <c r="E192" i="1"/>
  <c r="E181" i="1" s="1"/>
  <c r="E68" i="1"/>
  <c r="E148" i="1"/>
  <c r="E84" i="1"/>
  <c r="J129" i="1"/>
  <c r="J64" i="1"/>
  <c r="M64" i="1"/>
  <c r="F193" i="1"/>
  <c r="G183" i="1"/>
  <c r="E238" i="1" l="1"/>
  <c r="E249" i="1" s="1"/>
  <c r="G106" i="1"/>
  <c r="J56" i="1"/>
  <c r="M56" i="1"/>
  <c r="G56" i="1"/>
  <c r="M55" i="1"/>
  <c r="J201" i="1"/>
  <c r="J179" i="1"/>
  <c r="J174" i="1"/>
  <c r="J169" i="1"/>
  <c r="J114" i="1"/>
  <c r="M83" i="1"/>
  <c r="J83" i="1"/>
  <c r="J72" i="1"/>
  <c r="G55" i="1" l="1"/>
  <c r="G227" i="1"/>
  <c r="G191" i="1"/>
  <c r="G153" i="1"/>
  <c r="F97" i="1"/>
  <c r="M97" i="1" s="1"/>
  <c r="M98" i="1"/>
  <c r="G98" i="1"/>
  <c r="F144" i="1"/>
  <c r="I144" i="1"/>
  <c r="I138" i="1" s="1"/>
  <c r="H144" i="1"/>
  <c r="H138" i="1" s="1"/>
  <c r="I233" i="1"/>
  <c r="H233" i="1"/>
  <c r="J218" i="1"/>
  <c r="I216" i="1"/>
  <c r="H216" i="1"/>
  <c r="F216" i="1"/>
  <c r="H212" i="1"/>
  <c r="J188" i="1"/>
  <c r="M188" i="1"/>
  <c r="I195" i="1"/>
  <c r="H195" i="1"/>
  <c r="F195" i="1"/>
  <c r="I193" i="1"/>
  <c r="H193" i="1"/>
  <c r="I182" i="1"/>
  <c r="H182" i="1"/>
  <c r="F182" i="1"/>
  <c r="J180" i="1"/>
  <c r="G172" i="1"/>
  <c r="I166" i="1"/>
  <c r="H166" i="1"/>
  <c r="F166" i="1"/>
  <c r="H152" i="1"/>
  <c r="I160" i="1"/>
  <c r="H160" i="1"/>
  <c r="F160" i="1"/>
  <c r="I154" i="1"/>
  <c r="H154" i="1"/>
  <c r="F154" i="1"/>
  <c r="J233" i="1" l="1"/>
  <c r="J216" i="1"/>
  <c r="G97" i="1"/>
  <c r="I152" i="1"/>
  <c r="F152" i="1"/>
  <c r="I149" i="1"/>
  <c r="H149" i="1"/>
  <c r="F149" i="1"/>
  <c r="M147" i="1"/>
  <c r="J147" i="1"/>
  <c r="F138" i="1"/>
  <c r="M137" i="1"/>
  <c r="J137" i="1"/>
  <c r="G152" i="1" l="1"/>
  <c r="I111" i="1"/>
  <c r="H111" i="1"/>
  <c r="F111" i="1"/>
  <c r="M113" i="1"/>
  <c r="G113" i="1"/>
  <c r="F108" i="1"/>
  <c r="F103" i="1"/>
  <c r="F99" i="1"/>
  <c r="F94" i="1"/>
  <c r="F85" i="1"/>
  <c r="F84" i="1" l="1"/>
  <c r="F78" i="1"/>
  <c r="F74" i="1"/>
  <c r="M63" i="1"/>
  <c r="I62" i="1"/>
  <c r="H62" i="1"/>
  <c r="J63" i="1"/>
  <c r="F62" i="1"/>
  <c r="M61" i="1"/>
  <c r="I42" i="1"/>
  <c r="H42" i="1"/>
  <c r="F42" i="1"/>
  <c r="M46" i="1"/>
  <c r="M45" i="1"/>
  <c r="J46" i="1"/>
  <c r="J45" i="1"/>
  <c r="J37" i="1"/>
  <c r="M66" i="1"/>
  <c r="G66" i="1"/>
  <c r="F58" i="1"/>
  <c r="F38" i="1"/>
  <c r="F35" i="1"/>
  <c r="F25" i="1"/>
  <c r="F21" i="1"/>
  <c r="J146" i="1"/>
  <c r="J236" i="1"/>
  <c r="I212" i="1"/>
  <c r="F212" i="1"/>
  <c r="I205" i="1"/>
  <c r="H205" i="1"/>
  <c r="F205" i="1"/>
  <c r="I99" i="1"/>
  <c r="H99" i="1"/>
  <c r="M102" i="1"/>
  <c r="M214" i="1"/>
  <c r="M213" i="1"/>
  <c r="M218" i="1"/>
  <c r="M221" i="1"/>
  <c r="M222" i="1"/>
  <c r="M62" i="1" l="1"/>
  <c r="J62" i="1"/>
  <c r="J61" i="1"/>
  <c r="I244" i="1"/>
  <c r="I241" i="1"/>
  <c r="G102" i="1" l="1"/>
  <c r="J186" i="1" l="1"/>
  <c r="I157" i="1"/>
  <c r="I148" i="1" s="1"/>
  <c r="H157" i="1"/>
  <c r="H148" i="1" s="1"/>
  <c r="F157" i="1"/>
  <c r="F81" i="1"/>
  <c r="M82" i="1"/>
  <c r="M53" i="1"/>
  <c r="J51" i="1"/>
  <c r="J50" i="1"/>
  <c r="G59" i="1"/>
  <c r="H58" i="1"/>
  <c r="J59" i="1"/>
  <c r="G48" i="1"/>
  <c r="M207" i="1"/>
  <c r="F246" i="1"/>
  <c r="I246" i="1"/>
  <c r="H246" i="1"/>
  <c r="M248" i="1"/>
  <c r="J248" i="1"/>
  <c r="G235" i="1"/>
  <c r="G234" i="1"/>
  <c r="M59" i="1"/>
  <c r="M60" i="1"/>
  <c r="J60" i="1"/>
  <c r="I58" i="1"/>
  <c r="G157" i="1" l="1"/>
  <c r="F148" i="1"/>
  <c r="M81" i="1"/>
  <c r="G58" i="1"/>
  <c r="J58" i="1"/>
  <c r="M58" i="1"/>
  <c r="J69" i="1"/>
  <c r="J71" i="1"/>
  <c r="I74" i="1"/>
  <c r="H74" i="1"/>
  <c r="J74" i="1" l="1"/>
  <c r="I52" i="1"/>
  <c r="H52" i="1"/>
  <c r="F52" i="1"/>
  <c r="J53" i="1"/>
  <c r="M41" i="1"/>
  <c r="J52" i="1" l="1"/>
  <c r="M52" i="1"/>
  <c r="G171" i="1" l="1"/>
  <c r="M171" i="1"/>
  <c r="M106" i="1" l="1"/>
  <c r="M245" i="1" l="1"/>
  <c r="H244" i="1"/>
  <c r="F244" i="1"/>
  <c r="M244" i="1" l="1"/>
  <c r="J247" i="1"/>
  <c r="M247" i="1"/>
  <c r="M246" i="1" l="1"/>
  <c r="J221" i="1" l="1"/>
  <c r="J100" i="1"/>
  <c r="M54" i="1"/>
  <c r="J54" i="1"/>
  <c r="M237" i="1" l="1"/>
  <c r="G237" i="1"/>
  <c r="G194" i="1" l="1"/>
  <c r="G159" i="1"/>
  <c r="M159" i="1"/>
  <c r="G139" i="1" l="1"/>
  <c r="G92" i="1"/>
  <c r="J242" i="1" l="1"/>
  <c r="G236" i="1"/>
  <c r="G232" i="1"/>
  <c r="G226" i="1"/>
  <c r="G222" i="1"/>
  <c r="G221" i="1"/>
  <c r="G220" i="1"/>
  <c r="G218" i="1"/>
  <c r="G217" i="1"/>
  <c r="G214" i="1" l="1"/>
  <c r="G211" i="1"/>
  <c r="G208" i="1"/>
  <c r="G207" i="1"/>
  <c r="G206" i="1"/>
  <c r="G204" i="1"/>
  <c r="G202" i="1"/>
  <c r="G201" i="1"/>
  <c r="G197" i="1"/>
  <c r="G196" i="1"/>
  <c r="G179" i="1" l="1"/>
  <c r="G174" i="1"/>
  <c r="G173" i="1"/>
  <c r="G169" i="1"/>
  <c r="G168" i="1"/>
  <c r="G167" i="1"/>
  <c r="G163" i="1"/>
  <c r="G162" i="1"/>
  <c r="G161" i="1"/>
  <c r="G156" i="1"/>
  <c r="G155" i="1"/>
  <c r="G151" i="1"/>
  <c r="G150" i="1"/>
  <c r="G146" i="1"/>
  <c r="G145" i="1"/>
  <c r="G143" i="1"/>
  <c r="G142" i="1"/>
  <c r="G141" i="1"/>
  <c r="G140" i="1"/>
  <c r="G135" i="1" l="1"/>
  <c r="G134" i="1"/>
  <c r="G132" i="1"/>
  <c r="G114" i="1"/>
  <c r="G112" i="1"/>
  <c r="G110" i="1"/>
  <c r="G109" i="1"/>
  <c r="G107" i="1"/>
  <c r="G105" i="1"/>
  <c r="G104" i="1"/>
  <c r="G101" i="1"/>
  <c r="G100" i="1"/>
  <c r="G96" i="1"/>
  <c r="G95" i="1"/>
  <c r="G93" i="1"/>
  <c r="G91" i="1"/>
  <c r="G90" i="1"/>
  <c r="G89" i="1"/>
  <c r="G88" i="1"/>
  <c r="G87" i="1"/>
  <c r="G86" i="1"/>
  <c r="J132" i="1" l="1"/>
  <c r="G80" i="1"/>
  <c r="G79" i="1"/>
  <c r="G75" i="1"/>
  <c r="G72" i="1"/>
  <c r="G71" i="1"/>
  <c r="G70" i="1"/>
  <c r="G69" i="1"/>
  <c r="G47" i="1"/>
  <c r="G44" i="1"/>
  <c r="G43" i="1"/>
  <c r="G41" i="1"/>
  <c r="G40" i="1"/>
  <c r="G39" i="1"/>
  <c r="G37" i="1"/>
  <c r="G36" i="1"/>
  <c r="G34" i="1"/>
  <c r="F14" i="1"/>
  <c r="H14" i="1"/>
  <c r="I14" i="1"/>
  <c r="G33" i="1"/>
  <c r="G31" i="1"/>
  <c r="G30" i="1"/>
  <c r="G29" i="1"/>
  <c r="G27" i="1"/>
  <c r="G26" i="1"/>
  <c r="G24" i="1"/>
  <c r="G23" i="1"/>
  <c r="G22" i="1"/>
  <c r="F49" i="1"/>
  <c r="G20" i="1"/>
  <c r="G18" i="1"/>
  <c r="G17" i="1"/>
  <c r="G16" i="1"/>
  <c r="J14" i="1" l="1"/>
  <c r="G14" i="1"/>
  <c r="J15" i="1"/>
  <c r="G15" i="1" l="1"/>
  <c r="M24" i="1" l="1"/>
  <c r="J24" i="1"/>
  <c r="E271" i="1" l="1"/>
  <c r="M242" i="1"/>
  <c r="J163" i="1"/>
  <c r="M114" i="1"/>
  <c r="J18" i="1" l="1"/>
  <c r="F219" i="1" l="1"/>
  <c r="I219" i="1"/>
  <c r="H219" i="1"/>
  <c r="G219" i="1" l="1"/>
  <c r="M219" i="1"/>
  <c r="M220" i="1"/>
  <c r="M191" i="1" l="1"/>
  <c r="G182" i="1"/>
  <c r="M143" i="1" l="1"/>
  <c r="M132" i="1"/>
  <c r="M92" i="1"/>
  <c r="J222" i="1" l="1"/>
  <c r="I198" i="1"/>
  <c r="I192" i="1" s="1"/>
  <c r="M163" i="1"/>
  <c r="G74" i="1" l="1"/>
  <c r="M16" i="1" l="1"/>
  <c r="M17" i="1"/>
  <c r="M18" i="1"/>
  <c r="J20" i="1"/>
  <c r="M20" i="1"/>
  <c r="H21" i="1"/>
  <c r="H19" i="1" s="1"/>
  <c r="I21" i="1"/>
  <c r="I19" i="1" s="1"/>
  <c r="J22" i="1"/>
  <c r="M22" i="1"/>
  <c r="J23" i="1"/>
  <c r="M23" i="1"/>
  <c r="H25" i="1"/>
  <c r="I25" i="1"/>
  <c r="M26" i="1"/>
  <c r="M27" i="1"/>
  <c r="F28" i="1"/>
  <c r="H28" i="1"/>
  <c r="I28" i="1"/>
  <c r="M29" i="1"/>
  <c r="J30" i="1"/>
  <c r="M30" i="1"/>
  <c r="J31" i="1"/>
  <c r="M31" i="1"/>
  <c r="G32" i="1"/>
  <c r="H32" i="1"/>
  <c r="I32" i="1"/>
  <c r="J33" i="1"/>
  <c r="M33" i="1"/>
  <c r="M34" i="1"/>
  <c r="G35" i="1"/>
  <c r="H35" i="1"/>
  <c r="I35" i="1"/>
  <c r="J36" i="1"/>
  <c r="M36" i="1"/>
  <c r="M37" i="1"/>
  <c r="G38" i="1"/>
  <c r="H38" i="1"/>
  <c r="I38" i="1"/>
  <c r="M39" i="1"/>
  <c r="M40" i="1"/>
  <c r="J43" i="1"/>
  <c r="M43" i="1"/>
  <c r="J44" i="1"/>
  <c r="M44" i="1"/>
  <c r="M47" i="1"/>
  <c r="M48" i="1"/>
  <c r="H49" i="1"/>
  <c r="I49" i="1"/>
  <c r="M50" i="1"/>
  <c r="M51" i="1"/>
  <c r="M69" i="1"/>
  <c r="M70" i="1"/>
  <c r="M71" i="1"/>
  <c r="M72" i="1"/>
  <c r="J73" i="1"/>
  <c r="M73" i="1"/>
  <c r="M74" i="1"/>
  <c r="M75" i="1"/>
  <c r="F76" i="1"/>
  <c r="F68" i="1" s="1"/>
  <c r="M77" i="1"/>
  <c r="H78" i="1"/>
  <c r="H68" i="1" s="1"/>
  <c r="I78" i="1"/>
  <c r="I68" i="1" s="1"/>
  <c r="M79" i="1"/>
  <c r="M80" i="1"/>
  <c r="H85" i="1"/>
  <c r="I85" i="1"/>
  <c r="J86" i="1"/>
  <c r="M86" i="1"/>
  <c r="M87" i="1"/>
  <c r="M88" i="1"/>
  <c r="M89" i="1"/>
  <c r="M90" i="1"/>
  <c r="M91" i="1"/>
  <c r="M93" i="1"/>
  <c r="G94" i="1"/>
  <c r="H94" i="1"/>
  <c r="I94" i="1"/>
  <c r="J95" i="1"/>
  <c r="M95" i="1"/>
  <c r="J96" i="1"/>
  <c r="M96" i="1"/>
  <c r="G99" i="1"/>
  <c r="M100" i="1"/>
  <c r="J101" i="1"/>
  <c r="M101" i="1"/>
  <c r="G103" i="1"/>
  <c r="H103" i="1"/>
  <c r="I103" i="1"/>
  <c r="J104" i="1"/>
  <c r="M104" i="1"/>
  <c r="J105" i="1"/>
  <c r="M105" i="1"/>
  <c r="M107" i="1"/>
  <c r="M109" i="1"/>
  <c r="M110" i="1"/>
  <c r="G111" i="1"/>
  <c r="M112" i="1"/>
  <c r="J116" i="1"/>
  <c r="M116" i="1"/>
  <c r="J119" i="1"/>
  <c r="M119" i="1"/>
  <c r="J123" i="1"/>
  <c r="M123" i="1"/>
  <c r="J126" i="1"/>
  <c r="M126" i="1"/>
  <c r="G133" i="1"/>
  <c r="J134" i="1"/>
  <c r="M134" i="1"/>
  <c r="J135" i="1"/>
  <c r="M135" i="1"/>
  <c r="M139" i="1"/>
  <c r="J140" i="1"/>
  <c r="M140" i="1"/>
  <c r="J141" i="1"/>
  <c r="M141" i="1"/>
  <c r="J142" i="1"/>
  <c r="M142" i="1"/>
  <c r="J145" i="1"/>
  <c r="M145" i="1"/>
  <c r="M146" i="1"/>
  <c r="M150" i="1"/>
  <c r="M151" i="1"/>
  <c r="M153" i="1"/>
  <c r="G154" i="1"/>
  <c r="J155" i="1"/>
  <c r="M155" i="1"/>
  <c r="M156" i="1"/>
  <c r="J158" i="1"/>
  <c r="M158" i="1"/>
  <c r="G160" i="1"/>
  <c r="M161" i="1"/>
  <c r="M162" i="1"/>
  <c r="G166" i="1"/>
  <c r="J167" i="1"/>
  <c r="M167" i="1"/>
  <c r="M168" i="1"/>
  <c r="M169" i="1"/>
  <c r="J170" i="1"/>
  <c r="M170" i="1"/>
  <c r="M172" i="1"/>
  <c r="M174" i="1"/>
  <c r="F175" i="1"/>
  <c r="F165" i="1" s="1"/>
  <c r="H175" i="1"/>
  <c r="H165" i="1" s="1"/>
  <c r="I175" i="1"/>
  <c r="I165" i="1" s="1"/>
  <c r="J176" i="1"/>
  <c r="M176" i="1"/>
  <c r="J177" i="1"/>
  <c r="M177" i="1"/>
  <c r="M178" i="1"/>
  <c r="M179" i="1"/>
  <c r="M183" i="1"/>
  <c r="J185" i="1"/>
  <c r="M185" i="1"/>
  <c r="M186" i="1"/>
  <c r="J187" i="1"/>
  <c r="M187" i="1"/>
  <c r="F189" i="1"/>
  <c r="F184" i="1" s="1"/>
  <c r="G184" i="1" s="1"/>
  <c r="H189" i="1"/>
  <c r="H184" i="1" s="1"/>
  <c r="I189" i="1"/>
  <c r="I184" i="1" s="1"/>
  <c r="J190" i="1"/>
  <c r="M190" i="1"/>
  <c r="G193" i="1"/>
  <c r="M194" i="1"/>
  <c r="M196" i="1"/>
  <c r="M197" i="1"/>
  <c r="F198" i="1"/>
  <c r="F192" i="1" s="1"/>
  <c r="H198" i="1"/>
  <c r="H192" i="1" s="1"/>
  <c r="J199" i="1"/>
  <c r="M199" i="1"/>
  <c r="F200" i="1"/>
  <c r="G200" i="1" s="1"/>
  <c r="H200" i="1"/>
  <c r="I200" i="1"/>
  <c r="M201" i="1"/>
  <c r="M202" i="1"/>
  <c r="M204" i="1"/>
  <c r="G205" i="1"/>
  <c r="M206" i="1"/>
  <c r="J208" i="1"/>
  <c r="M208" i="1"/>
  <c r="R208" i="1" s="1"/>
  <c r="J209" i="1"/>
  <c r="M209" i="1"/>
  <c r="M210" i="1"/>
  <c r="M211" i="1"/>
  <c r="G216" i="1"/>
  <c r="M217" i="1"/>
  <c r="J219" i="1"/>
  <c r="F223" i="1"/>
  <c r="H223" i="1"/>
  <c r="I223" i="1"/>
  <c r="J224" i="1"/>
  <c r="M224" i="1"/>
  <c r="F225" i="1"/>
  <c r="G225" i="1" s="1"/>
  <c r="H225" i="1"/>
  <c r="J225" i="1" s="1"/>
  <c r="I225" i="1"/>
  <c r="M226" i="1"/>
  <c r="M227" i="1"/>
  <c r="F228" i="1"/>
  <c r="H228" i="1"/>
  <c r="I228" i="1"/>
  <c r="M229" i="1"/>
  <c r="F231" i="1"/>
  <c r="H231" i="1"/>
  <c r="I231" i="1"/>
  <c r="M232" i="1"/>
  <c r="F233" i="1"/>
  <c r="G233" i="1" s="1"/>
  <c r="M234" i="1"/>
  <c r="M235" i="1"/>
  <c r="M236" i="1"/>
  <c r="K238" i="1"/>
  <c r="L238" i="1"/>
  <c r="F241" i="1"/>
  <c r="F240" i="1" s="1"/>
  <c r="H241" i="1"/>
  <c r="H240" i="1" s="1"/>
  <c r="H239" i="1" s="1"/>
  <c r="I240" i="1"/>
  <c r="M243" i="1"/>
  <c r="K249" i="1"/>
  <c r="L249" i="1"/>
  <c r="I84" i="1" l="1"/>
  <c r="H84" i="1"/>
  <c r="G28" i="1"/>
  <c r="G19" i="1"/>
  <c r="G85" i="1"/>
  <c r="G84" i="1"/>
  <c r="G78" i="1"/>
  <c r="G68" i="1"/>
  <c r="M49" i="1"/>
  <c r="J49" i="1"/>
  <c r="J160" i="1"/>
  <c r="H230" i="1"/>
  <c r="G21" i="1"/>
  <c r="G231" i="1"/>
  <c r="F230" i="1"/>
  <c r="G230" i="1" s="1"/>
  <c r="J99" i="1"/>
  <c r="M228" i="1"/>
  <c r="I230" i="1"/>
  <c r="M108" i="1"/>
  <c r="G108" i="1"/>
  <c r="M25" i="1"/>
  <c r="G25" i="1"/>
  <c r="M198" i="1"/>
  <c r="M195" i="1"/>
  <c r="G195" i="1"/>
  <c r="M149" i="1"/>
  <c r="G149" i="1"/>
  <c r="G138" i="1"/>
  <c r="G144" i="1"/>
  <c r="M28" i="1"/>
  <c r="J103" i="1"/>
  <c r="M166" i="1"/>
  <c r="J115" i="1"/>
  <c r="M133" i="1"/>
  <c r="M78" i="1"/>
  <c r="J223" i="1"/>
  <c r="M216" i="1"/>
  <c r="M115" i="1"/>
  <c r="M76" i="1"/>
  <c r="M241" i="1"/>
  <c r="J166" i="1"/>
  <c r="J35" i="1"/>
  <c r="J21" i="1"/>
  <c r="M160" i="1"/>
  <c r="M32" i="1"/>
  <c r="J198" i="1"/>
  <c r="J189" i="1"/>
  <c r="J133" i="1"/>
  <c r="M103" i="1"/>
  <c r="M99" i="1"/>
  <c r="M35" i="1"/>
  <c r="M231" i="1"/>
  <c r="M223" i="1"/>
  <c r="H215" i="1"/>
  <c r="G192" i="1"/>
  <c r="J16" i="1"/>
  <c r="M233" i="1"/>
  <c r="M225" i="1"/>
  <c r="G212" i="1"/>
  <c r="M205" i="1"/>
  <c r="M173" i="1"/>
  <c r="G165" i="1"/>
  <c r="M157" i="1"/>
  <c r="M154" i="1"/>
  <c r="J144" i="1"/>
  <c r="J94" i="1"/>
  <c r="F239" i="1"/>
  <c r="H203" i="1"/>
  <c r="M184" i="1"/>
  <c r="J154" i="1"/>
  <c r="J85" i="1"/>
  <c r="J42" i="1"/>
  <c r="J32" i="1"/>
  <c r="J212" i="1"/>
  <c r="I239" i="1"/>
  <c r="M189" i="1"/>
  <c r="M38" i="1"/>
  <c r="I215" i="1"/>
  <c r="J213" i="1"/>
  <c r="M200" i="1"/>
  <c r="J68" i="1"/>
  <c r="F215" i="1"/>
  <c r="G215" i="1" s="1"/>
  <c r="I203" i="1"/>
  <c r="M193" i="1"/>
  <c r="M182" i="1"/>
  <c r="M175" i="1"/>
  <c r="M152" i="1"/>
  <c r="G148" i="1"/>
  <c r="M144" i="1"/>
  <c r="M111" i="1"/>
  <c r="M94" i="1"/>
  <c r="M85" i="1"/>
  <c r="M42" i="1"/>
  <c r="J210" i="1"/>
  <c r="J175" i="1"/>
  <c r="M21" i="1"/>
  <c r="M68" i="1" l="1"/>
  <c r="N68" i="1" s="1"/>
  <c r="J230" i="1"/>
  <c r="J215" i="1"/>
  <c r="F203" i="1"/>
  <c r="G203" i="1" s="1"/>
  <c r="M212" i="1"/>
  <c r="J203" i="1"/>
  <c r="J148" i="1"/>
  <c r="J165" i="1"/>
  <c r="M239" i="1"/>
  <c r="J192" i="1"/>
  <c r="J19" i="1"/>
  <c r="M165" i="1"/>
  <c r="M192" i="1"/>
  <c r="M240" i="1"/>
  <c r="H181" i="1"/>
  <c r="H238" i="1" s="1"/>
  <c r="H271" i="1" s="1"/>
  <c r="J138" i="1"/>
  <c r="M138" i="1"/>
  <c r="M230" i="1"/>
  <c r="N230" i="1" s="1"/>
  <c r="M148" i="1"/>
  <c r="M14" i="1"/>
  <c r="N14" i="1" s="1"/>
  <c r="M84" i="1"/>
  <c r="N84" i="1" s="1"/>
  <c r="J84" i="1"/>
  <c r="M19" i="1"/>
  <c r="N19" i="1" s="1"/>
  <c r="J184" i="1"/>
  <c r="I181" i="1"/>
  <c r="I238" i="1" s="1"/>
  <c r="M215" i="1"/>
  <c r="R148" i="1" l="1"/>
  <c r="N148" i="1"/>
  <c r="N138" i="1"/>
  <c r="R138" i="1"/>
  <c r="N215" i="1"/>
  <c r="R215" i="1"/>
  <c r="H249" i="1"/>
  <c r="M203" i="1"/>
  <c r="F181" i="1"/>
  <c r="G181" i="1" s="1"/>
  <c r="J181" i="1"/>
  <c r="J238" i="1"/>
  <c r="I249" i="1"/>
  <c r="M181" i="1" l="1"/>
  <c r="N181" i="1" s="1"/>
  <c r="F238" i="1"/>
  <c r="G238" i="1" s="1"/>
  <c r="J249" i="1"/>
  <c r="M238" i="1" l="1"/>
  <c r="M249" i="1" s="1"/>
  <c r="F249" i="1"/>
  <c r="G249" i="1" l="1"/>
  <c r="N238" i="1"/>
  <c r="N249" i="1"/>
</calcChain>
</file>

<file path=xl/sharedStrings.xml><?xml version="1.0" encoding="utf-8"?>
<sst xmlns="http://schemas.openxmlformats.org/spreadsheetml/2006/main" count="781" uniqueCount="618">
  <si>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</si>
  <si>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</si>
  <si>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</si>
  <si>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</si>
  <si>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</si>
  <si>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Спеціальний фонд</t>
  </si>
  <si>
    <t>1</t>
  </si>
  <si>
    <t>2</t>
  </si>
  <si>
    <t>3</t>
  </si>
  <si>
    <t>5</t>
  </si>
  <si>
    <t>6</t>
  </si>
  <si>
    <t>0210100</t>
  </si>
  <si>
    <t>0100</t>
  </si>
  <si>
    <t>Державне управління</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</si>
  <si>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</si>
  <si>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</si>
  <si>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</si>
  <si>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</si>
  <si>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</si>
  <si>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</si>
  <si>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0210170</t>
  </si>
  <si>
    <t>0170</t>
  </si>
  <si>
    <t>0131</t>
  </si>
  <si>
    <t>Підвищення кваліфікації депутатів місцевих рад та посадових осіб місцевого самоврядування</t>
  </si>
  <si>
    <t>0210180</t>
  </si>
  <si>
    <t>0180</t>
  </si>
  <si>
    <t>0133</t>
  </si>
  <si>
    <t>Інша діяльність у сфері державного управління</t>
  </si>
  <si>
    <t>7000</t>
  </si>
  <si>
    <t>7500</t>
  </si>
  <si>
    <t>Зв'язок, телекомунікації та інформатика</t>
  </si>
  <si>
    <t>7520</t>
  </si>
  <si>
    <t>Реалізація Національної програми інформатизації</t>
  </si>
  <si>
    <t>7600</t>
  </si>
  <si>
    <t>Інші програми та заходи, пов'язані з економічною діяльністю</t>
  </si>
  <si>
    <t>7680</t>
  </si>
  <si>
    <t>0490</t>
  </si>
  <si>
    <t>Членські внески до асоціацій органів місцевого самоврядування</t>
  </si>
  <si>
    <t>7690</t>
  </si>
  <si>
    <t>7691</t>
  </si>
  <si>
    <t>7693</t>
  </si>
  <si>
    <t>Інші заходи, пов'язані з економічною діяльністю</t>
  </si>
  <si>
    <t>8000</t>
  </si>
  <si>
    <t>Інша діяльність</t>
  </si>
  <si>
    <t>8400</t>
  </si>
  <si>
    <t>8410</t>
  </si>
  <si>
    <t>0830</t>
  </si>
  <si>
    <t>9000</t>
  </si>
  <si>
    <t>Міжбюджетні трансферти</t>
  </si>
  <si>
    <t>9700</t>
  </si>
  <si>
    <t>Субвенції з місцевого бюджету іншим місцевим бюджетам на здійснення програм та заходів за рахунок коштів місцевих бюджетів</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</si>
  <si>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</si>
  <si>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</si>
  <si>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</si>
  <si>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</si>
  <si>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</si>
  <si>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</si>
  <si>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0611000</t>
  </si>
  <si>
    <t>1000</t>
  </si>
  <si>
    <t>Освіта</t>
  </si>
  <si>
    <t>0611010</t>
  </si>
  <si>
    <t>1010</t>
  </si>
  <si>
    <t>0910</t>
  </si>
  <si>
    <t>Надання дошкільної освіти</t>
  </si>
  <si>
    <t>0611020</t>
  </si>
  <si>
    <t>1020</t>
  </si>
  <si>
    <t>Надання загальної середньої освіти за рахунок коштів місцевого бюджету</t>
  </si>
  <si>
    <t>0611021</t>
  </si>
  <si>
    <t>1021</t>
  </si>
  <si>
    <t>0921</t>
  </si>
  <si>
    <t>0611022</t>
  </si>
  <si>
    <t>1022</t>
  </si>
  <si>
    <t>0922</t>
  </si>
  <si>
    <t>0611030</t>
  </si>
  <si>
    <t>1030</t>
  </si>
  <si>
    <t>Надання загальної середньої освіти за рахунок освітньої субвенції</t>
  </si>
  <si>
    <t>0611031</t>
  </si>
  <si>
    <t>1031</t>
  </si>
  <si>
    <t>0611060</t>
  </si>
  <si>
    <t>1060</t>
  </si>
  <si>
    <t>0611061</t>
  </si>
  <si>
    <t>1061</t>
  </si>
  <si>
    <t>0611070</t>
  </si>
  <si>
    <t>1070</t>
  </si>
  <si>
    <t>0960</t>
  </si>
  <si>
    <t>Надання позашкільної освіти закладами позашкільної освіти, заходи із позашкільної роботи з дітьми</t>
  </si>
  <si>
    <t>0611090</t>
  </si>
  <si>
    <t>1090</t>
  </si>
  <si>
    <t>Підготовка кадрів закладами професійної (професійно-технічної) освіти та іншими закладами освіти</t>
  </si>
  <si>
    <t>0611091</t>
  </si>
  <si>
    <t>1091</t>
  </si>
  <si>
    <t>0930</t>
  </si>
  <si>
    <t>Підготовка кадрів закладами професійної (професійно-технічної) освіти та іншими закладами освіти за рахунок коштів місцевого бюджету</t>
  </si>
  <si>
    <t>0611092</t>
  </si>
  <si>
    <t>1092</t>
  </si>
  <si>
    <t>Підготовка кадрів закладами професійної (професійно-технічної) освіти та іншими закладами освіти за рахунок освітньої субвенції</t>
  </si>
  <si>
    <t>0611140</t>
  </si>
  <si>
    <t>1140</t>
  </si>
  <si>
    <t>Інші програми, заклади та заходи у сфері освіти</t>
  </si>
  <si>
    <t>0611141</t>
  </si>
  <si>
    <t>1141</t>
  </si>
  <si>
    <t>0990</t>
  </si>
  <si>
    <t>Забезпечення діяльності інших закладів у сфері освіти</t>
  </si>
  <si>
    <t>0611142</t>
  </si>
  <si>
    <t>1142</t>
  </si>
  <si>
    <t>Інші програми та заходи у сфері освіти</t>
  </si>
  <si>
    <t>0611150</t>
  </si>
  <si>
    <t>1150</t>
  </si>
  <si>
    <t>Забезпечення діяльності інклюзивно-ресурсних центрів</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</si>
  <si>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</si>
  <si>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</si>
  <si>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</si>
  <si>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</si>
  <si>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</si>
  <si>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</si>
  <si>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</si>
  <si>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</si>
  <si>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0611180</t>
  </si>
  <si>
    <t>1180</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</si>
  <si>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</si>
  <si>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</si>
  <si>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</si>
  <si>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0611200</t>
  </si>
  <si>
    <t>1200</t>
  </si>
  <si>
    <t>1210</t>
  </si>
  <si>
    <t>3000</t>
  </si>
  <si>
    <t>Соціальний захист та соціальне забезпечення</t>
  </si>
  <si>
    <t>1040</t>
  </si>
  <si>
    <t>0712000</t>
  </si>
  <si>
    <t>2000</t>
  </si>
  <si>
    <t>Охорона здоров’я</t>
  </si>
  <si>
    <t>0712010</t>
  </si>
  <si>
    <t>2010</t>
  </si>
  <si>
    <t>0731</t>
  </si>
  <si>
    <t>Багатопрофільна стаціонарна медична допомога населенню</t>
  </si>
  <si>
    <t>0712020</t>
  </si>
  <si>
    <t>2020</t>
  </si>
  <si>
    <t>0732</t>
  </si>
  <si>
    <t>Спеціалізована стаціонарна медична допомога населенню</t>
  </si>
  <si>
    <t>0712030</t>
  </si>
  <si>
    <t>2030</t>
  </si>
  <si>
    <t>0733</t>
  </si>
  <si>
    <t>Лікарсько-акушерська допомога вагітним, породіллям та новонародженим</t>
  </si>
  <si>
    <t>0712080</t>
  </si>
  <si>
    <t>2080</t>
  </si>
  <si>
    <t>0721</t>
  </si>
  <si>
    <t>Амбулаторно-поліклінічна допомога населенню, крім первинної медичної допомоги</t>
  </si>
  <si>
    <t>0712100</t>
  </si>
  <si>
    <t>2100</t>
  </si>
  <si>
    <t>0722</t>
  </si>
  <si>
    <t>Стоматологічна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</si>
  <si>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</si>
  <si>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</si>
  <si>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</si>
  <si>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</si>
  <si>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</si>
  <si>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</si>
  <si>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</si>
  <si>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0712140</t>
  </si>
  <si>
    <t>2140</t>
  </si>
  <si>
    <t>Програми і централізовані заходи у галузі охорони здоров’я</t>
  </si>
  <si>
    <t>0712144</t>
  </si>
  <si>
    <t>2144</t>
  </si>
  <si>
    <t>0763</t>
  </si>
  <si>
    <t>Централізовані заходи з лікування хворих на цукровий та нецукровий діабет</t>
  </si>
  <si>
    <t>0712150</t>
  </si>
  <si>
    <t>2150</t>
  </si>
  <si>
    <t>0712151</t>
  </si>
  <si>
    <t>2151</t>
  </si>
  <si>
    <t>0712152</t>
  </si>
  <si>
    <t>2152</t>
  </si>
  <si>
    <t>7670</t>
  </si>
  <si>
    <t>0813000</t>
  </si>
  <si>
    <t>0813030</t>
  </si>
  <si>
    <t>3030</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</si>
  <si>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</si>
  <si>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</si>
  <si>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</si>
  <si>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</si>
  <si>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</si>
  <si>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</si>
  <si>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</si>
  <si>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</si>
  <si>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0813035</t>
  </si>
  <si>
    <t>3035</t>
  </si>
  <si>
    <t>Компенсаційні виплати за пільговий проїзд окремих категорій громадян на залізничному транспорті</t>
  </si>
  <si>
    <t>0813036</t>
  </si>
  <si>
    <t>3036</t>
  </si>
  <si>
    <t>Компенсаційні виплати на пільговий проїзд електротранспортом окремим категоріям громадян</t>
  </si>
  <si>
    <t>0813050</t>
  </si>
  <si>
    <t>3050</t>
  </si>
  <si>
    <t>Пільгове медичне обслуговування осіб, які постраждали внаслідок Чорнобильської катастрофи</t>
  </si>
  <si>
    <t>3060</t>
  </si>
  <si>
    <t>Оздоровлення громадян,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</si>
  <si>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</si>
  <si>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</si>
  <si>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</si>
  <si>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</si>
  <si>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</si>
  <si>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</si>
  <si>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0813104</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</si>
  <si>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</si>
  <si>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</si>
  <si>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</si>
  <si>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</si>
  <si>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Надання реабілітаційних послуг особам з інвалідністю та дітям з інвалідністю</t>
  </si>
  <si>
    <t>0813160</t>
  </si>
  <si>
    <t>3160</t>
  </si>
  <si>
    <t>0813170</t>
  </si>
  <si>
    <t>3170</t>
  </si>
  <si>
    <t>Забезпечення реалізації окремих програм для осіб з інвалідністю</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</si>
  <si>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</si>
  <si>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</si>
  <si>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</si>
  <si>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0813180</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</si>
  <si>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</si>
  <si>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</si>
  <si>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0813190</t>
  </si>
  <si>
    <t>3190</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</si>
  <si>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</si>
  <si>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</si>
  <si>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</si>
  <si>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</si>
  <si>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</si>
  <si>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</si>
  <si>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</si>
  <si>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0813240</t>
  </si>
  <si>
    <t>3240</t>
  </si>
  <si>
    <t>0813241</t>
  </si>
  <si>
    <t>3241</t>
  </si>
  <si>
    <t>0813242</t>
  </si>
  <si>
    <t>3242</t>
  </si>
  <si>
    <t>Інші заходи у сфері соціального захисту і соціального забезпечення</t>
  </si>
  <si>
    <t>6000</t>
  </si>
  <si>
    <t>Житлово-комунальне господарство</t>
  </si>
  <si>
    <t>6080</t>
  </si>
  <si>
    <t>6082</t>
  </si>
  <si>
    <t>0610</t>
  </si>
  <si>
    <t>7300</t>
  </si>
  <si>
    <t>0443</t>
  </si>
  <si>
    <t>1080</t>
  </si>
  <si>
    <t>1014000</t>
  </si>
  <si>
    <t>4000</t>
  </si>
  <si>
    <t>Культура i мистецтво</t>
  </si>
  <si>
    <t>1014010</t>
  </si>
  <si>
    <t>4010</t>
  </si>
  <si>
    <t>0821</t>
  </si>
  <si>
    <t>Фінансова підтримка театрів</t>
  </si>
  <si>
    <t>1014030</t>
  </si>
  <si>
    <t>4030</t>
  </si>
  <si>
    <t>0824</t>
  </si>
  <si>
    <t>Забезпечення діяльності бібліотек</t>
  </si>
  <si>
    <t>1014040</t>
  </si>
  <si>
    <t>4040</t>
  </si>
  <si>
    <t>1014060</t>
  </si>
  <si>
    <t>4060</t>
  </si>
  <si>
    <t>0828</t>
  </si>
  <si>
    <t>1014080</t>
  </si>
  <si>
    <t>4080</t>
  </si>
  <si>
    <t>Інші заклади та заходи в галузі культури і мистецтва</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</si>
  <si>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</si>
  <si>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</si>
  <si>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</si>
  <si>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</si>
  <si>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</si>
  <si>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</si>
  <si>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</si>
  <si>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3120</t>
  </si>
  <si>
    <t>Здійснення соціальної роботи з вразливими категоріями населення</t>
  </si>
  <si>
    <t>3121</t>
  </si>
  <si>
    <t>3130</t>
  </si>
  <si>
    <t>3132</t>
  </si>
  <si>
    <t>3133</t>
  </si>
  <si>
    <t>1115000</t>
  </si>
  <si>
    <t>5000</t>
  </si>
  <si>
    <t xml:space="preserve"> Фiзична культура i спорт</t>
  </si>
  <si>
    <t>1115010</t>
  </si>
  <si>
    <t>5010</t>
  </si>
  <si>
    <t>Проведення спортивної роботи в регіоні</t>
  </si>
  <si>
    <t>1115011</t>
  </si>
  <si>
    <t>5011</t>
  </si>
  <si>
    <t>0810</t>
  </si>
  <si>
    <t>Проведення навчально-тренувальних зборів і змагань з олімпійських видів спорту</t>
  </si>
  <si>
    <t>1115012</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</si>
  <si>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</si>
  <si>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</si>
  <si>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</si>
  <si>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</si>
  <si>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</si>
  <si>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</si>
  <si>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</si>
  <si>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1115030</t>
  </si>
  <si>
    <t>5030</t>
  </si>
  <si>
    <t xml:space="preserve"> Розвиток дитячо-юнацького та резервного спорту</t>
  </si>
  <si>
    <t>1115031</t>
  </si>
  <si>
    <t>5031</t>
  </si>
  <si>
    <t>1115032</t>
  </si>
  <si>
    <t>5032</t>
  </si>
  <si>
    <t>Фінансова підтримка дитячо-юнацьких спортивних шкіл фізкультурно-спортивних товариств</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</si>
  <si>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</si>
  <si>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</si>
  <si>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</si>
  <si>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</si>
  <si>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</si>
  <si>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</si>
  <si>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1115062</t>
  </si>
  <si>
    <t>5062</t>
  </si>
  <si>
    <t>Підтримка спорту вищих досягнень та організацій, які здійснюють фізкультурно-спортивну діяльність в регіоні</t>
  </si>
  <si>
    <t>1115063</t>
  </si>
  <si>
    <t>5063</t>
  </si>
  <si>
    <t>Забезпечення діяльності централізованої бухгалтерії</t>
  </si>
  <si>
    <t>6084</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</si>
  <si>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</si>
  <si>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1216000</t>
  </si>
  <si>
    <t>1216010</t>
  </si>
  <si>
    <t>6010</t>
  </si>
  <si>
    <t>1216011</t>
  </si>
  <si>
    <t>6011</t>
  </si>
  <si>
    <t>Експлуатація та технічне обслуговування житлового фонду</t>
  </si>
  <si>
    <t>1216015</t>
  </si>
  <si>
    <t>6015</t>
  </si>
  <si>
    <t>0620</t>
  </si>
  <si>
    <t>Забезпечення надійної та безперебійної експлуатації ліфтів</t>
  </si>
  <si>
    <t>1216017</t>
  </si>
  <si>
    <t>6017</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</si>
  <si>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</si>
  <si>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</si>
  <si>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</si>
  <si>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</si>
  <si>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</si>
  <si>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</si>
  <si>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1217000</t>
  </si>
  <si>
    <t>Економічна діяльність</t>
  </si>
  <si>
    <t>7640</t>
  </si>
  <si>
    <t>0470</t>
  </si>
  <si>
    <t>Заходи з енергозбереження</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</si>
  <si>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</si>
  <si>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</si>
  <si>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</si>
  <si>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</si>
  <si>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7400</t>
  </si>
  <si>
    <t>Транспорт та транспортна інфраструктура, дорожнє господарство</t>
  </si>
  <si>
    <t>7461</t>
  </si>
  <si>
    <t>0456</t>
  </si>
  <si>
    <t>Утримання та розвиток автомобільних доріг та дорожньої інфраструктури за рахунок коштів місцевого бюджету</t>
  </si>
  <si>
    <t>8100</t>
  </si>
  <si>
    <t>8110</t>
  </si>
  <si>
    <t>0320</t>
  </si>
  <si>
    <t>Заходи із запобігання та ліквідації надзвичайних ситуацій та наслідків стихійного лиха</t>
  </si>
  <si>
    <t>8120</t>
  </si>
  <si>
    <t>Заходи з організації рятування на водах</t>
  </si>
  <si>
    <t>5040</t>
  </si>
  <si>
    <t>Підтримка і розвиток спортивної інфраструктури</t>
  </si>
  <si>
    <t>5043</t>
  </si>
  <si>
    <t>7330</t>
  </si>
  <si>
    <t>7370</t>
  </si>
  <si>
    <t>Реалізація інших заходів щодо соціально-економічного розвитку територій</t>
  </si>
  <si>
    <t>7420</t>
  </si>
  <si>
    <t>Забезпечення надання послуг з перевезення пасажирів електротранспортом</t>
  </si>
  <si>
    <t>7426</t>
  </si>
  <si>
    <t>0453</t>
  </si>
  <si>
    <t>Інші заходи у сфері електротранспорту</t>
  </si>
  <si>
    <t>7610</t>
  </si>
  <si>
    <t>0411</t>
  </si>
  <si>
    <t>Сприяння розвитку малого та середнього підприємництва</t>
  </si>
  <si>
    <t>7630</t>
  </si>
  <si>
    <t>Реалізація програм і заходів в галузі зовнішньоекономічної діяльності</t>
  </si>
  <si>
    <t>8300</t>
  </si>
  <si>
    <t>Охорона навколишнього природного середовища</t>
  </si>
  <si>
    <t>0540</t>
  </si>
  <si>
    <t>7100</t>
  </si>
  <si>
    <t>Сільське, лісове, рибне господарство та мисливство</t>
  </si>
  <si>
    <t>7130</t>
  </si>
  <si>
    <t>0421</t>
  </si>
  <si>
    <t>Здійснення заходів із землеустрою</t>
  </si>
  <si>
    <t>7650</t>
  </si>
  <si>
    <t>Проведення експертної грошової оцінки земельної ділянки чи права на неї</t>
  </si>
  <si>
    <t>Обслуговування місцевого боргу</t>
  </si>
  <si>
    <t>Резервний фонд</t>
  </si>
  <si>
    <t>Резервний фонд місцевого бюджету</t>
  </si>
  <si>
    <t>9100</t>
  </si>
  <si>
    <t>Дотації з місцевого бюджету іншим бюджетам</t>
  </si>
  <si>
    <t>Реверсна дотація</t>
  </si>
  <si>
    <t>Х</t>
  </si>
  <si>
    <t>УСЬОГО</t>
  </si>
  <si>
    <t>Додаток 2</t>
  </si>
  <si>
    <t>Звіт про виконання видатків загального та спеціального фондів бюджету Хмельницької міської територіальної громади</t>
  </si>
  <si>
    <t>Найменування бюджетної програми згідно з Типовою програмною класифікацією видатків та кредитування місцевого бюджету</t>
  </si>
  <si>
    <t>% виконання</t>
  </si>
  <si>
    <t>Відсоток вручну</t>
  </si>
  <si>
    <t>Всього</t>
  </si>
  <si>
    <t>8821</t>
  </si>
  <si>
    <t>8822</t>
  </si>
  <si>
    <t>8800</t>
  </si>
  <si>
    <t>8820</t>
  </si>
  <si>
    <t xml:space="preserve"> Інша діяльність</t>
  </si>
  <si>
    <t>Кредитування</t>
  </si>
  <si>
    <t>Пільгові довгострокові кредити молодим сім'ям та одиноким молодим громадянам на будівництво/реконструкцію/придбання житла та їх повернення</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</si>
  <si>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</si>
  <si>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</si>
  <si>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7460</t>
  </si>
  <si>
    <t>Утримання та розвиток автомобільних доріг та дорожньої інфраструктури</t>
  </si>
  <si>
    <t>7350</t>
  </si>
  <si>
    <t>7540</t>
  </si>
  <si>
    <t>Реалізація заходів, спрямованих на підвищення  доступності широкосмугового доступу до Інтернету в сільській місцевості</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</si>
  <si>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</si>
  <si>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</si>
  <si>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1023</t>
  </si>
  <si>
    <t>1220</t>
  </si>
  <si>
    <t>1222</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</si>
  <si>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</si>
  <si>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</si>
  <si>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7410</t>
  </si>
  <si>
    <t>Забезпечення надання послуг з перевезення пасажирів автомобільним транспортом</t>
  </si>
  <si>
    <t>7413</t>
  </si>
  <si>
    <t>0451</t>
  </si>
  <si>
    <t>Інші заходи у сфері автотранспорту</t>
  </si>
  <si>
    <t>7620</t>
  </si>
  <si>
    <t>7622</t>
  </si>
  <si>
    <t>Розвиток готельного господарства та туризму</t>
  </si>
  <si>
    <t>Реалізація програм і заходів в галузі туризму та курортів</t>
  </si>
  <si>
    <t>1221</t>
  </si>
  <si>
    <t>3220</t>
  </si>
  <si>
    <t>Грошова компенсація за належні для отримання жилі приміщення для окремих категорій населення відповідно до законодавства</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</si>
  <si>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</si>
  <si>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I-II групи, яка настала внаслідок поранення,</t>
  </si>
  <si>
    <t xml:space="preserve">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t>
  </si>
  <si>
    <t>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</si>
  <si>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</si>
  <si>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</si>
  <si>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</si>
  <si>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t>
  </si>
  <si>
    <t xml:space="preserve">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</si>
  <si>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</si>
  <si>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t>
  </si>
  <si>
    <t>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</si>
  <si>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</si>
  <si>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3224</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</si>
  <si>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</si>
  <si>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</si>
  <si>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</si>
  <si>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</si>
  <si>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</si>
  <si>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7360</t>
  </si>
  <si>
    <t>7363</t>
  </si>
  <si>
    <t>Виконання інвестиційних проектів</t>
  </si>
  <si>
    <t>Виконання інвестиційних проектів в рамках здійснення заходів щодо соціально-економічного розвитку окремих територій</t>
  </si>
  <si>
    <t>0460</t>
  </si>
  <si>
    <t>1033</t>
  </si>
  <si>
    <t>7</t>
  </si>
  <si>
    <t>8</t>
  </si>
  <si>
    <t>9</t>
  </si>
  <si>
    <t>10</t>
  </si>
  <si>
    <t>Надання спеціалізованої освіти мистецькими школами</t>
  </si>
  <si>
    <t>6090</t>
  </si>
  <si>
    <t>0640</t>
  </si>
  <si>
    <t>Інша діяльність у сфері житлово-комунального господарства</t>
  </si>
  <si>
    <t>7450</t>
  </si>
  <si>
    <t>Інша діяльність у сфері транспорту</t>
  </si>
  <si>
    <t>8200</t>
  </si>
  <si>
    <t>Громадський порядок та безпека</t>
  </si>
  <si>
    <t>8240</t>
  </si>
  <si>
    <t>0380</t>
  </si>
  <si>
    <t>Заходи та роботи з територіальної оборони</t>
  </si>
  <si>
    <t>7325</t>
  </si>
  <si>
    <t>8340</t>
  </si>
  <si>
    <t>Природоохоронні заходи за рахунок цільових фондів</t>
  </si>
  <si>
    <t>Будівництво¹ споруд, установ та закладів фізичної культури і спорту</t>
  </si>
  <si>
    <t>Будівництво¹  інших об'єктів комунальної власності</t>
  </si>
  <si>
    <t>3230</t>
  </si>
  <si>
    <t>4070</t>
  </si>
  <si>
    <t>0823</t>
  </si>
  <si>
    <t>Фінансова підтримка кінематографії</t>
  </si>
  <si>
    <r>
      <t xml:space="preserve">1 </t>
    </r>
    <r>
      <rPr>
        <sz val="20"/>
        <rFont val="Times New Roman"/>
        <family val="1"/>
        <charset val="204"/>
      </rPr>
      <t>Будівни́цтво — будівництво, реконструкція і реставрація, капітальний ремонт об'єктів виробничої, комунікаційної та соціальної інфраструктури за рахунок власних коштів місцевих бюджетів.</t>
    </r>
  </si>
  <si>
    <t>8220</t>
  </si>
  <si>
    <t>Заходи та роботи з мобілізаційної підготовки місцевого значення</t>
  </si>
  <si>
    <t>8230</t>
  </si>
  <si>
    <t>Інші заходи громадського порядку та безпеки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</si>
  <si>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</si>
  <si>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</si>
  <si>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Видатки, пов'язані з наданням підтримки внутрішньо переміщеним та/або евакуйованим особам у зв'язку із введенням воєнного стану</t>
  </si>
  <si>
    <t>5049</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</si>
  <si>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</si>
  <si>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</si>
  <si>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9820</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</si>
  <si>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</si>
  <si>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1262</t>
  </si>
  <si>
    <t>1260</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</si>
  <si>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</si>
  <si>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</si>
  <si>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8881</t>
  </si>
  <si>
    <t>8880</t>
  </si>
  <si>
    <t>Довгострокові кредити громадянам на будівництво / реконструкцію / придбання житла та їх повернення</t>
  </si>
  <si>
    <t>8840</t>
  </si>
  <si>
    <t>8842</t>
  </si>
  <si>
    <t>Повернення довгострокових кредитів, наданих громадянам на будівництво/реконструкцію/придбання житла</t>
  </si>
  <si>
    <t>6016</t>
  </si>
  <si>
    <t xml:space="preserve">	Впровадження засобів обліку витрат та регулювання споживання води та теплової енергії</t>
  </si>
  <si>
    <t>1261</t>
  </si>
  <si>
    <t>Начальник фінансового управління</t>
  </si>
  <si>
    <t>Сергій ЯМЧУК</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</si>
  <si>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</si>
  <si>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</si>
  <si>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</si>
  <si>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</si>
  <si>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</si>
  <si>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8882</t>
  </si>
  <si>
    <t>Повернення коштів, наданих для виконання гарантійних зобов'язань за позичальників, що отримали кредити під місцеві гарантії</t>
  </si>
  <si>
    <t>Виконання заходів щодо облаштування безпечних умов у закладах охорони здоров'я</t>
  </si>
  <si>
    <t>2160</t>
  </si>
  <si>
    <t>2161</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</si>
  <si>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</si>
  <si>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Затверджено на 2025 рік з урахуванням змін</t>
  </si>
  <si>
    <t>Керівництво і управління у відповідній сфері у містах (місті Києві), селищах, селах, територіальних громадах</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</si>
  <si>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</si>
  <si>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</si>
  <si>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</si>
  <si>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</si>
  <si>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</si>
  <si>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</si>
  <si>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</si>
  <si>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 xml:space="preserve">	Забезпечення діяльності центрів професійного розвитку педагогічних працівників</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</si>
  <si>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</si>
  <si>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Проведення (надання) додаткових психолого-педагогічних і корекційно-розвиткових занять (послуг)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</si>
  <si>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Виконання заходів щодо модернізації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</si>
  <si>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</si>
  <si>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</si>
  <si>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</si>
  <si>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</si>
  <si>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Інші програми, заклади та заходи у сфері охорони здоров'я</t>
  </si>
  <si>
    <t>Забезпечення діяльності інших закладів у сфері охорони здоров'я</t>
  </si>
  <si>
    <t>Інші програми та заходи у сфері охорони здоров'я</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</si>
  <si>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</si>
  <si>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</si>
  <si>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</si>
  <si>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Реалізація державної політики у молодіжній сфері та сфері з утвердження української національної та громадянської ідентичності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</si>
  <si>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</si>
  <si>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</si>
  <si>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</si>
  <si>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Соціальний захист ветеранів війни та праці</t>
  </si>
  <si>
    <t xml:space="preserve">	Інші заклади та заходи</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</si>
  <si>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</si>
  <si>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діяльності музеїв і виставок</t>
  </si>
  <si>
    <t>Забезпечення діяльності палаців і будинків культури, клубів, центрів дозвілля та інших клубних закладів</t>
  </si>
  <si>
    <t xml:space="preserve">	Проведення навчально-тренувальних зборів і змагань та заходів зі спорту осіб з інвалідністю</t>
  </si>
  <si>
    <t>Розвиток здібностей у дітей та молоді з фізичної культури та спорту комунальними дитячо-юнацькими спортивними школами</t>
  </si>
  <si>
    <t>Утримання та ефективна експлуатація об'єктів житлово-комунального господарства</t>
  </si>
  <si>
    <t>Реалізація державних та місцевих житлових програм</t>
  </si>
  <si>
    <t>Придбання житла для окремих категорій населення відповідно до законодавства</t>
  </si>
  <si>
    <t>Регіональний розвиток та інші інвестиційні проекти</t>
  </si>
  <si>
    <t>Внески до статутного капіталу суб'єктів господарювання</t>
  </si>
  <si>
    <t>Інша економічна діяльність</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</si>
  <si>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</si>
  <si>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Захист населення і територій від надзвичайних ситуацій</t>
  </si>
  <si>
    <t>Медіа (Засоби масової інформації)</t>
  </si>
  <si>
    <t>Фінансова підтримка медіа (засобів масової інформації)</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</si>
  <si>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</si>
  <si>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</si>
  <si>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Виконання заходів, спрямованих на забезпечення якісної, сучасної та доступної загальної середньої освіти "Нова українська школа"</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</si>
  <si>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</si>
  <si>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</si>
  <si>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</si>
  <si>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</si>
  <si>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1300</t>
  </si>
  <si>
    <t>Будівництво¹ освітніх установ та закладів</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</si>
  <si>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</si>
  <si>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</si>
  <si>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</si>
  <si>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</si>
  <si>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</si>
  <si>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</si>
  <si>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3250</t>
  </si>
  <si>
    <t>Будівництво¹ установ та закладів соціальної сфери</t>
  </si>
  <si>
    <t>4084</t>
  </si>
  <si>
    <t>Проектування, реставрація та охорона пам'яток культурної спадщини</t>
  </si>
  <si>
    <t>Інша діяльність, пов'язана з експлуатацією об'єктів житлово-комунального господарства</t>
  </si>
  <si>
    <t>6091</t>
  </si>
  <si>
    <t>Будівництво¹ об'єктів житлово-комунального господарства</t>
  </si>
  <si>
    <t>7351</t>
  </si>
  <si>
    <t>Розроблення комплексних планів просторового розвитку територій територіальних громад</t>
  </si>
  <si>
    <t xml:space="preserve">Заступник міського голови                                                                                                                   </t>
  </si>
  <si>
    <t>Михайло КРИВАК</t>
  </si>
  <si>
    <t>11</t>
  </si>
  <si>
    <t>3110</t>
  </si>
  <si>
    <t>Заклади і заходи з питань дітей та їх соціального захисту</t>
  </si>
  <si>
    <t>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</si>
  <si>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</si>
  <si>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</si>
  <si>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2170</t>
  </si>
  <si>
    <t>Будівництво¹ закладів охорони здоров'я</t>
  </si>
  <si>
    <t>Розроблення схем планування та забудови територій
(містобудівної документації)</t>
  </si>
  <si>
    <t>1270</t>
  </si>
  <si>
    <t>Виконання заходів за рахунок коштів освітньої субвенції з державного бюджету місцевим бюджетам (за спеціальним фондом державного бюджету)</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</si>
  <si>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</si>
  <si>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</si>
  <si>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Компенсаційні виплати на пільговий проїзд автомобільним транспортом окремим категоріям громадян</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</si>
  <si>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</si>
  <si>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</si>
  <si>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1500</t>
  </si>
  <si>
    <t>1501</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</si>
  <si>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</si>
  <si>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</si>
  <si>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</si>
  <si>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t>
  </si>
  <si>
    <t>гарантії їх соціального захисту», та які потребують поліпшення житлових умов</t>
  </si>
  <si>
    <t>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</si>
  <si>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</si>
  <si>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</si>
  <si>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5070</t>
  </si>
  <si>
    <t>Будівництво¹  споруд, установ та закладів фізичної культури і спорту</t>
  </si>
  <si>
    <t>за 2025 рік</t>
  </si>
  <si>
    <t xml:space="preserve">до рішення  №    від        .2026 року </t>
  </si>
  <si>
    <t>Виконано за 2025 рік</t>
  </si>
  <si>
    <t>Виконано за 2025 рік разом по загальному та спеціальному фондах</t>
  </si>
  <si>
    <t>1702</t>
  </si>
  <si>
    <t>Забезпечення харчуванням учнів закладів загальної середньої освіти за рахунок субвенції з державного бюджету місцевим бюджетам</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</si>
  <si>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</si>
  <si>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Загальний фонд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</si>
</sst>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name val="Arial Cyr"/>
      <charset val="204"/>
    </font>
    <font>
      <sz val="10"/>
      <name val="Arial Cyr"/>
      <charset val="204"/>
    </font>
    <font>
      <sz val="10"/>
      <name val="Times New Roman Cyr"/>
      <family val="1"/>
      <charset val="204"/>
    </font>
    <font>
      <sz val="36"/>
      <name val="Times New Roman"/>
      <family val="1"/>
      <charset val="204"/>
    </font>
    <font>
      <b/>
      <sz val="36"/>
      <name val="Times New Roman"/>
      <family val="1"/>
      <charset val="204"/>
    </font>
    <font>
      <sz val="10"/>
      <color rgb="FFFF0000"/>
      <name val="Arial Cyr"/>
      <charset val="204"/>
    </font>
    <font>
      <u/>
      <sz val="36"/>
      <color indexed="8"/>
      <name val="Times New Roman"/>
      <family val="1"/>
      <charset val="204"/>
    </font>
    <font>
      <sz val="36"/>
      <color indexed="8"/>
      <name val="Times New Roman"/>
      <family val="1"/>
      <charset val="204"/>
    </font>
    <font>
      <b/>
      <sz val="10"/>
      <name val="Arial Cyr"/>
      <charset val="204"/>
    </font>
    <font>
      <sz val="36"/>
      <color rgb="FFFF0000"/>
      <name val="Times New Roman"/>
      <family val="1"/>
      <charset val="204"/>
    </font>
    <font>
      <sz val="10"/>
      <name val="MS Sans Serif"/>
      <family val="2"/>
      <charset val="204"/>
    </font>
    <font>
      <b/>
      <i/>
      <sz val="36"/>
      <name val="Times New Roman"/>
      <family val="1"/>
      <charset val="204"/>
    </font>
    <font>
      <b/>
      <sz val="37"/>
      <name val="Times New Roman"/>
      <family val="1"/>
      <charset val="204"/>
    </font>
    <font>
      <b/>
      <i/>
      <sz val="10"/>
      <name val="Arial Cyr"/>
      <charset val="204"/>
    </font>
    <font>
      <sz val="37"/>
      <name val="Times New Roman"/>
      <family val="1"/>
      <charset val="204"/>
    </font>
    <font>
      <b/>
      <sz val="10"/>
      <color rgb="FFFF0000"/>
      <name val="Times New Roman"/>
      <family val="1"/>
      <charset val="204"/>
    </font>
    <font>
      <b/>
      <sz val="36"/>
      <color theme="1"/>
      <name val="Times New Roman"/>
      <family val="1"/>
      <charset val="204"/>
    </font>
    <font>
      <b/>
      <sz val="37"/>
      <color theme="1"/>
      <name val="Times New Roman"/>
      <family val="1"/>
      <charset val="204"/>
    </font>
    <font>
      <b/>
      <sz val="36"/>
      <color rgb="FFFF0000"/>
      <name val="Times New Roman"/>
      <family val="1"/>
      <charset val="204"/>
    </font>
    <font>
      <b/>
      <i/>
      <sz val="37"/>
      <name val="Times New Roman"/>
      <family val="1"/>
      <charset val="204"/>
    </font>
    <font>
      <i/>
      <sz val="10"/>
      <name val="Arial Cyr"/>
      <charset val="204"/>
    </font>
    <font>
      <i/>
      <sz val="37"/>
      <name val="Times New Roman"/>
      <family val="1"/>
      <charset val="204"/>
    </font>
    <font>
      <i/>
      <sz val="10"/>
      <color rgb="FFFF0000"/>
      <name val="Arial Cyr"/>
      <charset val="204"/>
    </font>
    <font>
      <sz val="36"/>
      <color rgb="FFFF0000"/>
      <name val="Arial Cyr"/>
      <charset val="204"/>
    </font>
    <font>
      <sz val="28"/>
      <name val="Arial Cyr"/>
      <charset val="204"/>
    </font>
    <font>
      <b/>
      <sz val="36"/>
      <color rgb="FFFF0000"/>
      <name val="Arial Cyr"/>
      <charset val="204"/>
    </font>
    <font>
      <b/>
      <sz val="37"/>
      <color rgb="FFFF0000"/>
      <name val="Times New Roman"/>
      <family val="1"/>
      <charset val="204"/>
    </font>
    <font>
      <sz val="37"/>
      <color rgb="FFFF0000"/>
      <name val="Times New Roman"/>
      <family val="1"/>
      <charset val="204"/>
    </font>
    <font>
      <b/>
      <i/>
      <sz val="37"/>
      <color rgb="FFFF0000"/>
      <name val="Times New Roman"/>
      <family val="1"/>
      <charset val="204"/>
    </font>
    <font>
      <vertAlign val="superscript"/>
      <sz val="20"/>
      <name val="Times New Roman"/>
      <family val="1"/>
      <charset val="204"/>
    </font>
    <font>
      <sz val="20"/>
      <name val="Arial Cyr"/>
      <charset val="204"/>
    </font>
    <font>
      <sz val="10"/>
      <name val="Times New Roman"/>
      <family val="1"/>
      <charset val="204"/>
    </font>
    <font>
      <b/>
      <sz val="10"/>
      <name val="Times New Roman Cyr"/>
      <family val="1"/>
      <charset val="204"/>
    </font>
    <font>
      <b/>
      <sz val="48"/>
      <name val="Times New Roman"/>
      <family val="1"/>
      <charset val="204"/>
    </font>
    <font>
      <i/>
      <sz val="37"/>
      <color rgb="FFFF0000"/>
      <name val="Times New Roman"/>
      <family val="1"/>
      <charset val="204"/>
    </font>
    <font>
      <b/>
      <sz val="36"/>
      <color rgb="FF99FF99"/>
      <name val="Times New Roman"/>
      <family val="1"/>
      <charset val="204"/>
    </font>
    <font>
      <sz val="48"/>
      <color rgb="FFFF0000"/>
      <name val="Arial Cyr"/>
      <charset val="204"/>
    </font>
    <font>
      <b/>
      <sz val="37"/>
      <color rgb="FF99FF99"/>
      <name val="Times New Roman"/>
      <family val="1"/>
      <charset val="204"/>
    </font>
    <font>
      <sz val="72"/>
      <name val="Arial Cyr"/>
      <charset val="204"/>
    </font>
    <font>
      <i/>
      <sz val="36"/>
      <color rgb="FFFF0000"/>
      <name val="Times New Roman"/>
      <family val="1"/>
      <charset val="204"/>
    </font>
    <font>
      <vertAlign val="superscript"/>
      <sz val="20"/>
      <color rgb="FFFF0000"/>
      <name val="Times New Roman"/>
      <family val="1"/>
      <charset val="204"/>
    </font>
    <font>
      <sz val="20"/>
      <color rgb="FFFF0000"/>
      <name val="Arial Cyr"/>
      <charset val="204"/>
    </font>
    <font>
      <sz val="20"/>
      <name val="Times New Roman"/>
      <family val="1"/>
      <charset val="204"/>
    </font>
    <font>
      <sz val="36"/>
      <color theme="1"/>
      <name val="Times New Roman"/>
      <family val="1"/>
      <charset val="204"/>
    </font>
    <font>
      <sz val="37"/>
      <color theme="1"/>
      <name val="Times New Roman"/>
      <family val="1"/>
      <charset val="204"/>
    </font>
    <font>
      <i/>
      <sz val="36"/>
      <name val="Times New Roman"/>
      <family val="1"/>
      <charset val="204"/>
    </font>
    <font>
      <sz val="28"/>
      <color rgb="FFFF0000"/>
      <name val="Arial Cyr"/>
      <charset val="204"/>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gradientFill degree="90">
        <stop position="0">
          <color theme="0"/>
        </stop>
        <stop position="1">
          <color rgb="FFCC99FF"/>
        </stop>
      </gradientFill>
    </fill>
    <fill>
      <patternFill patternType="solid">
        <fgColor theme="7" tint="0.59999389629810485"/>
        <bgColor indexed="64"/>
      </patternFill>
    </fill>
    <fill>
      <patternFill patternType="solid">
        <fgColor rgb="FF99FF99"/>
        <bgColor indexed="64"/>
      </patternFill>
    </fill>
    <fill>
      <gradientFill degree="270">
        <stop position="0">
          <color theme="0"/>
        </stop>
        <stop position="1">
          <color rgb="FFFFFFCC"/>
        </stop>
      </gradientFill>
    </fill>
  </fills>
  <borders count="11">
    <border>
      <left/>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top/>
      <bottom/>
      <diagonal/>
    </border>
    <border>
      <left style="double">
        <color theme="0" tint="-0.499984740745262"/>
      </left>
      <right style="double">
        <color theme="0" tint="-0.499984740745262"/>
      </right>
      <top/>
      <bottom/>
      <diagonal/>
    </border>
    <border>
      <left/>
      <right/>
      <top style="double">
        <color theme="0" tint="-0.499984740745262"/>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s>
  <cellStyleXfs count="4">
    <xf numFmtId="0" fontId="0" fillId="0" borderId="0"/>
    <xf numFmtId="0" fontId="10" fillId="0" borderId="0" applyNumberFormat="0" applyFont="0" applyFill="0" applyBorder="0" applyAlignment="0" applyProtection="0">
      <alignment vertical="top"/>
    </xf>
    <xf numFmtId="0" fontId="31" fillId="0" borderId="0"/>
    <xf numFmtId="0" fontId="31" fillId="0" borderId="0"/>
  </cellStyleXfs>
  <cellXfs count="21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xf numFmtId="0" fontId="3" fillId="0" borderId="0" xfId="0" applyFont="1" applyAlignment="1">
      <alignment horizontal="right" vertical="center"/>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9" fillId="0" borderId="0" xfId="1" applyFont="1" applyFill="1" applyBorder="1" applyAlignment="1" applyProtection="1">
      <alignment horizontal="center" vertical="center" wrapText="1"/>
      <protection locked="0"/>
    </xf>
    <xf numFmtId="0" fontId="8" fillId="0" borderId="0" xfId="0" applyFont="1"/>
    <xf numFmtId="4" fontId="4" fillId="0" borderId="0" xfId="0" applyNumberFormat="1" applyFont="1" applyAlignment="1">
      <alignment horizontal="left" vertical="center"/>
    </xf>
    <xf numFmtId="4" fontId="11" fillId="0" borderId="0" xfId="0" applyNumberFormat="1" applyFont="1" applyAlignment="1">
      <alignment horizontal="left" vertical="center"/>
    </xf>
    <xf numFmtId="0" fontId="13" fillId="0" borderId="0" xfId="0" applyFont="1"/>
    <xf numFmtId="0" fontId="15" fillId="0" borderId="0" xfId="0" applyFont="1"/>
    <xf numFmtId="4" fontId="16" fillId="0" borderId="0" xfId="0" applyNumberFormat="1" applyFont="1" applyAlignment="1">
      <alignment horizontal="left" vertical="center"/>
    </xf>
    <xf numFmtId="4" fontId="18" fillId="0" borderId="0" xfId="0" applyNumberFormat="1" applyFont="1" applyAlignment="1">
      <alignment horizontal="left" vertical="center"/>
    </xf>
    <xf numFmtId="0" fontId="20" fillId="0" borderId="0" xfId="0" applyFont="1"/>
    <xf numFmtId="4" fontId="9" fillId="0" borderId="0" xfId="0" applyNumberFormat="1" applyFont="1" applyAlignment="1">
      <alignment horizontal="left" vertical="center"/>
    </xf>
    <xf numFmtId="0" fontId="22" fillId="0" borderId="0" xfId="0" applyFont="1"/>
    <xf numFmtId="4" fontId="23" fillId="0" borderId="0" xfId="0" applyNumberFormat="1" applyFont="1"/>
    <xf numFmtId="4" fontId="3" fillId="0" borderId="0" xfId="0" applyNumberFormat="1" applyFont="1" applyAlignment="1">
      <alignment horizontal="left" vertical="center"/>
    </xf>
    <xf numFmtId="4" fontId="24" fillId="0" borderId="0" xfId="0" applyNumberFormat="1" applyFont="1"/>
    <xf numFmtId="4" fontId="25" fillId="0" borderId="0" xfId="0" applyNumberFormat="1" applyFont="1" applyAlignment="1">
      <alignment horizontal="left" vertical="center"/>
    </xf>
    <xf numFmtId="4" fontId="12" fillId="0" borderId="0" xfId="0" applyNumberFormat="1" applyFont="1" applyAlignment="1">
      <alignment horizontal="center" vertical="center" wrapText="1"/>
    </xf>
    <xf numFmtId="4" fontId="12" fillId="0" borderId="0" xfId="0" applyNumberFormat="1" applyFont="1" applyAlignment="1">
      <alignment horizontal="left" vertical="center" wrapText="1"/>
    </xf>
    <xf numFmtId="4" fontId="27" fillId="0" borderId="0" xfId="0" applyNumberFormat="1" applyFont="1" applyAlignment="1">
      <alignment horizontal="center" vertical="center" wrapText="1"/>
    </xf>
    <xf numFmtId="4" fontId="14" fillId="0" borderId="0" xfId="0" applyNumberFormat="1" applyFont="1" applyAlignment="1">
      <alignment horizontal="left" vertical="center" wrapText="1"/>
    </xf>
    <xf numFmtId="4" fontId="14" fillId="0" borderId="0" xfId="0" applyNumberFormat="1" applyFont="1" applyAlignment="1">
      <alignment horizontal="center" vertical="center" wrapText="1"/>
    </xf>
    <xf numFmtId="4" fontId="26" fillId="0" borderId="0" xfId="0" applyNumberFormat="1" applyFont="1" applyAlignment="1">
      <alignment horizontal="left" vertical="center" wrapText="1"/>
    </xf>
    <xf numFmtId="4" fontId="28" fillId="0" borderId="0" xfId="0" applyNumberFormat="1" applyFont="1" applyAlignment="1">
      <alignment horizontal="left" vertical="center" wrapText="1"/>
    </xf>
    <xf numFmtId="4" fontId="21" fillId="0" borderId="0" xfId="0" applyNumberFormat="1" applyFont="1" applyAlignment="1">
      <alignment horizontal="left" vertical="center" wrapText="1"/>
    </xf>
    <xf numFmtId="0" fontId="5" fillId="2" borderId="0" xfId="0" applyFont="1" applyFill="1"/>
    <xf numFmtId="4" fontId="12" fillId="2" borderId="0" xfId="0" applyNumberFormat="1" applyFont="1" applyFill="1" applyAlignment="1">
      <alignment horizontal="left" vertical="center" wrapText="1"/>
    </xf>
    <xf numFmtId="0" fontId="0" fillId="2" borderId="0" xfId="0" applyFill="1"/>
    <xf numFmtId="4" fontId="19" fillId="0" borderId="0" xfId="0" applyNumberFormat="1" applyFont="1" applyAlignment="1">
      <alignment horizontal="left" vertical="center" wrapText="1"/>
    </xf>
    <xf numFmtId="4" fontId="17" fillId="0" borderId="0" xfId="0" applyNumberFormat="1" applyFont="1" applyAlignment="1">
      <alignment horizontal="center" vertical="center" wrapText="1"/>
    </xf>
    <xf numFmtId="0" fontId="0" fillId="3" borderId="0" xfId="0" applyFill="1"/>
    <xf numFmtId="0" fontId="5" fillId="3" borderId="0" xfId="0" applyFont="1" applyFill="1"/>
    <xf numFmtId="4" fontId="9" fillId="0" borderId="0" xfId="0" applyNumberFormat="1"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3" fillId="0" borderId="0" xfId="2" applyFont="1"/>
    <xf numFmtId="0" fontId="1" fillId="0" borderId="0" xfId="0" applyFont="1"/>
    <xf numFmtId="0" fontId="3" fillId="0" borderId="0" xfId="0" applyFont="1" applyAlignment="1">
      <alignment horizontal="left" vertical="center"/>
    </xf>
    <xf numFmtId="0" fontId="23" fillId="0" borderId="0" xfId="0" applyFont="1"/>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49" fontId="33" fillId="0" borderId="1" xfId="0" applyNumberFormat="1" applyFont="1" applyBorder="1" applyAlignment="1">
      <alignment horizontal="center" vertical="center" wrapText="1"/>
    </xf>
    <xf numFmtId="4" fontId="26" fillId="3" borderId="0" xfId="0" applyNumberFormat="1" applyFont="1" applyFill="1" applyAlignment="1">
      <alignment horizontal="left" vertical="center" wrapText="1"/>
    </xf>
    <xf numFmtId="49" fontId="33" fillId="0" borderId="0" xfId="0" applyNumberFormat="1" applyFont="1" applyAlignment="1">
      <alignment horizontal="center" vertical="center" wrapText="1"/>
    </xf>
    <xf numFmtId="4" fontId="35" fillId="0" borderId="0" xfId="0" applyNumberFormat="1" applyFont="1" applyAlignment="1">
      <alignment horizontal="left" vertical="center"/>
    </xf>
    <xf numFmtId="4" fontId="36" fillId="3" borderId="0" xfId="0" applyNumberFormat="1" applyFont="1" applyFill="1"/>
    <xf numFmtId="4" fontId="37" fillId="4" borderId="1" xfId="0" applyNumberFormat="1" applyFont="1" applyFill="1" applyBorder="1" applyAlignment="1">
      <alignment horizontal="center" vertical="center"/>
    </xf>
    <xf numFmtId="0" fontId="38" fillId="3" borderId="0" xfId="0" applyFont="1" applyFill="1"/>
    <xf numFmtId="49" fontId="1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18" fillId="3" borderId="1" xfId="0" applyNumberFormat="1" applyFont="1" applyFill="1" applyBorder="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4" fontId="12" fillId="4"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49" fontId="3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wrapText="1"/>
    </xf>
    <xf numFmtId="4" fontId="46" fillId="3" borderId="0" xfId="0" applyNumberFormat="1" applyFont="1" applyFill="1"/>
    <xf numFmtId="164" fontId="14" fillId="5" borderId="1" xfId="1" applyNumberFormat="1" applyFont="1" applyFill="1" applyBorder="1" applyAlignment="1" applyProtection="1">
      <alignment horizontal="center" vertical="center" wrapText="1"/>
      <protection locked="0"/>
    </xf>
    <xf numFmtId="49" fontId="3"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xf>
    <xf numFmtId="49" fontId="9" fillId="0" borderId="2" xfId="0" applyNumberFormat="1" applyFont="1" applyBorder="1" applyAlignment="1">
      <alignment horizontal="center" vertical="center" wrapText="1"/>
    </xf>
    <xf numFmtId="164" fontId="14" fillId="6" borderId="1" xfId="1" applyNumberFormat="1" applyFont="1" applyFill="1" applyBorder="1" applyAlignment="1" applyProtection="1">
      <alignment horizontal="center" vertical="center" wrapText="1"/>
      <protection locked="0"/>
    </xf>
    <xf numFmtId="49" fontId="3"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xf>
    <xf numFmtId="4" fontId="37" fillId="4" borderId="0" xfId="0" applyNumberFormat="1" applyFont="1" applyFill="1" applyAlignment="1">
      <alignment horizontal="center" vertical="center"/>
    </xf>
    <xf numFmtId="49" fontId="39" fillId="0" borderId="2" xfId="0" applyNumberFormat="1" applyFont="1" applyBorder="1" applyAlignment="1">
      <alignment horizontal="center" vertical="center" wrapText="1"/>
    </xf>
    <xf numFmtId="49" fontId="33" fillId="0" borderId="10" xfId="0" applyNumberFormat="1" applyFont="1" applyBorder="1" applyAlignment="1">
      <alignment horizontal="center" vertical="center" wrapText="1"/>
    </xf>
    <xf numFmtId="49" fontId="16" fillId="7" borderId="1" xfId="0" applyNumberFormat="1" applyFont="1" applyFill="1" applyBorder="1" applyAlignment="1">
      <alignment horizontal="center" vertical="center" wrapText="1"/>
    </xf>
    <xf numFmtId="0" fontId="16" fillId="7" borderId="1" xfId="1" applyFont="1" applyFill="1" applyBorder="1" applyAlignment="1" applyProtection="1">
      <alignment horizontal="center" vertical="center" wrapText="1"/>
      <protection locked="0"/>
    </xf>
    <xf numFmtId="4" fontId="16" fillId="7" borderId="1" xfId="1" applyNumberFormat="1" applyFont="1" applyFill="1" applyBorder="1" applyAlignment="1" applyProtection="1">
      <alignment horizontal="center" vertical="center" wrapText="1"/>
      <protection locked="0"/>
    </xf>
    <xf numFmtId="164" fontId="4" fillId="7" borderId="1" xfId="1" applyNumberFormat="1" applyFont="1" applyFill="1" applyBorder="1" applyAlignment="1" applyProtection="1">
      <alignment horizontal="center" vertical="center" wrapText="1"/>
      <protection locked="0"/>
    </xf>
    <xf numFmtId="164" fontId="16" fillId="7" borderId="1" xfId="1" applyNumberFormat="1" applyFont="1" applyFill="1" applyBorder="1" applyAlignment="1" applyProtection="1">
      <alignment horizontal="center" vertical="center" wrapText="1"/>
      <protection locked="0"/>
    </xf>
    <xf numFmtId="4" fontId="16" fillId="7"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 fontId="44" fillId="0" borderId="1" xfId="1" applyNumberFormat="1"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164" fontId="21" fillId="0" borderId="1" xfId="1"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4" fontId="45"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center" vertical="center" wrapText="1"/>
      <protection locked="0"/>
    </xf>
    <xf numFmtId="4" fontId="21" fillId="0" borderId="1" xfId="1" applyNumberFormat="1" applyFont="1" applyFill="1" applyBorder="1" applyAlignment="1" applyProtection="1">
      <alignment horizontal="center" vertical="center" wrapText="1"/>
      <protection locked="0"/>
    </xf>
    <xf numFmtId="164" fontId="19" fillId="0" borderId="1" xfId="1" applyNumberFormat="1" applyFont="1" applyFill="1" applyBorder="1" applyAlignment="1" applyProtection="1">
      <alignment horizontal="center" vertical="center" wrapText="1"/>
      <protection locked="0"/>
    </xf>
    <xf numFmtId="4" fontId="19" fillId="0" borderId="1"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4" fontId="44" fillId="0" borderId="1" xfId="1" applyNumberFormat="1" applyFont="1" applyFill="1" applyBorder="1" applyAlignment="1">
      <alignment horizontal="center" vertical="center" wrapText="1"/>
    </xf>
    <xf numFmtId="164" fontId="44" fillId="0" borderId="1" xfId="1" applyNumberFormat="1" applyFont="1" applyFill="1" applyBorder="1" applyAlignment="1" applyProtection="1">
      <alignment horizontal="center" vertical="center" wrapText="1"/>
      <protection locked="0"/>
    </xf>
    <xf numFmtId="4" fontId="17" fillId="0" borderId="1" xfId="1" applyNumberFormat="1" applyFont="1" applyFill="1" applyBorder="1" applyAlignment="1">
      <alignment horizontal="center" vertical="center" wrapText="1"/>
    </xf>
    <xf numFmtId="4" fontId="14" fillId="0" borderId="1" xfId="1" applyNumberFormat="1" applyFont="1" applyFill="1" applyBorder="1" applyAlignment="1">
      <alignment horizontal="center" vertical="center" wrapText="1"/>
    </xf>
    <xf numFmtId="4" fontId="27" fillId="0" borderId="1" xfId="1" applyNumberFormat="1" applyFont="1" applyFill="1" applyBorder="1" applyAlignment="1">
      <alignment horizontal="center" vertical="center" wrapText="1"/>
    </xf>
    <xf numFmtId="4" fontId="27" fillId="0" borderId="1" xfId="1" applyNumberFormat="1" applyFont="1" applyFill="1" applyBorder="1" applyAlignment="1" applyProtection="1">
      <alignment horizontal="center" vertical="center" wrapText="1"/>
      <protection locked="0"/>
    </xf>
    <xf numFmtId="164" fontId="27" fillId="0" borderId="1" xfId="1" applyNumberFormat="1" applyFont="1" applyFill="1" applyBorder="1" applyAlignment="1" applyProtection="1">
      <alignment horizontal="center" vertical="center" wrapText="1"/>
      <protection locked="0"/>
    </xf>
    <xf numFmtId="4" fontId="12" fillId="0" borderId="1" xfId="1" applyNumberFormat="1" applyFont="1" applyFill="1" applyBorder="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locked="0"/>
    </xf>
    <xf numFmtId="0" fontId="45" fillId="0" borderId="1" xfId="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49" fontId="45" fillId="5" borderId="1" xfId="0" applyNumberFormat="1" applyFont="1" applyFill="1" applyBorder="1" applyAlignment="1">
      <alignment horizontal="center" vertical="center" wrapText="1"/>
    </xf>
    <xf numFmtId="4" fontId="21" fillId="5" borderId="1" xfId="0" applyNumberFormat="1" applyFont="1" applyFill="1" applyBorder="1" applyAlignment="1">
      <alignment horizontal="center" vertical="center" wrapText="1"/>
    </xf>
    <xf numFmtId="164" fontId="21" fillId="5" borderId="1" xfId="1" applyNumberFormat="1" applyFont="1" applyFill="1" applyBorder="1" applyAlignment="1" applyProtection="1">
      <alignment horizontal="center" vertical="center" wrapText="1"/>
      <protection locked="0"/>
    </xf>
    <xf numFmtId="49" fontId="45" fillId="5" borderId="2" xfId="0" applyNumberFormat="1" applyFont="1" applyFill="1" applyBorder="1" applyAlignment="1">
      <alignment horizontal="center" vertical="center" wrapText="1"/>
    </xf>
    <xf numFmtId="49" fontId="45" fillId="5" borderId="0" xfId="0" applyNumberFormat="1" applyFont="1" applyFill="1" applyAlignment="1">
      <alignment horizontal="center" wrapText="1"/>
    </xf>
    <xf numFmtId="4" fontId="21" fillId="5" borderId="2" xfId="0" applyNumberFormat="1" applyFont="1" applyFill="1" applyBorder="1" applyAlignment="1">
      <alignment horizontal="center" vertical="center" wrapText="1"/>
    </xf>
    <xf numFmtId="164" fontId="14" fillId="5" borderId="2" xfId="1" applyNumberFormat="1" applyFont="1" applyFill="1" applyBorder="1" applyAlignment="1" applyProtection="1">
      <alignment horizontal="center" vertical="center" wrapText="1"/>
      <protection locked="0"/>
    </xf>
    <xf numFmtId="164" fontId="21" fillId="5" borderId="2" xfId="1" applyNumberFormat="1" applyFont="1" applyFill="1" applyBorder="1" applyAlignment="1" applyProtection="1">
      <alignment horizontal="center" vertical="center" wrapText="1"/>
      <protection locked="0"/>
    </xf>
    <xf numFmtId="4" fontId="27" fillId="5" borderId="1" xfId="0" applyNumberFormat="1" applyFont="1" applyFill="1" applyBorder="1" applyAlignment="1">
      <alignment horizontal="center" vertical="center" wrapText="1"/>
    </xf>
    <xf numFmtId="164" fontId="27" fillId="5" borderId="1" xfId="1" applyNumberFormat="1" applyFont="1" applyFill="1" applyBorder="1" applyAlignment="1" applyProtection="1">
      <alignment horizontal="center" vertical="center" wrapText="1"/>
      <protection locked="0"/>
    </xf>
    <xf numFmtId="4" fontId="26" fillId="5" borderId="1" xfId="0" applyNumberFormat="1" applyFont="1" applyFill="1" applyBorder="1" applyAlignment="1">
      <alignment horizontal="center" vertical="center" wrapText="1"/>
    </xf>
    <xf numFmtId="4" fontId="19" fillId="5" borderId="1" xfId="0" applyNumberFormat="1" applyFont="1" applyFill="1" applyBorder="1" applyAlignment="1">
      <alignment horizontal="center" vertical="center" wrapText="1"/>
    </xf>
    <xf numFmtId="4" fontId="12" fillId="5"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 fontId="27" fillId="5" borderId="1" xfId="0" applyNumberFormat="1" applyFont="1" applyFill="1" applyBorder="1" applyAlignment="1">
      <alignment horizontal="center" vertical="center"/>
    </xf>
    <xf numFmtId="49" fontId="39" fillId="5" borderId="1" xfId="0" applyNumberFormat="1" applyFont="1" applyFill="1" applyBorder="1" applyAlignment="1">
      <alignment horizontal="center" vertical="center" wrapText="1"/>
    </xf>
    <xf numFmtId="4" fontId="34" fillId="5" borderId="1" xfId="0" applyNumberFormat="1" applyFont="1" applyFill="1" applyBorder="1" applyAlignment="1">
      <alignment horizontal="center" vertical="center" wrapText="1"/>
    </xf>
    <xf numFmtId="164" fontId="34" fillId="5" borderId="1" xfId="1" applyNumberFormat="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4" fontId="14" fillId="5" borderId="1" xfId="1" applyNumberFormat="1" applyFont="1" applyFill="1" applyBorder="1" applyAlignment="1" applyProtection="1">
      <alignment horizontal="center" vertical="center" wrapText="1"/>
      <protection locked="0"/>
    </xf>
    <xf numFmtId="4" fontId="14" fillId="5" borderId="1" xfId="1" applyNumberFormat="1" applyFont="1" applyFill="1" applyBorder="1" applyAlignment="1">
      <alignment horizontal="center" vertical="center" wrapText="1"/>
    </xf>
    <xf numFmtId="4" fontId="27" fillId="5" borderId="1" xfId="1" applyNumberFormat="1" applyFont="1" applyFill="1" applyBorder="1" applyAlignment="1" applyProtection="1">
      <alignment horizontal="center" vertical="center" wrapText="1"/>
      <protection locked="0"/>
    </xf>
    <xf numFmtId="4" fontId="27" fillId="5" borderId="1" xfId="1" applyNumberFormat="1" applyFont="1" applyFill="1" applyBorder="1" applyAlignment="1">
      <alignment horizontal="center" vertical="center" wrapText="1"/>
    </xf>
    <xf numFmtId="49" fontId="3" fillId="5" borderId="2" xfId="0" applyNumberFormat="1" applyFont="1" applyFill="1" applyBorder="1" applyAlignment="1">
      <alignment horizontal="center" wrapText="1"/>
    </xf>
    <xf numFmtId="49" fontId="3" fillId="5" borderId="0" xfId="0" applyNumberFormat="1" applyFont="1" applyFill="1" applyAlignment="1">
      <alignment horizontal="center" vertical="center" wrapText="1"/>
    </xf>
    <xf numFmtId="49" fontId="3" fillId="5" borderId="3" xfId="0" applyNumberFormat="1" applyFont="1" applyFill="1" applyBorder="1" applyAlignment="1">
      <alignment horizontal="center" vertical="top" wrapText="1"/>
    </xf>
    <xf numFmtId="49" fontId="3" fillId="5" borderId="1" xfId="0" applyNumberFormat="1" applyFont="1" applyFill="1" applyBorder="1" applyAlignment="1">
      <alignment horizontal="center" vertical="center"/>
    </xf>
    <xf numFmtId="4" fontId="26" fillId="5" borderId="1" xfId="1" applyNumberFormat="1" applyFont="1" applyFill="1" applyBorder="1" applyAlignment="1" applyProtection="1">
      <alignment horizontal="center" vertical="center" wrapText="1"/>
      <protection locked="0"/>
    </xf>
    <xf numFmtId="4" fontId="12" fillId="5" borderId="1" xfId="0" applyNumberFormat="1" applyFont="1" applyFill="1" applyBorder="1" applyAlignment="1">
      <alignment horizontal="center" vertical="center"/>
    </xf>
    <xf numFmtId="49" fontId="3" fillId="5" borderId="1" xfId="3" applyNumberFormat="1" applyFont="1" applyFill="1" applyBorder="1" applyAlignment="1">
      <alignment horizontal="center" vertical="center" wrapText="1"/>
    </xf>
    <xf numFmtId="0" fontId="3" fillId="5" borderId="1" xfId="3" applyFont="1" applyFill="1" applyBorder="1" applyAlignment="1">
      <alignment horizontal="center" vertical="center" wrapText="1"/>
    </xf>
    <xf numFmtId="4" fontId="44"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3" xfId="0" applyNumberFormat="1" applyFont="1" applyBorder="1" applyAlignment="1">
      <alignment horizontal="center" vertical="center" wrapText="1"/>
    </xf>
    <xf numFmtId="4" fontId="14"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4" fontId="4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21"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46" fillId="0" borderId="0" xfId="0" applyNumberFormat="1" applyFont="1"/>
    <xf numFmtId="4" fontId="27" fillId="0" borderId="1" xfId="0" applyNumberFormat="1" applyFont="1" applyBorder="1" applyAlignment="1">
      <alignment horizontal="center" vertical="center"/>
    </xf>
    <xf numFmtId="49" fontId="3" fillId="0" borderId="5"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3" xfId="0" applyNumberFormat="1" applyFont="1" applyBorder="1" applyAlignment="1">
      <alignment horizontal="center" vertical="top" wrapText="1"/>
    </xf>
    <xf numFmtId="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11" fillId="0" borderId="3" xfId="1" applyFont="1" applyFill="1" applyBorder="1" applyAlignment="1" applyProtection="1">
      <alignment horizontal="center" vertical="center" wrapText="1"/>
      <protection locked="0"/>
    </xf>
    <xf numFmtId="4" fontId="19" fillId="0" borderId="1" xfId="0" applyNumberFormat="1" applyFont="1" applyBorder="1" applyAlignment="1">
      <alignment horizontal="center" vertical="center"/>
    </xf>
    <xf numFmtId="49" fontId="3" fillId="0" borderId="1" xfId="3" applyNumberFormat="1" applyFont="1" applyBorder="1" applyAlignment="1">
      <alignment horizontal="center" vertical="center" wrapText="1"/>
    </xf>
    <xf numFmtId="0" fontId="3" fillId="0" borderId="1" xfId="3" applyFont="1" applyBorder="1" applyAlignment="1">
      <alignment horizontal="center" vertical="center" wrapText="1"/>
    </xf>
    <xf numFmtId="4" fontId="12" fillId="0" borderId="1" xfId="0" applyNumberFormat="1" applyFont="1" applyBorder="1" applyAlignment="1">
      <alignment horizontal="center" vertical="center"/>
    </xf>
    <xf numFmtId="49" fontId="45" fillId="0" borderId="1" xfId="3" applyNumberFormat="1" applyFont="1" applyBorder="1" applyAlignment="1">
      <alignment horizontal="center" vertical="center" wrapText="1"/>
    </xf>
    <xf numFmtId="0" fontId="45" fillId="0" borderId="1" xfId="3" applyFont="1" applyBorder="1" applyAlignment="1">
      <alignment horizontal="center" vertical="center" wrapText="1"/>
    </xf>
    <xf numFmtId="0" fontId="4" fillId="0" borderId="1" xfId="0" applyFont="1" applyBorder="1" applyAlignment="1">
      <alignment horizontal="center" vertical="center"/>
    </xf>
    <xf numFmtId="49" fontId="33" fillId="0" borderId="4" xfId="0" applyNumberFormat="1" applyFont="1" applyBorder="1" applyAlignment="1">
      <alignment horizontal="left" vertical="center" wrapText="1"/>
    </xf>
    <xf numFmtId="49" fontId="33" fillId="0" borderId="0" xfId="0" applyNumberFormat="1" applyFont="1" applyAlignment="1">
      <alignment horizontal="left" vertical="center" wrapText="1"/>
    </xf>
    <xf numFmtId="49" fontId="33" fillId="0" borderId="4" xfId="0" applyNumberFormat="1" applyFont="1" applyBorder="1" applyAlignment="1">
      <alignment horizontal="center" vertical="center" wrapText="1"/>
    </xf>
    <xf numFmtId="49" fontId="33" fillId="0" borderId="0" xfId="0" applyNumberFormat="1" applyFont="1" applyAlignment="1">
      <alignment horizontal="center" vertical="center" wrapText="1"/>
    </xf>
    <xf numFmtId="4" fontId="14" fillId="5" borderId="2" xfId="0" applyNumberFormat="1" applyFont="1" applyFill="1" applyBorder="1" applyAlignment="1">
      <alignment horizontal="center" vertical="center" wrapText="1"/>
    </xf>
    <xf numFmtId="4" fontId="14" fillId="5" borderId="5" xfId="0" applyNumberFormat="1" applyFont="1" applyFill="1" applyBorder="1" applyAlignment="1">
      <alignment horizontal="center" vertical="center" wrapText="1"/>
    </xf>
    <xf numFmtId="4" fontId="14" fillId="5" borderId="3" xfId="0" applyNumberFormat="1" applyFont="1" applyFill="1" applyBorder="1" applyAlignment="1">
      <alignment horizontal="center" vertical="center" wrapText="1"/>
    </xf>
    <xf numFmtId="164" fontId="14" fillId="5" borderId="2" xfId="1" applyNumberFormat="1" applyFont="1" applyFill="1" applyBorder="1" applyAlignment="1" applyProtection="1">
      <alignment horizontal="center" vertical="center" wrapText="1"/>
      <protection locked="0"/>
    </xf>
    <xf numFmtId="164" fontId="14" fillId="5" borderId="5" xfId="1" applyNumberFormat="1" applyFont="1" applyFill="1" applyBorder="1" applyAlignment="1" applyProtection="1">
      <alignment horizontal="center" vertical="center" wrapText="1"/>
      <protection locked="0"/>
    </xf>
    <xf numFmtId="164" fontId="14" fillId="5" borderId="3" xfId="1" applyNumberFormat="1" applyFont="1" applyFill="1" applyBorder="1" applyAlignment="1" applyProtection="1">
      <alignment horizontal="center" vertical="center" wrapText="1"/>
      <protection locked="0"/>
    </xf>
    <xf numFmtId="4" fontId="14" fillId="0" borderId="2" xfId="0" applyNumberFormat="1" applyFont="1" applyBorder="1" applyAlignment="1">
      <alignment horizontal="center" vertical="center" wrapText="1"/>
    </xf>
    <xf numFmtId="4" fontId="14" fillId="0" borderId="5" xfId="0" applyNumberFormat="1" applyFont="1" applyBorder="1" applyAlignment="1">
      <alignment horizontal="center" vertical="center" wrapText="1"/>
    </xf>
    <xf numFmtId="4" fontId="14" fillId="0" borderId="3" xfId="0" applyNumberFormat="1" applyFont="1" applyBorder="1" applyAlignment="1">
      <alignment horizontal="center" vertical="center" wrapText="1"/>
    </xf>
    <xf numFmtId="0" fontId="3" fillId="0" borderId="0" xfId="0" applyFont="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9" fillId="0" borderId="6" xfId="0" applyFont="1" applyBorder="1" applyAlignment="1">
      <alignment horizontal="left" vertical="center"/>
    </xf>
    <xf numFmtId="0" fontId="9" fillId="0" borderId="0" xfId="0" applyFont="1"/>
    <xf numFmtId="49" fontId="3" fillId="5" borderId="2" xfId="0" applyNumberFormat="1" applyFont="1" applyFill="1" applyBorder="1" applyAlignment="1">
      <alignment horizontal="center" vertical="center" wrapText="1"/>
    </xf>
    <xf numFmtId="49" fontId="3" fillId="5" borderId="5"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 vertical="top"/>
    </xf>
    <xf numFmtId="0" fontId="4" fillId="0" borderId="0" xfId="0" applyFont="1" applyAlignment="1">
      <alignment horizontal="center" vertical="center"/>
    </xf>
    <xf numFmtId="0" fontId="4" fillId="0" borderId="5" xfId="0" applyFont="1" applyBorder="1" applyAlignment="1">
      <alignment horizontal="center" vertical="top" wrapText="1"/>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7" xfId="0" applyFont="1" applyBorder="1" applyAlignment="1">
      <alignment horizontal="center" vertical="top"/>
    </xf>
    <xf numFmtId="0" fontId="6" fillId="0" borderId="0" xfId="0" applyFont="1" applyAlignment="1">
      <alignment horizontal="center"/>
    </xf>
    <xf numFmtId="49" fontId="3" fillId="0" borderId="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164" fontId="14" fillId="0" borderId="2" xfId="1" applyNumberFormat="1" applyFont="1" applyFill="1" applyBorder="1" applyAlignment="1" applyProtection="1">
      <alignment horizontal="center" vertical="center" wrapText="1"/>
      <protection locked="0"/>
    </xf>
    <xf numFmtId="164" fontId="14" fillId="0" borderId="5" xfId="1" applyNumberFormat="1" applyFont="1" applyFill="1" applyBorder="1" applyAlignment="1" applyProtection="1">
      <alignment horizontal="center" vertical="center" wrapText="1"/>
      <protection locked="0"/>
    </xf>
    <xf numFmtId="164" fontId="14" fillId="0" borderId="3" xfId="1" applyNumberFormat="1" applyFont="1" applyFill="1" applyBorder="1" applyAlignment="1" applyProtection="1">
      <alignment horizontal="center" vertical="center" wrapText="1"/>
      <protection locked="0"/>
    </xf>
  </cellXfs>
  <cellStyles count="4">
    <cellStyle name="Звичайний" xfId="0" builtinId="0"/>
    <cellStyle name="Обычный 3" xfId="3" xr:uid="{00000000-0005-0000-0000-000001000000}"/>
    <cellStyle name="Обычный_Додаток 2 до бюджету 2000 року" xfId="1" xr:uid="{00000000-0005-0000-0000-000002000000}"/>
    <cellStyle name="Обычный_Додаток №1" xfId="2" xr:uid="{00000000-0005-0000-0000-000003000000}"/>
  </cellStyles>
  <dxfs count="0"/>
  <tableStyles count="0" defaultTableStyle="TableStyleMedium2" defaultPivotStyle="PivotStyleLight16"/>
  <colors>
    <mruColors>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286"/>
  <sheetViews>
    <sheetView tabSelected="1" view="pageBreakPreview" topLeftCell="B1" zoomScale="25" zoomScaleNormal="25" zoomScaleSheetLayoutView="25" zoomScalePageLayoutView="10" workbookViewId="0">
      <pane ySplit="13" topLeftCell="A147" activePane="bottomLeft" state="frozen"/>
      <selection activeCell="B1" sqref="B1"/>
      <selection pane="bottomLeft" activeCell="E152" sqref="E152"/>
    </sheetView>
  </sheetViews>
  <sheetFormatPr defaultColWidth="9.140625" defaultRowHeight="12.75" x14ac:dyDescent="0.2"/>
  <cols>
    <col min="1" max="1" width="25.140625" style="1" hidden="1" customWidth="1"/>
    <col min="2" max="2" width="52.5703125" style="1" customWidth="1"/>
    <col min="3" max="3" width="59.28515625" style="1" customWidth="1"/>
    <col min="4" max="4" width="255.42578125" style="1" customWidth="1"/>
    <col min="5" max="5" width="64.85546875" style="1" customWidth="1"/>
    <col min="6" max="6" width="63.28515625" style="1" customWidth="1"/>
    <col min="7" max="7" width="47.5703125" style="1" customWidth="1"/>
    <col min="8" max="8" width="52.5703125" style="47" customWidth="1"/>
    <col min="9" max="9" width="56.140625" style="1" customWidth="1"/>
    <col min="10" max="10" width="44.140625" style="1" customWidth="1"/>
    <col min="11" max="11" width="45.28515625" style="1" hidden="1" customWidth="1"/>
    <col min="12" max="12" width="56.140625" style="1" hidden="1" customWidth="1"/>
    <col min="13" max="13" width="90.28515625" style="47" customWidth="1"/>
    <col min="14" max="14" width="35.42578125" style="5" hidden="1" customWidth="1"/>
    <col min="15" max="15" width="69.140625" style="5" hidden="1" customWidth="1"/>
    <col min="16" max="16" width="62.28515625" hidden="1" customWidth="1"/>
    <col min="17" max="17" width="97.140625" customWidth="1"/>
    <col min="18" max="18" width="31.42578125" customWidth="1"/>
    <col min="19" max="19" width="23.42578125" customWidth="1"/>
    <col min="20" max="20" width="34.28515625" customWidth="1"/>
    <col min="21" max="21" width="27.42578125" customWidth="1"/>
    <col min="22" max="22" width="8.5703125" customWidth="1"/>
    <col min="26" max="26" width="145.5703125" customWidth="1"/>
  </cols>
  <sheetData>
    <row r="2" spans="1:15" ht="45.75" x14ac:dyDescent="0.2">
      <c r="D2" s="2"/>
      <c r="E2" s="3"/>
      <c r="F2" s="3"/>
      <c r="G2" s="3"/>
      <c r="H2" s="3"/>
      <c r="I2" s="4"/>
      <c r="J2" s="199" t="s">
        <v>385</v>
      </c>
      <c r="K2" s="199"/>
      <c r="L2" s="199"/>
      <c r="M2" s="199"/>
      <c r="N2" s="48"/>
    </row>
    <row r="3" spans="1:15" ht="45.75" x14ac:dyDescent="0.2">
      <c r="A3" s="2"/>
      <c r="B3" s="2"/>
      <c r="C3" s="2"/>
      <c r="D3" s="2"/>
      <c r="E3" s="3"/>
      <c r="F3" s="3"/>
      <c r="G3" s="3"/>
      <c r="H3" s="3"/>
      <c r="I3" s="200" t="s">
        <v>611</v>
      </c>
      <c r="J3" s="200"/>
      <c r="K3" s="200"/>
      <c r="L3" s="200"/>
      <c r="M3" s="200"/>
      <c r="N3" s="49"/>
    </row>
    <row r="4" spans="1:15" ht="45" x14ac:dyDescent="0.2">
      <c r="A4" s="202" t="s">
        <v>386</v>
      </c>
      <c r="B4" s="202"/>
      <c r="C4" s="202"/>
      <c r="D4" s="202"/>
      <c r="E4" s="202"/>
      <c r="F4" s="202"/>
      <c r="G4" s="202"/>
      <c r="H4" s="202"/>
      <c r="I4" s="202"/>
      <c r="J4" s="202"/>
      <c r="K4" s="202"/>
      <c r="L4" s="202"/>
      <c r="M4" s="202"/>
    </row>
    <row r="5" spans="1:15" ht="45" x14ac:dyDescent="0.2">
      <c r="A5" s="202" t="s">
        <v>610</v>
      </c>
      <c r="B5" s="202"/>
      <c r="C5" s="202"/>
      <c r="D5" s="202"/>
      <c r="E5" s="202"/>
      <c r="F5" s="202"/>
      <c r="G5" s="202"/>
      <c r="H5" s="202"/>
      <c r="I5" s="202"/>
      <c r="J5" s="202"/>
      <c r="K5" s="202"/>
      <c r="L5" s="202"/>
      <c r="M5" s="202"/>
    </row>
    <row r="6" spans="1:15" ht="45" x14ac:dyDescent="0.2">
      <c r="A6" s="3"/>
      <c r="B6" s="3"/>
      <c r="C6" s="3"/>
      <c r="D6" s="3"/>
      <c r="E6" s="3"/>
      <c r="F6" s="3"/>
      <c r="G6" s="3"/>
      <c r="H6" s="3"/>
      <c r="I6" s="3"/>
      <c r="J6" s="3"/>
      <c r="K6" s="3"/>
      <c r="L6" s="3"/>
      <c r="M6" s="3"/>
    </row>
    <row r="7" spans="1:15" ht="61.5" customHeight="1" x14ac:dyDescent="0.65">
      <c r="A7" s="207">
        <v>2256400000</v>
      </c>
      <c r="B7" s="207"/>
      <c r="C7" s="3"/>
      <c r="D7" s="3"/>
      <c r="E7" s="3"/>
      <c r="F7" s="3"/>
      <c r="G7" s="3"/>
      <c r="H7" s="3"/>
      <c r="I7" s="3"/>
      <c r="J7" s="3"/>
      <c r="K7" s="3"/>
      <c r="L7" s="3"/>
      <c r="M7" s="3"/>
    </row>
    <row r="8" spans="1:15" ht="45.75" x14ac:dyDescent="0.2">
      <c r="A8" s="201" t="s">
        <v>0</v>
      </c>
      <c r="B8" s="201"/>
      <c r="C8" s="3"/>
      <c r="D8" s="3"/>
      <c r="E8" s="3"/>
      <c r="F8" s="3"/>
      <c r="G8" s="3"/>
      <c r="H8" s="3"/>
      <c r="I8" s="3"/>
      <c r="J8" s="3"/>
      <c r="K8" s="3"/>
      <c r="L8" s="3"/>
      <c r="M8" s="3"/>
    </row>
    <row r="9" spans="1:15" ht="53.45" customHeight="1" thickBot="1" x14ac:dyDescent="0.25">
      <c r="A9" s="3"/>
      <c r="B9" s="3"/>
      <c r="C9" s="3"/>
      <c r="D9" s="3"/>
      <c r="E9" s="3"/>
      <c r="F9" s="3"/>
      <c r="G9" s="3"/>
      <c r="H9" s="3"/>
      <c r="I9" s="3"/>
      <c r="J9" s="3"/>
      <c r="K9" s="3"/>
      <c r="L9" s="3"/>
      <c r="M9" s="6" t="s">
        <v>1</v>
      </c>
    </row>
    <row r="10" spans="1:15" ht="62.45" customHeight="1" thickTop="1" thickBot="1" x14ac:dyDescent="0.25">
      <c r="A10" s="192" t="s">
        <v>2</v>
      </c>
      <c r="B10" s="192" t="s">
        <v>3</v>
      </c>
      <c r="C10" s="192" t="s">
        <v>4</v>
      </c>
      <c r="D10" s="192" t="s">
        <v>387</v>
      </c>
      <c r="E10" s="204" t="s">
        <v>617</v>
      </c>
      <c r="F10" s="204"/>
      <c r="G10" s="205"/>
      <c r="H10" s="206" t="s">
        <v>5</v>
      </c>
      <c r="I10" s="204"/>
      <c r="J10" s="204"/>
      <c r="K10" s="204"/>
      <c r="L10" s="205"/>
      <c r="M10" s="192" t="s">
        <v>613</v>
      </c>
    </row>
    <row r="11" spans="1:15" ht="96" customHeight="1" thickTop="1" thickBot="1" x14ac:dyDescent="0.25">
      <c r="A11" s="203"/>
      <c r="B11" s="203"/>
      <c r="C11" s="203"/>
      <c r="D11" s="203"/>
      <c r="E11" s="192" t="s">
        <v>512</v>
      </c>
      <c r="F11" s="192" t="s">
        <v>612</v>
      </c>
      <c r="G11" s="192" t="s">
        <v>388</v>
      </c>
      <c r="H11" s="192" t="s">
        <v>512</v>
      </c>
      <c r="I11" s="192" t="s">
        <v>612</v>
      </c>
      <c r="J11" s="192" t="s">
        <v>388</v>
      </c>
      <c r="K11" s="7"/>
      <c r="L11" s="192"/>
      <c r="M11" s="203"/>
    </row>
    <row r="12" spans="1:15" ht="208.5" customHeight="1" thickTop="1" thickBot="1" x14ac:dyDescent="0.25">
      <c r="A12" s="193"/>
      <c r="B12" s="193"/>
      <c r="C12" s="193"/>
      <c r="D12" s="193"/>
      <c r="E12" s="193"/>
      <c r="F12" s="193"/>
      <c r="G12" s="193"/>
      <c r="H12" s="193"/>
      <c r="I12" s="193"/>
      <c r="J12" s="193"/>
      <c r="K12" s="7"/>
      <c r="L12" s="193"/>
      <c r="M12" s="193"/>
    </row>
    <row r="13" spans="1:15" s="11" customFormat="1" ht="47.25" thickTop="1" thickBot="1" x14ac:dyDescent="0.25">
      <c r="A13" s="8" t="s">
        <v>6</v>
      </c>
      <c r="B13" s="8" t="s">
        <v>6</v>
      </c>
      <c r="C13" s="8" t="s">
        <v>7</v>
      </c>
      <c r="D13" s="8" t="s">
        <v>8</v>
      </c>
      <c r="E13" s="8" t="s">
        <v>9</v>
      </c>
      <c r="F13" s="8" t="s">
        <v>10</v>
      </c>
      <c r="G13" s="8" t="s">
        <v>449</v>
      </c>
      <c r="H13" s="8" t="s">
        <v>450</v>
      </c>
      <c r="I13" s="8" t="s">
        <v>451</v>
      </c>
      <c r="J13" s="8" t="s">
        <v>452</v>
      </c>
      <c r="K13" s="8"/>
      <c r="L13" s="8"/>
      <c r="M13" s="8" t="s">
        <v>582</v>
      </c>
      <c r="N13" s="9"/>
      <c r="O13" s="10"/>
    </row>
    <row r="14" spans="1:15" s="14" customFormat="1" ht="88.5" customHeight="1" thickTop="1" thickBot="1" x14ac:dyDescent="0.25">
      <c r="A14" s="57" t="s">
        <v>11</v>
      </c>
      <c r="B14" s="85" t="s">
        <v>12</v>
      </c>
      <c r="C14" s="85"/>
      <c r="D14" s="86" t="s">
        <v>13</v>
      </c>
      <c r="E14" s="87">
        <f>SUM(E15:E18)</f>
        <v>322835304.89999998</v>
      </c>
      <c r="F14" s="87">
        <f>SUM(F15:F18)</f>
        <v>314116403.34999996</v>
      </c>
      <c r="G14" s="88">
        <f>F14/E14</f>
        <v>0.97299272595758779</v>
      </c>
      <c r="H14" s="87">
        <f>SUM(H15:H18)</f>
        <v>3236884.23</v>
      </c>
      <c r="I14" s="87">
        <f>SUM(I15:I18)</f>
        <v>3105619.19</v>
      </c>
      <c r="J14" s="89">
        <f>I14/H14</f>
        <v>0.95944710076949524</v>
      </c>
      <c r="K14" s="87"/>
      <c r="L14" s="87"/>
      <c r="M14" s="90">
        <f t="shared" ref="M14:M27" si="0">F14+I14</f>
        <v>317222022.53999996</v>
      </c>
      <c r="N14" s="53" t="b">
        <f>M14=M15+M16+M18</f>
        <v>1</v>
      </c>
      <c r="O14" s="13"/>
    </row>
    <row r="15" spans="1:15" ht="186.75" customHeight="1" thickTop="1" thickBot="1" x14ac:dyDescent="0.25">
      <c r="A15" s="58" t="s">
        <v>14</v>
      </c>
      <c r="B15" s="69" t="s">
        <v>15</v>
      </c>
      <c r="C15" s="69" t="s">
        <v>16</v>
      </c>
      <c r="D15" s="69" t="s">
        <v>17</v>
      </c>
      <c r="E15" s="93">
        <v>156855084</v>
      </c>
      <c r="F15" s="93">
        <v>151191659.69999999</v>
      </c>
      <c r="G15" s="94">
        <f>F15/E15</f>
        <v>0.96389390668395547</v>
      </c>
      <c r="H15" s="93">
        <v>2395500</v>
      </c>
      <c r="I15" s="103">
        <v>2267714.7599999998</v>
      </c>
      <c r="J15" s="104">
        <f>I15/H15</f>
        <v>0.94665613024420781</v>
      </c>
      <c r="K15" s="105"/>
      <c r="L15" s="159"/>
      <c r="M15" s="146">
        <f t="shared" si="0"/>
        <v>153459374.45999998</v>
      </c>
      <c r="N15" s="15"/>
      <c r="O15" s="16"/>
    </row>
    <row r="16" spans="1:15" ht="126" customHeight="1" thickTop="1" thickBot="1" x14ac:dyDescent="0.25">
      <c r="A16" s="58" t="s">
        <v>18</v>
      </c>
      <c r="B16" s="69" t="s">
        <v>19</v>
      </c>
      <c r="C16" s="69" t="s">
        <v>16</v>
      </c>
      <c r="D16" s="69" t="s">
        <v>513</v>
      </c>
      <c r="E16" s="93">
        <v>143925020.90000001</v>
      </c>
      <c r="F16" s="93">
        <v>141057718.06</v>
      </c>
      <c r="G16" s="94">
        <f t="shared" ref="G16:G18" si="1">F16/E16</f>
        <v>0.98007780146863954</v>
      </c>
      <c r="H16" s="93">
        <f>33267.43+30000+42000+97700+210347+30000+112000+204250.2</f>
        <v>759564.62999999989</v>
      </c>
      <c r="I16" s="103">
        <v>756084.83</v>
      </c>
      <c r="J16" s="104">
        <f t="shared" ref="J16:J18" si="2">I16/H16</f>
        <v>0.99541869136270877</v>
      </c>
      <c r="K16" s="105"/>
      <c r="L16" s="159"/>
      <c r="M16" s="146">
        <f t="shared" si="0"/>
        <v>141813802.89000002</v>
      </c>
      <c r="N16" s="15"/>
      <c r="O16" s="16"/>
    </row>
    <row r="17" spans="1:17" ht="93" thickTop="1" thickBot="1" x14ac:dyDescent="0.25">
      <c r="A17" s="69" t="s">
        <v>20</v>
      </c>
      <c r="B17" s="69" t="s">
        <v>21</v>
      </c>
      <c r="C17" s="69" t="s">
        <v>22</v>
      </c>
      <c r="D17" s="69" t="s">
        <v>23</v>
      </c>
      <c r="E17" s="93">
        <v>20000</v>
      </c>
      <c r="F17" s="93">
        <v>0</v>
      </c>
      <c r="G17" s="94">
        <f t="shared" si="1"/>
        <v>0</v>
      </c>
      <c r="H17" s="93"/>
      <c r="I17" s="103"/>
      <c r="J17" s="105"/>
      <c r="K17" s="105"/>
      <c r="L17" s="159"/>
      <c r="M17" s="146">
        <f t="shared" si="0"/>
        <v>0</v>
      </c>
      <c r="N17" s="15"/>
      <c r="O17" s="17"/>
    </row>
    <row r="18" spans="1:17" ht="111" customHeight="1" thickTop="1" thickBot="1" x14ac:dyDescent="0.25">
      <c r="A18" s="58" t="s">
        <v>24</v>
      </c>
      <c r="B18" s="69" t="s">
        <v>25</v>
      </c>
      <c r="C18" s="69" t="s">
        <v>26</v>
      </c>
      <c r="D18" s="69" t="s">
        <v>27</v>
      </c>
      <c r="E18" s="146">
        <v>22035200</v>
      </c>
      <c r="F18" s="146">
        <v>21867025.59</v>
      </c>
      <c r="G18" s="94">
        <f t="shared" si="1"/>
        <v>0.99236791996442053</v>
      </c>
      <c r="H18" s="93">
        <f>54147.6+27672</f>
        <v>81819.600000000006</v>
      </c>
      <c r="I18" s="103">
        <v>81819.600000000006</v>
      </c>
      <c r="J18" s="104">
        <f t="shared" si="2"/>
        <v>1</v>
      </c>
      <c r="K18" s="146"/>
      <c r="L18" s="159"/>
      <c r="M18" s="146">
        <f t="shared" si="0"/>
        <v>21948845.190000001</v>
      </c>
      <c r="N18" s="15"/>
      <c r="O18" s="17"/>
    </row>
    <row r="19" spans="1:17" ht="83.25" customHeight="1" thickTop="1" thickBot="1" x14ac:dyDescent="0.25">
      <c r="A19" s="57" t="s">
        <v>57</v>
      </c>
      <c r="B19" s="85" t="s">
        <v>58</v>
      </c>
      <c r="C19" s="85"/>
      <c r="D19" s="86" t="s">
        <v>59</v>
      </c>
      <c r="E19" s="87">
        <f>SUM(E20:E67)-E21-E25-E32-E35-E38-E42-E49-E28-E52-E58-E62-E55-E64</f>
        <v>2410955320.54</v>
      </c>
      <c r="F19" s="87">
        <f>SUM(F20:F67)-F21-F25-F32-F35-F38-F42-F49-F28-F52-F58-F62-F55-F64</f>
        <v>2352696565.3499999</v>
      </c>
      <c r="G19" s="88">
        <f>F19/E19</f>
        <v>0.9758358213054934</v>
      </c>
      <c r="H19" s="87">
        <f>SUM(H20:H67)-H21-H25-H32-H35-H38-H42-H49-H28-H52-H58-H62-H55-H64</f>
        <v>440412198.6699999</v>
      </c>
      <c r="I19" s="87">
        <f>SUM(I20:I67)-I21-I25-I32-I35-I38-I42-I49-I28-I52-I58-I62-I55-I64</f>
        <v>423453103.73000014</v>
      </c>
      <c r="J19" s="89">
        <f>I19/H19</f>
        <v>0.9614926766533386</v>
      </c>
      <c r="K19" s="87"/>
      <c r="L19" s="87"/>
      <c r="M19" s="90">
        <f>F19+I19</f>
        <v>2776149669.0799999</v>
      </c>
      <c r="N19" s="53" t="b">
        <f>M19=M20+M22+M23+M24+M26+M27+M30+M31+M33+M34+M36+M37+M39+M40+M41+M45+M46+M47+M53+M61+M63+M66+M59+M60+M56+M57+M65+M67</f>
        <v>1</v>
      </c>
      <c r="O19" s="12"/>
      <c r="Q19" s="90">
        <f>M19/(E19+H19)*100</f>
        <v>97.362042962780194</v>
      </c>
    </row>
    <row r="20" spans="1:17" ht="99" customHeight="1" thickTop="1" thickBot="1" x14ac:dyDescent="0.6">
      <c r="A20" s="58" t="s">
        <v>60</v>
      </c>
      <c r="B20" s="70" t="s">
        <v>61</v>
      </c>
      <c r="C20" s="70" t="s">
        <v>62</v>
      </c>
      <c r="D20" s="70" t="s">
        <v>63</v>
      </c>
      <c r="E20" s="147">
        <v>633694146.75</v>
      </c>
      <c r="F20" s="147">
        <v>624140378.67999995</v>
      </c>
      <c r="G20" s="94">
        <f>F20/E20</f>
        <v>0.98492369210131092</v>
      </c>
      <c r="H20" s="147">
        <v>86485977.700000003</v>
      </c>
      <c r="I20" s="147">
        <v>83562438.359999999</v>
      </c>
      <c r="J20" s="94">
        <f t="shared" ref="J20:J24" si="3">I20/H20</f>
        <v>0.96619637751982068</v>
      </c>
      <c r="K20" s="147"/>
      <c r="L20" s="160"/>
      <c r="M20" s="147">
        <f t="shared" si="0"/>
        <v>707702817.03999996</v>
      </c>
      <c r="N20" s="21"/>
      <c r="O20" s="12"/>
    </row>
    <row r="21" spans="1:17" ht="93" thickTop="1" thickBot="1" x14ac:dyDescent="0.6">
      <c r="A21" s="71" t="s">
        <v>64</v>
      </c>
      <c r="B21" s="71" t="s">
        <v>65</v>
      </c>
      <c r="C21" s="71"/>
      <c r="D21" s="71" t="s">
        <v>66</v>
      </c>
      <c r="E21" s="148">
        <f t="shared" ref="E21" si="4">E22+E23+E24</f>
        <v>513797144.66999996</v>
      </c>
      <c r="F21" s="148">
        <f t="shared" ref="F21" si="5">F22+F23+F24</f>
        <v>499367202.5</v>
      </c>
      <c r="G21" s="95">
        <f t="shared" ref="G21:G48" si="6">F21/E21</f>
        <v>0.97191509855651692</v>
      </c>
      <c r="H21" s="148">
        <f>H22+H23+H24</f>
        <v>121118253.33</v>
      </c>
      <c r="I21" s="148">
        <f>I22+I23+I24</f>
        <v>117323625.02</v>
      </c>
      <c r="J21" s="95">
        <f t="shared" si="3"/>
        <v>0.96867005421832564</v>
      </c>
      <c r="K21" s="148"/>
      <c r="L21" s="161"/>
      <c r="M21" s="148">
        <f>F21+I21</f>
        <v>616690827.51999998</v>
      </c>
      <c r="N21" s="21"/>
      <c r="O21" s="22"/>
    </row>
    <row r="22" spans="1:17" ht="93" thickTop="1" thickBot="1" x14ac:dyDescent="0.6">
      <c r="A22" s="70" t="s">
        <v>67</v>
      </c>
      <c r="B22" s="70" t="s">
        <v>68</v>
      </c>
      <c r="C22" s="70" t="s">
        <v>69</v>
      </c>
      <c r="D22" s="70" t="s">
        <v>514</v>
      </c>
      <c r="E22" s="147">
        <v>465881174.52999997</v>
      </c>
      <c r="F22" s="147">
        <v>452647111.62</v>
      </c>
      <c r="G22" s="94">
        <f t="shared" si="6"/>
        <v>0.97159347998263501</v>
      </c>
      <c r="H22" s="147">
        <v>120460517.12</v>
      </c>
      <c r="I22" s="147">
        <v>116709820.06999999</v>
      </c>
      <c r="J22" s="94">
        <f t="shared" si="3"/>
        <v>0.96886368131506817</v>
      </c>
      <c r="K22" s="147"/>
      <c r="L22" s="160"/>
      <c r="M22" s="147">
        <f t="shared" si="0"/>
        <v>569356931.69000006</v>
      </c>
      <c r="N22" s="21"/>
      <c r="O22" s="13"/>
      <c r="Q22" s="23"/>
    </row>
    <row r="23" spans="1:17" ht="184.5" thickTop="1" thickBot="1" x14ac:dyDescent="0.25">
      <c r="A23" s="58" t="s">
        <v>70</v>
      </c>
      <c r="B23" s="70" t="s">
        <v>71</v>
      </c>
      <c r="C23" s="70" t="s">
        <v>72</v>
      </c>
      <c r="D23" s="70" t="s">
        <v>515</v>
      </c>
      <c r="E23" s="147">
        <v>29975368.309999999</v>
      </c>
      <c r="F23" s="147">
        <v>29483658.800000001</v>
      </c>
      <c r="G23" s="94">
        <f t="shared" si="6"/>
        <v>0.98359621456808055</v>
      </c>
      <c r="H23" s="147">
        <v>642736.21</v>
      </c>
      <c r="I23" s="147">
        <v>598806.94999999995</v>
      </c>
      <c r="J23" s="94">
        <f t="shared" si="3"/>
        <v>0.93165273822055239</v>
      </c>
      <c r="K23" s="147"/>
      <c r="L23" s="160"/>
      <c r="M23" s="147">
        <f t="shared" si="0"/>
        <v>30082465.75</v>
      </c>
      <c r="O23" s="13"/>
    </row>
    <row r="24" spans="1:17" ht="93" thickTop="1" thickBot="1" x14ac:dyDescent="0.25">
      <c r="A24" s="70"/>
      <c r="B24" s="70" t="s">
        <v>407</v>
      </c>
      <c r="C24" s="70" t="s">
        <v>72</v>
      </c>
      <c r="D24" s="70" t="s">
        <v>516</v>
      </c>
      <c r="E24" s="147">
        <v>17940601.829999998</v>
      </c>
      <c r="F24" s="147">
        <v>17236432.079999998</v>
      </c>
      <c r="G24" s="94">
        <f t="shared" si="6"/>
        <v>0.96074993711624002</v>
      </c>
      <c r="H24" s="147">
        <v>15000</v>
      </c>
      <c r="I24" s="147">
        <v>14998</v>
      </c>
      <c r="J24" s="94">
        <f t="shared" si="3"/>
        <v>0.99986666666666668</v>
      </c>
      <c r="K24" s="147"/>
      <c r="L24" s="160"/>
      <c r="M24" s="147">
        <f>F24+I24</f>
        <v>17251430.079999998</v>
      </c>
      <c r="O24" s="13"/>
    </row>
    <row r="25" spans="1:17" ht="123" customHeight="1" thickTop="1" thickBot="1" x14ac:dyDescent="0.25">
      <c r="A25" s="59" t="s">
        <v>73</v>
      </c>
      <c r="B25" s="71" t="s">
        <v>74</v>
      </c>
      <c r="C25" s="71"/>
      <c r="D25" s="71" t="s">
        <v>75</v>
      </c>
      <c r="E25" s="148">
        <f>E26+E27</f>
        <v>766276280</v>
      </c>
      <c r="F25" s="148">
        <f t="shared" ref="F25" si="7">F26+F27</f>
        <v>766276280</v>
      </c>
      <c r="G25" s="95">
        <f t="shared" si="6"/>
        <v>1</v>
      </c>
      <c r="H25" s="148">
        <f>H26+H27</f>
        <v>0</v>
      </c>
      <c r="I25" s="148">
        <f>I26+I27</f>
        <v>0</v>
      </c>
      <c r="J25" s="95">
        <v>0</v>
      </c>
      <c r="K25" s="148"/>
      <c r="L25" s="148"/>
      <c r="M25" s="148">
        <f>F25+I25</f>
        <v>766276280</v>
      </c>
      <c r="N25" s="50" t="s">
        <v>389</v>
      </c>
      <c r="O25" s="19"/>
    </row>
    <row r="26" spans="1:17" ht="93" thickTop="1" thickBot="1" x14ac:dyDescent="0.25">
      <c r="A26" s="58" t="s">
        <v>76</v>
      </c>
      <c r="B26" s="70" t="s">
        <v>77</v>
      </c>
      <c r="C26" s="70" t="s">
        <v>69</v>
      </c>
      <c r="D26" s="70" t="s">
        <v>517</v>
      </c>
      <c r="E26" s="147">
        <v>756543170</v>
      </c>
      <c r="F26" s="147">
        <v>756543170</v>
      </c>
      <c r="G26" s="94">
        <f t="shared" si="6"/>
        <v>1</v>
      </c>
      <c r="H26" s="147"/>
      <c r="I26" s="147"/>
      <c r="J26" s="147"/>
      <c r="K26" s="147"/>
      <c r="L26" s="160"/>
      <c r="M26" s="147">
        <f t="shared" si="0"/>
        <v>756543170</v>
      </c>
      <c r="O26" s="17"/>
    </row>
    <row r="27" spans="1:17" ht="93" thickTop="1" thickBot="1" x14ac:dyDescent="0.25">
      <c r="A27" s="77"/>
      <c r="B27" s="149" t="s">
        <v>448</v>
      </c>
      <c r="C27" s="70" t="s">
        <v>72</v>
      </c>
      <c r="D27" s="70" t="s">
        <v>518</v>
      </c>
      <c r="E27" s="150">
        <v>9733110</v>
      </c>
      <c r="F27" s="150">
        <v>9733110</v>
      </c>
      <c r="G27" s="94">
        <f t="shared" si="6"/>
        <v>1</v>
      </c>
      <c r="H27" s="150"/>
      <c r="I27" s="150"/>
      <c r="J27" s="150"/>
      <c r="K27" s="150"/>
      <c r="L27" s="162"/>
      <c r="M27" s="147">
        <f t="shared" si="0"/>
        <v>9733110</v>
      </c>
      <c r="O27" s="17"/>
    </row>
    <row r="28" spans="1:17" ht="290.25" hidden="1" customHeight="1" thickTop="1" thickBot="1" x14ac:dyDescent="0.7">
      <c r="A28" s="83" t="s">
        <v>78</v>
      </c>
      <c r="B28" s="118" t="s">
        <v>79</v>
      </c>
      <c r="C28" s="118"/>
      <c r="D28" s="119" t="s">
        <v>519</v>
      </c>
      <c r="E28" s="120">
        <f t="shared" ref="E28:I28" si="8">E29</f>
        <v>0</v>
      </c>
      <c r="F28" s="120">
        <f t="shared" si="8"/>
        <v>0</v>
      </c>
      <c r="G28" s="121" t="e">
        <f>F28/E28</f>
        <v>#DIV/0!</v>
      </c>
      <c r="H28" s="120">
        <f t="shared" si="8"/>
        <v>0</v>
      </c>
      <c r="I28" s="120">
        <f t="shared" si="8"/>
        <v>0</v>
      </c>
      <c r="J28" s="122">
        <v>0</v>
      </c>
      <c r="K28" s="120"/>
      <c r="L28" s="120"/>
      <c r="M28" s="120">
        <f>I28+F28</f>
        <v>0</v>
      </c>
      <c r="N28" s="84" t="s">
        <v>389</v>
      </c>
      <c r="O28" s="17"/>
    </row>
    <row r="29" spans="1:17" ht="321.75" hidden="1" customHeight="1" thickTop="1" thickBot="1" x14ac:dyDescent="0.25">
      <c r="A29" s="58" t="s">
        <v>80</v>
      </c>
      <c r="B29" s="74" t="s">
        <v>81</v>
      </c>
      <c r="C29" s="74" t="s">
        <v>69</v>
      </c>
      <c r="D29" s="74" t="s">
        <v>520</v>
      </c>
      <c r="E29" s="75"/>
      <c r="F29" s="75"/>
      <c r="G29" s="73" t="e">
        <f t="shared" si="6"/>
        <v>#DIV/0!</v>
      </c>
      <c r="H29" s="75"/>
      <c r="I29" s="75"/>
      <c r="J29" s="73"/>
      <c r="K29" s="75"/>
      <c r="L29" s="76"/>
      <c r="M29" s="75">
        <f t="shared" ref="M29:M35" si="9">F29+I29</f>
        <v>0</v>
      </c>
      <c r="O29" s="12"/>
    </row>
    <row r="30" spans="1:17" ht="93" thickTop="1" thickBot="1" x14ac:dyDescent="0.25">
      <c r="A30" s="70" t="s">
        <v>82</v>
      </c>
      <c r="B30" s="70" t="s">
        <v>83</v>
      </c>
      <c r="C30" s="70" t="s">
        <v>84</v>
      </c>
      <c r="D30" s="70" t="s">
        <v>85</v>
      </c>
      <c r="E30" s="147">
        <v>35494713.880000003</v>
      </c>
      <c r="F30" s="147">
        <v>34621479.649999999</v>
      </c>
      <c r="G30" s="94">
        <f t="shared" si="6"/>
        <v>0.97539818934863876</v>
      </c>
      <c r="H30" s="147">
        <v>4429867.72</v>
      </c>
      <c r="I30" s="147">
        <v>4352518.84</v>
      </c>
      <c r="J30" s="94">
        <f t="shared" ref="J30:J37" si="10">I30/H30</f>
        <v>0.98253923482843863</v>
      </c>
      <c r="K30" s="147"/>
      <c r="L30" s="160"/>
      <c r="M30" s="147">
        <f t="shared" si="9"/>
        <v>38973998.489999995</v>
      </c>
      <c r="O30" s="12"/>
    </row>
    <row r="31" spans="1:17" ht="48" thickTop="1" thickBot="1" x14ac:dyDescent="0.25">
      <c r="A31" s="58"/>
      <c r="B31" s="70" t="s">
        <v>240</v>
      </c>
      <c r="C31" s="70" t="s">
        <v>84</v>
      </c>
      <c r="D31" s="70" t="s">
        <v>453</v>
      </c>
      <c r="E31" s="147">
        <v>98616279</v>
      </c>
      <c r="F31" s="147">
        <v>97015636.040000007</v>
      </c>
      <c r="G31" s="94">
        <f t="shared" si="6"/>
        <v>0.98376897834484311</v>
      </c>
      <c r="H31" s="147">
        <v>16483557.77</v>
      </c>
      <c r="I31" s="147">
        <v>16077326.43</v>
      </c>
      <c r="J31" s="94">
        <f t="shared" si="10"/>
        <v>0.97535536043442395</v>
      </c>
      <c r="K31" s="147"/>
      <c r="L31" s="160"/>
      <c r="M31" s="147">
        <f t="shared" si="9"/>
        <v>113092962.47</v>
      </c>
      <c r="O31" s="12"/>
    </row>
    <row r="32" spans="1:17" ht="93" thickTop="1" thickBot="1" x14ac:dyDescent="0.25">
      <c r="A32" s="59" t="s">
        <v>86</v>
      </c>
      <c r="B32" s="71" t="s">
        <v>87</v>
      </c>
      <c r="C32" s="71"/>
      <c r="D32" s="71" t="s">
        <v>88</v>
      </c>
      <c r="E32" s="148">
        <f>E33+E34</f>
        <v>191729995.94999999</v>
      </c>
      <c r="F32" s="148">
        <f>F33+F34</f>
        <v>188806921.84999999</v>
      </c>
      <c r="G32" s="95">
        <f t="shared" si="6"/>
        <v>0.98475421602385949</v>
      </c>
      <c r="H32" s="148">
        <f t="shared" ref="H32:I32" si="11">H33+H34</f>
        <v>44658145.100000001</v>
      </c>
      <c r="I32" s="148">
        <f t="shared" si="11"/>
        <v>41400781.990000002</v>
      </c>
      <c r="J32" s="95">
        <f t="shared" si="10"/>
        <v>0.92706004464121827</v>
      </c>
      <c r="K32" s="148"/>
      <c r="L32" s="148"/>
      <c r="M32" s="148">
        <f t="shared" si="9"/>
        <v>230207703.84</v>
      </c>
      <c r="O32" s="19"/>
    </row>
    <row r="33" spans="1:15" ht="93" thickTop="1" thickBot="1" x14ac:dyDescent="0.25">
      <c r="A33" s="70" t="s">
        <v>89</v>
      </c>
      <c r="B33" s="70" t="s">
        <v>90</v>
      </c>
      <c r="C33" s="70" t="s">
        <v>91</v>
      </c>
      <c r="D33" s="70" t="s">
        <v>92</v>
      </c>
      <c r="E33" s="147">
        <v>167377475.94999999</v>
      </c>
      <c r="F33" s="147">
        <v>164454401.84999999</v>
      </c>
      <c r="G33" s="94">
        <f t="shared" si="6"/>
        <v>0.98253603668349498</v>
      </c>
      <c r="H33" s="147">
        <v>44658145.100000001</v>
      </c>
      <c r="I33" s="147">
        <v>41400781.990000002</v>
      </c>
      <c r="J33" s="94">
        <f t="shared" si="10"/>
        <v>0.92706004464121827</v>
      </c>
      <c r="K33" s="147"/>
      <c r="L33" s="160"/>
      <c r="M33" s="147">
        <f t="shared" si="9"/>
        <v>205855183.84</v>
      </c>
      <c r="O33" s="12"/>
    </row>
    <row r="34" spans="1:15" ht="93" thickTop="1" thickBot="1" x14ac:dyDescent="0.25">
      <c r="A34" s="58" t="s">
        <v>93</v>
      </c>
      <c r="B34" s="70" t="s">
        <v>94</v>
      </c>
      <c r="C34" s="70" t="s">
        <v>91</v>
      </c>
      <c r="D34" s="70" t="s">
        <v>95</v>
      </c>
      <c r="E34" s="147">
        <v>24352520</v>
      </c>
      <c r="F34" s="147">
        <v>24352520</v>
      </c>
      <c r="G34" s="94">
        <f t="shared" si="6"/>
        <v>1</v>
      </c>
      <c r="H34" s="147"/>
      <c r="I34" s="147"/>
      <c r="J34" s="147"/>
      <c r="K34" s="147"/>
      <c r="L34" s="160"/>
      <c r="M34" s="147">
        <f t="shared" si="9"/>
        <v>24352520</v>
      </c>
      <c r="O34" s="17"/>
    </row>
    <row r="35" spans="1:15" ht="93" thickTop="1" thickBot="1" x14ac:dyDescent="0.25">
      <c r="A35" s="59" t="s">
        <v>96</v>
      </c>
      <c r="B35" s="71" t="s">
        <v>97</v>
      </c>
      <c r="C35" s="71"/>
      <c r="D35" s="71" t="s">
        <v>98</v>
      </c>
      <c r="E35" s="148">
        <f t="shared" ref="E35" si="12">E36+E37</f>
        <v>29245693.640000001</v>
      </c>
      <c r="F35" s="148">
        <f t="shared" ref="F35:I35" si="13">F36+F37</f>
        <v>27116956.219999999</v>
      </c>
      <c r="G35" s="95">
        <f t="shared" si="6"/>
        <v>0.927211936013428</v>
      </c>
      <c r="H35" s="148">
        <f t="shared" si="13"/>
        <v>5894313.2199999997</v>
      </c>
      <c r="I35" s="148">
        <f t="shared" si="13"/>
        <v>5566603.3300000001</v>
      </c>
      <c r="J35" s="95">
        <f t="shared" si="10"/>
        <v>0.94440236245199072</v>
      </c>
      <c r="K35" s="148"/>
      <c r="L35" s="148"/>
      <c r="M35" s="148">
        <f t="shared" si="9"/>
        <v>32683559.549999997</v>
      </c>
      <c r="O35" s="19"/>
    </row>
    <row r="36" spans="1:15" ht="93" thickTop="1" thickBot="1" x14ac:dyDescent="0.25">
      <c r="A36" s="58" t="s">
        <v>99</v>
      </c>
      <c r="B36" s="70" t="s">
        <v>100</v>
      </c>
      <c r="C36" s="70" t="s">
        <v>101</v>
      </c>
      <c r="D36" s="70" t="s">
        <v>102</v>
      </c>
      <c r="E36" s="147">
        <v>27873473.640000001</v>
      </c>
      <c r="F36" s="147">
        <v>25969135.300000001</v>
      </c>
      <c r="G36" s="94">
        <f t="shared" si="6"/>
        <v>0.93167918844290842</v>
      </c>
      <c r="H36" s="147">
        <v>5533993.2199999997</v>
      </c>
      <c r="I36" s="147">
        <v>5210449.43</v>
      </c>
      <c r="J36" s="94">
        <f t="shared" si="10"/>
        <v>0.94153520303734672</v>
      </c>
      <c r="K36" s="147"/>
      <c r="L36" s="160"/>
      <c r="M36" s="147">
        <f t="shared" ref="M36:M47" si="14">F36+I36</f>
        <v>31179584.73</v>
      </c>
      <c r="O36" s="17"/>
    </row>
    <row r="37" spans="1:15" ht="93" thickTop="1" thickBot="1" x14ac:dyDescent="0.25">
      <c r="A37" s="58" t="s">
        <v>103</v>
      </c>
      <c r="B37" s="70" t="s">
        <v>104</v>
      </c>
      <c r="C37" s="70" t="s">
        <v>101</v>
      </c>
      <c r="D37" s="70" t="s">
        <v>105</v>
      </c>
      <c r="E37" s="147">
        <v>1372220</v>
      </c>
      <c r="F37" s="147">
        <v>1147820.92</v>
      </c>
      <c r="G37" s="94">
        <f t="shared" si="6"/>
        <v>0.83647004124703028</v>
      </c>
      <c r="H37" s="147">
        <v>360320</v>
      </c>
      <c r="I37" s="147">
        <v>356153.9</v>
      </c>
      <c r="J37" s="94">
        <f t="shared" si="10"/>
        <v>0.98843777753108353</v>
      </c>
      <c r="K37" s="147"/>
      <c r="L37" s="160"/>
      <c r="M37" s="147">
        <f t="shared" si="14"/>
        <v>1503974.8199999998</v>
      </c>
      <c r="O37" s="17"/>
    </row>
    <row r="38" spans="1:15" ht="123" customHeight="1" thickTop="1" thickBot="1" x14ac:dyDescent="0.25">
      <c r="A38" s="59" t="s">
        <v>106</v>
      </c>
      <c r="B38" s="71" t="s">
        <v>107</v>
      </c>
      <c r="C38" s="71"/>
      <c r="D38" s="71" t="s">
        <v>108</v>
      </c>
      <c r="E38" s="148">
        <f t="shared" ref="E38" si="15">E39+E40</f>
        <v>7174449.4199999999</v>
      </c>
      <c r="F38" s="148">
        <f t="shared" ref="F38:I38" si="16">F39+F40</f>
        <v>5852028.3399999999</v>
      </c>
      <c r="G38" s="95">
        <f t="shared" si="6"/>
        <v>0.81567629756876869</v>
      </c>
      <c r="H38" s="148">
        <f t="shared" si="16"/>
        <v>25120</v>
      </c>
      <c r="I38" s="148">
        <f t="shared" si="16"/>
        <v>23682.02</v>
      </c>
      <c r="J38" s="95">
        <f t="shared" ref="J38:J39" si="17">I38/H38</f>
        <v>0.94275557324840764</v>
      </c>
      <c r="K38" s="148"/>
      <c r="L38" s="148"/>
      <c r="M38" s="148">
        <f t="shared" si="14"/>
        <v>5875710.3599999994</v>
      </c>
      <c r="N38" s="50"/>
      <c r="O38" s="19"/>
    </row>
    <row r="39" spans="1:15" ht="111" customHeight="1" thickTop="1" thickBot="1" x14ac:dyDescent="0.25">
      <c r="A39" s="58" t="s">
        <v>109</v>
      </c>
      <c r="B39" s="70" t="s">
        <v>110</v>
      </c>
      <c r="C39" s="70" t="s">
        <v>101</v>
      </c>
      <c r="D39" s="70" t="s">
        <v>111</v>
      </c>
      <c r="E39" s="147">
        <v>1834049.42</v>
      </c>
      <c r="F39" s="147">
        <v>1766312.5</v>
      </c>
      <c r="G39" s="94">
        <f t="shared" si="6"/>
        <v>0.96306701484630663</v>
      </c>
      <c r="H39" s="147">
        <v>25120</v>
      </c>
      <c r="I39" s="147">
        <v>23682.02</v>
      </c>
      <c r="J39" s="94">
        <f t="shared" si="17"/>
        <v>0.94275557324840764</v>
      </c>
      <c r="K39" s="147"/>
      <c r="L39" s="160"/>
      <c r="M39" s="147">
        <f>F39+I39</f>
        <v>1789994.52</v>
      </c>
      <c r="O39" s="12"/>
    </row>
    <row r="40" spans="1:15" ht="111" customHeight="1" thickTop="1" thickBot="1" x14ac:dyDescent="0.25">
      <c r="A40" s="58" t="s">
        <v>112</v>
      </c>
      <c r="B40" s="70" t="s">
        <v>113</v>
      </c>
      <c r="C40" s="70" t="s">
        <v>101</v>
      </c>
      <c r="D40" s="70" t="s">
        <v>114</v>
      </c>
      <c r="E40" s="147">
        <v>5340400</v>
      </c>
      <c r="F40" s="147">
        <v>4085715.84</v>
      </c>
      <c r="G40" s="94">
        <f t="shared" si="6"/>
        <v>0.76505801812598306</v>
      </c>
      <c r="H40" s="147"/>
      <c r="I40" s="147"/>
      <c r="J40" s="147"/>
      <c r="K40" s="147"/>
      <c r="L40" s="160"/>
      <c r="M40" s="147">
        <f t="shared" si="14"/>
        <v>4085715.84</v>
      </c>
      <c r="O40" s="17"/>
    </row>
    <row r="41" spans="1:15" ht="108" customHeight="1" thickTop="1" thickBot="1" x14ac:dyDescent="0.25">
      <c r="A41" s="58" t="s">
        <v>115</v>
      </c>
      <c r="B41" s="70" t="s">
        <v>116</v>
      </c>
      <c r="C41" s="70" t="s">
        <v>101</v>
      </c>
      <c r="D41" s="70" t="s">
        <v>521</v>
      </c>
      <c r="E41" s="147">
        <v>3494465</v>
      </c>
      <c r="F41" s="147">
        <v>3449708.13</v>
      </c>
      <c r="G41" s="94">
        <f t="shared" si="6"/>
        <v>0.98719206802758075</v>
      </c>
      <c r="H41" s="147"/>
      <c r="I41" s="147"/>
      <c r="J41" s="94"/>
      <c r="K41" s="147"/>
      <c r="L41" s="160"/>
      <c r="M41" s="147">
        <f>F41+I41</f>
        <v>3449708.13</v>
      </c>
      <c r="N41" s="50"/>
      <c r="O41" s="12"/>
    </row>
    <row r="42" spans="1:15" s="18" customFormat="1" ht="138.75" customHeight="1" thickTop="1" thickBot="1" x14ac:dyDescent="0.25">
      <c r="A42" s="59" t="s">
        <v>117</v>
      </c>
      <c r="B42" s="71" t="s">
        <v>118</v>
      </c>
      <c r="C42" s="71"/>
      <c r="D42" s="71" t="s">
        <v>558</v>
      </c>
      <c r="E42" s="148">
        <f>SUM(E43:E46)</f>
        <v>0</v>
      </c>
      <c r="F42" s="148">
        <f>SUM(F43:F46)</f>
        <v>0</v>
      </c>
      <c r="G42" s="94">
        <v>0</v>
      </c>
      <c r="H42" s="148">
        <f>SUM(H43:H46)</f>
        <v>19051327</v>
      </c>
      <c r="I42" s="148">
        <f>SUM(I43:I46)</f>
        <v>17307361.219999999</v>
      </c>
      <c r="J42" s="95">
        <f t="shared" ref="J42:J46" si="18">I42/H42</f>
        <v>0.90845961648760731</v>
      </c>
      <c r="K42" s="148"/>
      <c r="L42" s="148"/>
      <c r="M42" s="148">
        <f t="shared" si="14"/>
        <v>17307361.219999999</v>
      </c>
      <c r="N42" s="50" t="s">
        <v>389</v>
      </c>
      <c r="O42" s="22"/>
    </row>
    <row r="43" spans="1:15" s="18" customFormat="1" ht="230.25" hidden="1" customHeight="1" thickTop="1" thickBot="1" x14ac:dyDescent="0.25">
      <c r="A43" s="58" t="s">
        <v>119</v>
      </c>
      <c r="B43" s="74" t="s">
        <v>120</v>
      </c>
      <c r="C43" s="74" t="s">
        <v>101</v>
      </c>
      <c r="D43" s="74" t="s">
        <v>121</v>
      </c>
      <c r="E43" s="75"/>
      <c r="F43" s="75"/>
      <c r="G43" s="73" t="e">
        <f t="shared" si="6"/>
        <v>#DIV/0!</v>
      </c>
      <c r="H43" s="75"/>
      <c r="I43" s="75"/>
      <c r="J43" s="73" t="e">
        <f t="shared" si="18"/>
        <v>#DIV/0!</v>
      </c>
      <c r="K43" s="75"/>
      <c r="L43" s="76"/>
      <c r="M43" s="75">
        <f t="shared" si="14"/>
        <v>0</v>
      </c>
      <c r="N43" s="50"/>
      <c r="O43" s="12"/>
    </row>
    <row r="44" spans="1:15" s="18" customFormat="1" ht="230.25" hidden="1" customHeight="1" thickTop="1" thickBot="1" x14ac:dyDescent="0.25">
      <c r="A44" s="58"/>
      <c r="B44" s="74" t="s">
        <v>405</v>
      </c>
      <c r="C44" s="74" t="s">
        <v>101</v>
      </c>
      <c r="D44" s="74" t="s">
        <v>406</v>
      </c>
      <c r="E44" s="75"/>
      <c r="F44" s="75"/>
      <c r="G44" s="73" t="e">
        <f t="shared" si="6"/>
        <v>#DIV/0!</v>
      </c>
      <c r="H44" s="75"/>
      <c r="I44" s="75"/>
      <c r="J44" s="73" t="e">
        <f t="shared" si="18"/>
        <v>#DIV/0!</v>
      </c>
      <c r="K44" s="75"/>
      <c r="L44" s="76"/>
      <c r="M44" s="75">
        <f t="shared" si="14"/>
        <v>0</v>
      </c>
      <c r="N44" s="52"/>
      <c r="O44" s="12"/>
    </row>
    <row r="45" spans="1:15" s="18" customFormat="1" ht="184.5" thickTop="1" thickBot="1" x14ac:dyDescent="0.25">
      <c r="A45" s="58"/>
      <c r="B45" s="70" t="s">
        <v>559</v>
      </c>
      <c r="C45" s="70" t="s">
        <v>101</v>
      </c>
      <c r="D45" s="70" t="s">
        <v>561</v>
      </c>
      <c r="E45" s="147"/>
      <c r="F45" s="147"/>
      <c r="G45" s="94"/>
      <c r="H45" s="147">
        <v>5715427</v>
      </c>
      <c r="I45" s="147">
        <v>5192208.3600000003</v>
      </c>
      <c r="J45" s="94">
        <f t="shared" si="18"/>
        <v>0.90845502182076687</v>
      </c>
      <c r="K45" s="147"/>
      <c r="L45" s="160"/>
      <c r="M45" s="147">
        <f t="shared" si="14"/>
        <v>5192208.3600000003</v>
      </c>
      <c r="N45" s="50"/>
      <c r="O45" s="12"/>
    </row>
    <row r="46" spans="1:15" s="18" customFormat="1" ht="184.5" thickTop="1" thickBot="1" x14ac:dyDescent="0.25">
      <c r="A46" s="58"/>
      <c r="B46" s="70" t="s">
        <v>560</v>
      </c>
      <c r="C46" s="70" t="s">
        <v>101</v>
      </c>
      <c r="D46" s="70" t="s">
        <v>562</v>
      </c>
      <c r="E46" s="147"/>
      <c r="F46" s="147"/>
      <c r="G46" s="94"/>
      <c r="H46" s="147">
        <v>13335900</v>
      </c>
      <c r="I46" s="147">
        <v>12115152.859999999</v>
      </c>
      <c r="J46" s="94">
        <f t="shared" si="18"/>
        <v>0.90846158564476331</v>
      </c>
      <c r="K46" s="147"/>
      <c r="L46" s="160"/>
      <c r="M46" s="147">
        <f t="shared" si="14"/>
        <v>12115152.859999999</v>
      </c>
      <c r="N46" s="50"/>
      <c r="O46" s="12"/>
    </row>
    <row r="47" spans="1:15" s="18" customFormat="1" ht="184.5" thickTop="1" thickBot="1" x14ac:dyDescent="0.25">
      <c r="A47" s="58" t="s">
        <v>122</v>
      </c>
      <c r="B47" s="70" t="s">
        <v>123</v>
      </c>
      <c r="C47" s="70" t="s">
        <v>101</v>
      </c>
      <c r="D47" s="70" t="s">
        <v>522</v>
      </c>
      <c r="E47" s="147">
        <v>5255400</v>
      </c>
      <c r="F47" s="147">
        <v>5255399.96</v>
      </c>
      <c r="G47" s="94">
        <f t="shared" si="6"/>
        <v>0.99999999238878101</v>
      </c>
      <c r="H47" s="147"/>
      <c r="I47" s="147"/>
      <c r="J47" s="94"/>
      <c r="K47" s="147"/>
      <c r="L47" s="160"/>
      <c r="M47" s="147">
        <f t="shared" si="14"/>
        <v>5255399.96</v>
      </c>
      <c r="N47" s="20"/>
      <c r="O47" s="12"/>
    </row>
    <row r="48" spans="1:15" s="18" customFormat="1" ht="276" hidden="1" customHeight="1" thickTop="1" thickBot="1" x14ac:dyDescent="0.25">
      <c r="A48" s="57"/>
      <c r="B48" s="74" t="s">
        <v>124</v>
      </c>
      <c r="C48" s="74" t="s">
        <v>101</v>
      </c>
      <c r="D48" s="74" t="s">
        <v>523</v>
      </c>
      <c r="E48" s="75"/>
      <c r="F48" s="75"/>
      <c r="G48" s="73" t="e">
        <f t="shared" si="6"/>
        <v>#DIV/0!</v>
      </c>
      <c r="H48" s="123"/>
      <c r="I48" s="123"/>
      <c r="J48" s="124"/>
      <c r="K48" s="125"/>
      <c r="L48" s="125"/>
      <c r="M48" s="75">
        <f t="shared" ref="M48:M51" si="19">F48+I48</f>
        <v>0</v>
      </c>
      <c r="N48" s="20"/>
      <c r="O48" s="12"/>
    </row>
    <row r="49" spans="1:15" s="18" customFormat="1" ht="230.25" hidden="1" customHeight="1" thickTop="1" thickBot="1" x14ac:dyDescent="0.25">
      <c r="A49" s="8"/>
      <c r="B49" s="115" t="s">
        <v>408</v>
      </c>
      <c r="C49" s="115"/>
      <c r="D49" s="115" t="s">
        <v>524</v>
      </c>
      <c r="E49" s="116">
        <f>E51+E50</f>
        <v>0</v>
      </c>
      <c r="F49" s="116">
        <f>F51+F50</f>
        <v>0</v>
      </c>
      <c r="G49" s="117">
        <v>0</v>
      </c>
      <c r="H49" s="116">
        <f>H51+H50</f>
        <v>0</v>
      </c>
      <c r="I49" s="116">
        <f>I51+I50</f>
        <v>0</v>
      </c>
      <c r="J49" s="117" t="e">
        <f>I49/H49</f>
        <v>#DIV/0!</v>
      </c>
      <c r="K49" s="126"/>
      <c r="L49" s="126"/>
      <c r="M49" s="116">
        <f>F49+I49</f>
        <v>0</v>
      </c>
      <c r="N49" s="50" t="s">
        <v>389</v>
      </c>
      <c r="O49" s="12"/>
    </row>
    <row r="50" spans="1:15" s="18" customFormat="1" ht="367.5" hidden="1" customHeight="1" thickTop="1" thickBot="1" x14ac:dyDescent="0.25">
      <c r="A50" s="8"/>
      <c r="B50" s="74" t="s">
        <v>421</v>
      </c>
      <c r="C50" s="74" t="s">
        <v>101</v>
      </c>
      <c r="D50" s="74" t="s">
        <v>525</v>
      </c>
      <c r="E50" s="75"/>
      <c r="F50" s="75"/>
      <c r="G50" s="73">
        <v>0</v>
      </c>
      <c r="H50" s="75"/>
      <c r="I50" s="75"/>
      <c r="J50" s="73" t="e">
        <f>I50/H50</f>
        <v>#DIV/0!</v>
      </c>
      <c r="K50" s="127"/>
      <c r="L50" s="127"/>
      <c r="M50" s="75">
        <f>F50+I50</f>
        <v>0</v>
      </c>
      <c r="N50" s="50" t="s">
        <v>389</v>
      </c>
      <c r="O50" s="12"/>
    </row>
    <row r="51" spans="1:15" s="18" customFormat="1" ht="354.75" hidden="1" customHeight="1" thickTop="1" thickBot="1" x14ac:dyDescent="0.25">
      <c r="A51" s="8"/>
      <c r="B51" s="74" t="s">
        <v>409</v>
      </c>
      <c r="C51" s="74" t="s">
        <v>101</v>
      </c>
      <c r="D51" s="74" t="s">
        <v>526</v>
      </c>
      <c r="E51" s="75"/>
      <c r="F51" s="75"/>
      <c r="G51" s="73">
        <v>0</v>
      </c>
      <c r="H51" s="75"/>
      <c r="I51" s="75"/>
      <c r="J51" s="73" t="e">
        <f>I51/H51</f>
        <v>#DIV/0!</v>
      </c>
      <c r="K51" s="127"/>
      <c r="L51" s="127"/>
      <c r="M51" s="75">
        <f t="shared" si="19"/>
        <v>0</v>
      </c>
      <c r="N51" s="50" t="s">
        <v>389</v>
      </c>
      <c r="O51" s="12"/>
    </row>
    <row r="52" spans="1:15" s="18" customFormat="1" ht="244.5" thickTop="1" thickBot="1" x14ac:dyDescent="0.25">
      <c r="A52" s="57"/>
      <c r="B52" s="71" t="s">
        <v>487</v>
      </c>
      <c r="C52" s="71"/>
      <c r="D52" s="71" t="s">
        <v>527</v>
      </c>
      <c r="E52" s="148">
        <f>SUM(E53:E54)</f>
        <v>0</v>
      </c>
      <c r="F52" s="148">
        <f>SUM(F53:F54)</f>
        <v>0</v>
      </c>
      <c r="G52" s="95">
        <v>0</v>
      </c>
      <c r="H52" s="148">
        <f>SUM(H53:H54)</f>
        <v>13613311.779999999</v>
      </c>
      <c r="I52" s="148">
        <f>SUM(I53:I54)</f>
        <v>13187379.66</v>
      </c>
      <c r="J52" s="95">
        <f>I52/H52</f>
        <v>0.96871208660439578</v>
      </c>
      <c r="K52" s="156"/>
      <c r="L52" s="156"/>
      <c r="M52" s="148">
        <f t="shared" ref="M52:M67" si="20">F52+I52</f>
        <v>13187379.66</v>
      </c>
      <c r="N52" s="50" t="s">
        <v>389</v>
      </c>
      <c r="O52" s="12"/>
    </row>
    <row r="53" spans="1:15" s="18" customFormat="1" ht="276" thickTop="1" thickBot="1" x14ac:dyDescent="0.25">
      <c r="A53" s="57"/>
      <c r="B53" s="70" t="s">
        <v>498</v>
      </c>
      <c r="C53" s="70" t="s">
        <v>101</v>
      </c>
      <c r="D53" s="70" t="s">
        <v>528</v>
      </c>
      <c r="E53" s="147"/>
      <c r="F53" s="147"/>
      <c r="G53" s="94"/>
      <c r="H53" s="147">
        <v>13613311.779999999</v>
      </c>
      <c r="I53" s="147">
        <v>13187379.66</v>
      </c>
      <c r="J53" s="94">
        <f t="shared" ref="J53" si="21">I53/H53</f>
        <v>0.96871208660439578</v>
      </c>
      <c r="K53" s="158"/>
      <c r="L53" s="158"/>
      <c r="M53" s="147">
        <f t="shared" si="20"/>
        <v>13187379.66</v>
      </c>
      <c r="N53" s="52"/>
      <c r="O53" s="12"/>
    </row>
    <row r="54" spans="1:15" s="18" customFormat="1" ht="184.5" hidden="1" customHeight="1" thickTop="1" thickBot="1" x14ac:dyDescent="0.25">
      <c r="A54" s="57"/>
      <c r="B54" s="74" t="s">
        <v>486</v>
      </c>
      <c r="C54" s="74" t="s">
        <v>101</v>
      </c>
      <c r="D54" s="74" t="s">
        <v>485</v>
      </c>
      <c r="E54" s="75"/>
      <c r="F54" s="75"/>
      <c r="G54" s="73"/>
      <c r="H54" s="75"/>
      <c r="I54" s="75"/>
      <c r="J54" s="73" t="e">
        <f t="shared" ref="J54" si="22">I54/H54</f>
        <v>#DIV/0!</v>
      </c>
      <c r="K54" s="127"/>
      <c r="L54" s="127"/>
      <c r="M54" s="75">
        <f t="shared" si="20"/>
        <v>0</v>
      </c>
      <c r="N54" s="52"/>
      <c r="O54" s="12"/>
    </row>
    <row r="55" spans="1:15" s="18" customFormat="1" ht="138.75" thickTop="1" thickBot="1" x14ac:dyDescent="0.25">
      <c r="A55" s="57"/>
      <c r="B55" s="71" t="s">
        <v>591</v>
      </c>
      <c r="C55" s="71"/>
      <c r="D55" s="71" t="s">
        <v>592</v>
      </c>
      <c r="E55" s="148">
        <f>SUM(E56:E57)</f>
        <v>28229</v>
      </c>
      <c r="F55" s="148">
        <f>SUM(F56:F57)</f>
        <v>28227</v>
      </c>
      <c r="G55" s="95">
        <f>F55/E55</f>
        <v>0.99992915087321543</v>
      </c>
      <c r="H55" s="148">
        <f>SUM(H56:H57)</f>
        <v>1971736</v>
      </c>
      <c r="I55" s="148">
        <f>SUM(I56:I57)</f>
        <v>1964111</v>
      </c>
      <c r="J55" s="95">
        <f>I55/H55</f>
        <v>0.99613284942811819</v>
      </c>
      <c r="K55" s="148"/>
      <c r="L55" s="148"/>
      <c r="M55" s="148">
        <f t="shared" ref="M55" si="23">F55+I55</f>
        <v>1992338</v>
      </c>
      <c r="N55" s="50"/>
      <c r="O55" s="12"/>
    </row>
    <row r="56" spans="1:15" s="18" customFormat="1" ht="138.75" thickTop="1" thickBot="1" x14ac:dyDescent="0.25">
      <c r="A56" s="57"/>
      <c r="B56" s="70" t="s">
        <v>593</v>
      </c>
      <c r="C56" s="70" t="s">
        <v>101</v>
      </c>
      <c r="D56" s="70" t="s">
        <v>594</v>
      </c>
      <c r="E56" s="147">
        <v>28229</v>
      </c>
      <c r="F56" s="147">
        <v>28227</v>
      </c>
      <c r="G56" s="94">
        <f>F56/E56</f>
        <v>0.99992915087321543</v>
      </c>
      <c r="H56" s="147">
        <v>171769</v>
      </c>
      <c r="I56" s="147">
        <v>171006.8</v>
      </c>
      <c r="J56" s="94">
        <f>I56/H56</f>
        <v>0.99556264518044579</v>
      </c>
      <c r="K56" s="158"/>
      <c r="L56" s="158"/>
      <c r="M56" s="147">
        <f t="shared" si="20"/>
        <v>199233.8</v>
      </c>
      <c r="N56" s="50"/>
      <c r="O56" s="12"/>
    </row>
    <row r="57" spans="1:15" s="18" customFormat="1" ht="138.75" thickTop="1" thickBot="1" x14ac:dyDescent="0.25">
      <c r="A57" s="57"/>
      <c r="B57" s="70" t="s">
        <v>596</v>
      </c>
      <c r="C57" s="70" t="s">
        <v>101</v>
      </c>
      <c r="D57" s="70" t="s">
        <v>597</v>
      </c>
      <c r="E57" s="147"/>
      <c r="F57" s="147"/>
      <c r="G57" s="94"/>
      <c r="H57" s="147">
        <v>1799967</v>
      </c>
      <c r="I57" s="147">
        <v>1793104.2</v>
      </c>
      <c r="J57" s="94">
        <f>I57/H57</f>
        <v>0.99618726343316288</v>
      </c>
      <c r="K57" s="158"/>
      <c r="L57" s="158"/>
      <c r="M57" s="147">
        <f t="shared" si="20"/>
        <v>1793104.2</v>
      </c>
      <c r="N57" s="50"/>
      <c r="O57" s="12"/>
    </row>
    <row r="58" spans="1:15" s="18" customFormat="1" ht="184.5" thickTop="1" thickBot="1" x14ac:dyDescent="0.25">
      <c r="A58" s="57"/>
      <c r="B58" s="71" t="s">
        <v>502</v>
      </c>
      <c r="C58" s="71"/>
      <c r="D58" s="71" t="s">
        <v>501</v>
      </c>
      <c r="E58" s="148">
        <f>SUM(E59:E60)</f>
        <v>697523.23</v>
      </c>
      <c r="F58" s="148">
        <f>SUM(F59:F60)</f>
        <v>697453.52</v>
      </c>
      <c r="G58" s="95">
        <f>F58/E58</f>
        <v>0.99990006067611548</v>
      </c>
      <c r="H58" s="148">
        <f>SUM(H59:H60)</f>
        <v>6199672.8099999996</v>
      </c>
      <c r="I58" s="148">
        <f>SUM(I59:I60)</f>
        <v>5731666.3599999994</v>
      </c>
      <c r="J58" s="95">
        <f>I58/H58</f>
        <v>0.92451110496587641</v>
      </c>
      <c r="K58" s="148"/>
      <c r="L58" s="148"/>
      <c r="M58" s="148">
        <f t="shared" si="20"/>
        <v>6429119.879999999</v>
      </c>
      <c r="N58" s="50"/>
      <c r="O58" s="12"/>
    </row>
    <row r="59" spans="1:15" s="18" customFormat="1" ht="230.25" thickTop="1" thickBot="1" x14ac:dyDescent="0.25">
      <c r="A59" s="57"/>
      <c r="B59" s="70" t="s">
        <v>503</v>
      </c>
      <c r="C59" s="70" t="s">
        <v>101</v>
      </c>
      <c r="D59" s="70" t="s">
        <v>505</v>
      </c>
      <c r="E59" s="147">
        <v>697523.23</v>
      </c>
      <c r="F59" s="147">
        <v>697453.52</v>
      </c>
      <c r="G59" s="94">
        <f>F59/E59</f>
        <v>0.99990006067611548</v>
      </c>
      <c r="H59" s="147">
        <v>1371638.3</v>
      </c>
      <c r="I59" s="147">
        <v>1231282.44</v>
      </c>
      <c r="J59" s="94">
        <f>I59/H59</f>
        <v>0.89767283401170694</v>
      </c>
      <c r="K59" s="158"/>
      <c r="L59" s="158"/>
      <c r="M59" s="147">
        <f t="shared" si="20"/>
        <v>1928735.96</v>
      </c>
      <c r="N59" s="50"/>
      <c r="O59" s="12"/>
    </row>
    <row r="60" spans="1:15" s="18" customFormat="1" ht="295.5" customHeight="1" thickTop="1" thickBot="1" x14ac:dyDescent="0.25">
      <c r="A60" s="57"/>
      <c r="B60" s="70" t="s">
        <v>504</v>
      </c>
      <c r="C60" s="70" t="s">
        <v>101</v>
      </c>
      <c r="D60" s="70" t="s">
        <v>587</v>
      </c>
      <c r="E60" s="147"/>
      <c r="F60" s="147"/>
      <c r="G60" s="95"/>
      <c r="H60" s="147">
        <v>4828034.51</v>
      </c>
      <c r="I60" s="147">
        <v>4500383.92</v>
      </c>
      <c r="J60" s="94">
        <f t="shared" ref="J60" si="24">I60/H60</f>
        <v>0.93213582269941153</v>
      </c>
      <c r="K60" s="158"/>
      <c r="L60" s="158"/>
      <c r="M60" s="147">
        <f t="shared" si="20"/>
        <v>4500383.92</v>
      </c>
      <c r="N60" s="50"/>
      <c r="O60" s="12"/>
    </row>
    <row r="61" spans="1:15" s="18" customFormat="1" ht="62.25" thickTop="1" thickBot="1" x14ac:dyDescent="0.25">
      <c r="A61" s="57"/>
      <c r="B61" s="70" t="s">
        <v>563</v>
      </c>
      <c r="C61" s="70" t="s">
        <v>101</v>
      </c>
      <c r="D61" s="70" t="s">
        <v>564</v>
      </c>
      <c r="E61" s="147"/>
      <c r="F61" s="147"/>
      <c r="G61" s="95"/>
      <c r="H61" s="147">
        <f>31132544.98+43915971.26</f>
        <v>75048516.239999995</v>
      </c>
      <c r="I61" s="147">
        <v>71731324.530000001</v>
      </c>
      <c r="J61" s="94">
        <f t="shared" ref="J61:J62" si="25">I61/H61</f>
        <v>0.95579936984507674</v>
      </c>
      <c r="K61" s="158"/>
      <c r="L61" s="158"/>
      <c r="M61" s="147">
        <f t="shared" ref="M61:M62" si="26">F61+I61</f>
        <v>71731324.530000001</v>
      </c>
      <c r="N61" s="52"/>
      <c r="O61" s="12"/>
    </row>
    <row r="62" spans="1:15" s="18" customFormat="1" ht="123" customHeight="1" thickTop="1" thickBot="1" x14ac:dyDescent="0.25">
      <c r="A62" s="57"/>
      <c r="B62" s="71" t="s">
        <v>565</v>
      </c>
      <c r="C62" s="71"/>
      <c r="D62" s="71" t="s">
        <v>566</v>
      </c>
      <c r="E62" s="148">
        <f>E63</f>
        <v>0</v>
      </c>
      <c r="F62" s="148">
        <f>F63</f>
        <v>0</v>
      </c>
      <c r="G62" s="94">
        <v>0</v>
      </c>
      <c r="H62" s="148">
        <f t="shared" ref="H62:I64" si="27">H63</f>
        <v>42063000</v>
      </c>
      <c r="I62" s="148">
        <f t="shared" si="27"/>
        <v>41861699.140000001</v>
      </c>
      <c r="J62" s="95">
        <f t="shared" si="25"/>
        <v>0.99521430092955809</v>
      </c>
      <c r="K62" s="156"/>
      <c r="L62" s="156"/>
      <c r="M62" s="148">
        <f t="shared" si="26"/>
        <v>41861699.140000001</v>
      </c>
      <c r="N62" s="50" t="s">
        <v>389</v>
      </c>
      <c r="O62" s="12"/>
    </row>
    <row r="63" spans="1:15" s="18" customFormat="1" ht="138.75" thickTop="1" thickBot="1" x14ac:dyDescent="0.25">
      <c r="A63" s="57"/>
      <c r="B63" s="70" t="s">
        <v>568</v>
      </c>
      <c r="C63" s="70" t="s">
        <v>101</v>
      </c>
      <c r="D63" s="70" t="s">
        <v>567</v>
      </c>
      <c r="E63" s="147"/>
      <c r="F63" s="147"/>
      <c r="G63" s="95"/>
      <c r="H63" s="147">
        <v>42063000</v>
      </c>
      <c r="I63" s="147">
        <v>41861699.140000001</v>
      </c>
      <c r="J63" s="94">
        <f>I63/H63</f>
        <v>0.99521430092955809</v>
      </c>
      <c r="K63" s="158"/>
      <c r="L63" s="158"/>
      <c r="M63" s="147">
        <f t="shared" si="20"/>
        <v>41861699.140000001</v>
      </c>
      <c r="N63" s="52"/>
      <c r="O63" s="12"/>
    </row>
    <row r="64" spans="1:15" s="18" customFormat="1" ht="138.75" thickTop="1" thickBot="1" x14ac:dyDescent="0.25">
      <c r="A64" s="57"/>
      <c r="B64" s="71" t="s">
        <v>598</v>
      </c>
      <c r="C64" s="71"/>
      <c r="D64" s="71" t="s">
        <v>600</v>
      </c>
      <c r="E64" s="148">
        <f>E65</f>
        <v>0</v>
      </c>
      <c r="F64" s="148">
        <f>F65</f>
        <v>0</v>
      </c>
      <c r="G64" s="94">
        <v>0</v>
      </c>
      <c r="H64" s="148">
        <f t="shared" si="27"/>
        <v>3369400</v>
      </c>
      <c r="I64" s="148">
        <f t="shared" si="27"/>
        <v>3362585.83</v>
      </c>
      <c r="J64" s="95">
        <f t="shared" ref="J64" si="28">I64/H64</f>
        <v>0.99797763103223125</v>
      </c>
      <c r="K64" s="156"/>
      <c r="L64" s="156"/>
      <c r="M64" s="148">
        <f t="shared" si="20"/>
        <v>3362585.83</v>
      </c>
      <c r="N64" s="52"/>
      <c r="O64" s="12"/>
    </row>
    <row r="65" spans="1:15" s="18" customFormat="1" ht="184.5" thickTop="1" thickBot="1" x14ac:dyDescent="0.25">
      <c r="A65" s="57"/>
      <c r="B65" s="70" t="s">
        <v>599</v>
      </c>
      <c r="C65" s="70" t="s">
        <v>101</v>
      </c>
      <c r="D65" s="70" t="s">
        <v>601</v>
      </c>
      <c r="E65" s="147"/>
      <c r="F65" s="147"/>
      <c r="G65" s="94"/>
      <c r="H65" s="147">
        <v>3369400</v>
      </c>
      <c r="I65" s="147">
        <v>3362585.83</v>
      </c>
      <c r="J65" s="94">
        <f>I65/H65</f>
        <v>0.99797763103223125</v>
      </c>
      <c r="K65" s="158"/>
      <c r="L65" s="158"/>
      <c r="M65" s="147">
        <f t="shared" ref="M65" si="29">F65+I65</f>
        <v>3362585.83</v>
      </c>
      <c r="N65" s="52"/>
      <c r="O65" s="12"/>
    </row>
    <row r="66" spans="1:15" s="18" customFormat="1" ht="93" thickTop="1" thickBot="1" x14ac:dyDescent="0.25">
      <c r="A66" s="57"/>
      <c r="B66" s="70" t="s">
        <v>557</v>
      </c>
      <c r="C66" s="70" t="s">
        <v>101</v>
      </c>
      <c r="D66" s="70" t="s">
        <v>556</v>
      </c>
      <c r="E66" s="147">
        <v>90441900</v>
      </c>
      <c r="F66" s="147">
        <v>83595146.439999998</v>
      </c>
      <c r="G66" s="94">
        <f>F66/E66</f>
        <v>0.92429666382506337</v>
      </c>
      <c r="H66" s="147"/>
      <c r="I66" s="147"/>
      <c r="J66" s="94"/>
      <c r="K66" s="158"/>
      <c r="L66" s="158"/>
      <c r="M66" s="147">
        <f t="shared" si="20"/>
        <v>83595146.439999998</v>
      </c>
      <c r="N66" s="52"/>
      <c r="O66" s="12"/>
    </row>
    <row r="67" spans="1:15" s="18" customFormat="1" ht="93" thickTop="1" thickBot="1" x14ac:dyDescent="0.25">
      <c r="A67" s="57"/>
      <c r="B67" s="70" t="s">
        <v>614</v>
      </c>
      <c r="C67" s="70" t="s">
        <v>101</v>
      </c>
      <c r="D67" s="70" t="s">
        <v>615</v>
      </c>
      <c r="E67" s="147">
        <v>35009100</v>
      </c>
      <c r="F67" s="147">
        <v>16473747.02</v>
      </c>
      <c r="G67" s="94">
        <f>F67/E67</f>
        <v>0.47055614168887516</v>
      </c>
      <c r="H67" s="147"/>
      <c r="I67" s="147"/>
      <c r="J67" s="94"/>
      <c r="K67" s="158"/>
      <c r="L67" s="158"/>
      <c r="M67" s="147">
        <f t="shared" si="20"/>
        <v>16473747.02</v>
      </c>
      <c r="N67" s="52"/>
      <c r="O67" s="12"/>
    </row>
    <row r="68" spans="1:15" ht="91.5" thickTop="1" thickBot="1" x14ac:dyDescent="0.25">
      <c r="A68" s="57" t="s">
        <v>128</v>
      </c>
      <c r="B68" s="85" t="s">
        <v>129</v>
      </c>
      <c r="C68" s="85"/>
      <c r="D68" s="86" t="s">
        <v>130</v>
      </c>
      <c r="E68" s="87">
        <f>SUM(E69:E83)-E74-E76-E78-E81</f>
        <v>136154031.34</v>
      </c>
      <c r="F68" s="87">
        <f>SUM(F69:F83)-F74-F76-F78-F81</f>
        <v>132992332.06000003</v>
      </c>
      <c r="G68" s="88">
        <f>F68/E68</f>
        <v>0.97677851144851768</v>
      </c>
      <c r="H68" s="87">
        <f>SUM(H69:H83)-H74-H76-H78-H81</f>
        <v>48115295.490000002</v>
      </c>
      <c r="I68" s="87">
        <f>SUM(I69:I83)-I74-I76-I78-I81</f>
        <v>47640882.390000001</v>
      </c>
      <c r="J68" s="89">
        <f>I68/H68</f>
        <v>0.99014007717985231</v>
      </c>
      <c r="K68" s="87"/>
      <c r="L68" s="87"/>
      <c r="M68" s="90">
        <f>I68+F68</f>
        <v>180633214.45000005</v>
      </c>
      <c r="N68" s="53" t="b">
        <f>M68=M69+M70+M71+M72+M75+M79+M80+M83</f>
        <v>1</v>
      </c>
      <c r="O68" s="24"/>
    </row>
    <row r="69" spans="1:15" ht="93" thickTop="1" thickBot="1" x14ac:dyDescent="0.25">
      <c r="A69" s="58" t="s">
        <v>131</v>
      </c>
      <c r="B69" s="70" t="s">
        <v>132</v>
      </c>
      <c r="C69" s="70" t="s">
        <v>133</v>
      </c>
      <c r="D69" s="70" t="s">
        <v>134</v>
      </c>
      <c r="E69" s="147">
        <v>40532931</v>
      </c>
      <c r="F69" s="147">
        <v>38879373.409999996</v>
      </c>
      <c r="G69" s="94">
        <f>F69/E69</f>
        <v>0.95920458873304759</v>
      </c>
      <c r="H69" s="147">
        <v>29874092.510000002</v>
      </c>
      <c r="I69" s="147">
        <v>29694475.789999999</v>
      </c>
      <c r="J69" s="94">
        <f>I69/H69</f>
        <v>0.99398754221773</v>
      </c>
      <c r="K69" s="147"/>
      <c r="L69" s="160"/>
      <c r="M69" s="147">
        <f>F69+I69</f>
        <v>68573849.199999988</v>
      </c>
      <c r="O69" s="17"/>
    </row>
    <row r="70" spans="1:15" ht="93" thickTop="1" thickBot="1" x14ac:dyDescent="0.25">
      <c r="A70" s="58" t="s">
        <v>135</v>
      </c>
      <c r="B70" s="70" t="s">
        <v>136</v>
      </c>
      <c r="C70" s="70" t="s">
        <v>137</v>
      </c>
      <c r="D70" s="70" t="s">
        <v>138</v>
      </c>
      <c r="E70" s="147">
        <v>20460600</v>
      </c>
      <c r="F70" s="147">
        <v>20452752.789999999</v>
      </c>
      <c r="G70" s="94">
        <f t="shared" ref="G70:G72" si="30">F70/E70</f>
        <v>0.99961647214646687</v>
      </c>
      <c r="H70" s="147"/>
      <c r="I70" s="147"/>
      <c r="J70" s="94"/>
      <c r="K70" s="147"/>
      <c r="L70" s="160"/>
      <c r="M70" s="147">
        <f t="shared" ref="M70:M137" si="31">F70+I70</f>
        <v>20452752.789999999</v>
      </c>
      <c r="O70" s="24"/>
    </row>
    <row r="71" spans="1:15" ht="93" thickTop="1" thickBot="1" x14ac:dyDescent="0.25">
      <c r="A71" s="70" t="s">
        <v>139</v>
      </c>
      <c r="B71" s="70" t="s">
        <v>140</v>
      </c>
      <c r="C71" s="70" t="s">
        <v>141</v>
      </c>
      <c r="D71" s="70" t="s">
        <v>142</v>
      </c>
      <c r="E71" s="147">
        <v>19872895.34</v>
      </c>
      <c r="F71" s="147">
        <v>19872043.43</v>
      </c>
      <c r="G71" s="94">
        <f t="shared" si="30"/>
        <v>0.99995713206428027</v>
      </c>
      <c r="H71" s="147">
        <v>9871086.9800000004</v>
      </c>
      <c r="I71" s="147">
        <v>9848711.4199999999</v>
      </c>
      <c r="J71" s="94">
        <f>I71/H71</f>
        <v>0.99773322228389472</v>
      </c>
      <c r="K71" s="147"/>
      <c r="L71" s="160"/>
      <c r="M71" s="147">
        <f t="shared" si="31"/>
        <v>29720754.850000001</v>
      </c>
      <c r="O71" s="24"/>
    </row>
    <row r="72" spans="1:15" ht="93" thickTop="1" thickBot="1" x14ac:dyDescent="0.25">
      <c r="A72" s="58" t="s">
        <v>143</v>
      </c>
      <c r="B72" s="70" t="s">
        <v>144</v>
      </c>
      <c r="C72" s="70" t="s">
        <v>145</v>
      </c>
      <c r="D72" s="70" t="s">
        <v>146</v>
      </c>
      <c r="E72" s="147">
        <v>24856562</v>
      </c>
      <c r="F72" s="147">
        <v>24159730.390000001</v>
      </c>
      <c r="G72" s="94">
        <f t="shared" si="30"/>
        <v>0.97196588932934491</v>
      </c>
      <c r="H72" s="147">
        <v>4784288</v>
      </c>
      <c r="I72" s="147">
        <v>4516377.8499999996</v>
      </c>
      <c r="J72" s="94">
        <f>I72/H72</f>
        <v>0.944002085576788</v>
      </c>
      <c r="K72" s="147"/>
      <c r="L72" s="160"/>
      <c r="M72" s="147">
        <f t="shared" si="31"/>
        <v>28676108.240000002</v>
      </c>
      <c r="N72" s="50"/>
      <c r="O72" s="24"/>
    </row>
    <row r="73" spans="1:15" ht="93" hidden="1" customHeight="1" thickTop="1" thickBot="1" x14ac:dyDescent="0.25">
      <c r="A73" s="58" t="s">
        <v>147</v>
      </c>
      <c r="B73" s="128" t="s">
        <v>148</v>
      </c>
      <c r="C73" s="128" t="s">
        <v>149</v>
      </c>
      <c r="D73" s="128" t="s">
        <v>150</v>
      </c>
      <c r="E73" s="123"/>
      <c r="F73" s="123"/>
      <c r="G73" s="124"/>
      <c r="H73" s="123"/>
      <c r="I73" s="123"/>
      <c r="J73" s="124" t="e">
        <f>I73/H73</f>
        <v>#DIV/0!</v>
      </c>
      <c r="K73" s="123"/>
      <c r="L73" s="129"/>
      <c r="M73" s="123">
        <f t="shared" si="31"/>
        <v>0</v>
      </c>
      <c r="O73" s="24"/>
    </row>
    <row r="74" spans="1:15" ht="93" thickTop="1" thickBot="1" x14ac:dyDescent="0.25">
      <c r="A74" s="58" t="s">
        <v>151</v>
      </c>
      <c r="B74" s="71" t="s">
        <v>152</v>
      </c>
      <c r="C74" s="71"/>
      <c r="D74" s="71" t="s">
        <v>153</v>
      </c>
      <c r="E74" s="148">
        <f t="shared" ref="E74:F74" si="32">E75</f>
        <v>21593210</v>
      </c>
      <c r="F74" s="148">
        <f t="shared" si="32"/>
        <v>21241544.829999998</v>
      </c>
      <c r="G74" s="95">
        <f t="shared" ref="G74:G75" si="33">F74/E74</f>
        <v>0.9837140855852371</v>
      </c>
      <c r="H74" s="148">
        <f>H75</f>
        <v>1000000</v>
      </c>
      <c r="I74" s="148">
        <f t="shared" ref="I74" si="34">I75</f>
        <v>995555.23</v>
      </c>
      <c r="J74" s="95">
        <f>I74/H74</f>
        <v>0.99555523000000001</v>
      </c>
      <c r="K74" s="148"/>
      <c r="L74" s="148"/>
      <c r="M74" s="148">
        <f t="shared" si="31"/>
        <v>22237100.059999999</v>
      </c>
      <c r="N74" s="50"/>
      <c r="O74" s="24"/>
    </row>
    <row r="75" spans="1:15" ht="93" thickTop="1" thickBot="1" x14ac:dyDescent="0.25">
      <c r="A75" s="58" t="s">
        <v>154</v>
      </c>
      <c r="B75" s="70" t="s">
        <v>155</v>
      </c>
      <c r="C75" s="70" t="s">
        <v>156</v>
      </c>
      <c r="D75" s="70" t="s">
        <v>157</v>
      </c>
      <c r="E75" s="147">
        <v>21593210</v>
      </c>
      <c r="F75" s="147">
        <v>21241544.829999998</v>
      </c>
      <c r="G75" s="94">
        <f t="shared" si="33"/>
        <v>0.9837140855852371</v>
      </c>
      <c r="H75" s="147">
        <v>1000000</v>
      </c>
      <c r="I75" s="147">
        <v>995555.23</v>
      </c>
      <c r="J75" s="94">
        <f>I75/H75</f>
        <v>0.99555523000000001</v>
      </c>
      <c r="K75" s="147"/>
      <c r="L75" s="160"/>
      <c r="M75" s="147">
        <f t="shared" si="31"/>
        <v>22237100.059999999</v>
      </c>
      <c r="O75" s="24"/>
    </row>
    <row r="76" spans="1:15" ht="93" hidden="1" customHeight="1" thickTop="1" thickBot="1" x14ac:dyDescent="0.25">
      <c r="A76" s="59" t="s">
        <v>158</v>
      </c>
      <c r="B76" s="130" t="s">
        <v>159</v>
      </c>
      <c r="C76" s="130"/>
      <c r="D76" s="130" t="s">
        <v>160</v>
      </c>
      <c r="E76" s="131">
        <f t="shared" ref="E76:F76" si="35">E77</f>
        <v>0</v>
      </c>
      <c r="F76" s="131">
        <f t="shared" si="35"/>
        <v>0</v>
      </c>
      <c r="G76" s="132"/>
      <c r="H76" s="131"/>
      <c r="I76" s="131"/>
      <c r="J76" s="132"/>
      <c r="K76" s="131"/>
      <c r="L76" s="131"/>
      <c r="M76" s="131">
        <f t="shared" si="31"/>
        <v>0</v>
      </c>
      <c r="N76" s="50"/>
      <c r="O76" s="24"/>
    </row>
    <row r="77" spans="1:15" ht="93" hidden="1" customHeight="1" thickTop="1" thickBot="1" x14ac:dyDescent="0.25">
      <c r="A77" s="58" t="s">
        <v>161</v>
      </c>
      <c r="B77" s="128" t="s">
        <v>162</v>
      </c>
      <c r="C77" s="128" t="s">
        <v>163</v>
      </c>
      <c r="D77" s="128" t="s">
        <v>164</v>
      </c>
      <c r="E77" s="123"/>
      <c r="F77" s="123"/>
      <c r="G77" s="124"/>
      <c r="H77" s="123"/>
      <c r="I77" s="123"/>
      <c r="J77" s="123"/>
      <c r="K77" s="123"/>
      <c r="L77" s="129"/>
      <c r="M77" s="123">
        <f t="shared" si="31"/>
        <v>0</v>
      </c>
      <c r="O77" s="24"/>
    </row>
    <row r="78" spans="1:15" ht="123" customHeight="1" thickTop="1" thickBot="1" x14ac:dyDescent="0.25">
      <c r="A78" s="58" t="s">
        <v>165</v>
      </c>
      <c r="B78" s="71" t="s">
        <v>166</v>
      </c>
      <c r="C78" s="71"/>
      <c r="D78" s="71" t="s">
        <v>529</v>
      </c>
      <c r="E78" s="148">
        <f t="shared" ref="E78" si="36">SUM(E79:E80)</f>
        <v>8837833</v>
      </c>
      <c r="F78" s="148">
        <f t="shared" ref="F78:I78" si="37">SUM(F79:F80)</f>
        <v>8386887.2100000009</v>
      </c>
      <c r="G78" s="95">
        <f t="shared" ref="G78:G80" si="38">F78/E78</f>
        <v>0.94897552488262682</v>
      </c>
      <c r="H78" s="148">
        <f t="shared" si="37"/>
        <v>0</v>
      </c>
      <c r="I78" s="148">
        <f t="shared" si="37"/>
        <v>0</v>
      </c>
      <c r="J78" s="95">
        <v>0</v>
      </c>
      <c r="K78" s="148"/>
      <c r="L78" s="148"/>
      <c r="M78" s="148">
        <f t="shared" si="31"/>
        <v>8386887.2100000009</v>
      </c>
      <c r="N78" s="50" t="s">
        <v>389</v>
      </c>
      <c r="O78" s="24"/>
    </row>
    <row r="79" spans="1:15" s="18" customFormat="1" ht="93" thickTop="1" thickBot="1" x14ac:dyDescent="0.25">
      <c r="A79" s="58" t="s">
        <v>167</v>
      </c>
      <c r="B79" s="70" t="s">
        <v>168</v>
      </c>
      <c r="C79" s="70" t="s">
        <v>163</v>
      </c>
      <c r="D79" s="96" t="s">
        <v>530</v>
      </c>
      <c r="E79" s="147">
        <v>4084235</v>
      </c>
      <c r="F79" s="147">
        <v>3766832.81</v>
      </c>
      <c r="G79" s="94">
        <f t="shared" si="38"/>
        <v>0.92228601194593363</v>
      </c>
      <c r="H79" s="147"/>
      <c r="I79" s="147"/>
      <c r="J79" s="94"/>
      <c r="K79" s="147"/>
      <c r="L79" s="160"/>
      <c r="M79" s="147">
        <f t="shared" si="31"/>
        <v>3766832.81</v>
      </c>
      <c r="N79" s="20"/>
      <c r="O79" s="24"/>
    </row>
    <row r="80" spans="1:15" s="18" customFormat="1" ht="96" customHeight="1" thickTop="1" thickBot="1" x14ac:dyDescent="0.25">
      <c r="A80" s="58" t="s">
        <v>169</v>
      </c>
      <c r="B80" s="70" t="s">
        <v>170</v>
      </c>
      <c r="C80" s="70" t="s">
        <v>163</v>
      </c>
      <c r="D80" s="96" t="s">
        <v>531</v>
      </c>
      <c r="E80" s="147">
        <v>4753598</v>
      </c>
      <c r="F80" s="147">
        <v>4620054.4000000004</v>
      </c>
      <c r="G80" s="94">
        <f t="shared" si="38"/>
        <v>0.97190683772586584</v>
      </c>
      <c r="H80" s="147"/>
      <c r="I80" s="147"/>
      <c r="J80" s="147"/>
      <c r="K80" s="147"/>
      <c r="L80" s="160"/>
      <c r="M80" s="147">
        <f t="shared" si="31"/>
        <v>4620054.4000000004</v>
      </c>
      <c r="N80" s="20"/>
      <c r="O80" s="24"/>
    </row>
    <row r="81" spans="1:17" s="18" customFormat="1" ht="123" hidden="1" customHeight="1" thickTop="1" thickBot="1" x14ac:dyDescent="0.25">
      <c r="A81" s="58"/>
      <c r="B81" s="115" t="s">
        <v>509</v>
      </c>
      <c r="C81" s="115"/>
      <c r="D81" s="115" t="s">
        <v>508</v>
      </c>
      <c r="E81" s="116">
        <f>E82</f>
        <v>0</v>
      </c>
      <c r="F81" s="116">
        <f>F82</f>
        <v>0</v>
      </c>
      <c r="G81" s="117">
        <v>0</v>
      </c>
      <c r="H81" s="116">
        <v>0</v>
      </c>
      <c r="I81" s="116">
        <v>0</v>
      </c>
      <c r="J81" s="117">
        <v>0</v>
      </c>
      <c r="K81" s="116"/>
      <c r="L81" s="116"/>
      <c r="M81" s="116">
        <f t="shared" ref="M81:M82" si="39">F81+I81</f>
        <v>0</v>
      </c>
      <c r="N81" s="50" t="s">
        <v>389</v>
      </c>
      <c r="O81" s="24"/>
    </row>
    <row r="82" spans="1:17" s="18" customFormat="1" ht="184.5" hidden="1" customHeight="1" thickTop="1" thickBot="1" x14ac:dyDescent="0.25">
      <c r="A82" s="58"/>
      <c r="B82" s="74" t="s">
        <v>510</v>
      </c>
      <c r="C82" s="74" t="s">
        <v>163</v>
      </c>
      <c r="D82" s="133" t="s">
        <v>511</v>
      </c>
      <c r="E82" s="75"/>
      <c r="F82" s="75"/>
      <c r="G82" s="73">
        <v>0</v>
      </c>
      <c r="H82" s="75">
        <v>0</v>
      </c>
      <c r="I82" s="75">
        <v>0</v>
      </c>
      <c r="J82" s="73">
        <v>0</v>
      </c>
      <c r="K82" s="75"/>
      <c r="L82" s="76"/>
      <c r="M82" s="75">
        <f t="shared" si="39"/>
        <v>0</v>
      </c>
      <c r="N82" s="50" t="s">
        <v>389</v>
      </c>
      <c r="O82" s="24"/>
    </row>
    <row r="83" spans="1:17" s="18" customFormat="1" ht="62.25" thickTop="1" thickBot="1" x14ac:dyDescent="0.25">
      <c r="A83" s="58"/>
      <c r="B83" s="70" t="s">
        <v>588</v>
      </c>
      <c r="C83" s="70" t="s">
        <v>163</v>
      </c>
      <c r="D83" s="70" t="s">
        <v>589</v>
      </c>
      <c r="E83" s="147"/>
      <c r="F83" s="147"/>
      <c r="G83" s="94"/>
      <c r="H83" s="147">
        <v>2585828</v>
      </c>
      <c r="I83" s="147">
        <v>2585762.1</v>
      </c>
      <c r="J83" s="94">
        <f>I83/H83</f>
        <v>0.99997451493293443</v>
      </c>
      <c r="K83" s="147"/>
      <c r="L83" s="160"/>
      <c r="M83" s="147">
        <f t="shared" si="31"/>
        <v>2585762.1</v>
      </c>
      <c r="N83" s="178"/>
      <c r="O83" s="179"/>
    </row>
    <row r="84" spans="1:17" ht="99" customHeight="1" thickTop="1" thickBot="1" x14ac:dyDescent="0.25">
      <c r="A84" s="57" t="s">
        <v>172</v>
      </c>
      <c r="B84" s="85" t="s">
        <v>125</v>
      </c>
      <c r="C84" s="85"/>
      <c r="D84" s="86" t="s">
        <v>126</v>
      </c>
      <c r="E84" s="87">
        <f>SUM(E85:E137)-E85-E94-E111-E133-E108-E99-E103-E115-E98</f>
        <v>482724040.24999988</v>
      </c>
      <c r="F84" s="87">
        <f>SUM(F85:F137)-F85-F94-F111-F133-F108-F99-F103-F115-F98</f>
        <v>466235844.06000012</v>
      </c>
      <c r="G84" s="88">
        <f>F84/E84</f>
        <v>0.96584343265468897</v>
      </c>
      <c r="H84" s="87">
        <f>SUM(H85:H137)-H85-H94-H111-H133-H108-H99-H103-H115-H98</f>
        <v>364710173.44999981</v>
      </c>
      <c r="I84" s="87">
        <f>SUM(I85:I137)-I85-I94-I111-I133-I108-I99-I103-I115-I98</f>
        <v>362237941.81</v>
      </c>
      <c r="J84" s="89">
        <f>I84/H84</f>
        <v>0.99322138009857641</v>
      </c>
      <c r="K84" s="87"/>
      <c r="L84" s="87"/>
      <c r="M84" s="90">
        <f>I84+F84</f>
        <v>828473785.87000012</v>
      </c>
      <c r="N84" s="53" t="b">
        <f>M84=M86+M87+M88+M89+M90+M91+M92+M93+M95+M96+M100+M104+M105++M106+M107+M109+M110+M112+M113+M114+M132+M134+M135+M137+M102+M98+M129+M136</f>
        <v>1</v>
      </c>
      <c r="O84" s="26"/>
      <c r="Q84" s="25"/>
    </row>
    <row r="85" spans="1:17" ht="276" customHeight="1" thickTop="1" thickBot="1" x14ac:dyDescent="0.25">
      <c r="A85" s="59" t="s">
        <v>173</v>
      </c>
      <c r="B85" s="71" t="s">
        <v>174</v>
      </c>
      <c r="C85" s="71"/>
      <c r="D85" s="71" t="s">
        <v>532</v>
      </c>
      <c r="E85" s="148">
        <f t="shared" ref="E85" si="40">SUM(E86:E90)</f>
        <v>110984300</v>
      </c>
      <c r="F85" s="148">
        <f t="shared" ref="F85:I85" si="41">SUM(F86:F90)</f>
        <v>110340132.81999999</v>
      </c>
      <c r="G85" s="95">
        <f>F85/E85</f>
        <v>0.99419587112771801</v>
      </c>
      <c r="H85" s="148">
        <f t="shared" si="41"/>
        <v>50000</v>
      </c>
      <c r="I85" s="148">
        <f t="shared" si="41"/>
        <v>0</v>
      </c>
      <c r="J85" s="95">
        <f t="shared" ref="J85:J86" si="42">I85/H85</f>
        <v>0</v>
      </c>
      <c r="K85" s="148"/>
      <c r="L85" s="148"/>
      <c r="M85" s="148">
        <f t="shared" si="31"/>
        <v>110340132.81999999</v>
      </c>
      <c r="N85" s="27"/>
      <c r="O85" s="28"/>
      <c r="Q85" s="29"/>
    </row>
    <row r="86" spans="1:17" s="18" customFormat="1" ht="93" thickTop="1" thickBot="1" x14ac:dyDescent="0.25">
      <c r="A86" s="58" t="s">
        <v>175</v>
      </c>
      <c r="B86" s="70" t="s">
        <v>176</v>
      </c>
      <c r="C86" s="70" t="s">
        <v>74</v>
      </c>
      <c r="D86" s="151" t="s">
        <v>177</v>
      </c>
      <c r="E86" s="147">
        <v>858000</v>
      </c>
      <c r="F86" s="147">
        <v>857879.63</v>
      </c>
      <c r="G86" s="94">
        <f>F86/E86</f>
        <v>0.99985970862470863</v>
      </c>
      <c r="H86" s="147">
        <v>50000</v>
      </c>
      <c r="I86" s="147">
        <v>0</v>
      </c>
      <c r="J86" s="94">
        <f t="shared" si="42"/>
        <v>0</v>
      </c>
      <c r="K86" s="147"/>
      <c r="L86" s="160"/>
      <c r="M86" s="147">
        <f t="shared" si="31"/>
        <v>857879.63</v>
      </c>
      <c r="N86" s="20"/>
      <c r="O86" s="26"/>
    </row>
    <row r="87" spans="1:17" s="18" customFormat="1" ht="93" thickTop="1" thickBot="1" x14ac:dyDescent="0.25">
      <c r="A87" s="58" t="s">
        <v>178</v>
      </c>
      <c r="B87" s="70" t="s">
        <v>179</v>
      </c>
      <c r="C87" s="70" t="s">
        <v>83</v>
      </c>
      <c r="D87" s="70" t="s">
        <v>180</v>
      </c>
      <c r="E87" s="147">
        <v>320000</v>
      </c>
      <c r="F87" s="147">
        <v>307043.26</v>
      </c>
      <c r="G87" s="94">
        <f t="shared" ref="G87:G135" si="43">F87/E87</f>
        <v>0.95951018750000006</v>
      </c>
      <c r="H87" s="147"/>
      <c r="I87" s="147"/>
      <c r="J87" s="147"/>
      <c r="K87" s="147"/>
      <c r="L87" s="160"/>
      <c r="M87" s="147">
        <f t="shared" si="31"/>
        <v>307043.26</v>
      </c>
      <c r="N87" s="20"/>
      <c r="O87" s="30"/>
    </row>
    <row r="88" spans="1:17" s="18" customFormat="1" ht="93" thickTop="1" thickBot="1" x14ac:dyDescent="0.25">
      <c r="A88" s="58" t="s">
        <v>181</v>
      </c>
      <c r="B88" s="70" t="s">
        <v>182</v>
      </c>
      <c r="C88" s="70" t="s">
        <v>83</v>
      </c>
      <c r="D88" s="70" t="s">
        <v>595</v>
      </c>
      <c r="E88" s="147">
        <v>42200000</v>
      </c>
      <c r="F88" s="147">
        <v>41568909.93</v>
      </c>
      <c r="G88" s="94">
        <f t="shared" si="43"/>
        <v>0.98504525900473938</v>
      </c>
      <c r="H88" s="147"/>
      <c r="I88" s="147"/>
      <c r="J88" s="147"/>
      <c r="K88" s="147"/>
      <c r="L88" s="160"/>
      <c r="M88" s="147">
        <f t="shared" si="31"/>
        <v>41568909.93</v>
      </c>
      <c r="N88" s="20"/>
      <c r="O88" s="30"/>
    </row>
    <row r="89" spans="1:17" s="18" customFormat="1" ht="93" thickTop="1" thickBot="1" x14ac:dyDescent="0.25">
      <c r="A89" s="58" t="s">
        <v>183</v>
      </c>
      <c r="B89" s="70" t="s">
        <v>184</v>
      </c>
      <c r="C89" s="70" t="s">
        <v>83</v>
      </c>
      <c r="D89" s="70" t="s">
        <v>185</v>
      </c>
      <c r="E89" s="147">
        <v>1130000</v>
      </c>
      <c r="F89" s="147">
        <v>1130000</v>
      </c>
      <c r="G89" s="94">
        <f t="shared" si="43"/>
        <v>1</v>
      </c>
      <c r="H89" s="147"/>
      <c r="I89" s="147"/>
      <c r="J89" s="147"/>
      <c r="K89" s="147"/>
      <c r="L89" s="160"/>
      <c r="M89" s="147">
        <f t="shared" si="31"/>
        <v>1130000</v>
      </c>
      <c r="N89" s="50"/>
      <c r="O89" s="30"/>
    </row>
    <row r="90" spans="1:17" s="18" customFormat="1" ht="93" thickTop="1" thickBot="1" x14ac:dyDescent="0.25">
      <c r="A90" s="58" t="s">
        <v>186</v>
      </c>
      <c r="B90" s="70" t="s">
        <v>187</v>
      </c>
      <c r="C90" s="70" t="s">
        <v>83</v>
      </c>
      <c r="D90" s="70" t="s">
        <v>188</v>
      </c>
      <c r="E90" s="147">
        <v>66476300</v>
      </c>
      <c r="F90" s="147">
        <v>66476300</v>
      </c>
      <c r="G90" s="94">
        <f t="shared" si="43"/>
        <v>1</v>
      </c>
      <c r="H90" s="147"/>
      <c r="I90" s="147"/>
      <c r="J90" s="147"/>
      <c r="K90" s="147"/>
      <c r="L90" s="160"/>
      <c r="M90" s="147">
        <f t="shared" si="31"/>
        <v>66476300</v>
      </c>
      <c r="N90" s="20"/>
      <c r="O90" s="30"/>
    </row>
    <row r="91" spans="1:17" s="18" customFormat="1" ht="93" thickTop="1" thickBot="1" x14ac:dyDescent="0.25">
      <c r="A91" s="58" t="s">
        <v>189</v>
      </c>
      <c r="B91" s="70" t="s">
        <v>190</v>
      </c>
      <c r="C91" s="70" t="s">
        <v>83</v>
      </c>
      <c r="D91" s="70" t="s">
        <v>191</v>
      </c>
      <c r="E91" s="147">
        <v>381295</v>
      </c>
      <c r="F91" s="147">
        <v>320894</v>
      </c>
      <c r="G91" s="94">
        <f t="shared" si="43"/>
        <v>0.84158984513303348</v>
      </c>
      <c r="H91" s="147"/>
      <c r="I91" s="147"/>
      <c r="J91" s="147"/>
      <c r="K91" s="147"/>
      <c r="L91" s="160"/>
      <c r="M91" s="147">
        <f t="shared" si="31"/>
        <v>320894</v>
      </c>
      <c r="N91" s="20"/>
      <c r="O91" s="30"/>
    </row>
    <row r="92" spans="1:17" s="18" customFormat="1" ht="165" customHeight="1" thickTop="1" thickBot="1" x14ac:dyDescent="0.25">
      <c r="A92" s="58"/>
      <c r="B92" s="70" t="s">
        <v>192</v>
      </c>
      <c r="C92" s="70" t="s">
        <v>83</v>
      </c>
      <c r="D92" s="70" t="s">
        <v>193</v>
      </c>
      <c r="E92" s="147">
        <v>2000000</v>
      </c>
      <c r="F92" s="147">
        <v>1998791.28</v>
      </c>
      <c r="G92" s="94">
        <f t="shared" si="43"/>
        <v>0.99939564000000003</v>
      </c>
      <c r="H92" s="147"/>
      <c r="I92" s="147"/>
      <c r="J92" s="147"/>
      <c r="K92" s="147"/>
      <c r="L92" s="160"/>
      <c r="M92" s="147">
        <f>F92+I92</f>
        <v>1998791.28</v>
      </c>
      <c r="N92" s="50"/>
      <c r="O92" s="30"/>
    </row>
    <row r="93" spans="1:17" ht="93" thickTop="1" thickBot="1" x14ac:dyDescent="0.25">
      <c r="A93" s="58" t="s">
        <v>194</v>
      </c>
      <c r="B93" s="70" t="s">
        <v>195</v>
      </c>
      <c r="C93" s="70" t="s">
        <v>74</v>
      </c>
      <c r="D93" s="70" t="s">
        <v>196</v>
      </c>
      <c r="E93" s="147">
        <v>900640</v>
      </c>
      <c r="F93" s="147">
        <v>794529.38</v>
      </c>
      <c r="G93" s="94">
        <f t="shared" si="43"/>
        <v>0.88218309202345002</v>
      </c>
      <c r="H93" s="147"/>
      <c r="I93" s="147"/>
      <c r="J93" s="147"/>
      <c r="K93" s="147"/>
      <c r="L93" s="160"/>
      <c r="M93" s="147">
        <f t="shared" si="31"/>
        <v>794529.38</v>
      </c>
      <c r="O93" s="30"/>
    </row>
    <row r="94" spans="1:17" s="18" customFormat="1" ht="138.75" thickTop="1" thickBot="1" x14ac:dyDescent="0.25">
      <c r="A94" s="71" t="s">
        <v>197</v>
      </c>
      <c r="B94" s="71" t="s">
        <v>198</v>
      </c>
      <c r="C94" s="71"/>
      <c r="D94" s="71" t="s">
        <v>199</v>
      </c>
      <c r="E94" s="148">
        <f t="shared" ref="E94" si="44">SUM(E95:E96)</f>
        <v>70280688.060000002</v>
      </c>
      <c r="F94" s="148">
        <f t="shared" ref="F94:I94" si="45">SUM(F95:F96)</f>
        <v>68279970.530000001</v>
      </c>
      <c r="G94" s="95">
        <f t="shared" si="43"/>
        <v>0.97153247093580031</v>
      </c>
      <c r="H94" s="148">
        <f t="shared" si="45"/>
        <v>5277508.72</v>
      </c>
      <c r="I94" s="148">
        <f t="shared" si="45"/>
        <v>4948893.55</v>
      </c>
      <c r="J94" s="95">
        <f t="shared" ref="J94:J101" si="46">I94/H94</f>
        <v>0.93773289871513466</v>
      </c>
      <c r="K94" s="148"/>
      <c r="L94" s="148"/>
      <c r="M94" s="148">
        <f t="shared" si="31"/>
        <v>73228864.079999998</v>
      </c>
      <c r="N94" s="20"/>
      <c r="O94" s="31"/>
    </row>
    <row r="95" spans="1:17" ht="138.75" thickTop="1" thickBot="1" x14ac:dyDescent="0.25">
      <c r="A95" s="70" t="s">
        <v>200</v>
      </c>
      <c r="B95" s="70" t="s">
        <v>201</v>
      </c>
      <c r="C95" s="70" t="s">
        <v>65</v>
      </c>
      <c r="D95" s="70" t="s">
        <v>202</v>
      </c>
      <c r="E95" s="147">
        <v>55944868.799999997</v>
      </c>
      <c r="F95" s="147">
        <v>54668298.909999996</v>
      </c>
      <c r="G95" s="94">
        <f t="shared" si="43"/>
        <v>0.97718164476238789</v>
      </c>
      <c r="H95" s="147">
        <v>4529223.04</v>
      </c>
      <c r="I95" s="147">
        <v>4214880.08</v>
      </c>
      <c r="J95" s="94">
        <f t="shared" si="46"/>
        <v>0.93059671444221925</v>
      </c>
      <c r="K95" s="147"/>
      <c r="L95" s="160"/>
      <c r="M95" s="147">
        <f t="shared" si="31"/>
        <v>58883178.989999995</v>
      </c>
      <c r="O95" s="26"/>
    </row>
    <row r="96" spans="1:17" ht="93" thickTop="1" thickBot="1" x14ac:dyDescent="0.5">
      <c r="A96" s="58" t="s">
        <v>203</v>
      </c>
      <c r="B96" s="70" t="s">
        <v>204</v>
      </c>
      <c r="C96" s="70" t="s">
        <v>61</v>
      </c>
      <c r="D96" s="70" t="s">
        <v>205</v>
      </c>
      <c r="E96" s="147">
        <v>14335819.26</v>
      </c>
      <c r="F96" s="147">
        <v>13611671.619999999</v>
      </c>
      <c r="G96" s="94">
        <f t="shared" si="43"/>
        <v>0.94948683246722232</v>
      </c>
      <c r="H96" s="147">
        <v>748285.68</v>
      </c>
      <c r="I96" s="147">
        <v>734013.47</v>
      </c>
      <c r="J96" s="94">
        <f t="shared" si="46"/>
        <v>0.98092678988591619</v>
      </c>
      <c r="K96" s="147"/>
      <c r="L96" s="160"/>
      <c r="M96" s="147">
        <f t="shared" si="31"/>
        <v>14345685.09</v>
      </c>
      <c r="N96" s="163"/>
      <c r="O96" s="26"/>
    </row>
    <row r="97" spans="1:15" ht="123" customHeight="1" thickTop="1" thickBot="1" x14ac:dyDescent="0.25">
      <c r="A97" s="58"/>
      <c r="B97" s="71" t="s">
        <v>583</v>
      </c>
      <c r="C97" s="71"/>
      <c r="D97" s="71" t="s">
        <v>584</v>
      </c>
      <c r="E97" s="148">
        <f>E98</f>
        <v>44745</v>
      </c>
      <c r="F97" s="148">
        <f>F98</f>
        <v>0</v>
      </c>
      <c r="G97" s="95">
        <f t="shared" ref="G97:G98" si="47">F97/E97</f>
        <v>0</v>
      </c>
      <c r="H97" s="148">
        <f t="shared" ref="H97:I97" si="48">H98</f>
        <v>0</v>
      </c>
      <c r="I97" s="148">
        <f t="shared" si="48"/>
        <v>0</v>
      </c>
      <c r="J97" s="95">
        <v>0</v>
      </c>
      <c r="K97" s="148"/>
      <c r="L97" s="148"/>
      <c r="M97" s="148">
        <f t="shared" ref="M97:M98" si="49">F97+I97</f>
        <v>0</v>
      </c>
      <c r="N97" s="180" t="s">
        <v>389</v>
      </c>
      <c r="O97" s="181"/>
    </row>
    <row r="98" spans="1:15" ht="138.75" thickTop="1" thickBot="1" x14ac:dyDescent="0.25">
      <c r="A98" s="58"/>
      <c r="B98" s="70" t="s">
        <v>585</v>
      </c>
      <c r="C98" s="70" t="s">
        <v>127</v>
      </c>
      <c r="D98" s="70" t="s">
        <v>586</v>
      </c>
      <c r="E98" s="147">
        <v>44745</v>
      </c>
      <c r="F98" s="147">
        <v>0</v>
      </c>
      <c r="G98" s="94">
        <f t="shared" si="47"/>
        <v>0</v>
      </c>
      <c r="H98" s="147"/>
      <c r="I98" s="147"/>
      <c r="J98" s="94"/>
      <c r="K98" s="147"/>
      <c r="L98" s="160"/>
      <c r="M98" s="147">
        <f t="shared" si="49"/>
        <v>0</v>
      </c>
      <c r="O98" s="26"/>
    </row>
    <row r="99" spans="1:15" ht="62.25" thickTop="1" thickBot="1" x14ac:dyDescent="0.25">
      <c r="A99" s="58"/>
      <c r="B99" s="71" t="s">
        <v>267</v>
      </c>
      <c r="C99" s="71"/>
      <c r="D99" s="71" t="s">
        <v>268</v>
      </c>
      <c r="E99" s="97">
        <f>E100+E101+E102</f>
        <v>14306604</v>
      </c>
      <c r="F99" s="97">
        <f t="shared" ref="F99" si="50">F100+F101+F102</f>
        <v>14025289.48</v>
      </c>
      <c r="G99" s="95">
        <f t="shared" si="43"/>
        <v>0.98033673679651723</v>
      </c>
      <c r="H99" s="97">
        <f>H100+H101+H102</f>
        <v>268688.96000000002</v>
      </c>
      <c r="I99" s="97">
        <f>I100+I101+I102</f>
        <v>166444.79</v>
      </c>
      <c r="J99" s="95">
        <f t="shared" si="46"/>
        <v>0.61947014868046679</v>
      </c>
      <c r="K99" s="97"/>
      <c r="L99" s="97"/>
      <c r="M99" s="148">
        <f>F99+I99</f>
        <v>14191734.27</v>
      </c>
      <c r="N99" s="50"/>
      <c r="O99" s="26"/>
    </row>
    <row r="100" spans="1:15" ht="184.5" thickTop="1" thickBot="1" x14ac:dyDescent="0.25">
      <c r="A100" s="58"/>
      <c r="B100" s="70" t="s">
        <v>269</v>
      </c>
      <c r="C100" s="70" t="s">
        <v>127</v>
      </c>
      <c r="D100" s="70" t="s">
        <v>533</v>
      </c>
      <c r="E100" s="98">
        <v>9549132</v>
      </c>
      <c r="F100" s="98">
        <v>9342885.8699999992</v>
      </c>
      <c r="G100" s="94">
        <f t="shared" si="43"/>
        <v>0.97840158351565354</v>
      </c>
      <c r="H100" s="98">
        <v>268688.96000000002</v>
      </c>
      <c r="I100" s="106">
        <v>166444.79</v>
      </c>
      <c r="J100" s="94">
        <f t="shared" si="46"/>
        <v>0.61947014868046679</v>
      </c>
      <c r="K100" s="106"/>
      <c r="L100" s="160"/>
      <c r="M100" s="147">
        <f t="shared" si="31"/>
        <v>9509330.6599999983</v>
      </c>
      <c r="O100" s="26"/>
    </row>
    <row r="101" spans="1:15" ht="276" hidden="1" customHeight="1" thickTop="1" thickBot="1" x14ac:dyDescent="0.25">
      <c r="A101" s="58"/>
      <c r="B101" s="128" t="s">
        <v>410</v>
      </c>
      <c r="C101" s="128" t="s">
        <v>127</v>
      </c>
      <c r="D101" s="128" t="s">
        <v>411</v>
      </c>
      <c r="E101" s="136"/>
      <c r="F101" s="136"/>
      <c r="G101" s="73" t="e">
        <f t="shared" si="43"/>
        <v>#DIV/0!</v>
      </c>
      <c r="H101" s="136"/>
      <c r="I101" s="137"/>
      <c r="J101" s="124" t="e">
        <f t="shared" si="46"/>
        <v>#DIV/0!</v>
      </c>
      <c r="K101" s="137"/>
      <c r="L101" s="129"/>
      <c r="M101" s="123">
        <f t="shared" si="31"/>
        <v>0</v>
      </c>
      <c r="O101" s="26"/>
    </row>
    <row r="102" spans="1:15" ht="174" customHeight="1" thickTop="1" thickBot="1" x14ac:dyDescent="0.25">
      <c r="A102" s="58"/>
      <c r="B102" s="70" t="s">
        <v>410</v>
      </c>
      <c r="C102" s="70" t="s">
        <v>127</v>
      </c>
      <c r="D102" s="70" t="s">
        <v>534</v>
      </c>
      <c r="E102" s="98">
        <v>4757472</v>
      </c>
      <c r="F102" s="98">
        <v>4682403.6100000003</v>
      </c>
      <c r="G102" s="94">
        <f t="shared" si="43"/>
        <v>0.98422094969765461</v>
      </c>
      <c r="H102" s="108"/>
      <c r="I102" s="107"/>
      <c r="J102" s="109"/>
      <c r="K102" s="107"/>
      <c r="L102" s="164"/>
      <c r="M102" s="147">
        <f t="shared" si="31"/>
        <v>4682403.6100000003</v>
      </c>
      <c r="O102" s="26"/>
    </row>
    <row r="103" spans="1:15" ht="93" thickTop="1" thickBot="1" x14ac:dyDescent="0.25">
      <c r="A103" s="70"/>
      <c r="B103" s="71" t="s">
        <v>270</v>
      </c>
      <c r="C103" s="71"/>
      <c r="D103" s="71" t="s">
        <v>535</v>
      </c>
      <c r="E103" s="99">
        <f t="shared" ref="E103" si="51">SUM(E104:E105)</f>
        <v>14873326.65</v>
      </c>
      <c r="F103" s="99">
        <f t="shared" ref="F103" si="52">SUM(F104:F105)</f>
        <v>14294532.149999999</v>
      </c>
      <c r="G103" s="95">
        <f t="shared" si="43"/>
        <v>0.96108506767717616</v>
      </c>
      <c r="H103" s="99">
        <f t="shared" ref="H103:I103" si="53">SUM(H104:H105)</f>
        <v>1369984.11</v>
      </c>
      <c r="I103" s="99">
        <f t="shared" si="53"/>
        <v>1130482.6599999999</v>
      </c>
      <c r="J103" s="95">
        <f t="shared" ref="J103:J105" si="54">I103/H103</f>
        <v>0.82517939569386667</v>
      </c>
      <c r="K103" s="99"/>
      <c r="L103" s="99"/>
      <c r="M103" s="148">
        <f t="shared" si="31"/>
        <v>15425014.809999999</v>
      </c>
      <c r="O103" s="26"/>
    </row>
    <row r="104" spans="1:15" ht="93" thickTop="1" thickBot="1" x14ac:dyDescent="0.25">
      <c r="A104" s="70"/>
      <c r="B104" s="70" t="s">
        <v>271</v>
      </c>
      <c r="C104" s="70" t="s">
        <v>127</v>
      </c>
      <c r="D104" s="70" t="s">
        <v>536</v>
      </c>
      <c r="E104" s="98">
        <v>6146270</v>
      </c>
      <c r="F104" s="98">
        <v>5906386.3099999996</v>
      </c>
      <c r="G104" s="94">
        <f t="shared" si="43"/>
        <v>0.96097085061346144</v>
      </c>
      <c r="H104" s="98">
        <v>1286721.6200000001</v>
      </c>
      <c r="I104" s="106">
        <v>1070985.26</v>
      </c>
      <c r="J104" s="94">
        <f t="shared" si="54"/>
        <v>0.83233641477167375</v>
      </c>
      <c r="K104" s="106"/>
      <c r="L104" s="160"/>
      <c r="M104" s="147">
        <f t="shared" si="31"/>
        <v>6977371.5699999994</v>
      </c>
      <c r="O104" s="26"/>
    </row>
    <row r="105" spans="1:15" ht="93" thickTop="1" thickBot="1" x14ac:dyDescent="0.25">
      <c r="A105" s="70"/>
      <c r="B105" s="70" t="s">
        <v>272</v>
      </c>
      <c r="C105" s="70" t="s">
        <v>127</v>
      </c>
      <c r="D105" s="70" t="s">
        <v>537</v>
      </c>
      <c r="E105" s="98">
        <v>8727056.6500000004</v>
      </c>
      <c r="F105" s="98">
        <v>8388145.8399999999</v>
      </c>
      <c r="G105" s="94">
        <f t="shared" si="43"/>
        <v>0.96116550818998059</v>
      </c>
      <c r="H105" s="98">
        <v>83262.490000000005</v>
      </c>
      <c r="I105" s="106">
        <v>59497.4</v>
      </c>
      <c r="J105" s="94">
        <f t="shared" si="54"/>
        <v>0.71457627558339898</v>
      </c>
      <c r="K105" s="106"/>
      <c r="L105" s="160"/>
      <c r="M105" s="147">
        <f t="shared" si="31"/>
        <v>8447643.2400000002</v>
      </c>
      <c r="O105" s="26"/>
    </row>
    <row r="106" spans="1:15" ht="138.75" thickTop="1" thickBot="1" x14ac:dyDescent="0.25">
      <c r="A106" s="70"/>
      <c r="B106" s="70" t="s">
        <v>478</v>
      </c>
      <c r="C106" s="70" t="s">
        <v>127</v>
      </c>
      <c r="D106" s="70" t="s">
        <v>479</v>
      </c>
      <c r="E106" s="98">
        <v>715000</v>
      </c>
      <c r="F106" s="98">
        <v>189900</v>
      </c>
      <c r="G106" s="94">
        <f t="shared" si="43"/>
        <v>0.26559440559440561</v>
      </c>
      <c r="H106" s="158"/>
      <c r="I106" s="147"/>
      <c r="J106" s="147"/>
      <c r="K106" s="106"/>
      <c r="L106" s="160"/>
      <c r="M106" s="147">
        <f t="shared" ref="M106" si="55">F106+I106</f>
        <v>189900</v>
      </c>
      <c r="N106" s="50"/>
      <c r="O106" s="26"/>
    </row>
    <row r="107" spans="1:15" ht="184.5" thickTop="1" thickBot="1" x14ac:dyDescent="0.25">
      <c r="A107" s="58" t="s">
        <v>206</v>
      </c>
      <c r="B107" s="70" t="s">
        <v>207</v>
      </c>
      <c r="C107" s="70" t="s">
        <v>61</v>
      </c>
      <c r="D107" s="70" t="s">
        <v>538</v>
      </c>
      <c r="E107" s="147">
        <v>9547200</v>
      </c>
      <c r="F107" s="147">
        <v>6607702.2199999997</v>
      </c>
      <c r="G107" s="94">
        <f t="shared" si="43"/>
        <v>0.69210891360817828</v>
      </c>
      <c r="H107" s="158"/>
      <c r="I107" s="147"/>
      <c r="J107" s="147"/>
      <c r="K107" s="147"/>
      <c r="L107" s="160"/>
      <c r="M107" s="147">
        <f t="shared" si="31"/>
        <v>6607702.2199999997</v>
      </c>
      <c r="O107" s="30"/>
    </row>
    <row r="108" spans="1:15" ht="93" thickTop="1" thickBot="1" x14ac:dyDescent="0.25">
      <c r="A108" s="71" t="s">
        <v>208</v>
      </c>
      <c r="B108" s="71" t="s">
        <v>209</v>
      </c>
      <c r="C108" s="71"/>
      <c r="D108" s="71" t="s">
        <v>210</v>
      </c>
      <c r="E108" s="148">
        <f>E109</f>
        <v>160170</v>
      </c>
      <c r="F108" s="148">
        <f t="shared" ref="F108:I108" si="56">F109</f>
        <v>142570.07999999999</v>
      </c>
      <c r="G108" s="95">
        <f t="shared" si="43"/>
        <v>0.8901172504214272</v>
      </c>
      <c r="H108" s="148">
        <f t="shared" si="56"/>
        <v>0</v>
      </c>
      <c r="I108" s="148">
        <f t="shared" si="56"/>
        <v>0</v>
      </c>
      <c r="J108" s="95">
        <v>0</v>
      </c>
      <c r="K108" s="148"/>
      <c r="L108" s="148"/>
      <c r="M108" s="148">
        <f t="shared" si="31"/>
        <v>142570.07999999999</v>
      </c>
      <c r="N108" s="180" t="s">
        <v>389</v>
      </c>
      <c r="O108" s="181"/>
    </row>
    <row r="109" spans="1:15" ht="93" thickTop="1" thickBot="1" x14ac:dyDescent="0.25">
      <c r="A109" s="70" t="s">
        <v>211</v>
      </c>
      <c r="B109" s="70" t="s">
        <v>212</v>
      </c>
      <c r="C109" s="70" t="s">
        <v>61</v>
      </c>
      <c r="D109" s="70" t="s">
        <v>213</v>
      </c>
      <c r="E109" s="147">
        <v>160170</v>
      </c>
      <c r="F109" s="147">
        <v>142570.07999999999</v>
      </c>
      <c r="G109" s="94">
        <f t="shared" si="43"/>
        <v>0.8901172504214272</v>
      </c>
      <c r="H109" s="158"/>
      <c r="I109" s="147"/>
      <c r="J109" s="147"/>
      <c r="K109" s="147"/>
      <c r="L109" s="160"/>
      <c r="M109" s="147">
        <f t="shared" si="31"/>
        <v>142570.07999999999</v>
      </c>
      <c r="O109" s="30"/>
    </row>
    <row r="110" spans="1:15" ht="138.75" thickTop="1" thickBot="1" x14ac:dyDescent="0.25">
      <c r="A110" s="58" t="s">
        <v>214</v>
      </c>
      <c r="B110" s="70" t="s">
        <v>215</v>
      </c>
      <c r="C110" s="70" t="s">
        <v>79</v>
      </c>
      <c r="D110" s="70" t="s">
        <v>216</v>
      </c>
      <c r="E110" s="147">
        <v>5175144</v>
      </c>
      <c r="F110" s="147">
        <v>4601785.4000000004</v>
      </c>
      <c r="G110" s="94">
        <f t="shared" si="43"/>
        <v>0.88920915050866223</v>
      </c>
      <c r="H110" s="158"/>
      <c r="I110" s="147"/>
      <c r="J110" s="147"/>
      <c r="K110" s="147"/>
      <c r="L110" s="160"/>
      <c r="M110" s="147">
        <f t="shared" si="31"/>
        <v>4601785.4000000004</v>
      </c>
      <c r="O110" s="30"/>
    </row>
    <row r="111" spans="1:15" s="18" customFormat="1" ht="123" customHeight="1" thickTop="1" thickBot="1" x14ac:dyDescent="0.25">
      <c r="A111" s="71" t="s">
        <v>217</v>
      </c>
      <c r="B111" s="71" t="s">
        <v>218</v>
      </c>
      <c r="C111" s="71"/>
      <c r="D111" s="71" t="s">
        <v>539</v>
      </c>
      <c r="E111" s="148">
        <f>SUM(E112:E113)</f>
        <v>5865656</v>
      </c>
      <c r="F111" s="148">
        <f>SUM(F112:F113)</f>
        <v>4471753.24</v>
      </c>
      <c r="G111" s="95">
        <f t="shared" si="43"/>
        <v>0.76236200009001553</v>
      </c>
      <c r="H111" s="148">
        <f t="shared" ref="H111:I111" si="57">SUM(H112:H113)</f>
        <v>0</v>
      </c>
      <c r="I111" s="148">
        <f t="shared" si="57"/>
        <v>0</v>
      </c>
      <c r="J111" s="95">
        <v>0</v>
      </c>
      <c r="K111" s="148"/>
      <c r="L111" s="148"/>
      <c r="M111" s="148">
        <f>F111+I111</f>
        <v>4471753.24</v>
      </c>
      <c r="N111" s="50" t="s">
        <v>389</v>
      </c>
      <c r="O111" s="31"/>
    </row>
    <row r="112" spans="1:15" ht="93" thickTop="1" thickBot="1" x14ac:dyDescent="0.25">
      <c r="A112" s="70" t="s">
        <v>219</v>
      </c>
      <c r="B112" s="70" t="s">
        <v>220</v>
      </c>
      <c r="C112" s="70" t="s">
        <v>74</v>
      </c>
      <c r="D112" s="70" t="s">
        <v>221</v>
      </c>
      <c r="E112" s="147">
        <v>2030550</v>
      </c>
      <c r="F112" s="147">
        <v>1943950.67</v>
      </c>
      <c r="G112" s="94">
        <f t="shared" si="43"/>
        <v>0.95735178646179608</v>
      </c>
      <c r="H112" s="147"/>
      <c r="I112" s="147"/>
      <c r="J112" s="147"/>
      <c r="K112" s="147"/>
      <c r="L112" s="160"/>
      <c r="M112" s="147">
        <f t="shared" si="31"/>
        <v>1943950.67</v>
      </c>
      <c r="O112" s="30"/>
    </row>
    <row r="113" spans="1:15" ht="138.75" thickTop="1" thickBot="1" x14ac:dyDescent="0.25">
      <c r="A113" s="70"/>
      <c r="B113" s="70" t="s">
        <v>569</v>
      </c>
      <c r="C113" s="70" t="s">
        <v>74</v>
      </c>
      <c r="D113" s="70" t="s">
        <v>570</v>
      </c>
      <c r="E113" s="147">
        <v>3835106</v>
      </c>
      <c r="F113" s="147">
        <v>2527802.5699999998</v>
      </c>
      <c r="G113" s="94">
        <f t="shared" si="43"/>
        <v>0.65912195647265026</v>
      </c>
      <c r="H113" s="147"/>
      <c r="I113" s="147"/>
      <c r="J113" s="147"/>
      <c r="K113" s="147"/>
      <c r="L113" s="160"/>
      <c r="M113" s="147">
        <f t="shared" si="31"/>
        <v>2527802.5699999998</v>
      </c>
      <c r="O113" s="30"/>
    </row>
    <row r="114" spans="1:15" ht="93" thickTop="1" thickBot="1" x14ac:dyDescent="0.25">
      <c r="A114" s="70" t="s">
        <v>222</v>
      </c>
      <c r="B114" s="70" t="s">
        <v>223</v>
      </c>
      <c r="C114" s="70" t="s">
        <v>224</v>
      </c>
      <c r="D114" s="70" t="s">
        <v>225</v>
      </c>
      <c r="E114" s="147">
        <v>117000</v>
      </c>
      <c r="F114" s="147">
        <v>32330.02</v>
      </c>
      <c r="G114" s="94">
        <f t="shared" si="43"/>
        <v>0.27632495726495726</v>
      </c>
      <c r="H114" s="147">
        <v>32330.01</v>
      </c>
      <c r="I114" s="147">
        <v>32330.01</v>
      </c>
      <c r="J114" s="94">
        <f>I114/H114</f>
        <v>1</v>
      </c>
      <c r="K114" s="147"/>
      <c r="L114" s="160"/>
      <c r="M114" s="147">
        <f>F114+I114</f>
        <v>64660.03</v>
      </c>
      <c r="O114" s="30"/>
    </row>
    <row r="115" spans="1:15" ht="138.75" customHeight="1" thickTop="1" thickBot="1" x14ac:dyDescent="0.25">
      <c r="A115" s="70"/>
      <c r="B115" s="71" t="s">
        <v>422</v>
      </c>
      <c r="C115" s="71"/>
      <c r="D115" s="71" t="s">
        <v>423</v>
      </c>
      <c r="E115" s="148">
        <f>SUM(E116:E129)</f>
        <v>0</v>
      </c>
      <c r="F115" s="148">
        <f>SUM(F116:F129)</f>
        <v>0</v>
      </c>
      <c r="G115" s="94">
        <v>0</v>
      </c>
      <c r="H115" s="148">
        <f>SUM(H116:H129)</f>
        <v>82008290.409999996</v>
      </c>
      <c r="I115" s="148">
        <f>SUM(I116:I129)</f>
        <v>81843655.260000005</v>
      </c>
      <c r="J115" s="95">
        <f>I115/H115</f>
        <v>0.99799245723600749</v>
      </c>
      <c r="K115" s="147"/>
      <c r="L115" s="160"/>
      <c r="M115" s="148">
        <f>F115+I115</f>
        <v>81843655.260000005</v>
      </c>
      <c r="N115" s="50" t="s">
        <v>389</v>
      </c>
      <c r="O115" s="30"/>
    </row>
    <row r="116" spans="1:15" ht="276" hidden="1" customHeight="1" thickTop="1" thickBot="1" x14ac:dyDescent="0.7">
      <c r="A116" s="70"/>
      <c r="B116" s="196" t="s">
        <v>424</v>
      </c>
      <c r="C116" s="196" t="s">
        <v>79</v>
      </c>
      <c r="D116" s="138" t="s">
        <v>425</v>
      </c>
      <c r="E116" s="182"/>
      <c r="F116" s="182"/>
      <c r="G116" s="182"/>
      <c r="H116" s="182"/>
      <c r="I116" s="182"/>
      <c r="J116" s="185" t="e">
        <f>I116/H116</f>
        <v>#DIV/0!</v>
      </c>
      <c r="K116" s="75"/>
      <c r="L116" s="76"/>
      <c r="M116" s="182">
        <f>F116+I116</f>
        <v>0</v>
      </c>
      <c r="O116" s="30"/>
    </row>
    <row r="117" spans="1:15" ht="276" hidden="1" customHeight="1" thickTop="1" thickBot="1" x14ac:dyDescent="0.25">
      <c r="A117" s="70"/>
      <c r="B117" s="197"/>
      <c r="C117" s="197"/>
      <c r="D117" s="139" t="s">
        <v>426</v>
      </c>
      <c r="E117" s="183"/>
      <c r="F117" s="183"/>
      <c r="G117" s="183"/>
      <c r="H117" s="183"/>
      <c r="I117" s="183"/>
      <c r="J117" s="186"/>
      <c r="K117" s="75"/>
      <c r="L117" s="76"/>
      <c r="M117" s="183"/>
      <c r="O117" s="30"/>
    </row>
    <row r="118" spans="1:15" ht="230.25" hidden="1" customHeight="1" thickTop="1" thickBot="1" x14ac:dyDescent="0.25">
      <c r="A118" s="70"/>
      <c r="B118" s="198"/>
      <c r="C118" s="198"/>
      <c r="D118" s="140" t="s">
        <v>427</v>
      </c>
      <c r="E118" s="184"/>
      <c r="F118" s="184"/>
      <c r="G118" s="184"/>
      <c r="H118" s="184"/>
      <c r="I118" s="184"/>
      <c r="J118" s="187"/>
      <c r="K118" s="75"/>
      <c r="L118" s="76"/>
      <c r="M118" s="184"/>
      <c r="O118" s="30"/>
    </row>
    <row r="119" spans="1:15" ht="276" hidden="1" customHeight="1" thickTop="1" thickBot="1" x14ac:dyDescent="0.7">
      <c r="A119" s="70"/>
      <c r="B119" s="196" t="s">
        <v>428</v>
      </c>
      <c r="C119" s="196" t="s">
        <v>79</v>
      </c>
      <c r="D119" s="138" t="s">
        <v>429</v>
      </c>
      <c r="E119" s="182"/>
      <c r="F119" s="182"/>
      <c r="G119" s="182"/>
      <c r="H119" s="182"/>
      <c r="I119" s="182">
        <v>0</v>
      </c>
      <c r="J119" s="185" t="e">
        <f>I119/H119</f>
        <v>#DIV/0!</v>
      </c>
      <c r="K119" s="75"/>
      <c r="L119" s="76"/>
      <c r="M119" s="182">
        <f>F119+I119</f>
        <v>0</v>
      </c>
      <c r="O119" s="30"/>
    </row>
    <row r="120" spans="1:15" ht="321.75" hidden="1" customHeight="1" thickTop="1" thickBot="1" x14ac:dyDescent="0.25">
      <c r="A120" s="70"/>
      <c r="B120" s="197"/>
      <c r="C120" s="197"/>
      <c r="D120" s="139" t="s">
        <v>430</v>
      </c>
      <c r="E120" s="183"/>
      <c r="F120" s="183"/>
      <c r="G120" s="183"/>
      <c r="H120" s="183"/>
      <c r="I120" s="183"/>
      <c r="J120" s="186"/>
      <c r="K120" s="75"/>
      <c r="L120" s="76"/>
      <c r="M120" s="183"/>
      <c r="O120" s="30"/>
    </row>
    <row r="121" spans="1:15" ht="276" hidden="1" customHeight="1" thickTop="1" thickBot="1" x14ac:dyDescent="0.25">
      <c r="A121" s="70"/>
      <c r="B121" s="197"/>
      <c r="C121" s="197"/>
      <c r="D121" s="139" t="s">
        <v>431</v>
      </c>
      <c r="E121" s="183"/>
      <c r="F121" s="183"/>
      <c r="G121" s="183"/>
      <c r="H121" s="183"/>
      <c r="I121" s="183"/>
      <c r="J121" s="186"/>
      <c r="K121" s="75"/>
      <c r="L121" s="76"/>
      <c r="M121" s="183"/>
      <c r="O121" s="30"/>
    </row>
    <row r="122" spans="1:15" ht="138.75" hidden="1" customHeight="1" thickTop="1" thickBot="1" x14ac:dyDescent="0.25">
      <c r="A122" s="70"/>
      <c r="B122" s="198"/>
      <c r="C122" s="198"/>
      <c r="D122" s="140" t="s">
        <v>432</v>
      </c>
      <c r="E122" s="184"/>
      <c r="F122" s="184"/>
      <c r="G122" s="184"/>
      <c r="H122" s="184"/>
      <c r="I122" s="184"/>
      <c r="J122" s="187"/>
      <c r="K122" s="75"/>
      <c r="L122" s="76"/>
      <c r="M122" s="184"/>
      <c r="O122" s="30"/>
    </row>
    <row r="123" spans="1:15" ht="276" hidden="1" customHeight="1" thickTop="1" thickBot="1" x14ac:dyDescent="0.7">
      <c r="A123" s="70"/>
      <c r="B123" s="196" t="s">
        <v>433</v>
      </c>
      <c r="C123" s="196" t="s">
        <v>79</v>
      </c>
      <c r="D123" s="138" t="s">
        <v>434</v>
      </c>
      <c r="E123" s="182"/>
      <c r="F123" s="182"/>
      <c r="G123" s="182"/>
      <c r="H123" s="182">
        <v>0</v>
      </c>
      <c r="I123" s="182">
        <v>0</v>
      </c>
      <c r="J123" s="185" t="e">
        <f>I123/H123</f>
        <v>#DIV/0!</v>
      </c>
      <c r="K123" s="75"/>
      <c r="L123" s="76"/>
      <c r="M123" s="182">
        <f>F123+I123</f>
        <v>0</v>
      </c>
      <c r="O123" s="30"/>
    </row>
    <row r="124" spans="1:15" ht="276" hidden="1" customHeight="1" thickTop="1" thickBot="1" x14ac:dyDescent="0.25">
      <c r="A124" s="70"/>
      <c r="B124" s="197"/>
      <c r="C124" s="197"/>
      <c r="D124" s="139" t="s">
        <v>435</v>
      </c>
      <c r="E124" s="183"/>
      <c r="F124" s="183"/>
      <c r="G124" s="183"/>
      <c r="H124" s="183"/>
      <c r="I124" s="183"/>
      <c r="J124" s="186"/>
      <c r="K124" s="75"/>
      <c r="L124" s="76"/>
      <c r="M124" s="183"/>
      <c r="O124" s="30"/>
    </row>
    <row r="125" spans="1:15" ht="93" hidden="1" customHeight="1" thickTop="1" thickBot="1" x14ac:dyDescent="0.25">
      <c r="A125" s="70"/>
      <c r="B125" s="198"/>
      <c r="C125" s="198"/>
      <c r="D125" s="140" t="s">
        <v>436</v>
      </c>
      <c r="E125" s="184"/>
      <c r="F125" s="184"/>
      <c r="G125" s="184"/>
      <c r="H125" s="184"/>
      <c r="I125" s="184"/>
      <c r="J125" s="187"/>
      <c r="K125" s="75"/>
      <c r="L125" s="76"/>
      <c r="M125" s="184"/>
      <c r="O125" s="30"/>
    </row>
    <row r="126" spans="1:15" ht="276" hidden="1" customHeight="1" thickTop="1" thickBot="1" x14ac:dyDescent="0.7">
      <c r="A126" s="70"/>
      <c r="B126" s="196" t="s">
        <v>437</v>
      </c>
      <c r="C126" s="196" t="s">
        <v>79</v>
      </c>
      <c r="D126" s="138" t="s">
        <v>438</v>
      </c>
      <c r="E126" s="182"/>
      <c r="F126" s="182"/>
      <c r="G126" s="182"/>
      <c r="H126" s="182"/>
      <c r="I126" s="182"/>
      <c r="J126" s="185" t="e">
        <f>I126/H126</f>
        <v>#DIV/0!</v>
      </c>
      <c r="K126" s="75"/>
      <c r="L126" s="76"/>
      <c r="M126" s="182">
        <f t="shared" si="31"/>
        <v>0</v>
      </c>
      <c r="O126" s="30"/>
    </row>
    <row r="127" spans="1:15" ht="230.25" hidden="1" customHeight="1" thickTop="1" thickBot="1" x14ac:dyDescent="0.25">
      <c r="A127" s="70"/>
      <c r="B127" s="197"/>
      <c r="C127" s="197"/>
      <c r="D127" s="139" t="s">
        <v>439</v>
      </c>
      <c r="E127" s="183"/>
      <c r="F127" s="183"/>
      <c r="G127" s="183"/>
      <c r="H127" s="183"/>
      <c r="I127" s="183"/>
      <c r="J127" s="186"/>
      <c r="K127" s="75"/>
      <c r="L127" s="76"/>
      <c r="M127" s="183"/>
      <c r="O127" s="30"/>
    </row>
    <row r="128" spans="1:15" ht="48" hidden="1" customHeight="1" thickTop="1" thickBot="1" x14ac:dyDescent="0.25">
      <c r="A128" s="70"/>
      <c r="B128" s="198"/>
      <c r="C128" s="198"/>
      <c r="D128" s="140" t="s">
        <v>440</v>
      </c>
      <c r="E128" s="184"/>
      <c r="F128" s="184"/>
      <c r="G128" s="184"/>
      <c r="H128" s="184"/>
      <c r="I128" s="184"/>
      <c r="J128" s="187"/>
      <c r="K128" s="75"/>
      <c r="L128" s="76"/>
      <c r="M128" s="184"/>
      <c r="O128" s="30"/>
    </row>
    <row r="129" spans="1:18" ht="286.5" customHeight="1" thickTop="1" thickBot="1" x14ac:dyDescent="0.25">
      <c r="A129" s="70"/>
      <c r="B129" s="208" t="s">
        <v>602</v>
      </c>
      <c r="C129" s="208" t="s">
        <v>79</v>
      </c>
      <c r="D129" s="165" t="s">
        <v>603</v>
      </c>
      <c r="E129" s="188"/>
      <c r="F129" s="188"/>
      <c r="G129" s="188"/>
      <c r="H129" s="188">
        <v>82008290.409999996</v>
      </c>
      <c r="I129" s="188">
        <v>81843655.260000005</v>
      </c>
      <c r="J129" s="211">
        <f t="shared" ref="J129" si="58">I129/H129</f>
        <v>0.99799245723600749</v>
      </c>
      <c r="K129" s="147"/>
      <c r="L129" s="160"/>
      <c r="M129" s="188">
        <f t="shared" ref="M129" si="59">F129+I129</f>
        <v>81843655.260000005</v>
      </c>
      <c r="O129" s="30"/>
    </row>
    <row r="130" spans="1:18" ht="298.5" customHeight="1" thickTop="1" thickBot="1" x14ac:dyDescent="0.25">
      <c r="A130" s="70"/>
      <c r="B130" s="209"/>
      <c r="C130" s="209"/>
      <c r="D130" s="166" t="s">
        <v>605</v>
      </c>
      <c r="E130" s="189"/>
      <c r="F130" s="189"/>
      <c r="G130" s="189"/>
      <c r="H130" s="189"/>
      <c r="I130" s="189"/>
      <c r="J130" s="212"/>
      <c r="K130" s="147"/>
      <c r="L130" s="160"/>
      <c r="M130" s="189"/>
      <c r="O130" s="30"/>
    </row>
    <row r="131" spans="1:18" ht="93" thickTop="1" thickBot="1" x14ac:dyDescent="0.25">
      <c r="A131" s="70"/>
      <c r="B131" s="210"/>
      <c r="C131" s="210"/>
      <c r="D131" s="167" t="s">
        <v>604</v>
      </c>
      <c r="E131" s="190"/>
      <c r="F131" s="190"/>
      <c r="G131" s="190"/>
      <c r="H131" s="190"/>
      <c r="I131" s="190"/>
      <c r="J131" s="213"/>
      <c r="K131" s="147"/>
      <c r="L131" s="160"/>
      <c r="M131" s="190"/>
      <c r="O131" s="30"/>
    </row>
    <row r="132" spans="1:18" ht="117" customHeight="1" thickTop="1" thickBot="1" x14ac:dyDescent="0.25">
      <c r="A132" s="70"/>
      <c r="B132" s="70" t="s">
        <v>469</v>
      </c>
      <c r="C132" s="152" t="s">
        <v>83</v>
      </c>
      <c r="D132" s="152" t="s">
        <v>480</v>
      </c>
      <c r="E132" s="153">
        <v>5276195</v>
      </c>
      <c r="F132" s="153">
        <v>5257412.8</v>
      </c>
      <c r="G132" s="94">
        <f t="shared" si="43"/>
        <v>0.99644019980307774</v>
      </c>
      <c r="H132" s="153">
        <f>7922695+176291462</f>
        <v>184214157</v>
      </c>
      <c r="I132" s="153">
        <v>183958538.52000001</v>
      </c>
      <c r="J132" s="94">
        <f t="shared" ref="J132" si="60">I132/H132</f>
        <v>0.99861238417197229</v>
      </c>
      <c r="K132" s="147"/>
      <c r="L132" s="160"/>
      <c r="M132" s="147">
        <f t="shared" si="31"/>
        <v>189215951.32000002</v>
      </c>
      <c r="O132" s="30"/>
    </row>
    <row r="133" spans="1:18" s="18" customFormat="1" ht="93" thickTop="1" thickBot="1" x14ac:dyDescent="0.25">
      <c r="A133" s="71" t="s">
        <v>226</v>
      </c>
      <c r="B133" s="71" t="s">
        <v>227</v>
      </c>
      <c r="C133" s="71"/>
      <c r="D133" s="71" t="s">
        <v>540</v>
      </c>
      <c r="E133" s="148">
        <f>SUM(E134:E136)</f>
        <v>242096076.53999999</v>
      </c>
      <c r="F133" s="148">
        <f>SUM(F134:F136)</f>
        <v>234878250.66</v>
      </c>
      <c r="G133" s="95">
        <f t="shared" si="43"/>
        <v>0.97018610965053187</v>
      </c>
      <c r="H133" s="148">
        <f>SUM(H134:H136)</f>
        <v>89889716.109999999</v>
      </c>
      <c r="I133" s="148">
        <f>SUM(I134:I136)</f>
        <v>88909081.390000001</v>
      </c>
      <c r="J133" s="95">
        <f t="shared" ref="J133:J137" si="61">I133/H133</f>
        <v>0.98909069065475774</v>
      </c>
      <c r="K133" s="148"/>
      <c r="L133" s="148"/>
      <c r="M133" s="148">
        <f t="shared" si="31"/>
        <v>323787332.05000001</v>
      </c>
      <c r="N133" s="20"/>
      <c r="O133" s="31"/>
    </row>
    <row r="134" spans="1:18" ht="93" thickTop="1" thickBot="1" x14ac:dyDescent="0.25">
      <c r="A134" s="70" t="s">
        <v>228</v>
      </c>
      <c r="B134" s="70" t="s">
        <v>229</v>
      </c>
      <c r="C134" s="70" t="s">
        <v>87</v>
      </c>
      <c r="D134" s="96" t="s">
        <v>541</v>
      </c>
      <c r="E134" s="147">
        <v>41934095.539999999</v>
      </c>
      <c r="F134" s="98">
        <v>41113082.740000002</v>
      </c>
      <c r="G134" s="94">
        <f t="shared" si="43"/>
        <v>0.9804213542839656</v>
      </c>
      <c r="H134" s="147">
        <f>504000+15494450.21</f>
        <v>15998450.210000001</v>
      </c>
      <c r="I134" s="147">
        <v>15619887.77</v>
      </c>
      <c r="J134" s="94">
        <f t="shared" si="61"/>
        <v>0.97633755551125967</v>
      </c>
      <c r="K134" s="147"/>
      <c r="L134" s="160"/>
      <c r="M134" s="147">
        <f t="shared" si="31"/>
        <v>56732970.510000005</v>
      </c>
      <c r="O134" s="26"/>
    </row>
    <row r="135" spans="1:18" ht="93" thickTop="1" thickBot="1" x14ac:dyDescent="0.25">
      <c r="A135" s="58" t="s">
        <v>230</v>
      </c>
      <c r="B135" s="70" t="s">
        <v>231</v>
      </c>
      <c r="C135" s="70" t="s">
        <v>87</v>
      </c>
      <c r="D135" s="96" t="s">
        <v>232</v>
      </c>
      <c r="E135" s="147">
        <v>200161981</v>
      </c>
      <c r="F135" s="147">
        <v>193765167.91999999</v>
      </c>
      <c r="G135" s="94">
        <f t="shared" si="43"/>
        <v>0.96804181769164244</v>
      </c>
      <c r="H135" s="147">
        <f>49717943.4+292500</f>
        <v>50010443.399999999</v>
      </c>
      <c r="I135" s="147">
        <v>49408371.119999997</v>
      </c>
      <c r="J135" s="94">
        <f t="shared" si="61"/>
        <v>0.98796106894745106</v>
      </c>
      <c r="K135" s="147"/>
      <c r="L135" s="160"/>
      <c r="M135" s="147">
        <f t="shared" si="31"/>
        <v>243173539.03999999</v>
      </c>
      <c r="O135" s="26"/>
    </row>
    <row r="136" spans="1:18" ht="138.75" thickTop="1" thickBot="1" x14ac:dyDescent="0.25">
      <c r="A136" s="58"/>
      <c r="B136" s="70" t="s">
        <v>607</v>
      </c>
      <c r="C136" s="70" t="s">
        <v>127</v>
      </c>
      <c r="D136" s="96" t="s">
        <v>606</v>
      </c>
      <c r="E136" s="147"/>
      <c r="F136" s="147"/>
      <c r="G136" s="94"/>
      <c r="H136" s="147">
        <v>23880822.5</v>
      </c>
      <c r="I136" s="147">
        <v>23880822.5</v>
      </c>
      <c r="J136" s="94">
        <f t="shared" ref="J136" si="62">I136/H136</f>
        <v>1</v>
      </c>
      <c r="K136" s="147"/>
      <c r="L136" s="160"/>
      <c r="M136" s="147">
        <f t="shared" ref="M136" si="63">F136+I136</f>
        <v>23880822.5</v>
      </c>
      <c r="O136" s="26"/>
    </row>
    <row r="137" spans="1:18" ht="72" customHeight="1" thickTop="1" thickBot="1" x14ac:dyDescent="0.25">
      <c r="A137" s="58"/>
      <c r="B137" s="70" t="s">
        <v>571</v>
      </c>
      <c r="C137" s="70" t="s">
        <v>87</v>
      </c>
      <c r="D137" s="70" t="s">
        <v>572</v>
      </c>
      <c r="E137" s="147"/>
      <c r="F137" s="147"/>
      <c r="G137" s="94"/>
      <c r="H137" s="147">
        <v>1599498.13</v>
      </c>
      <c r="I137" s="147">
        <v>1248515.6299999999</v>
      </c>
      <c r="J137" s="94">
        <f t="shared" si="61"/>
        <v>0.78056710825913878</v>
      </c>
      <c r="K137" s="147"/>
      <c r="L137" s="160"/>
      <c r="M137" s="147">
        <f t="shared" si="31"/>
        <v>1248515.6299999999</v>
      </c>
      <c r="O137" s="26"/>
    </row>
    <row r="138" spans="1:18" s="11" customFormat="1" ht="92.25" customHeight="1" thickTop="1" thickBot="1" x14ac:dyDescent="0.25">
      <c r="A138" s="57" t="s">
        <v>241</v>
      </c>
      <c r="B138" s="85" t="s">
        <v>242</v>
      </c>
      <c r="C138" s="85"/>
      <c r="D138" s="86" t="s">
        <v>243</v>
      </c>
      <c r="E138" s="87">
        <f>SUM(E139:E147)-E144</f>
        <v>80423661</v>
      </c>
      <c r="F138" s="87">
        <f>SUM(F139:F147)-F144</f>
        <v>78113613.210000008</v>
      </c>
      <c r="G138" s="88">
        <f>F138/E138</f>
        <v>0.97127651537773207</v>
      </c>
      <c r="H138" s="87">
        <f>SUM(H139:H147)-H144</f>
        <v>6969254.4000000004</v>
      </c>
      <c r="I138" s="87">
        <f>SUM(I139:I147)-I144</f>
        <v>4575056.42</v>
      </c>
      <c r="J138" s="89">
        <f>I138/H138</f>
        <v>0.65646282334018391</v>
      </c>
      <c r="K138" s="87"/>
      <c r="L138" s="87"/>
      <c r="M138" s="90">
        <f>I138+F138</f>
        <v>82688669.63000001</v>
      </c>
      <c r="N138" s="53" t="b">
        <f>M138=M140+M141+M142+M145+M146+M147</f>
        <v>1</v>
      </c>
      <c r="O138" s="30"/>
      <c r="R138" s="65" t="e">
        <f>M138/(H138+#REF!)*100</f>
        <v>#REF!</v>
      </c>
    </row>
    <row r="139" spans="1:18" ht="93" hidden="1" customHeight="1" thickTop="1" thickBot="1" x14ac:dyDescent="0.25">
      <c r="A139" s="58" t="s">
        <v>244</v>
      </c>
      <c r="B139" s="79" t="s">
        <v>245</v>
      </c>
      <c r="C139" s="79" t="s">
        <v>246</v>
      </c>
      <c r="D139" s="79" t="s">
        <v>247</v>
      </c>
      <c r="E139" s="80">
        <v>0</v>
      </c>
      <c r="F139" s="80">
        <v>0</v>
      </c>
      <c r="G139" s="78" t="e">
        <f>F139/E139</f>
        <v>#DIV/0!</v>
      </c>
      <c r="H139" s="80"/>
      <c r="I139" s="80"/>
      <c r="J139" s="80"/>
      <c r="K139" s="80"/>
      <c r="L139" s="81"/>
      <c r="M139" s="80">
        <f t="shared" ref="M139:M163" si="64">F139+I139</f>
        <v>0</v>
      </c>
      <c r="O139" s="30"/>
    </row>
    <row r="140" spans="1:18" ht="93" thickTop="1" thickBot="1" x14ac:dyDescent="0.25">
      <c r="A140" s="58" t="s">
        <v>248</v>
      </c>
      <c r="B140" s="70" t="s">
        <v>249</v>
      </c>
      <c r="C140" s="70" t="s">
        <v>250</v>
      </c>
      <c r="D140" s="70" t="s">
        <v>251</v>
      </c>
      <c r="E140" s="147">
        <v>19613886</v>
      </c>
      <c r="F140" s="147">
        <v>18866059.699999999</v>
      </c>
      <c r="G140" s="94">
        <f t="shared" ref="G140:G142" si="65">F140/E140</f>
        <v>0.961872609028114</v>
      </c>
      <c r="H140" s="147">
        <v>1184941.6599999999</v>
      </c>
      <c r="I140" s="147">
        <v>1147303.45</v>
      </c>
      <c r="J140" s="94">
        <f t="shared" ref="J140:J146" si="66">I140/H140</f>
        <v>0.96823623367246625</v>
      </c>
      <c r="K140" s="147"/>
      <c r="L140" s="160"/>
      <c r="M140" s="147">
        <f t="shared" si="64"/>
        <v>20013363.149999999</v>
      </c>
      <c r="O140" s="26"/>
    </row>
    <row r="141" spans="1:18" ht="93" thickTop="1" thickBot="1" x14ac:dyDescent="0.25">
      <c r="A141" s="58" t="s">
        <v>252</v>
      </c>
      <c r="B141" s="70" t="s">
        <v>253</v>
      </c>
      <c r="C141" s="70" t="s">
        <v>250</v>
      </c>
      <c r="D141" s="70" t="s">
        <v>542</v>
      </c>
      <c r="E141" s="147">
        <v>2965362</v>
      </c>
      <c r="F141" s="147">
        <v>2782304.68</v>
      </c>
      <c r="G141" s="94">
        <f t="shared" si="65"/>
        <v>0.93826813724597546</v>
      </c>
      <c r="H141" s="147">
        <v>280391.34000000003</v>
      </c>
      <c r="I141" s="147">
        <v>256782.21</v>
      </c>
      <c r="J141" s="94">
        <f t="shared" si="66"/>
        <v>0.91579936099310333</v>
      </c>
      <c r="K141" s="147"/>
      <c r="L141" s="160"/>
      <c r="M141" s="147">
        <f t="shared" si="64"/>
        <v>3039086.89</v>
      </c>
      <c r="O141" s="26"/>
    </row>
    <row r="142" spans="1:18" ht="93" thickTop="1" thickBot="1" x14ac:dyDescent="0.25">
      <c r="A142" s="58" t="s">
        <v>254</v>
      </c>
      <c r="B142" s="70" t="s">
        <v>255</v>
      </c>
      <c r="C142" s="70" t="s">
        <v>256</v>
      </c>
      <c r="D142" s="70" t="s">
        <v>543</v>
      </c>
      <c r="E142" s="147">
        <v>23142596</v>
      </c>
      <c r="F142" s="147">
        <v>21902049.649999999</v>
      </c>
      <c r="G142" s="94">
        <f t="shared" si="65"/>
        <v>0.94639554050029639</v>
      </c>
      <c r="H142" s="147">
        <v>1006478</v>
      </c>
      <c r="I142" s="147">
        <v>832296.99</v>
      </c>
      <c r="J142" s="94">
        <f t="shared" si="66"/>
        <v>0.82694007221220933</v>
      </c>
      <c r="K142" s="147"/>
      <c r="L142" s="160"/>
      <c r="M142" s="147">
        <f t="shared" si="64"/>
        <v>22734346.639999997</v>
      </c>
      <c r="O142" s="26"/>
    </row>
    <row r="143" spans="1:18" ht="48" hidden="1" customHeight="1" thickTop="1" thickBot="1" x14ac:dyDescent="0.25">
      <c r="A143" s="58"/>
      <c r="B143" s="74" t="s">
        <v>470</v>
      </c>
      <c r="C143" s="74" t="s">
        <v>471</v>
      </c>
      <c r="D143" s="74" t="s">
        <v>472</v>
      </c>
      <c r="E143" s="75">
        <v>0</v>
      </c>
      <c r="F143" s="75">
        <v>0</v>
      </c>
      <c r="G143" s="73" t="e">
        <f>F143/E143</f>
        <v>#DIV/0!</v>
      </c>
      <c r="H143" s="75"/>
      <c r="I143" s="75"/>
      <c r="J143" s="73"/>
      <c r="K143" s="75"/>
      <c r="L143" s="76"/>
      <c r="M143" s="75">
        <f t="shared" si="64"/>
        <v>0</v>
      </c>
      <c r="O143" s="26"/>
    </row>
    <row r="144" spans="1:18" ht="93" thickTop="1" thickBot="1" x14ac:dyDescent="0.25">
      <c r="A144" s="71" t="s">
        <v>257</v>
      </c>
      <c r="B144" s="71" t="s">
        <v>258</v>
      </c>
      <c r="C144" s="71"/>
      <c r="D144" s="71" t="s">
        <v>259</v>
      </c>
      <c r="E144" s="148">
        <f>SUM(E145:E147)</f>
        <v>34701817</v>
      </c>
      <c r="F144" s="148">
        <f>SUM(F145:F147)</f>
        <v>34563199.18</v>
      </c>
      <c r="G144" s="95">
        <f>F144/E144</f>
        <v>0.9960054593106753</v>
      </c>
      <c r="H144" s="148">
        <f>SUM(H145:H147)</f>
        <v>4497443.4000000004</v>
      </c>
      <c r="I144" s="148">
        <f>SUM(I145:I147)</f>
        <v>2338673.77</v>
      </c>
      <c r="J144" s="95">
        <f t="shared" si="66"/>
        <v>0.52000071196004372</v>
      </c>
      <c r="K144" s="148"/>
      <c r="L144" s="148"/>
      <c r="M144" s="148">
        <f t="shared" si="64"/>
        <v>36901872.950000003</v>
      </c>
      <c r="O144" s="26"/>
    </row>
    <row r="145" spans="1:18" ht="93" thickTop="1" thickBot="1" x14ac:dyDescent="0.25">
      <c r="A145" s="70" t="s">
        <v>260</v>
      </c>
      <c r="B145" s="70" t="s">
        <v>261</v>
      </c>
      <c r="C145" s="70" t="s">
        <v>262</v>
      </c>
      <c r="D145" s="70" t="s">
        <v>263</v>
      </c>
      <c r="E145" s="147">
        <v>29929817</v>
      </c>
      <c r="F145" s="147">
        <v>29831743.18</v>
      </c>
      <c r="G145" s="94">
        <f t="shared" ref="G145:G146" si="67">F145/E145</f>
        <v>0.99672320682749249</v>
      </c>
      <c r="H145" s="147">
        <v>559612.4</v>
      </c>
      <c r="I145" s="147">
        <v>529591.43999999994</v>
      </c>
      <c r="J145" s="94">
        <f t="shared" si="66"/>
        <v>0.94635401216985171</v>
      </c>
      <c r="K145" s="147"/>
      <c r="L145" s="160"/>
      <c r="M145" s="147">
        <f t="shared" si="64"/>
        <v>30361334.620000001</v>
      </c>
      <c r="O145" s="30"/>
    </row>
    <row r="146" spans="1:18" ht="93" thickTop="1" thickBot="1" x14ac:dyDescent="0.25">
      <c r="A146" s="70" t="s">
        <v>264</v>
      </c>
      <c r="B146" s="70" t="s">
        <v>265</v>
      </c>
      <c r="C146" s="70" t="s">
        <v>262</v>
      </c>
      <c r="D146" s="70" t="s">
        <v>266</v>
      </c>
      <c r="E146" s="147">
        <v>4772000</v>
      </c>
      <c r="F146" s="147">
        <v>4731456</v>
      </c>
      <c r="G146" s="94">
        <f t="shared" si="67"/>
        <v>0.99150377200335293</v>
      </c>
      <c r="H146" s="147">
        <v>185391</v>
      </c>
      <c r="I146" s="147">
        <v>183426</v>
      </c>
      <c r="J146" s="94">
        <f t="shared" si="66"/>
        <v>0.9894007799731378</v>
      </c>
      <c r="K146" s="147"/>
      <c r="L146" s="160"/>
      <c r="M146" s="147">
        <f t="shared" si="64"/>
        <v>4914882</v>
      </c>
      <c r="O146" s="30"/>
    </row>
    <row r="147" spans="1:18" ht="48" thickTop="1" thickBot="1" x14ac:dyDescent="0.25">
      <c r="A147" s="70"/>
      <c r="B147" s="70" t="s">
        <v>573</v>
      </c>
      <c r="C147" s="70" t="s">
        <v>262</v>
      </c>
      <c r="D147" s="70" t="s">
        <v>574</v>
      </c>
      <c r="E147" s="147"/>
      <c r="F147" s="147"/>
      <c r="G147" s="94"/>
      <c r="H147" s="147">
        <v>3752440</v>
      </c>
      <c r="I147" s="147">
        <v>1625656.33</v>
      </c>
      <c r="J147" s="94">
        <f t="shared" ref="J147" si="68">I147/H147</f>
        <v>0.43322646864440206</v>
      </c>
      <c r="K147" s="147"/>
      <c r="L147" s="160"/>
      <c r="M147" s="147">
        <f t="shared" ref="M147" si="69">F147+I147</f>
        <v>1625656.33</v>
      </c>
      <c r="O147" s="30"/>
    </row>
    <row r="148" spans="1:18" ht="77.25" customHeight="1" thickTop="1" thickBot="1" x14ac:dyDescent="0.25">
      <c r="A148" s="57" t="s">
        <v>273</v>
      </c>
      <c r="B148" s="85" t="s">
        <v>274</v>
      </c>
      <c r="C148" s="85"/>
      <c r="D148" s="86" t="s">
        <v>275</v>
      </c>
      <c r="E148" s="87">
        <f>SUM(E149:E164)-E149-E152-E154-E160-E157</f>
        <v>130832843.34999999</v>
      </c>
      <c r="F148" s="87">
        <f>SUM(F149:F164)-F149-F152-F154-F160-F157</f>
        <v>129104934.26000004</v>
      </c>
      <c r="G148" s="88">
        <f>F148/E148</f>
        <v>0.98679300207993259</v>
      </c>
      <c r="H148" s="87">
        <f>SUM(H149:H164)-H149-H152-H154-H160-H157</f>
        <v>8287932.8000000017</v>
      </c>
      <c r="I148" s="87">
        <f>SUM(I149:I164)-I149-I152-I154-I160-I157</f>
        <v>8043390.1500000004</v>
      </c>
      <c r="J148" s="89">
        <f>I148/H148</f>
        <v>0.9704941321435423</v>
      </c>
      <c r="K148" s="87"/>
      <c r="L148" s="87"/>
      <c r="M148" s="90">
        <f>I148+F148</f>
        <v>137148324.41000003</v>
      </c>
      <c r="N148" s="53" t="b">
        <f>M148=M150+M151+M153+M155+M156+M161+M162+M163+M159+M158+M164</f>
        <v>1</v>
      </c>
      <c r="O148" s="26"/>
      <c r="R148" s="65" t="e">
        <f>M148/(H148+#REF!)*100</f>
        <v>#REF!</v>
      </c>
    </row>
    <row r="149" spans="1:18" s="18" customFormat="1" ht="123" customHeight="1" thickTop="1" thickBot="1" x14ac:dyDescent="0.25">
      <c r="A149" s="59" t="s">
        <v>276</v>
      </c>
      <c r="B149" s="71" t="s">
        <v>277</v>
      </c>
      <c r="C149" s="71"/>
      <c r="D149" s="71" t="s">
        <v>278</v>
      </c>
      <c r="E149" s="99">
        <f t="shared" ref="E149" si="70">SUM(E150:E151)</f>
        <v>45294056</v>
      </c>
      <c r="F149" s="99">
        <f t="shared" ref="F149:I149" si="71">SUM(F150:F151)</f>
        <v>44340372.57</v>
      </c>
      <c r="G149" s="95">
        <f>F149/E149</f>
        <v>0.978944622888266</v>
      </c>
      <c r="H149" s="99">
        <f t="shared" si="71"/>
        <v>0</v>
      </c>
      <c r="I149" s="99">
        <f t="shared" si="71"/>
        <v>0</v>
      </c>
      <c r="J149" s="95">
        <v>0</v>
      </c>
      <c r="K149" s="99"/>
      <c r="L149" s="99"/>
      <c r="M149" s="148">
        <f t="shared" si="64"/>
        <v>44340372.57</v>
      </c>
      <c r="N149" s="50" t="s">
        <v>389</v>
      </c>
      <c r="O149" s="32"/>
    </row>
    <row r="150" spans="1:18" s="35" customFormat="1" ht="93" thickTop="1" thickBot="1" x14ac:dyDescent="0.25">
      <c r="A150" s="58" t="s">
        <v>279</v>
      </c>
      <c r="B150" s="70" t="s">
        <v>280</v>
      </c>
      <c r="C150" s="70" t="s">
        <v>281</v>
      </c>
      <c r="D150" s="70" t="s">
        <v>282</v>
      </c>
      <c r="E150" s="98">
        <v>40275800</v>
      </c>
      <c r="F150" s="147">
        <v>39407098.57</v>
      </c>
      <c r="G150" s="94">
        <f t="shared" ref="G150:G163" si="72">F150/E150</f>
        <v>0.97843118125524509</v>
      </c>
      <c r="H150" s="147"/>
      <c r="I150" s="147"/>
      <c r="J150" s="147"/>
      <c r="K150" s="147"/>
      <c r="L150" s="160"/>
      <c r="M150" s="147">
        <f t="shared" si="64"/>
        <v>39407098.57</v>
      </c>
      <c r="N150" s="33"/>
      <c r="O150" s="34"/>
    </row>
    <row r="151" spans="1:18" s="35" customFormat="1" ht="93" thickTop="1" thickBot="1" x14ac:dyDescent="0.25">
      <c r="A151" s="58" t="s">
        <v>283</v>
      </c>
      <c r="B151" s="70" t="s">
        <v>284</v>
      </c>
      <c r="C151" s="70" t="s">
        <v>281</v>
      </c>
      <c r="D151" s="70" t="s">
        <v>285</v>
      </c>
      <c r="E151" s="98">
        <v>5018256</v>
      </c>
      <c r="F151" s="147">
        <v>4933274</v>
      </c>
      <c r="G151" s="94">
        <f t="shared" si="72"/>
        <v>0.98306543149651993</v>
      </c>
      <c r="H151" s="147"/>
      <c r="I151" s="147"/>
      <c r="J151" s="147"/>
      <c r="K151" s="147"/>
      <c r="L151" s="160"/>
      <c r="M151" s="147">
        <f t="shared" si="64"/>
        <v>4933274</v>
      </c>
      <c r="N151" s="33"/>
      <c r="O151" s="34"/>
    </row>
    <row r="152" spans="1:18" s="18" customFormat="1" ht="123" customHeight="1" thickTop="1" thickBot="1" x14ac:dyDescent="0.25">
      <c r="A152" s="59" t="s">
        <v>286</v>
      </c>
      <c r="B152" s="71" t="s">
        <v>287</v>
      </c>
      <c r="C152" s="71"/>
      <c r="D152" s="71" t="s">
        <v>288</v>
      </c>
      <c r="E152" s="99">
        <f t="shared" ref="E152:I152" si="73">E153</f>
        <v>28500</v>
      </c>
      <c r="F152" s="99">
        <f t="shared" si="73"/>
        <v>25942</v>
      </c>
      <c r="G152" s="95">
        <f>F152/E152</f>
        <v>0.91024561403508775</v>
      </c>
      <c r="H152" s="99">
        <f>H153</f>
        <v>0</v>
      </c>
      <c r="I152" s="99">
        <f t="shared" si="73"/>
        <v>0</v>
      </c>
      <c r="J152" s="95">
        <v>0</v>
      </c>
      <c r="K152" s="99"/>
      <c r="L152" s="99"/>
      <c r="M152" s="148">
        <f t="shared" si="64"/>
        <v>25942</v>
      </c>
      <c r="N152" s="50" t="s">
        <v>389</v>
      </c>
      <c r="O152" s="36"/>
    </row>
    <row r="153" spans="1:18" s="35" customFormat="1" ht="93" thickTop="1" thickBot="1" x14ac:dyDescent="0.25">
      <c r="A153" s="58" t="s">
        <v>289</v>
      </c>
      <c r="B153" s="70" t="s">
        <v>290</v>
      </c>
      <c r="C153" s="70" t="s">
        <v>281</v>
      </c>
      <c r="D153" s="70" t="s">
        <v>544</v>
      </c>
      <c r="E153" s="98">
        <v>28500</v>
      </c>
      <c r="F153" s="98">
        <v>25942</v>
      </c>
      <c r="G153" s="94">
        <f t="shared" si="72"/>
        <v>0.91024561403508775</v>
      </c>
      <c r="H153" s="147"/>
      <c r="I153" s="98"/>
      <c r="J153" s="98"/>
      <c r="K153" s="98"/>
      <c r="L153" s="160"/>
      <c r="M153" s="147">
        <f t="shared" si="64"/>
        <v>25942</v>
      </c>
      <c r="N153" s="50"/>
      <c r="O153" s="34"/>
    </row>
    <row r="154" spans="1:18" ht="93" thickTop="1" thickBot="1" x14ac:dyDescent="0.25">
      <c r="A154" s="71" t="s">
        <v>291</v>
      </c>
      <c r="B154" s="71" t="s">
        <v>292</v>
      </c>
      <c r="C154" s="71"/>
      <c r="D154" s="71" t="s">
        <v>293</v>
      </c>
      <c r="E154" s="99">
        <f t="shared" ref="E154" si="74">SUM(E155:E156)</f>
        <v>77804467.349999994</v>
      </c>
      <c r="F154" s="99">
        <f t="shared" ref="F154:I154" si="75">SUM(F155:F156)</f>
        <v>77292108.049999997</v>
      </c>
      <c r="G154" s="95">
        <f t="shared" si="72"/>
        <v>0.99341478301374175</v>
      </c>
      <c r="H154" s="99">
        <f t="shared" si="75"/>
        <v>7782047.5</v>
      </c>
      <c r="I154" s="99">
        <f t="shared" si="75"/>
        <v>7551203.0700000003</v>
      </c>
      <c r="J154" s="95">
        <f t="shared" ref="J154:J160" si="76">I154/H154</f>
        <v>0.9703362861766136</v>
      </c>
      <c r="K154" s="99"/>
      <c r="L154" s="99"/>
      <c r="M154" s="148">
        <f t="shared" si="64"/>
        <v>84843311.120000005</v>
      </c>
      <c r="O154" s="26"/>
    </row>
    <row r="155" spans="1:18" s="35" customFormat="1" ht="93" thickTop="1" thickBot="1" x14ac:dyDescent="0.25">
      <c r="A155" s="70" t="s">
        <v>294</v>
      </c>
      <c r="B155" s="70" t="s">
        <v>295</v>
      </c>
      <c r="C155" s="70" t="s">
        <v>281</v>
      </c>
      <c r="D155" s="70" t="s">
        <v>545</v>
      </c>
      <c r="E155" s="98">
        <v>71887334</v>
      </c>
      <c r="F155" s="98">
        <v>71375917.719999999</v>
      </c>
      <c r="G155" s="94">
        <f t="shared" si="72"/>
        <v>0.99288586387137401</v>
      </c>
      <c r="H155" s="98">
        <v>7782047.5</v>
      </c>
      <c r="I155" s="98">
        <v>7551203.0700000003</v>
      </c>
      <c r="J155" s="94">
        <f t="shared" si="76"/>
        <v>0.9703362861766136</v>
      </c>
      <c r="K155" s="98"/>
      <c r="L155" s="160"/>
      <c r="M155" s="147">
        <f t="shared" si="64"/>
        <v>78927120.789999992</v>
      </c>
      <c r="N155" s="33"/>
      <c r="O155" s="34"/>
    </row>
    <row r="156" spans="1:18" s="35" customFormat="1" ht="93" thickTop="1" thickBot="1" x14ac:dyDescent="0.25">
      <c r="A156" s="70" t="s">
        <v>296</v>
      </c>
      <c r="B156" s="70" t="s">
        <v>297</v>
      </c>
      <c r="C156" s="70" t="s">
        <v>281</v>
      </c>
      <c r="D156" s="70" t="s">
        <v>298</v>
      </c>
      <c r="E156" s="98">
        <v>5917133.3499999996</v>
      </c>
      <c r="F156" s="98">
        <v>5916190.3300000001</v>
      </c>
      <c r="G156" s="94">
        <f t="shared" si="72"/>
        <v>0.99984062890859138</v>
      </c>
      <c r="H156" s="98"/>
      <c r="I156" s="98"/>
      <c r="J156" s="94"/>
      <c r="K156" s="98"/>
      <c r="L156" s="160"/>
      <c r="M156" s="147">
        <f t="shared" si="64"/>
        <v>5916190.3300000001</v>
      </c>
      <c r="N156" s="50"/>
      <c r="O156" s="34"/>
    </row>
    <row r="157" spans="1:18" s="35" customFormat="1" ht="62.25" thickTop="1" thickBot="1" x14ac:dyDescent="0.25">
      <c r="A157" s="58"/>
      <c r="B157" s="71" t="s">
        <v>351</v>
      </c>
      <c r="C157" s="71"/>
      <c r="D157" s="71" t="s">
        <v>352</v>
      </c>
      <c r="E157" s="99">
        <f>SUM(E158:E159)</f>
        <v>210816</v>
      </c>
      <c r="F157" s="99">
        <f>SUM(F158:F159)</f>
        <v>187392</v>
      </c>
      <c r="G157" s="95">
        <f t="shared" si="72"/>
        <v>0.88888888888888884</v>
      </c>
      <c r="H157" s="99">
        <f>SUM(H158:H159)</f>
        <v>0</v>
      </c>
      <c r="I157" s="99">
        <f>SUM(I158:I159)</f>
        <v>0</v>
      </c>
      <c r="J157" s="95">
        <v>0</v>
      </c>
      <c r="K157" s="99"/>
      <c r="L157" s="99"/>
      <c r="M157" s="148">
        <f t="shared" si="64"/>
        <v>187392</v>
      </c>
      <c r="N157" s="178" t="s">
        <v>389</v>
      </c>
      <c r="O157" s="179"/>
      <c r="P157" s="179"/>
    </row>
    <row r="158" spans="1:18" s="35" customFormat="1" ht="277.5" hidden="1" customHeight="1" thickTop="1" thickBot="1" x14ac:dyDescent="0.25">
      <c r="A158" s="58"/>
      <c r="B158" s="74" t="s">
        <v>353</v>
      </c>
      <c r="C158" s="74" t="s">
        <v>281</v>
      </c>
      <c r="D158" s="74" t="s">
        <v>616</v>
      </c>
      <c r="E158" s="75"/>
      <c r="F158" s="75"/>
      <c r="G158" s="73">
        <v>0</v>
      </c>
      <c r="H158" s="75">
        <v>0</v>
      </c>
      <c r="I158" s="75">
        <v>0</v>
      </c>
      <c r="J158" s="73" t="e">
        <f t="shared" si="76"/>
        <v>#DIV/0!</v>
      </c>
      <c r="K158" s="75"/>
      <c r="L158" s="76"/>
      <c r="M158" s="75">
        <f t="shared" si="64"/>
        <v>0</v>
      </c>
      <c r="N158" s="50"/>
      <c r="O158" s="34"/>
    </row>
    <row r="159" spans="1:18" s="35" customFormat="1" ht="93" thickTop="1" thickBot="1" x14ac:dyDescent="0.25">
      <c r="A159" s="58"/>
      <c r="B159" s="70" t="s">
        <v>481</v>
      </c>
      <c r="C159" s="70" t="s">
        <v>281</v>
      </c>
      <c r="D159" s="70" t="s">
        <v>482</v>
      </c>
      <c r="E159" s="147">
        <v>210816</v>
      </c>
      <c r="F159" s="147">
        <v>187392</v>
      </c>
      <c r="G159" s="94">
        <f t="shared" si="72"/>
        <v>0.88888888888888884</v>
      </c>
      <c r="H159" s="147"/>
      <c r="I159" s="147"/>
      <c r="J159" s="94"/>
      <c r="K159" s="147"/>
      <c r="L159" s="160"/>
      <c r="M159" s="147">
        <f t="shared" si="64"/>
        <v>187392</v>
      </c>
      <c r="N159" s="33"/>
      <c r="O159" s="34"/>
    </row>
    <row r="160" spans="1:18" ht="62.25" thickTop="1" thickBot="1" x14ac:dyDescent="0.25">
      <c r="A160" s="67" t="s">
        <v>299</v>
      </c>
      <c r="B160" s="71" t="s">
        <v>300</v>
      </c>
      <c r="C160" s="71"/>
      <c r="D160" s="71" t="s">
        <v>301</v>
      </c>
      <c r="E160" s="99">
        <f t="shared" ref="E160" si="77">SUM(E161:E163)</f>
        <v>7495004</v>
      </c>
      <c r="F160" s="99">
        <f t="shared" ref="F160:I160" si="78">SUM(F161:F163)</f>
        <v>7259119.6400000006</v>
      </c>
      <c r="G160" s="95">
        <f t="shared" si="72"/>
        <v>0.96852778731005351</v>
      </c>
      <c r="H160" s="99">
        <f t="shared" si="78"/>
        <v>174252.3</v>
      </c>
      <c r="I160" s="99">
        <f t="shared" si="78"/>
        <v>161165.01</v>
      </c>
      <c r="J160" s="95">
        <f t="shared" si="76"/>
        <v>0.92489459249605321</v>
      </c>
      <c r="K160" s="99"/>
      <c r="L160" s="99"/>
      <c r="M160" s="148">
        <f t="shared" si="64"/>
        <v>7420284.6500000004</v>
      </c>
      <c r="N160" s="50"/>
      <c r="O160" s="26"/>
    </row>
    <row r="161" spans="1:15" s="35" customFormat="1" ht="138.75" thickTop="1" thickBot="1" x14ac:dyDescent="0.25">
      <c r="A161" s="68" t="s">
        <v>302</v>
      </c>
      <c r="B161" s="154" t="s">
        <v>303</v>
      </c>
      <c r="C161" s="154" t="s">
        <v>281</v>
      </c>
      <c r="D161" s="70" t="s">
        <v>304</v>
      </c>
      <c r="E161" s="98">
        <v>950164</v>
      </c>
      <c r="F161" s="147">
        <v>855417.28</v>
      </c>
      <c r="G161" s="94">
        <f t="shared" si="72"/>
        <v>0.90028382468710666</v>
      </c>
      <c r="H161" s="147">
        <v>4050</v>
      </c>
      <c r="I161" s="147">
        <v>4050</v>
      </c>
      <c r="J161" s="94">
        <f t="shared" ref="J161:J163" si="79">I161/H161</f>
        <v>1</v>
      </c>
      <c r="K161" s="147"/>
      <c r="L161" s="160"/>
      <c r="M161" s="147">
        <f t="shared" si="64"/>
        <v>859467.28</v>
      </c>
      <c r="N161" s="33"/>
      <c r="O161" s="34"/>
    </row>
    <row r="162" spans="1:15" s="35" customFormat="1" ht="93" thickTop="1" thickBot="1" x14ac:dyDescent="0.25">
      <c r="A162" s="68" t="s">
        <v>305</v>
      </c>
      <c r="B162" s="154" t="s">
        <v>306</v>
      </c>
      <c r="C162" s="154" t="s">
        <v>281</v>
      </c>
      <c r="D162" s="70" t="s">
        <v>307</v>
      </c>
      <c r="E162" s="98">
        <v>4210750</v>
      </c>
      <c r="F162" s="147">
        <v>4073250</v>
      </c>
      <c r="G162" s="94">
        <f t="shared" si="72"/>
        <v>0.96734548477112159</v>
      </c>
      <c r="H162" s="147"/>
      <c r="I162" s="147"/>
      <c r="J162" s="147"/>
      <c r="K162" s="147"/>
      <c r="L162" s="160"/>
      <c r="M162" s="147">
        <f t="shared" si="64"/>
        <v>4073250</v>
      </c>
      <c r="N162" s="33"/>
      <c r="O162" s="34"/>
    </row>
    <row r="163" spans="1:15" s="35" customFormat="1" ht="48" thickTop="1" thickBot="1" x14ac:dyDescent="0.25">
      <c r="A163" s="68" t="s">
        <v>308</v>
      </c>
      <c r="B163" s="154" t="s">
        <v>309</v>
      </c>
      <c r="C163" s="154" t="s">
        <v>281</v>
      </c>
      <c r="D163" s="70" t="s">
        <v>310</v>
      </c>
      <c r="E163" s="98">
        <v>2334090</v>
      </c>
      <c r="F163" s="147">
        <v>2330452.36</v>
      </c>
      <c r="G163" s="94">
        <f t="shared" si="72"/>
        <v>0.99844151682240179</v>
      </c>
      <c r="H163" s="147">
        <v>170202.3</v>
      </c>
      <c r="I163" s="147">
        <v>157115.01</v>
      </c>
      <c r="J163" s="94">
        <f t="shared" si="79"/>
        <v>0.92310744331892114</v>
      </c>
      <c r="K163" s="147"/>
      <c r="L163" s="160"/>
      <c r="M163" s="147">
        <f t="shared" si="64"/>
        <v>2487567.37</v>
      </c>
      <c r="N163" s="33"/>
      <c r="O163" s="34"/>
    </row>
    <row r="164" spans="1:15" s="35" customFormat="1" ht="48" thickTop="1" thickBot="1" x14ac:dyDescent="0.25">
      <c r="A164" s="68"/>
      <c r="B164" s="154" t="s">
        <v>608</v>
      </c>
      <c r="C164" s="154"/>
      <c r="D164" s="70" t="s">
        <v>609</v>
      </c>
      <c r="E164" s="98"/>
      <c r="F164" s="147"/>
      <c r="G164" s="94"/>
      <c r="H164" s="147">
        <v>331633</v>
      </c>
      <c r="I164" s="147">
        <v>331022.07</v>
      </c>
      <c r="J164" s="94">
        <f t="shared" ref="J164" si="80">I164/H164</f>
        <v>0.99815781300413409</v>
      </c>
      <c r="K164" s="147"/>
      <c r="L164" s="160"/>
      <c r="M164" s="147">
        <f t="shared" ref="M164" si="81">F164+I164</f>
        <v>331022.07</v>
      </c>
      <c r="N164" s="33"/>
      <c r="O164" s="34"/>
    </row>
    <row r="165" spans="1:15" ht="91.5" thickTop="1" thickBot="1" x14ac:dyDescent="0.25">
      <c r="A165" s="57" t="s">
        <v>313</v>
      </c>
      <c r="B165" s="85" t="s">
        <v>233</v>
      </c>
      <c r="C165" s="85"/>
      <c r="D165" s="86" t="s">
        <v>234</v>
      </c>
      <c r="E165" s="87">
        <f>SUM(E166:E180)-E166-E175</f>
        <v>528284945.09999996</v>
      </c>
      <c r="F165" s="87">
        <f>SUM(F166:F180)-F166-F175</f>
        <v>522232922.35999995</v>
      </c>
      <c r="G165" s="88">
        <f>F165/E165</f>
        <v>0.98854401815509918</v>
      </c>
      <c r="H165" s="87">
        <f t="shared" ref="H165:I165" si="82">SUM(H166:H180)-H166-H175</f>
        <v>73057102.180000007</v>
      </c>
      <c r="I165" s="87">
        <f t="shared" si="82"/>
        <v>69318235.680000007</v>
      </c>
      <c r="J165" s="89">
        <f>I165/H165</f>
        <v>0.94882268269020464</v>
      </c>
      <c r="K165" s="87"/>
      <c r="L165" s="87"/>
      <c r="M165" s="90">
        <f>I165+F165</f>
        <v>591551158.03999996</v>
      </c>
      <c r="N165" s="53" t="b">
        <f>M165=M167+M168+M169+M170+M172+M173+M174+M176+M179+M180+M177</f>
        <v>1</v>
      </c>
      <c r="O165" s="37"/>
    </row>
    <row r="166" spans="1:15" s="18" customFormat="1" ht="93" thickTop="1" thickBot="1" x14ac:dyDescent="0.25">
      <c r="A166" s="71" t="s">
        <v>314</v>
      </c>
      <c r="B166" s="71" t="s">
        <v>315</v>
      </c>
      <c r="C166" s="71"/>
      <c r="D166" s="71" t="s">
        <v>546</v>
      </c>
      <c r="E166" s="148">
        <f t="shared" ref="E166" si="83">SUM(E167:E172)</f>
        <v>177190082.32999998</v>
      </c>
      <c r="F166" s="148">
        <f t="shared" ref="F166:I166" si="84">SUM(F167:F172)</f>
        <v>177094600.30000001</v>
      </c>
      <c r="G166" s="95">
        <f>F166/E166</f>
        <v>0.99946113219913657</v>
      </c>
      <c r="H166" s="148">
        <f t="shared" si="84"/>
        <v>17525478.18</v>
      </c>
      <c r="I166" s="148">
        <f t="shared" si="84"/>
        <v>15001298.620000001</v>
      </c>
      <c r="J166" s="95">
        <f t="shared" ref="J166:J169" si="85">I166/H166</f>
        <v>0.85597085944961082</v>
      </c>
      <c r="K166" s="148"/>
      <c r="L166" s="148"/>
      <c r="M166" s="148">
        <f t="shared" ref="M166:M212" si="86">F166+I166</f>
        <v>192095898.92000002</v>
      </c>
      <c r="N166" s="20"/>
      <c r="O166" s="37"/>
    </row>
    <row r="167" spans="1:15" ht="93" thickTop="1" thickBot="1" x14ac:dyDescent="0.25">
      <c r="A167" s="70" t="s">
        <v>316</v>
      </c>
      <c r="B167" s="70" t="s">
        <v>317</v>
      </c>
      <c r="C167" s="70" t="s">
        <v>237</v>
      </c>
      <c r="D167" s="70" t="s">
        <v>318</v>
      </c>
      <c r="E167" s="98">
        <v>4538242.33</v>
      </c>
      <c r="F167" s="98">
        <v>4496172.79</v>
      </c>
      <c r="G167" s="94">
        <f>F167/E167</f>
        <v>0.99072999259605421</v>
      </c>
      <c r="H167" s="98">
        <v>4260088.18</v>
      </c>
      <c r="I167" s="106">
        <v>1820874.54</v>
      </c>
      <c r="J167" s="94">
        <f t="shared" si="85"/>
        <v>0.42742649050048542</v>
      </c>
      <c r="K167" s="106"/>
      <c r="L167" s="160"/>
      <c r="M167" s="147">
        <f t="shared" si="86"/>
        <v>6317047.3300000001</v>
      </c>
      <c r="O167" s="37"/>
    </row>
    <row r="168" spans="1:15" ht="138.75" customHeight="1" thickTop="1" thickBot="1" x14ac:dyDescent="0.25">
      <c r="A168" s="58"/>
      <c r="B168" s="70" t="s">
        <v>336</v>
      </c>
      <c r="C168" s="70" t="s">
        <v>321</v>
      </c>
      <c r="D168" s="70" t="s">
        <v>337</v>
      </c>
      <c r="E168" s="98">
        <v>102000000</v>
      </c>
      <c r="F168" s="98">
        <v>102000000</v>
      </c>
      <c r="G168" s="94">
        <f t="shared" ref="G168:G179" si="87">F168/E168</f>
        <v>1</v>
      </c>
      <c r="H168" s="98"/>
      <c r="I168" s="106"/>
      <c r="J168" s="106"/>
      <c r="K168" s="106"/>
      <c r="L168" s="160"/>
      <c r="M168" s="147">
        <f t="shared" si="86"/>
        <v>102000000</v>
      </c>
      <c r="O168" s="37"/>
    </row>
    <row r="169" spans="1:15" ht="48" thickTop="1" thickBot="1" x14ac:dyDescent="0.25">
      <c r="A169" s="58"/>
      <c r="B169" s="70" t="s">
        <v>338</v>
      </c>
      <c r="C169" s="70" t="s">
        <v>321</v>
      </c>
      <c r="D169" s="70" t="s">
        <v>339</v>
      </c>
      <c r="E169" s="98">
        <v>70600240</v>
      </c>
      <c r="F169" s="98">
        <v>70546827.510000005</v>
      </c>
      <c r="G169" s="94">
        <f t="shared" si="87"/>
        <v>0.99924345172197726</v>
      </c>
      <c r="H169" s="98">
        <v>94317</v>
      </c>
      <c r="I169" s="106">
        <v>94316.68</v>
      </c>
      <c r="J169" s="94">
        <f t="shared" si="85"/>
        <v>0.99999660718640326</v>
      </c>
      <c r="K169" s="106"/>
      <c r="L169" s="160"/>
      <c r="M169" s="147">
        <f t="shared" si="86"/>
        <v>70641144.190000013</v>
      </c>
      <c r="O169" s="37"/>
    </row>
    <row r="170" spans="1:15" ht="93" thickTop="1" thickBot="1" x14ac:dyDescent="0.25">
      <c r="A170" s="58" t="s">
        <v>319</v>
      </c>
      <c r="B170" s="70" t="s">
        <v>320</v>
      </c>
      <c r="C170" s="70" t="s">
        <v>321</v>
      </c>
      <c r="D170" s="70" t="s">
        <v>322</v>
      </c>
      <c r="E170" s="98"/>
      <c r="F170" s="98"/>
      <c r="G170" s="94"/>
      <c r="H170" s="98">
        <v>13171073</v>
      </c>
      <c r="I170" s="106">
        <v>13086107.4</v>
      </c>
      <c r="J170" s="94">
        <f t="shared" ref="J170:J179" si="88">I170/H170</f>
        <v>0.99354907531072068</v>
      </c>
      <c r="K170" s="106"/>
      <c r="L170" s="160"/>
      <c r="M170" s="147">
        <f t="shared" si="86"/>
        <v>13086107.4</v>
      </c>
      <c r="N170" s="50"/>
      <c r="O170" s="37"/>
    </row>
    <row r="171" spans="1:15" ht="93" hidden="1" customHeight="1" thickTop="1" thickBot="1" x14ac:dyDescent="0.25">
      <c r="A171" s="58"/>
      <c r="B171" s="74" t="s">
        <v>496</v>
      </c>
      <c r="C171" s="74" t="s">
        <v>321</v>
      </c>
      <c r="D171" s="74" t="s">
        <v>497</v>
      </c>
      <c r="E171" s="134">
        <v>0</v>
      </c>
      <c r="F171" s="134">
        <v>0</v>
      </c>
      <c r="G171" s="73" t="e">
        <f t="shared" si="87"/>
        <v>#DIV/0!</v>
      </c>
      <c r="H171" s="134"/>
      <c r="I171" s="135"/>
      <c r="J171" s="73"/>
      <c r="K171" s="135"/>
      <c r="L171" s="76"/>
      <c r="M171" s="75">
        <f t="shared" si="86"/>
        <v>0</v>
      </c>
      <c r="N171" s="50"/>
      <c r="O171" s="37"/>
    </row>
    <row r="172" spans="1:15" ht="93" thickTop="1" thickBot="1" x14ac:dyDescent="0.25">
      <c r="A172" s="58" t="s">
        <v>323</v>
      </c>
      <c r="B172" s="70" t="s">
        <v>324</v>
      </c>
      <c r="C172" s="70" t="s">
        <v>321</v>
      </c>
      <c r="D172" s="70" t="s">
        <v>575</v>
      </c>
      <c r="E172" s="98">
        <v>51600</v>
      </c>
      <c r="F172" s="98">
        <v>51600</v>
      </c>
      <c r="G172" s="94">
        <f t="shared" si="87"/>
        <v>1</v>
      </c>
      <c r="H172" s="98"/>
      <c r="I172" s="106"/>
      <c r="J172" s="94"/>
      <c r="K172" s="106"/>
      <c r="L172" s="160"/>
      <c r="M172" s="147">
        <f t="shared" si="86"/>
        <v>51600</v>
      </c>
      <c r="N172" s="50"/>
      <c r="O172" s="37"/>
    </row>
    <row r="173" spans="1:15" ht="93" thickTop="1" thickBot="1" x14ac:dyDescent="0.25">
      <c r="A173" s="58" t="s">
        <v>325</v>
      </c>
      <c r="B173" s="70" t="s">
        <v>326</v>
      </c>
      <c r="C173" s="70" t="s">
        <v>321</v>
      </c>
      <c r="D173" s="70" t="s">
        <v>327</v>
      </c>
      <c r="E173" s="98">
        <v>19392477.460000001</v>
      </c>
      <c r="F173" s="98">
        <v>19185203.940000001</v>
      </c>
      <c r="G173" s="94">
        <f t="shared" si="87"/>
        <v>0.98931165342708105</v>
      </c>
      <c r="H173" s="98"/>
      <c r="I173" s="106"/>
      <c r="J173" s="106"/>
      <c r="K173" s="106"/>
      <c r="L173" s="160"/>
      <c r="M173" s="147">
        <f t="shared" si="86"/>
        <v>19185203.940000001</v>
      </c>
      <c r="N173" s="50"/>
      <c r="O173" s="37"/>
    </row>
    <row r="174" spans="1:15" ht="62.25" thickTop="1" thickBot="1" x14ac:dyDescent="0.25">
      <c r="A174" s="58"/>
      <c r="B174" s="70" t="s">
        <v>329</v>
      </c>
      <c r="C174" s="70" t="s">
        <v>321</v>
      </c>
      <c r="D174" s="70" t="s">
        <v>330</v>
      </c>
      <c r="E174" s="98">
        <v>328934700.31</v>
      </c>
      <c r="F174" s="98">
        <v>323521998.74000001</v>
      </c>
      <c r="G174" s="94">
        <f t="shared" si="87"/>
        <v>0.98354475351825499</v>
      </c>
      <c r="H174" s="147">
        <v>2366985</v>
      </c>
      <c r="I174" s="98">
        <v>2366945.3199999998</v>
      </c>
      <c r="J174" s="94">
        <f t="shared" si="88"/>
        <v>0.99998323605768513</v>
      </c>
      <c r="K174" s="98"/>
      <c r="L174" s="160"/>
      <c r="M174" s="147">
        <f t="shared" si="86"/>
        <v>325888944.06</v>
      </c>
      <c r="N174" s="52"/>
      <c r="O174" s="37"/>
    </row>
    <row r="175" spans="1:15" ht="123" customHeight="1" thickTop="1" thickBot="1" x14ac:dyDescent="0.25">
      <c r="A175" s="58"/>
      <c r="B175" s="71" t="s">
        <v>235</v>
      </c>
      <c r="C175" s="71"/>
      <c r="D175" s="71" t="s">
        <v>547</v>
      </c>
      <c r="E175" s="99">
        <f>SUM(E176:E178)</f>
        <v>0</v>
      </c>
      <c r="F175" s="99">
        <f>SUM(F176:F178)</f>
        <v>0</v>
      </c>
      <c r="G175" s="95">
        <v>0</v>
      </c>
      <c r="H175" s="99">
        <f>SUM(H176:H178)</f>
        <v>47070000</v>
      </c>
      <c r="I175" s="99">
        <f>SUM(I176:I178)</f>
        <v>46910033.399999999</v>
      </c>
      <c r="J175" s="94">
        <f t="shared" si="88"/>
        <v>0.99660151688973864</v>
      </c>
      <c r="K175" s="99"/>
      <c r="L175" s="161"/>
      <c r="M175" s="148">
        <f t="shared" si="86"/>
        <v>46910033.399999999</v>
      </c>
      <c r="N175" s="50" t="s">
        <v>389</v>
      </c>
      <c r="O175" s="37"/>
    </row>
    <row r="176" spans="1:15" ht="93" thickTop="1" thickBot="1" x14ac:dyDescent="0.25">
      <c r="A176" s="58" t="s">
        <v>328</v>
      </c>
      <c r="B176" s="70" t="s">
        <v>236</v>
      </c>
      <c r="C176" s="70" t="s">
        <v>237</v>
      </c>
      <c r="D176" s="70" t="s">
        <v>548</v>
      </c>
      <c r="E176" s="98"/>
      <c r="F176" s="98"/>
      <c r="G176" s="94"/>
      <c r="H176" s="147">
        <v>46920000</v>
      </c>
      <c r="I176" s="98">
        <v>46785905.399999999</v>
      </c>
      <c r="J176" s="94">
        <f t="shared" si="88"/>
        <v>0.99714205882352935</v>
      </c>
      <c r="K176" s="98"/>
      <c r="L176" s="160"/>
      <c r="M176" s="147">
        <f t="shared" si="86"/>
        <v>46785905.399999999</v>
      </c>
      <c r="N176" s="50"/>
      <c r="O176" s="30"/>
    </row>
    <row r="177" spans="1:15" ht="184.5" thickTop="1" thickBot="1" x14ac:dyDescent="0.25">
      <c r="A177" s="58"/>
      <c r="B177" s="70" t="s">
        <v>441</v>
      </c>
      <c r="C177" s="70" t="s">
        <v>237</v>
      </c>
      <c r="D177" s="70" t="s">
        <v>442</v>
      </c>
      <c r="E177" s="98"/>
      <c r="F177" s="98"/>
      <c r="G177" s="94"/>
      <c r="H177" s="147">
        <v>150000</v>
      </c>
      <c r="I177" s="98">
        <v>124128</v>
      </c>
      <c r="J177" s="94">
        <f t="shared" si="88"/>
        <v>0.82752000000000003</v>
      </c>
      <c r="K177" s="98"/>
      <c r="L177" s="160"/>
      <c r="M177" s="147">
        <f t="shared" si="86"/>
        <v>124128</v>
      </c>
      <c r="O177" s="30"/>
    </row>
    <row r="178" spans="1:15" ht="138.75" hidden="1" thickTop="1" thickBot="1" x14ac:dyDescent="0.25">
      <c r="A178" s="58"/>
      <c r="B178" s="141" t="s">
        <v>311</v>
      </c>
      <c r="C178" s="141" t="s">
        <v>237</v>
      </c>
      <c r="D178" s="74" t="s">
        <v>312</v>
      </c>
      <c r="E178" s="134">
        <v>0</v>
      </c>
      <c r="F178" s="75">
        <v>0</v>
      </c>
      <c r="G178" s="73">
        <v>0</v>
      </c>
      <c r="H178" s="75"/>
      <c r="I178" s="75"/>
      <c r="J178" s="75"/>
      <c r="K178" s="75"/>
      <c r="L178" s="76"/>
      <c r="M178" s="75">
        <f t="shared" si="86"/>
        <v>0</v>
      </c>
      <c r="N178" s="180" t="s">
        <v>389</v>
      </c>
      <c r="O178" s="181"/>
    </row>
    <row r="179" spans="1:15" ht="62.25" thickTop="1" thickBot="1" x14ac:dyDescent="0.25">
      <c r="A179" s="58"/>
      <c r="B179" s="70" t="s">
        <v>454</v>
      </c>
      <c r="C179" s="70" t="s">
        <v>455</v>
      </c>
      <c r="D179" s="70" t="s">
        <v>456</v>
      </c>
      <c r="E179" s="98">
        <v>2767685</v>
      </c>
      <c r="F179" s="147">
        <v>2431119.38</v>
      </c>
      <c r="G179" s="94">
        <f t="shared" si="87"/>
        <v>0.87839453550530489</v>
      </c>
      <c r="H179" s="147">
        <v>1454200</v>
      </c>
      <c r="I179" s="147">
        <v>1447555.06</v>
      </c>
      <c r="J179" s="94">
        <f t="shared" si="88"/>
        <v>0.99543051849814335</v>
      </c>
      <c r="K179" s="147"/>
      <c r="L179" s="160"/>
      <c r="M179" s="147">
        <f t="shared" si="86"/>
        <v>3878674.44</v>
      </c>
      <c r="N179" s="180"/>
      <c r="O179" s="181"/>
    </row>
    <row r="180" spans="1:15" ht="62.25" thickTop="1" thickBot="1" x14ac:dyDescent="0.25">
      <c r="A180" s="58"/>
      <c r="B180" s="70" t="s">
        <v>576</v>
      </c>
      <c r="C180" s="70" t="s">
        <v>455</v>
      </c>
      <c r="D180" s="70" t="s">
        <v>577</v>
      </c>
      <c r="E180" s="98"/>
      <c r="F180" s="147"/>
      <c r="G180" s="94"/>
      <c r="H180" s="147">
        <f>1788289+2852150</f>
        <v>4640439</v>
      </c>
      <c r="I180" s="147">
        <v>3592403.28</v>
      </c>
      <c r="J180" s="94">
        <f t="shared" ref="J180" si="89">I180/H180</f>
        <v>0.77415160074294687</v>
      </c>
      <c r="K180" s="147"/>
      <c r="L180" s="160"/>
      <c r="M180" s="147">
        <f>F180+I180</f>
        <v>3592403.28</v>
      </c>
      <c r="N180" s="52"/>
      <c r="O180" s="52"/>
    </row>
    <row r="181" spans="1:15" s="38" customFormat="1" ht="101.25" customHeight="1" thickTop="1" thickBot="1" x14ac:dyDescent="0.25">
      <c r="A181" s="60" t="s">
        <v>331</v>
      </c>
      <c r="B181" s="85" t="s">
        <v>28</v>
      </c>
      <c r="C181" s="85"/>
      <c r="D181" s="86" t="s">
        <v>332</v>
      </c>
      <c r="E181" s="87">
        <f>E182+E184+E192+E200+E203</f>
        <v>197164219.44</v>
      </c>
      <c r="F181" s="87">
        <f>F182+F184+F192+F200+F203</f>
        <v>189653471.25</v>
      </c>
      <c r="G181" s="88">
        <f>F181/E181</f>
        <v>0.96190612976668599</v>
      </c>
      <c r="H181" s="87">
        <f>H182+H184+H192+H200+H203</f>
        <v>142579187.11000001</v>
      </c>
      <c r="I181" s="87">
        <f>I182+I184+I192+I200+I203</f>
        <v>127282745.42000002</v>
      </c>
      <c r="J181" s="89">
        <f>I181/H181</f>
        <v>0.89271616706442036</v>
      </c>
      <c r="K181" s="87"/>
      <c r="L181" s="87"/>
      <c r="M181" s="90">
        <f>I181+F181</f>
        <v>316936216.67000002</v>
      </c>
      <c r="N181" s="53" t="b">
        <f>M181=M183+M186+M188+M191+M194+M196+M199+M201+M204+M206+M207+M208+M209+M210+M211+M213+M214</f>
        <v>1</v>
      </c>
      <c r="O181" s="51"/>
    </row>
    <row r="182" spans="1:15" s="38" customFormat="1" ht="62.25" thickTop="1" thickBot="1" x14ac:dyDescent="0.25">
      <c r="A182" s="91"/>
      <c r="B182" s="155" t="s">
        <v>370</v>
      </c>
      <c r="C182" s="155"/>
      <c r="D182" s="155" t="s">
        <v>371</v>
      </c>
      <c r="E182" s="156">
        <f>SUM(E183)</f>
        <v>320400</v>
      </c>
      <c r="F182" s="156">
        <f>SUM(F183)</f>
        <v>240090</v>
      </c>
      <c r="G182" s="100">
        <f>F182/E182</f>
        <v>0.74934456928838955</v>
      </c>
      <c r="H182" s="156">
        <f>SUM(H183)</f>
        <v>0</v>
      </c>
      <c r="I182" s="156">
        <f>SUM(I183)</f>
        <v>0</v>
      </c>
      <c r="J182" s="100">
        <v>0</v>
      </c>
      <c r="K182" s="156"/>
      <c r="L182" s="156"/>
      <c r="M182" s="156">
        <f t="shared" si="86"/>
        <v>240090</v>
      </c>
      <c r="N182" s="180" t="s">
        <v>389</v>
      </c>
      <c r="O182" s="181"/>
    </row>
    <row r="183" spans="1:15" s="38" customFormat="1" ht="62.25" thickTop="1" thickBot="1" x14ac:dyDescent="0.25">
      <c r="A183" s="91"/>
      <c r="B183" s="70" t="s">
        <v>372</v>
      </c>
      <c r="C183" s="70" t="s">
        <v>373</v>
      </c>
      <c r="D183" s="70" t="s">
        <v>374</v>
      </c>
      <c r="E183" s="147">
        <v>320400</v>
      </c>
      <c r="F183" s="147">
        <v>240090</v>
      </c>
      <c r="G183" s="94">
        <f>F183/E183</f>
        <v>0.74934456928838955</v>
      </c>
      <c r="H183" s="147"/>
      <c r="I183" s="147"/>
      <c r="J183" s="94"/>
      <c r="K183" s="147"/>
      <c r="L183" s="160"/>
      <c r="M183" s="147">
        <f t="shared" si="86"/>
        <v>240090</v>
      </c>
      <c r="N183" s="180"/>
      <c r="O183" s="181"/>
    </row>
    <row r="184" spans="1:15" s="38" customFormat="1" ht="62.25" thickTop="1" thickBot="1" x14ac:dyDescent="0.25">
      <c r="A184" s="91"/>
      <c r="B184" s="155" t="s">
        <v>238</v>
      </c>
      <c r="C184" s="155"/>
      <c r="D184" s="155" t="s">
        <v>549</v>
      </c>
      <c r="E184" s="101">
        <f>SUM(E186:E191)</f>
        <v>260000</v>
      </c>
      <c r="F184" s="101">
        <f>SUM(F186:F191)</f>
        <v>192350</v>
      </c>
      <c r="G184" s="100">
        <f>F184/E184</f>
        <v>0.73980769230769228</v>
      </c>
      <c r="H184" s="101">
        <f>SUM(H186:H191)</f>
        <v>48732180.119999997</v>
      </c>
      <c r="I184" s="101">
        <f>SUM(I186:I191)</f>
        <v>45367168.340000004</v>
      </c>
      <c r="J184" s="100">
        <f t="shared" ref="J184" si="90">I184/H184</f>
        <v>0.93094887666191295</v>
      </c>
      <c r="K184" s="101"/>
      <c r="L184" s="101"/>
      <c r="M184" s="156">
        <f>F184+I184</f>
        <v>45559518.340000004</v>
      </c>
      <c r="N184" s="180"/>
      <c r="O184" s="181"/>
    </row>
    <row r="185" spans="1:15" s="38" customFormat="1" ht="93" hidden="1" customHeight="1" thickTop="1" thickBot="1" x14ac:dyDescent="0.25">
      <c r="A185" s="91"/>
      <c r="B185" s="74" t="s">
        <v>464</v>
      </c>
      <c r="C185" s="74" t="s">
        <v>239</v>
      </c>
      <c r="D185" s="74" t="s">
        <v>467</v>
      </c>
      <c r="E185" s="75"/>
      <c r="F185" s="75"/>
      <c r="G185" s="75"/>
      <c r="H185" s="75">
        <v>0</v>
      </c>
      <c r="I185" s="75">
        <v>0</v>
      </c>
      <c r="J185" s="73" t="e">
        <f t="shared" ref="J185:J192" si="91">I185/H185</f>
        <v>#DIV/0!</v>
      </c>
      <c r="K185" s="75"/>
      <c r="L185" s="76"/>
      <c r="M185" s="75">
        <f t="shared" si="86"/>
        <v>0</v>
      </c>
      <c r="N185" s="39"/>
      <c r="O185" s="51"/>
    </row>
    <row r="186" spans="1:15" s="38" customFormat="1" ht="48" thickTop="1" thickBot="1" x14ac:dyDescent="0.25">
      <c r="A186" s="91"/>
      <c r="B186" s="70" t="s">
        <v>354</v>
      </c>
      <c r="C186" s="70" t="s">
        <v>239</v>
      </c>
      <c r="D186" s="70" t="s">
        <v>468</v>
      </c>
      <c r="E186" s="147"/>
      <c r="F186" s="147"/>
      <c r="G186" s="147"/>
      <c r="H186" s="147">
        <v>48632180.119999997</v>
      </c>
      <c r="I186" s="147">
        <v>45367168.340000004</v>
      </c>
      <c r="J186" s="94">
        <f>I186/H186</f>
        <v>0.93286314181384489</v>
      </c>
      <c r="K186" s="147"/>
      <c r="L186" s="160"/>
      <c r="M186" s="147">
        <f t="shared" si="86"/>
        <v>45367168.340000004</v>
      </c>
      <c r="N186" s="39"/>
      <c r="O186" s="51"/>
    </row>
    <row r="187" spans="1:15" s="38" customFormat="1" ht="93" thickTop="1" thickBot="1" x14ac:dyDescent="0.25">
      <c r="A187" s="91"/>
      <c r="B187" s="70" t="s">
        <v>402</v>
      </c>
      <c r="C187" s="70" t="s">
        <v>239</v>
      </c>
      <c r="D187" s="70" t="s">
        <v>590</v>
      </c>
      <c r="E187" s="147"/>
      <c r="F187" s="147"/>
      <c r="G187" s="147"/>
      <c r="H187" s="147">
        <v>100000</v>
      </c>
      <c r="I187" s="147">
        <v>0</v>
      </c>
      <c r="J187" s="94">
        <f t="shared" si="91"/>
        <v>0</v>
      </c>
      <c r="K187" s="147"/>
      <c r="L187" s="160"/>
      <c r="M187" s="147">
        <f t="shared" si="86"/>
        <v>0</v>
      </c>
      <c r="N187" s="39"/>
      <c r="O187" s="51"/>
    </row>
    <row r="188" spans="1:15" s="38" customFormat="1" ht="93" hidden="1" customHeight="1" thickTop="1" thickBot="1" x14ac:dyDescent="0.25">
      <c r="A188" s="91"/>
      <c r="B188" s="74" t="s">
        <v>578</v>
      </c>
      <c r="C188" s="74" t="s">
        <v>239</v>
      </c>
      <c r="D188" s="74" t="s">
        <v>579</v>
      </c>
      <c r="E188" s="75"/>
      <c r="F188" s="75"/>
      <c r="G188" s="73"/>
      <c r="H188" s="75">
        <v>0</v>
      </c>
      <c r="I188" s="75">
        <v>0</v>
      </c>
      <c r="J188" s="73" t="e">
        <f t="shared" si="91"/>
        <v>#DIV/0!</v>
      </c>
      <c r="K188" s="75"/>
      <c r="L188" s="76"/>
      <c r="M188" s="75">
        <f t="shared" si="86"/>
        <v>0</v>
      </c>
      <c r="N188" s="39"/>
      <c r="O188" s="51"/>
    </row>
    <row r="189" spans="1:15" s="38" customFormat="1" ht="62.25" hidden="1" customHeight="1" thickTop="1" thickBot="1" x14ac:dyDescent="0.25">
      <c r="A189" s="91"/>
      <c r="B189" s="115" t="s">
        <v>443</v>
      </c>
      <c r="C189" s="115"/>
      <c r="D189" s="115" t="s">
        <v>445</v>
      </c>
      <c r="E189" s="116">
        <f>E190</f>
        <v>0</v>
      </c>
      <c r="F189" s="116">
        <f t="shared" ref="F189" si="92">F190</f>
        <v>0</v>
      </c>
      <c r="G189" s="117"/>
      <c r="H189" s="116">
        <f>H190</f>
        <v>0</v>
      </c>
      <c r="I189" s="116">
        <f>I190</f>
        <v>0</v>
      </c>
      <c r="J189" s="73" t="e">
        <f t="shared" si="91"/>
        <v>#DIV/0!</v>
      </c>
      <c r="K189" s="116"/>
      <c r="L189" s="116"/>
      <c r="M189" s="116">
        <f t="shared" si="86"/>
        <v>0</v>
      </c>
      <c r="N189" s="180" t="s">
        <v>389</v>
      </c>
      <c r="O189" s="181"/>
    </row>
    <row r="190" spans="1:15" s="38" customFormat="1" ht="138.75" hidden="1" customHeight="1" thickTop="1" thickBot="1" x14ac:dyDescent="0.25">
      <c r="A190" s="91"/>
      <c r="B190" s="74" t="s">
        <v>444</v>
      </c>
      <c r="C190" s="74" t="s">
        <v>36</v>
      </c>
      <c r="D190" s="74" t="s">
        <v>446</v>
      </c>
      <c r="E190" s="75"/>
      <c r="F190" s="75"/>
      <c r="G190" s="75"/>
      <c r="H190" s="75"/>
      <c r="I190" s="75">
        <v>0</v>
      </c>
      <c r="J190" s="73" t="e">
        <f t="shared" si="91"/>
        <v>#DIV/0!</v>
      </c>
      <c r="K190" s="75"/>
      <c r="L190" s="76"/>
      <c r="M190" s="75">
        <f t="shared" si="86"/>
        <v>0</v>
      </c>
      <c r="N190" s="39"/>
      <c r="O190" s="51"/>
    </row>
    <row r="191" spans="1:15" s="38" customFormat="1" ht="62.25" thickTop="1" thickBot="1" x14ac:dyDescent="0.25">
      <c r="A191" s="91"/>
      <c r="B191" s="70" t="s">
        <v>355</v>
      </c>
      <c r="C191" s="70" t="s">
        <v>36</v>
      </c>
      <c r="D191" s="70" t="s">
        <v>356</v>
      </c>
      <c r="E191" s="147">
        <v>260000</v>
      </c>
      <c r="F191" s="147">
        <v>192350</v>
      </c>
      <c r="G191" s="94">
        <f t="shared" ref="G191" si="93">F191/E191</f>
        <v>0.73980769230769228</v>
      </c>
      <c r="H191" s="147"/>
      <c r="I191" s="147"/>
      <c r="J191" s="94"/>
      <c r="K191" s="147"/>
      <c r="L191" s="160"/>
      <c r="M191" s="147">
        <f>F191+I191</f>
        <v>192350</v>
      </c>
      <c r="N191" s="180"/>
      <c r="O191" s="181"/>
    </row>
    <row r="192" spans="1:15" s="38" customFormat="1" ht="47.25" thickTop="1" thickBot="1" x14ac:dyDescent="0.25">
      <c r="A192" s="92"/>
      <c r="B192" s="155" t="s">
        <v>340</v>
      </c>
      <c r="C192" s="155"/>
      <c r="D192" s="155" t="s">
        <v>341</v>
      </c>
      <c r="E192" s="156">
        <f>SUM(E193:E199)-E195-E198-E193</f>
        <v>162418649.80000001</v>
      </c>
      <c r="F192" s="156">
        <f>SUM(F193:F199)-F195-F198-F193</f>
        <v>162262248.95000002</v>
      </c>
      <c r="G192" s="100">
        <f t="shared" ref="G192" si="94">F192/E192</f>
        <v>0.99903705116258146</v>
      </c>
      <c r="H192" s="156">
        <f>SUM(H193:H199)-H195-H198-H193</f>
        <v>14948091</v>
      </c>
      <c r="I192" s="156">
        <f>SUM(I193:I199)-I195-I198-I193</f>
        <v>14946979.810000001</v>
      </c>
      <c r="J192" s="100">
        <f t="shared" si="91"/>
        <v>0.99992566341748923</v>
      </c>
      <c r="K192" s="156"/>
      <c r="L192" s="156"/>
      <c r="M192" s="156">
        <f>F192+I192</f>
        <v>177209228.76000002</v>
      </c>
      <c r="N192" s="39"/>
      <c r="O192" s="51"/>
    </row>
    <row r="193" spans="1:18" s="38" customFormat="1" ht="93" thickTop="1" thickBot="1" x14ac:dyDescent="0.25">
      <c r="A193" s="92"/>
      <c r="B193" s="71" t="s">
        <v>412</v>
      </c>
      <c r="C193" s="71"/>
      <c r="D193" s="71" t="s">
        <v>413</v>
      </c>
      <c r="E193" s="148">
        <f>E194</f>
        <v>2100000</v>
      </c>
      <c r="F193" s="148">
        <f>F194</f>
        <v>1943599.15</v>
      </c>
      <c r="G193" s="95">
        <f t="shared" ref="G193:G208" si="95">F193/E193</f>
        <v>0.92552340476190476</v>
      </c>
      <c r="H193" s="148">
        <f t="shared" ref="H193:I193" si="96">H194</f>
        <v>0</v>
      </c>
      <c r="I193" s="148">
        <f t="shared" si="96"/>
        <v>0</v>
      </c>
      <c r="J193" s="95">
        <v>0</v>
      </c>
      <c r="K193" s="148"/>
      <c r="L193" s="148"/>
      <c r="M193" s="148">
        <f t="shared" si="86"/>
        <v>1943599.15</v>
      </c>
      <c r="N193" s="180" t="s">
        <v>389</v>
      </c>
      <c r="O193" s="181"/>
    </row>
    <row r="194" spans="1:18" s="38" customFormat="1" ht="48" thickTop="1" thickBot="1" x14ac:dyDescent="0.25">
      <c r="A194" s="92"/>
      <c r="B194" s="70" t="s">
        <v>414</v>
      </c>
      <c r="C194" s="70" t="s">
        <v>415</v>
      </c>
      <c r="D194" s="70" t="s">
        <v>416</v>
      </c>
      <c r="E194" s="147">
        <v>2100000</v>
      </c>
      <c r="F194" s="147">
        <v>1943599.15</v>
      </c>
      <c r="G194" s="94">
        <f>F194/E194</f>
        <v>0.92552340476190476</v>
      </c>
      <c r="H194" s="147"/>
      <c r="I194" s="147"/>
      <c r="J194" s="147"/>
      <c r="K194" s="147"/>
      <c r="L194" s="160"/>
      <c r="M194" s="147">
        <f t="shared" si="86"/>
        <v>1943599.15</v>
      </c>
      <c r="N194" s="39"/>
      <c r="O194" s="51"/>
    </row>
    <row r="195" spans="1:18" s="38" customFormat="1" ht="93" thickTop="1" thickBot="1" x14ac:dyDescent="0.25">
      <c r="A195" s="92"/>
      <c r="B195" s="71" t="s">
        <v>357</v>
      </c>
      <c r="C195" s="71"/>
      <c r="D195" s="71" t="s">
        <v>358</v>
      </c>
      <c r="E195" s="148">
        <f>E196</f>
        <v>160318649.80000001</v>
      </c>
      <c r="F195" s="148">
        <f>F196</f>
        <v>160318649.80000001</v>
      </c>
      <c r="G195" s="94">
        <f t="shared" si="95"/>
        <v>1</v>
      </c>
      <c r="H195" s="148">
        <f>H196</f>
        <v>0</v>
      </c>
      <c r="I195" s="148">
        <f>I196</f>
        <v>0</v>
      </c>
      <c r="J195" s="95">
        <v>0</v>
      </c>
      <c r="K195" s="148"/>
      <c r="L195" s="148"/>
      <c r="M195" s="148">
        <f t="shared" si="86"/>
        <v>160318649.80000001</v>
      </c>
      <c r="N195" s="180" t="s">
        <v>389</v>
      </c>
      <c r="O195" s="181"/>
    </row>
    <row r="196" spans="1:18" s="38" customFormat="1" ht="66" customHeight="1" thickTop="1" thickBot="1" x14ac:dyDescent="0.25">
      <c r="A196" s="92"/>
      <c r="B196" s="70" t="s">
        <v>359</v>
      </c>
      <c r="C196" s="70" t="s">
        <v>360</v>
      </c>
      <c r="D196" s="70" t="s">
        <v>361</v>
      </c>
      <c r="E196" s="147">
        <v>160318649.80000001</v>
      </c>
      <c r="F196" s="147">
        <v>160318649.80000001</v>
      </c>
      <c r="G196" s="94">
        <f t="shared" si="95"/>
        <v>1</v>
      </c>
      <c r="H196" s="147"/>
      <c r="I196" s="147"/>
      <c r="J196" s="147"/>
      <c r="K196" s="147"/>
      <c r="L196" s="160"/>
      <c r="M196" s="147">
        <f t="shared" si="86"/>
        <v>160318649.80000001</v>
      </c>
      <c r="N196" s="39"/>
      <c r="O196" s="51"/>
    </row>
    <row r="197" spans="1:18" s="38" customFormat="1" ht="62.25" hidden="1" customHeight="1" thickTop="1" thickBot="1" x14ac:dyDescent="0.25">
      <c r="A197" s="92"/>
      <c r="B197" s="74" t="s">
        <v>457</v>
      </c>
      <c r="C197" s="74" t="s">
        <v>343</v>
      </c>
      <c r="D197" s="74" t="s">
        <v>458</v>
      </c>
      <c r="E197" s="75">
        <v>0</v>
      </c>
      <c r="F197" s="75">
        <v>0</v>
      </c>
      <c r="G197" s="73" t="e">
        <f t="shared" si="95"/>
        <v>#DIV/0!</v>
      </c>
      <c r="H197" s="75"/>
      <c r="I197" s="75"/>
      <c r="J197" s="75"/>
      <c r="K197" s="75"/>
      <c r="L197" s="76"/>
      <c r="M197" s="75">
        <f t="shared" si="86"/>
        <v>0</v>
      </c>
      <c r="N197" s="50"/>
      <c r="O197" s="51"/>
    </row>
    <row r="198" spans="1:18" s="38" customFormat="1" ht="93" thickTop="1" thickBot="1" x14ac:dyDescent="0.25">
      <c r="A198" s="92"/>
      <c r="B198" s="71" t="s">
        <v>400</v>
      </c>
      <c r="C198" s="71"/>
      <c r="D198" s="71" t="s">
        <v>401</v>
      </c>
      <c r="E198" s="148">
        <f>E199</f>
        <v>0</v>
      </c>
      <c r="F198" s="148">
        <f>F199</f>
        <v>0</v>
      </c>
      <c r="G198" s="95">
        <v>0</v>
      </c>
      <c r="H198" s="148">
        <f>H199</f>
        <v>14948091</v>
      </c>
      <c r="I198" s="148">
        <f>I199</f>
        <v>14946979.810000001</v>
      </c>
      <c r="J198" s="95">
        <f t="shared" ref="J198:J199" si="97">I198/H198</f>
        <v>0.99992566341748923</v>
      </c>
      <c r="K198" s="148"/>
      <c r="L198" s="161"/>
      <c r="M198" s="148">
        <f t="shared" si="86"/>
        <v>14946979.810000001</v>
      </c>
      <c r="N198" s="180" t="s">
        <v>389</v>
      </c>
      <c r="O198" s="181"/>
    </row>
    <row r="199" spans="1:18" s="38" customFormat="1" ht="93" thickTop="1" thickBot="1" x14ac:dyDescent="0.25">
      <c r="A199" s="91"/>
      <c r="B199" s="70" t="s">
        <v>342</v>
      </c>
      <c r="C199" s="70" t="s">
        <v>343</v>
      </c>
      <c r="D199" s="70" t="s">
        <v>344</v>
      </c>
      <c r="E199" s="98"/>
      <c r="F199" s="98"/>
      <c r="G199" s="94"/>
      <c r="H199" s="98">
        <v>14948091</v>
      </c>
      <c r="I199" s="106">
        <v>14946979.810000001</v>
      </c>
      <c r="J199" s="94">
        <f t="shared" si="97"/>
        <v>0.99992566341748923</v>
      </c>
      <c r="K199" s="106"/>
      <c r="L199" s="160"/>
      <c r="M199" s="147">
        <f t="shared" si="86"/>
        <v>14946979.810000001</v>
      </c>
      <c r="N199" s="180"/>
      <c r="O199" s="181"/>
    </row>
    <row r="200" spans="1:18" s="38" customFormat="1" ht="62.25" thickTop="1" thickBot="1" x14ac:dyDescent="0.25">
      <c r="A200" s="91"/>
      <c r="B200" s="155" t="s">
        <v>29</v>
      </c>
      <c r="C200" s="8"/>
      <c r="D200" s="155" t="s">
        <v>30</v>
      </c>
      <c r="E200" s="101">
        <f>E201+E202</f>
        <v>7425100</v>
      </c>
      <c r="F200" s="101">
        <f>F201+F202</f>
        <v>7344420.9100000001</v>
      </c>
      <c r="G200" s="100">
        <f t="shared" si="95"/>
        <v>0.98913427563265144</v>
      </c>
      <c r="H200" s="101">
        <f>H201+H202</f>
        <v>4000000</v>
      </c>
      <c r="I200" s="101">
        <f>I201+I202</f>
        <v>3994017</v>
      </c>
      <c r="J200" s="100">
        <f>I200/H200</f>
        <v>0.99850424999999998</v>
      </c>
      <c r="K200" s="110"/>
      <c r="L200" s="110"/>
      <c r="M200" s="156">
        <f>F200+I200</f>
        <v>11338437.91</v>
      </c>
      <c r="N200" s="180"/>
      <c r="O200" s="181"/>
    </row>
    <row r="201" spans="1:18" s="38" customFormat="1" ht="66" customHeight="1" thickTop="1" thickBot="1" x14ac:dyDescent="0.25">
      <c r="A201" s="91"/>
      <c r="B201" s="70" t="s">
        <v>31</v>
      </c>
      <c r="C201" s="70" t="s">
        <v>447</v>
      </c>
      <c r="D201" s="70" t="s">
        <v>32</v>
      </c>
      <c r="E201" s="98">
        <v>7425100</v>
      </c>
      <c r="F201" s="98">
        <v>7344420.9100000001</v>
      </c>
      <c r="G201" s="94">
        <f t="shared" si="95"/>
        <v>0.98913427563265144</v>
      </c>
      <c r="H201" s="98">
        <v>4000000</v>
      </c>
      <c r="I201" s="98">
        <v>3994017</v>
      </c>
      <c r="J201" s="94">
        <f>I201/H201</f>
        <v>0.99850424999999998</v>
      </c>
      <c r="K201" s="110"/>
      <c r="L201" s="110"/>
      <c r="M201" s="147">
        <f t="shared" si="86"/>
        <v>11338437.91</v>
      </c>
      <c r="N201" s="39"/>
      <c r="O201" s="51"/>
    </row>
    <row r="202" spans="1:18" s="38" customFormat="1" ht="138.75" hidden="1" customHeight="1" thickTop="1" thickBot="1" x14ac:dyDescent="0.25">
      <c r="A202" s="92"/>
      <c r="B202" s="128" t="s">
        <v>403</v>
      </c>
      <c r="C202" s="128" t="s">
        <v>447</v>
      </c>
      <c r="D202" s="128" t="s">
        <v>404</v>
      </c>
      <c r="E202" s="136"/>
      <c r="F202" s="136"/>
      <c r="G202" s="73" t="e">
        <f t="shared" si="95"/>
        <v>#DIV/0!</v>
      </c>
      <c r="H202" s="136">
        <v>0</v>
      </c>
      <c r="I202" s="136">
        <v>0</v>
      </c>
      <c r="J202" s="124">
        <v>0</v>
      </c>
      <c r="K202" s="142"/>
      <c r="L202" s="142"/>
      <c r="M202" s="123">
        <f t="shared" si="86"/>
        <v>0</v>
      </c>
      <c r="N202" s="50" t="s">
        <v>389</v>
      </c>
      <c r="O202" s="51"/>
    </row>
    <row r="203" spans="1:18" s="38" customFormat="1" ht="47.25" thickTop="1" thickBot="1" x14ac:dyDescent="0.25">
      <c r="A203" s="92"/>
      <c r="B203" s="155" t="s">
        <v>33</v>
      </c>
      <c r="C203" s="8"/>
      <c r="D203" s="155" t="s">
        <v>34</v>
      </c>
      <c r="E203" s="101">
        <f>SUM(E204:E214)-E212-E205</f>
        <v>26740069.640000001</v>
      </c>
      <c r="F203" s="101">
        <f>SUM(F204:F214)-F212-F205</f>
        <v>19614361.390000001</v>
      </c>
      <c r="G203" s="100">
        <f t="shared" si="95"/>
        <v>0.73351945802935459</v>
      </c>
      <c r="H203" s="101">
        <f>SUM(H204:H214)-H212-H205</f>
        <v>74898915.989999995</v>
      </c>
      <c r="I203" s="101">
        <f>SUM(I204:I214)-I212-I205</f>
        <v>62974580.270000003</v>
      </c>
      <c r="J203" s="100">
        <f>I203/H203</f>
        <v>0.84079428170105897</v>
      </c>
      <c r="K203" s="110"/>
      <c r="L203" s="110"/>
      <c r="M203" s="156">
        <f t="shared" si="86"/>
        <v>82588941.659999996</v>
      </c>
      <c r="N203" s="39"/>
      <c r="O203" s="51"/>
    </row>
    <row r="204" spans="1:18" s="38" customFormat="1" ht="48" thickTop="1" thickBot="1" x14ac:dyDescent="0.25">
      <c r="A204" s="92"/>
      <c r="B204" s="70" t="s">
        <v>362</v>
      </c>
      <c r="C204" s="70" t="s">
        <v>363</v>
      </c>
      <c r="D204" s="70" t="s">
        <v>364</v>
      </c>
      <c r="E204" s="147">
        <v>11165656</v>
      </c>
      <c r="F204" s="147">
        <v>10068590.949999999</v>
      </c>
      <c r="G204" s="94">
        <f t="shared" si="95"/>
        <v>0.90174647597955726</v>
      </c>
      <c r="H204" s="147"/>
      <c r="I204" s="147"/>
      <c r="J204" s="94"/>
      <c r="K204" s="147"/>
      <c r="L204" s="160"/>
      <c r="M204" s="147">
        <f t="shared" si="86"/>
        <v>10068590.949999999</v>
      </c>
      <c r="N204" s="39"/>
      <c r="O204" s="51"/>
    </row>
    <row r="205" spans="1:18" s="38" customFormat="1" ht="74.25" customHeight="1" thickTop="1" thickBot="1" x14ac:dyDescent="0.25">
      <c r="A205" s="92"/>
      <c r="B205" s="71" t="s">
        <v>417</v>
      </c>
      <c r="C205" s="71"/>
      <c r="D205" s="71" t="s">
        <v>419</v>
      </c>
      <c r="E205" s="148">
        <f>E206</f>
        <v>1376675</v>
      </c>
      <c r="F205" s="148">
        <f>F206</f>
        <v>1376675</v>
      </c>
      <c r="G205" s="94">
        <f t="shared" si="95"/>
        <v>1</v>
      </c>
      <c r="H205" s="148">
        <f>H206</f>
        <v>0</v>
      </c>
      <c r="I205" s="148">
        <f>I206</f>
        <v>0</v>
      </c>
      <c r="J205" s="95">
        <v>0</v>
      </c>
      <c r="K205" s="148"/>
      <c r="L205" s="161"/>
      <c r="M205" s="148">
        <f t="shared" si="86"/>
        <v>1376675</v>
      </c>
      <c r="N205" s="180" t="s">
        <v>389</v>
      </c>
      <c r="O205" s="181"/>
    </row>
    <row r="206" spans="1:18" s="38" customFormat="1" ht="48" thickTop="1" thickBot="1" x14ac:dyDescent="0.25">
      <c r="A206" s="92"/>
      <c r="B206" s="70" t="s">
        <v>418</v>
      </c>
      <c r="C206" s="70" t="s">
        <v>334</v>
      </c>
      <c r="D206" s="70" t="s">
        <v>420</v>
      </c>
      <c r="E206" s="147">
        <v>1376675</v>
      </c>
      <c r="F206" s="147">
        <v>1376675</v>
      </c>
      <c r="G206" s="94">
        <f t="shared" si="95"/>
        <v>1</v>
      </c>
      <c r="H206" s="147"/>
      <c r="I206" s="147"/>
      <c r="J206" s="94"/>
      <c r="K206" s="147"/>
      <c r="L206" s="160"/>
      <c r="M206" s="147">
        <f t="shared" si="86"/>
        <v>1376675</v>
      </c>
      <c r="N206" s="39"/>
      <c r="O206" s="51"/>
    </row>
    <row r="207" spans="1:18" s="38" customFormat="1" ht="48" thickTop="1" thickBot="1" x14ac:dyDescent="0.25">
      <c r="A207" s="92"/>
      <c r="B207" s="70" t="s">
        <v>365</v>
      </c>
      <c r="C207" s="70" t="s">
        <v>334</v>
      </c>
      <c r="D207" s="70" t="s">
        <v>366</v>
      </c>
      <c r="E207" s="147">
        <v>985000</v>
      </c>
      <c r="F207" s="147">
        <v>721792.03</v>
      </c>
      <c r="G207" s="94">
        <f t="shared" si="95"/>
        <v>0.73278378680203049</v>
      </c>
      <c r="H207" s="147"/>
      <c r="I207" s="147"/>
      <c r="J207" s="94"/>
      <c r="K207" s="147"/>
      <c r="L207" s="160"/>
      <c r="M207" s="147">
        <f t="shared" si="86"/>
        <v>721792.03</v>
      </c>
      <c r="N207" s="39"/>
      <c r="O207" s="51"/>
    </row>
    <row r="208" spans="1:18" s="38" customFormat="1" ht="62.25" thickTop="1" thickBot="1" x14ac:dyDescent="0.25">
      <c r="A208" s="92"/>
      <c r="B208" s="70" t="s">
        <v>333</v>
      </c>
      <c r="C208" s="70" t="s">
        <v>334</v>
      </c>
      <c r="D208" s="70" t="s">
        <v>335</v>
      </c>
      <c r="E208" s="98">
        <v>9431289.6400000006</v>
      </c>
      <c r="F208" s="98">
        <v>3981022.28</v>
      </c>
      <c r="G208" s="94">
        <f t="shared" si="95"/>
        <v>0.4221079440838803</v>
      </c>
      <c r="H208" s="147">
        <f>6653528.51+7488569.72</f>
        <v>14142098.23</v>
      </c>
      <c r="I208" s="98">
        <v>14108573.59</v>
      </c>
      <c r="J208" s="94">
        <f>I208/H208</f>
        <v>0.99762944370384277</v>
      </c>
      <c r="K208" s="98"/>
      <c r="L208" s="160"/>
      <c r="M208" s="147">
        <f t="shared" si="86"/>
        <v>18089595.870000001</v>
      </c>
      <c r="N208" s="180"/>
      <c r="O208" s="181"/>
      <c r="R208" s="65" t="e">
        <f>M208/(H208+#REF!)*100</f>
        <v>#REF!</v>
      </c>
    </row>
    <row r="209" spans="1:18" s="38" customFormat="1" ht="48" thickTop="1" thickBot="1" x14ac:dyDescent="0.25">
      <c r="A209" s="92"/>
      <c r="B209" s="70" t="s">
        <v>375</v>
      </c>
      <c r="C209" s="70" t="s">
        <v>36</v>
      </c>
      <c r="D209" s="70" t="s">
        <v>376</v>
      </c>
      <c r="E209" s="147"/>
      <c r="F209" s="147"/>
      <c r="G209" s="147"/>
      <c r="H209" s="147">
        <v>10000</v>
      </c>
      <c r="I209" s="147">
        <v>8000</v>
      </c>
      <c r="J209" s="94">
        <f>I209/H209</f>
        <v>0.8</v>
      </c>
      <c r="K209" s="147"/>
      <c r="L209" s="160"/>
      <c r="M209" s="147">
        <f t="shared" si="86"/>
        <v>8000</v>
      </c>
      <c r="N209" s="39"/>
      <c r="O209" s="51"/>
    </row>
    <row r="210" spans="1:18" s="38" customFormat="1" ht="111" customHeight="1" thickTop="1" thickBot="1" x14ac:dyDescent="0.25">
      <c r="A210" s="92"/>
      <c r="B210" s="70" t="s">
        <v>171</v>
      </c>
      <c r="C210" s="70" t="s">
        <v>36</v>
      </c>
      <c r="D210" s="70" t="s">
        <v>550</v>
      </c>
      <c r="E210" s="98"/>
      <c r="F210" s="98"/>
      <c r="G210" s="98"/>
      <c r="H210" s="147">
        <f>998662+25406258.79+18227374</f>
        <v>44632294.789999999</v>
      </c>
      <c r="I210" s="98">
        <v>35526393.609999999</v>
      </c>
      <c r="J210" s="94">
        <f>I210/H210</f>
        <v>0.79597954300032525</v>
      </c>
      <c r="K210" s="98"/>
      <c r="L210" s="160"/>
      <c r="M210" s="147">
        <f t="shared" si="86"/>
        <v>35526393.609999999</v>
      </c>
      <c r="N210" s="39"/>
      <c r="O210" s="51"/>
    </row>
    <row r="211" spans="1:18" s="38" customFormat="1" ht="102" customHeight="1" thickTop="1" thickBot="1" x14ac:dyDescent="0.25">
      <c r="A211" s="92"/>
      <c r="B211" s="70" t="s">
        <v>35</v>
      </c>
      <c r="C211" s="70" t="s">
        <v>36</v>
      </c>
      <c r="D211" s="70" t="s">
        <v>37</v>
      </c>
      <c r="E211" s="147">
        <v>626435</v>
      </c>
      <c r="F211" s="147">
        <v>626434.80000000005</v>
      </c>
      <c r="G211" s="94">
        <f t="shared" ref="G211:G212" si="98">F211/E211</f>
        <v>0.99999968073303702</v>
      </c>
      <c r="H211" s="110"/>
      <c r="I211" s="110"/>
      <c r="J211" s="110"/>
      <c r="K211" s="110"/>
      <c r="L211" s="110"/>
      <c r="M211" s="147">
        <f t="shared" si="86"/>
        <v>626434.80000000005</v>
      </c>
      <c r="N211" s="39"/>
      <c r="O211" s="51"/>
    </row>
    <row r="212" spans="1:18" s="38" customFormat="1" ht="72" customHeight="1" thickTop="1" thickBot="1" x14ac:dyDescent="0.25">
      <c r="A212" s="92"/>
      <c r="B212" s="71" t="s">
        <v>38</v>
      </c>
      <c r="C212" s="71"/>
      <c r="D212" s="71" t="s">
        <v>551</v>
      </c>
      <c r="E212" s="99">
        <f>SUM(E213:E214)</f>
        <v>3155014</v>
      </c>
      <c r="F212" s="99">
        <f>SUM(F213:F214)</f>
        <v>2839846.33</v>
      </c>
      <c r="G212" s="95">
        <f t="shared" si="98"/>
        <v>0.90010577766057454</v>
      </c>
      <c r="H212" s="99">
        <f>SUM(H213:H214)</f>
        <v>16114522.970000001</v>
      </c>
      <c r="I212" s="99">
        <f>SUM(I213:I214)</f>
        <v>13331613.07</v>
      </c>
      <c r="J212" s="95">
        <f>I212/H212</f>
        <v>0.82730423325711389</v>
      </c>
      <c r="K212" s="99"/>
      <c r="L212" s="99"/>
      <c r="M212" s="148">
        <f t="shared" si="86"/>
        <v>16171459.4</v>
      </c>
      <c r="N212" s="39"/>
      <c r="O212" s="51"/>
    </row>
    <row r="213" spans="1:18" s="38" customFormat="1" ht="230.25" thickTop="1" thickBot="1" x14ac:dyDescent="0.25">
      <c r="A213" s="92"/>
      <c r="B213" s="149" t="s">
        <v>39</v>
      </c>
      <c r="C213" s="149" t="s">
        <v>36</v>
      </c>
      <c r="D213" s="111" t="s">
        <v>552</v>
      </c>
      <c r="E213" s="168"/>
      <c r="F213" s="168"/>
      <c r="G213" s="168"/>
      <c r="H213" s="168">
        <f>13437018.97+2677504</f>
        <v>16114522.970000001</v>
      </c>
      <c r="I213" s="168">
        <v>13331613.07</v>
      </c>
      <c r="J213" s="169">
        <f>I213/H213</f>
        <v>0.82730423325711389</v>
      </c>
      <c r="K213" s="168"/>
      <c r="L213" s="162"/>
      <c r="M213" s="168">
        <f>I213+F213</f>
        <v>13331613.07</v>
      </c>
      <c r="N213" s="39"/>
      <c r="O213" s="51"/>
      <c r="R213" s="65"/>
    </row>
    <row r="214" spans="1:18" s="38" customFormat="1" ht="66" customHeight="1" thickTop="1" thickBot="1" x14ac:dyDescent="0.25">
      <c r="A214" s="92"/>
      <c r="B214" s="70" t="s">
        <v>40</v>
      </c>
      <c r="C214" s="70" t="s">
        <v>36</v>
      </c>
      <c r="D214" s="70" t="s">
        <v>41</v>
      </c>
      <c r="E214" s="147">
        <v>3155014</v>
      </c>
      <c r="F214" s="147">
        <v>2839846.33</v>
      </c>
      <c r="G214" s="94">
        <f t="shared" ref="G214" si="99">F214/E214</f>
        <v>0.90010577766057454</v>
      </c>
      <c r="H214" s="147"/>
      <c r="I214" s="147"/>
      <c r="J214" s="94"/>
      <c r="K214" s="147"/>
      <c r="L214" s="160"/>
      <c r="M214" s="147">
        <f>F214+I214</f>
        <v>2839846.33</v>
      </c>
      <c r="N214" s="39"/>
      <c r="O214" s="51"/>
    </row>
    <row r="215" spans="1:18" s="38" customFormat="1" ht="107.45" customHeight="1" thickTop="1" thickBot="1" x14ac:dyDescent="0.25">
      <c r="A215" s="60"/>
      <c r="B215" s="85" t="s">
        <v>42</v>
      </c>
      <c r="C215" s="85"/>
      <c r="D215" s="86" t="s">
        <v>43</v>
      </c>
      <c r="E215" s="87">
        <f>SUM(E216:E229)-E216-E223-E225-E228-E219</f>
        <v>78086477.369999975</v>
      </c>
      <c r="F215" s="87">
        <f>SUM(F216:F229)-F216-F223-F225-F228-F219</f>
        <v>58959678.990000002</v>
      </c>
      <c r="G215" s="88">
        <f>F215/E215</f>
        <v>0.75505620148068953</v>
      </c>
      <c r="H215" s="87">
        <f>SUM(H216:H229)-H216-H223-H225-H228-H219</f>
        <v>109401056.34999999</v>
      </c>
      <c r="I215" s="87">
        <f>SUM(I216:I229)-I216-I223-I225-I228-I219</f>
        <v>104536653.27000003</v>
      </c>
      <c r="J215" s="89">
        <f t="shared" ref="J215:J221" si="100">I215/H215</f>
        <v>0.95553605017818488</v>
      </c>
      <c r="K215" s="87"/>
      <c r="L215" s="87"/>
      <c r="M215" s="90">
        <f>I215+F215</f>
        <v>163496332.26000002</v>
      </c>
      <c r="N215" s="53" t="b">
        <f>M215=M217+M218+M220+M221+M222+M224+M226+M227+M229</f>
        <v>1</v>
      </c>
      <c r="O215" s="51"/>
      <c r="R215" s="65" t="e">
        <f>M215/(H215+#REF!)*100</f>
        <v>#REF!</v>
      </c>
    </row>
    <row r="216" spans="1:18" s="38" customFormat="1" ht="107.45" customHeight="1" thickTop="1" thickBot="1" x14ac:dyDescent="0.25">
      <c r="A216" s="60"/>
      <c r="B216" s="155" t="s">
        <v>345</v>
      </c>
      <c r="C216" s="155"/>
      <c r="D216" s="170" t="s">
        <v>553</v>
      </c>
      <c r="E216" s="156">
        <f>SUM(E217:E218)</f>
        <v>6965289.5199999996</v>
      </c>
      <c r="F216" s="156">
        <f>SUM(F217:F218)</f>
        <v>4739077.8900000006</v>
      </c>
      <c r="G216" s="100">
        <f>F216/E216</f>
        <v>0.68038491097782838</v>
      </c>
      <c r="H216" s="156">
        <f t="shared" ref="H216:I216" si="101">SUM(H217:H218)</f>
        <v>64433</v>
      </c>
      <c r="I216" s="156">
        <f t="shared" si="101"/>
        <v>14779</v>
      </c>
      <c r="J216" s="100">
        <f>I216/H216</f>
        <v>0.22937004330079308</v>
      </c>
      <c r="K216" s="156"/>
      <c r="L216" s="156"/>
      <c r="M216" s="156">
        <f t="shared" ref="M216:M235" si="102">F216+I216</f>
        <v>4753856.8900000006</v>
      </c>
      <c r="N216" s="180"/>
      <c r="O216" s="181"/>
    </row>
    <row r="217" spans="1:18" s="38" customFormat="1" ht="102" customHeight="1" thickTop="1" thickBot="1" x14ac:dyDescent="0.25">
      <c r="A217" s="57"/>
      <c r="B217" s="70" t="s">
        <v>346</v>
      </c>
      <c r="C217" s="70" t="s">
        <v>347</v>
      </c>
      <c r="D217" s="70" t="s">
        <v>348</v>
      </c>
      <c r="E217" s="98">
        <v>4269837.5199999996</v>
      </c>
      <c r="F217" s="98">
        <v>2157203.48</v>
      </c>
      <c r="G217" s="94">
        <f>F217/E217</f>
        <v>0.50521910257606251</v>
      </c>
      <c r="H217" s="147"/>
      <c r="I217" s="147"/>
      <c r="J217" s="94"/>
      <c r="K217" s="98"/>
      <c r="L217" s="160"/>
      <c r="M217" s="147">
        <f t="shared" si="102"/>
        <v>2157203.48</v>
      </c>
      <c r="N217" s="180"/>
      <c r="O217" s="181"/>
    </row>
    <row r="218" spans="1:18" s="38" customFormat="1" ht="66" customHeight="1" thickTop="1" thickBot="1" x14ac:dyDescent="0.25">
      <c r="A218" s="57"/>
      <c r="B218" s="70" t="s">
        <v>349</v>
      </c>
      <c r="C218" s="70" t="s">
        <v>347</v>
      </c>
      <c r="D218" s="70" t="s">
        <v>350</v>
      </c>
      <c r="E218" s="98">
        <v>2695452</v>
      </c>
      <c r="F218" s="98">
        <v>2581874.41</v>
      </c>
      <c r="G218" s="94">
        <f t="shared" ref="G218:G227" si="103">F218/E218</f>
        <v>0.95786324890964492</v>
      </c>
      <c r="H218" s="147">
        <v>64433</v>
      </c>
      <c r="I218" s="147">
        <v>14779</v>
      </c>
      <c r="J218" s="169">
        <f>I218/H218</f>
        <v>0.22937004330079308</v>
      </c>
      <c r="K218" s="98"/>
      <c r="L218" s="160"/>
      <c r="M218" s="147">
        <f>F218+I218</f>
        <v>2596653.41</v>
      </c>
      <c r="N218" s="12"/>
      <c r="O218" s="51"/>
    </row>
    <row r="219" spans="1:18" s="38" customFormat="1" ht="62.25" thickTop="1" thickBot="1" x14ac:dyDescent="0.25">
      <c r="A219" s="57"/>
      <c r="B219" s="155" t="s">
        <v>459</v>
      </c>
      <c r="C219" s="155"/>
      <c r="D219" s="155" t="s">
        <v>460</v>
      </c>
      <c r="E219" s="101">
        <f>SUM(E220:E222)</f>
        <v>50824429.469999999</v>
      </c>
      <c r="F219" s="101">
        <f>SUM(F220:F222)</f>
        <v>42189672.830000006</v>
      </c>
      <c r="G219" s="100">
        <f t="shared" si="103"/>
        <v>0.83010617669408748</v>
      </c>
      <c r="H219" s="101">
        <f t="shared" ref="H219:I219" si="104">SUM(H220:H222)</f>
        <v>103287945.72</v>
      </c>
      <c r="I219" s="101">
        <f t="shared" si="104"/>
        <v>98667234.660000011</v>
      </c>
      <c r="J219" s="100">
        <f t="shared" si="100"/>
        <v>0.95526379164780639</v>
      </c>
      <c r="K219" s="101"/>
      <c r="L219" s="101"/>
      <c r="M219" s="156">
        <f>F219+I219</f>
        <v>140856907.49000001</v>
      </c>
      <c r="N219" s="180"/>
      <c r="O219" s="181"/>
    </row>
    <row r="220" spans="1:18" s="38" customFormat="1" ht="62.25" thickTop="1" thickBot="1" x14ac:dyDescent="0.25">
      <c r="A220" s="57"/>
      <c r="B220" s="70" t="s">
        <v>474</v>
      </c>
      <c r="C220" s="70" t="s">
        <v>462</v>
      </c>
      <c r="D220" s="70" t="s">
        <v>475</v>
      </c>
      <c r="E220" s="98">
        <v>168315.47</v>
      </c>
      <c r="F220" s="98">
        <v>168220.28</v>
      </c>
      <c r="G220" s="94">
        <f t="shared" si="103"/>
        <v>0.99943445483650428</v>
      </c>
      <c r="H220" s="147"/>
      <c r="I220" s="98"/>
      <c r="J220" s="95"/>
      <c r="K220" s="98"/>
      <c r="L220" s="160"/>
      <c r="M220" s="147">
        <f t="shared" ref="M220" si="105">F220+I220</f>
        <v>168220.28</v>
      </c>
      <c r="N220" s="52"/>
      <c r="O220" s="52"/>
    </row>
    <row r="221" spans="1:18" s="38" customFormat="1" ht="74.25" customHeight="1" thickTop="1" thickBot="1" x14ac:dyDescent="0.25">
      <c r="A221" s="57"/>
      <c r="B221" s="70" t="s">
        <v>476</v>
      </c>
      <c r="C221" s="70" t="s">
        <v>462</v>
      </c>
      <c r="D221" s="70" t="s">
        <v>477</v>
      </c>
      <c r="E221" s="98">
        <v>42800000</v>
      </c>
      <c r="F221" s="98">
        <v>34808890.990000002</v>
      </c>
      <c r="G221" s="94">
        <f t="shared" si="103"/>
        <v>0.81329184556074774</v>
      </c>
      <c r="H221" s="147">
        <v>101400000</v>
      </c>
      <c r="I221" s="98">
        <v>97054589.040000007</v>
      </c>
      <c r="J221" s="94">
        <f t="shared" si="100"/>
        <v>0.95714584852071016</v>
      </c>
      <c r="K221" s="98"/>
      <c r="L221" s="160"/>
      <c r="M221" s="147">
        <f>F221+I221</f>
        <v>131863480.03</v>
      </c>
      <c r="N221" s="52"/>
      <c r="O221" s="52"/>
    </row>
    <row r="222" spans="1:18" s="38" customFormat="1" ht="78" customHeight="1" thickTop="1" thickBot="1" x14ac:dyDescent="0.25">
      <c r="A222" s="57"/>
      <c r="B222" s="70" t="s">
        <v>461</v>
      </c>
      <c r="C222" s="70" t="s">
        <v>462</v>
      </c>
      <c r="D222" s="70" t="s">
        <v>463</v>
      </c>
      <c r="E222" s="98">
        <v>7856114</v>
      </c>
      <c r="F222" s="98">
        <v>7212561.5599999996</v>
      </c>
      <c r="G222" s="94">
        <f t="shared" si="103"/>
        <v>0.91808259910688661</v>
      </c>
      <c r="H222" s="147">
        <v>1887945.72</v>
      </c>
      <c r="I222" s="98">
        <v>1612645.62</v>
      </c>
      <c r="J222" s="94">
        <f>I222/H222</f>
        <v>0.85418007674500307</v>
      </c>
      <c r="K222" s="98"/>
      <c r="L222" s="160"/>
      <c r="M222" s="147">
        <f>F222+I222</f>
        <v>8825207.1799999997</v>
      </c>
      <c r="N222" s="12"/>
      <c r="O222" s="51"/>
    </row>
    <row r="223" spans="1:18" s="38" customFormat="1" ht="62.25" thickTop="1" thickBot="1" x14ac:dyDescent="0.25">
      <c r="A223" s="57"/>
      <c r="B223" s="155" t="s">
        <v>367</v>
      </c>
      <c r="C223" s="155"/>
      <c r="D223" s="155" t="s">
        <v>368</v>
      </c>
      <c r="E223" s="101">
        <f>SUM(E224:E224)</f>
        <v>0</v>
      </c>
      <c r="F223" s="101">
        <f>SUM(F224:F224)</f>
        <v>0</v>
      </c>
      <c r="G223" s="100">
        <v>0</v>
      </c>
      <c r="H223" s="101">
        <f>SUM(H224:H224)</f>
        <v>5448677.6299999999</v>
      </c>
      <c r="I223" s="101">
        <f>SUM(I224:I224)</f>
        <v>5254639.6100000003</v>
      </c>
      <c r="J223" s="100">
        <f t="shared" ref="J223:J226" si="106">I223/H223</f>
        <v>0.96438805281273365</v>
      </c>
      <c r="K223" s="101"/>
      <c r="L223" s="101"/>
      <c r="M223" s="156">
        <f t="shared" si="102"/>
        <v>5254639.6100000003</v>
      </c>
      <c r="N223" s="180" t="s">
        <v>389</v>
      </c>
      <c r="O223" s="181"/>
    </row>
    <row r="224" spans="1:18" s="38" customFormat="1" ht="48" thickTop="1" thickBot="1" x14ac:dyDescent="0.25">
      <c r="A224" s="57"/>
      <c r="B224" s="70" t="s">
        <v>465</v>
      </c>
      <c r="C224" s="70" t="s">
        <v>369</v>
      </c>
      <c r="D224" s="70" t="s">
        <v>466</v>
      </c>
      <c r="E224" s="147"/>
      <c r="F224" s="147"/>
      <c r="G224" s="94"/>
      <c r="H224" s="147">
        <v>5448677.6299999999</v>
      </c>
      <c r="I224" s="147">
        <v>5254639.6100000003</v>
      </c>
      <c r="J224" s="94">
        <f t="shared" si="106"/>
        <v>0.96438805281273365</v>
      </c>
      <c r="K224" s="147"/>
      <c r="L224" s="160"/>
      <c r="M224" s="147">
        <f t="shared" si="102"/>
        <v>5254639.6100000003</v>
      </c>
      <c r="N224" s="39"/>
      <c r="O224" s="51"/>
    </row>
    <row r="225" spans="1:16" s="38" customFormat="1" ht="62.25" thickTop="1" thickBot="1" x14ac:dyDescent="0.25">
      <c r="A225" s="57"/>
      <c r="B225" s="155" t="s">
        <v>44</v>
      </c>
      <c r="C225" s="155"/>
      <c r="D225" s="155" t="s">
        <v>554</v>
      </c>
      <c r="E225" s="156">
        <f>SUM(E226)</f>
        <v>11298571</v>
      </c>
      <c r="F225" s="156">
        <f t="shared" ref="F225:I225" si="107">SUM(F226)</f>
        <v>11298571</v>
      </c>
      <c r="G225" s="100">
        <f t="shared" si="103"/>
        <v>1</v>
      </c>
      <c r="H225" s="156">
        <f t="shared" si="107"/>
        <v>600000</v>
      </c>
      <c r="I225" s="156">
        <f t="shared" si="107"/>
        <v>600000</v>
      </c>
      <c r="J225" s="100">
        <f t="shared" si="106"/>
        <v>1</v>
      </c>
      <c r="K225" s="156"/>
      <c r="L225" s="156"/>
      <c r="M225" s="156">
        <f t="shared" si="102"/>
        <v>11898571</v>
      </c>
      <c r="N225" s="180"/>
      <c r="O225" s="181"/>
    </row>
    <row r="226" spans="1:16" s="38" customFormat="1" ht="48" thickTop="1" thickBot="1" x14ac:dyDescent="0.25">
      <c r="A226" s="57"/>
      <c r="B226" s="70" t="s">
        <v>45</v>
      </c>
      <c r="C226" s="70" t="s">
        <v>46</v>
      </c>
      <c r="D226" s="70" t="s">
        <v>555</v>
      </c>
      <c r="E226" s="147">
        <v>11298571</v>
      </c>
      <c r="F226" s="147">
        <v>11298571</v>
      </c>
      <c r="G226" s="94">
        <f t="shared" si="103"/>
        <v>1</v>
      </c>
      <c r="H226" s="147">
        <v>600000</v>
      </c>
      <c r="I226" s="147">
        <v>600000</v>
      </c>
      <c r="J226" s="94">
        <f t="shared" si="106"/>
        <v>1</v>
      </c>
      <c r="K226" s="147"/>
      <c r="L226" s="160"/>
      <c r="M226" s="147">
        <f t="shared" si="102"/>
        <v>11898571</v>
      </c>
      <c r="N226" s="39"/>
      <c r="O226" s="51"/>
    </row>
    <row r="227" spans="1:16" s="38" customFormat="1" ht="62.25" thickTop="1" thickBot="1" x14ac:dyDescent="0.25">
      <c r="A227" s="57"/>
      <c r="B227" s="157">
        <v>8600</v>
      </c>
      <c r="C227" s="155" t="s">
        <v>21</v>
      </c>
      <c r="D227" s="157" t="s">
        <v>377</v>
      </c>
      <c r="E227" s="156">
        <v>773346</v>
      </c>
      <c r="F227" s="156">
        <v>732357.27</v>
      </c>
      <c r="G227" s="100">
        <f t="shared" si="103"/>
        <v>0.94699820002948232</v>
      </c>
      <c r="H227" s="156"/>
      <c r="I227" s="156"/>
      <c r="J227" s="156"/>
      <c r="K227" s="156"/>
      <c r="L227" s="171"/>
      <c r="M227" s="156">
        <f t="shared" si="102"/>
        <v>732357.27</v>
      </c>
      <c r="N227" s="180" t="s">
        <v>389</v>
      </c>
      <c r="O227" s="181"/>
    </row>
    <row r="228" spans="1:16" s="38" customFormat="1" ht="62.25" thickTop="1" thickBot="1" x14ac:dyDescent="0.25">
      <c r="A228" s="57"/>
      <c r="B228" s="157">
        <v>8700</v>
      </c>
      <c r="C228" s="155"/>
      <c r="D228" s="157" t="s">
        <v>378</v>
      </c>
      <c r="E228" s="156">
        <f t="shared" ref="E228:I228" si="108">E229</f>
        <v>8224841.3799999999</v>
      </c>
      <c r="F228" s="156">
        <f t="shared" si="108"/>
        <v>0</v>
      </c>
      <c r="G228" s="100">
        <v>0</v>
      </c>
      <c r="H228" s="156">
        <f t="shared" si="108"/>
        <v>0</v>
      </c>
      <c r="I228" s="156">
        <f t="shared" si="108"/>
        <v>0</v>
      </c>
      <c r="J228" s="100">
        <v>0</v>
      </c>
      <c r="K228" s="156"/>
      <c r="L228" s="156"/>
      <c r="M228" s="156">
        <f t="shared" si="102"/>
        <v>0</v>
      </c>
      <c r="N228" s="180" t="s">
        <v>389</v>
      </c>
      <c r="O228" s="181"/>
    </row>
    <row r="229" spans="1:16" s="38" customFormat="1" ht="62.25" thickTop="1" thickBot="1" x14ac:dyDescent="0.25">
      <c r="A229" s="57"/>
      <c r="B229" s="151">
        <v>8710</v>
      </c>
      <c r="C229" s="70" t="s">
        <v>26</v>
      </c>
      <c r="D229" s="96" t="s">
        <v>379</v>
      </c>
      <c r="E229" s="147">
        <v>8224841.3799999999</v>
      </c>
      <c r="F229" s="147">
        <v>0</v>
      </c>
      <c r="G229" s="94">
        <v>0</v>
      </c>
      <c r="H229" s="147"/>
      <c r="I229" s="147"/>
      <c r="J229" s="94"/>
      <c r="K229" s="147"/>
      <c r="L229" s="160"/>
      <c r="M229" s="147">
        <f t="shared" si="102"/>
        <v>0</v>
      </c>
      <c r="N229" s="180" t="s">
        <v>389</v>
      </c>
      <c r="O229" s="181"/>
    </row>
    <row r="230" spans="1:16" s="38" customFormat="1" ht="86.25" customHeight="1" thickTop="1" thickBot="1" x14ac:dyDescent="0.25">
      <c r="A230" s="60"/>
      <c r="B230" s="85" t="s">
        <v>47</v>
      </c>
      <c r="C230" s="85"/>
      <c r="D230" s="86" t="s">
        <v>48</v>
      </c>
      <c r="E230" s="87">
        <f>SUM(E231:E237)-E231-E233</f>
        <v>287140511.87</v>
      </c>
      <c r="F230" s="87">
        <f>SUM(F231:F237)-F231-F233</f>
        <v>282841188.98999995</v>
      </c>
      <c r="G230" s="88">
        <f>F230/E230</f>
        <v>0.98502711145842592</v>
      </c>
      <c r="H230" s="87">
        <f>SUM(H231:H237)-H231-H233</f>
        <v>171106755.56</v>
      </c>
      <c r="I230" s="87">
        <f>SUM(I231:I237)-I231-I233</f>
        <v>168820702.55000001</v>
      </c>
      <c r="J230" s="89">
        <f t="shared" ref="J230" si="109">I230/H230</f>
        <v>0.98663960985924737</v>
      </c>
      <c r="K230" s="87"/>
      <c r="L230" s="87"/>
      <c r="M230" s="90">
        <f>I230+F230</f>
        <v>451661891.53999996</v>
      </c>
      <c r="N230" s="53" t="b">
        <f>M230=M232+M234+M235+M236</f>
        <v>1</v>
      </c>
      <c r="O230" s="180"/>
      <c r="P230" s="181"/>
    </row>
    <row r="231" spans="1:16" s="38" customFormat="1" ht="62.25" thickTop="1" thickBot="1" x14ac:dyDescent="0.25">
      <c r="A231" s="60"/>
      <c r="B231" s="155" t="s">
        <v>380</v>
      </c>
      <c r="C231" s="155"/>
      <c r="D231" s="155" t="s">
        <v>381</v>
      </c>
      <c r="E231" s="156">
        <f t="shared" ref="E231:I231" si="110">E232</f>
        <v>166190800</v>
      </c>
      <c r="F231" s="156">
        <f t="shared" si="110"/>
        <v>166190800</v>
      </c>
      <c r="G231" s="100">
        <f>F231/E231</f>
        <v>1</v>
      </c>
      <c r="H231" s="156">
        <f t="shared" si="110"/>
        <v>0</v>
      </c>
      <c r="I231" s="156">
        <f t="shared" si="110"/>
        <v>0</v>
      </c>
      <c r="J231" s="100">
        <v>0</v>
      </c>
      <c r="K231" s="156"/>
      <c r="L231" s="156"/>
      <c r="M231" s="156">
        <f t="shared" si="102"/>
        <v>166190800</v>
      </c>
      <c r="N231" s="180" t="s">
        <v>389</v>
      </c>
      <c r="O231" s="181"/>
    </row>
    <row r="232" spans="1:16" s="38" customFormat="1" ht="69" customHeight="1" thickTop="1" thickBot="1" x14ac:dyDescent="0.25">
      <c r="A232" s="57"/>
      <c r="B232" s="151">
        <v>9110</v>
      </c>
      <c r="C232" s="70" t="s">
        <v>25</v>
      </c>
      <c r="D232" s="96" t="s">
        <v>382</v>
      </c>
      <c r="E232" s="147">
        <v>166190800</v>
      </c>
      <c r="F232" s="147">
        <v>166190800</v>
      </c>
      <c r="G232" s="94">
        <f>F232/E232</f>
        <v>1</v>
      </c>
      <c r="H232" s="147"/>
      <c r="I232" s="147"/>
      <c r="J232" s="147"/>
      <c r="K232" s="147"/>
      <c r="L232" s="160"/>
      <c r="M232" s="147">
        <f t="shared" si="102"/>
        <v>166190800</v>
      </c>
      <c r="N232" s="12"/>
    </row>
    <row r="233" spans="1:16" s="38" customFormat="1" ht="136.5" customHeight="1" thickTop="1" thickBot="1" x14ac:dyDescent="0.25">
      <c r="A233" s="60"/>
      <c r="B233" s="155" t="s">
        <v>49</v>
      </c>
      <c r="C233" s="155"/>
      <c r="D233" s="155" t="s">
        <v>50</v>
      </c>
      <c r="E233" s="156">
        <f>SUM(E234:E235)</f>
        <v>3159600</v>
      </c>
      <c r="F233" s="156">
        <f t="shared" ref="F233" si="111">SUM(F234:F235)</f>
        <v>2504124.33</v>
      </c>
      <c r="G233" s="100">
        <f t="shared" ref="G233:G237" si="112">F233/E233</f>
        <v>0.79254473034561335</v>
      </c>
      <c r="H233" s="156">
        <f t="shared" ref="H233:I233" si="113">SUM(H234:H235)</f>
        <v>800000</v>
      </c>
      <c r="I233" s="156">
        <f t="shared" si="113"/>
        <v>800000</v>
      </c>
      <c r="J233" s="100">
        <f t="shared" ref="J233" si="114">I233/H233</f>
        <v>1</v>
      </c>
      <c r="K233" s="156"/>
      <c r="L233" s="156"/>
      <c r="M233" s="156">
        <f t="shared" si="102"/>
        <v>3304124.33</v>
      </c>
      <c r="N233" s="180"/>
      <c r="O233" s="181"/>
    </row>
    <row r="234" spans="1:16" s="38" customFormat="1" ht="138.75" thickTop="1" thickBot="1" x14ac:dyDescent="0.25">
      <c r="A234" s="57"/>
      <c r="B234" s="70" t="s">
        <v>51</v>
      </c>
      <c r="C234" s="70" t="s">
        <v>25</v>
      </c>
      <c r="D234" s="70" t="s">
        <v>52</v>
      </c>
      <c r="E234" s="147">
        <v>1359600</v>
      </c>
      <c r="F234" s="147">
        <v>1204124.33</v>
      </c>
      <c r="G234" s="94">
        <f>F234/E234</f>
        <v>0.88564602088849664</v>
      </c>
      <c r="H234" s="147"/>
      <c r="I234" s="147"/>
      <c r="J234" s="147"/>
      <c r="K234" s="147"/>
      <c r="L234" s="160"/>
      <c r="M234" s="147">
        <f t="shared" si="102"/>
        <v>1204124.33</v>
      </c>
      <c r="N234" s="39"/>
      <c r="O234" s="51"/>
    </row>
    <row r="235" spans="1:16" s="38" customFormat="1" ht="60.75" thickTop="1" thickBot="1" x14ac:dyDescent="0.8">
      <c r="A235" s="57"/>
      <c r="B235" s="70" t="s">
        <v>53</v>
      </c>
      <c r="C235" s="70" t="s">
        <v>25</v>
      </c>
      <c r="D235" s="70" t="s">
        <v>54</v>
      </c>
      <c r="E235" s="147">
        <v>1800000</v>
      </c>
      <c r="F235" s="147">
        <v>1300000</v>
      </c>
      <c r="G235" s="94">
        <f>F235/E235</f>
        <v>0.72222222222222221</v>
      </c>
      <c r="H235" s="147">
        <v>800000</v>
      </c>
      <c r="I235" s="147">
        <v>800000</v>
      </c>
      <c r="J235" s="94">
        <f t="shared" ref="J235" si="115">I235/H235</f>
        <v>1</v>
      </c>
      <c r="K235" s="147"/>
      <c r="L235" s="160"/>
      <c r="M235" s="147">
        <f t="shared" si="102"/>
        <v>2100000</v>
      </c>
      <c r="N235" s="54"/>
      <c r="O235" s="51"/>
    </row>
    <row r="236" spans="1:16" s="38" customFormat="1" ht="91.5" thickTop="1" thickBot="1" x14ac:dyDescent="0.25">
      <c r="A236" s="57"/>
      <c r="B236" s="155" t="s">
        <v>55</v>
      </c>
      <c r="C236" s="155" t="s">
        <v>25</v>
      </c>
      <c r="D236" s="155" t="s">
        <v>56</v>
      </c>
      <c r="E236" s="158">
        <v>117790111.87</v>
      </c>
      <c r="F236" s="158">
        <v>114146264.66</v>
      </c>
      <c r="G236" s="102">
        <f t="shared" si="112"/>
        <v>0.96906491426019215</v>
      </c>
      <c r="H236" s="158">
        <v>170306755.56</v>
      </c>
      <c r="I236" s="158">
        <v>168020702.55000001</v>
      </c>
      <c r="J236" s="100">
        <f t="shared" ref="J236" si="116">I236/H236</f>
        <v>0.98657685068050871</v>
      </c>
      <c r="K236" s="156"/>
      <c r="L236" s="156"/>
      <c r="M236" s="158">
        <f t="shared" ref="M236:M237" si="117">F236+I236</f>
        <v>282166967.21000004</v>
      </c>
      <c r="N236" s="39"/>
      <c r="O236" s="51"/>
    </row>
    <row r="237" spans="1:16" s="38" customFormat="1" ht="367.5" hidden="1" customHeight="1" thickTop="1" thickBot="1" x14ac:dyDescent="0.25">
      <c r="A237" s="57"/>
      <c r="B237" s="74" t="s">
        <v>484</v>
      </c>
      <c r="C237" s="74" t="s">
        <v>25</v>
      </c>
      <c r="D237" s="74" t="s">
        <v>483</v>
      </c>
      <c r="E237" s="75">
        <v>0</v>
      </c>
      <c r="F237" s="75">
        <v>0</v>
      </c>
      <c r="G237" s="73" t="e">
        <f t="shared" si="112"/>
        <v>#DIV/0!</v>
      </c>
      <c r="H237" s="75"/>
      <c r="I237" s="75"/>
      <c r="J237" s="73"/>
      <c r="K237" s="75"/>
      <c r="L237" s="76"/>
      <c r="M237" s="75">
        <f t="shared" si="117"/>
        <v>0</v>
      </c>
      <c r="N237" s="39"/>
      <c r="O237" s="51"/>
    </row>
    <row r="238" spans="1:16" s="38" customFormat="1" ht="71.45" customHeight="1" thickTop="1" thickBot="1" x14ac:dyDescent="0.25">
      <c r="A238" s="60"/>
      <c r="B238" s="63" t="s">
        <v>383</v>
      </c>
      <c r="C238" s="63" t="s">
        <v>383</v>
      </c>
      <c r="D238" s="64" t="s">
        <v>390</v>
      </c>
      <c r="E238" s="65">
        <f>E14+E19+E68+E84+E138+E148+E165+E181+E215+E230</f>
        <v>4654601355.1599998</v>
      </c>
      <c r="F238" s="65">
        <f>F14+F19+F68+F84+F138+F148+F165+F181+F215+F230</f>
        <v>4526946953.8800001</v>
      </c>
      <c r="G238" s="66">
        <f>F238/E238</f>
        <v>0.97257457910149825</v>
      </c>
      <c r="H238" s="65">
        <f>H14+H19+H68+H84+H138+H148+H165+H181+H215+H230</f>
        <v>1367875840.2399993</v>
      </c>
      <c r="I238" s="65">
        <f>I14+I19+I68+I84+I138+I148+I165+I181+I215+I230</f>
        <v>1319014330.6100001</v>
      </c>
      <c r="J238" s="66">
        <f>I238/H238</f>
        <v>0.96427928018567366</v>
      </c>
      <c r="K238" s="65" t="e">
        <f>#REF!+#REF!+#REF!+#REF!+#REF!+#REF!++K156+K166+K226+K185+K207+K218+K175+#REF!+#REF!</f>
        <v>#REF!</v>
      </c>
      <c r="L238" s="65" t="e">
        <f>#REF!+#REF!+#REF!+#REF!+#REF!+#REF!++L156+L166+L226+L185+L207+L218+L175+#REF!+#REF!</f>
        <v>#REF!</v>
      </c>
      <c r="M238" s="65">
        <f>M14+M19+M68+M84+M138+M148+M165+M181+M215+M230</f>
        <v>5845961284.4899998</v>
      </c>
      <c r="N238" s="53" t="b">
        <f>M238=I238+F238</f>
        <v>1</v>
      </c>
      <c r="O238" s="51"/>
    </row>
    <row r="239" spans="1:16" s="38" customFormat="1" ht="62.25" thickTop="1" thickBot="1" x14ac:dyDescent="0.25">
      <c r="A239" s="57"/>
      <c r="B239" s="8" t="s">
        <v>42</v>
      </c>
      <c r="C239" s="177"/>
      <c r="D239" s="114" t="s">
        <v>395</v>
      </c>
      <c r="E239" s="174">
        <f>E240</f>
        <v>0</v>
      </c>
      <c r="F239" s="174">
        <f t="shared" ref="F239" si="118">F240</f>
        <v>0</v>
      </c>
      <c r="G239" s="102">
        <v>0</v>
      </c>
      <c r="H239" s="174">
        <f>H240</f>
        <v>0</v>
      </c>
      <c r="I239" s="174">
        <f>I240</f>
        <v>-691200.28</v>
      </c>
      <c r="J239" s="102"/>
      <c r="K239" s="174"/>
      <c r="L239" s="174"/>
      <c r="M239" s="158">
        <f t="shared" ref="M239:M246" si="119">F239+I239</f>
        <v>-691200.28</v>
      </c>
      <c r="N239" s="180" t="s">
        <v>389</v>
      </c>
      <c r="O239" s="181"/>
    </row>
    <row r="240" spans="1:16" s="38" customFormat="1" ht="62.25" thickTop="1" thickBot="1" x14ac:dyDescent="0.25">
      <c r="A240" s="57"/>
      <c r="B240" s="155" t="s">
        <v>393</v>
      </c>
      <c r="C240" s="177"/>
      <c r="D240" s="113" t="s">
        <v>396</v>
      </c>
      <c r="E240" s="171">
        <f>E241+E246+E244</f>
        <v>0</v>
      </c>
      <c r="F240" s="171">
        <f t="shared" ref="F240" si="120">F241+F246+F244</f>
        <v>0</v>
      </c>
      <c r="G240" s="100">
        <v>0</v>
      </c>
      <c r="H240" s="171">
        <f>H241+H246+H244</f>
        <v>0</v>
      </c>
      <c r="I240" s="171">
        <f>I241+I246+I244</f>
        <v>-691200.28</v>
      </c>
      <c r="J240" s="100"/>
      <c r="K240" s="171"/>
      <c r="L240" s="171"/>
      <c r="M240" s="156">
        <f t="shared" si="119"/>
        <v>-691200.28</v>
      </c>
      <c r="N240" s="180" t="s">
        <v>389</v>
      </c>
      <c r="O240" s="181"/>
    </row>
    <row r="241" spans="1:26" s="38" customFormat="1" ht="138.75" thickTop="1" thickBot="1" x14ac:dyDescent="0.25">
      <c r="A241" s="60"/>
      <c r="B241" s="71" t="s">
        <v>394</v>
      </c>
      <c r="C241" s="177"/>
      <c r="D241" s="112" t="s">
        <v>397</v>
      </c>
      <c r="E241" s="161">
        <f>E242+E243</f>
        <v>0</v>
      </c>
      <c r="F241" s="161">
        <f>F242+F243</f>
        <v>0</v>
      </c>
      <c r="G241" s="95">
        <v>0</v>
      </c>
      <c r="H241" s="161">
        <f>H242+H243</f>
        <v>0</v>
      </c>
      <c r="I241" s="161">
        <f>I242+I243</f>
        <v>-622049.04</v>
      </c>
      <c r="J241" s="94"/>
      <c r="K241" s="161"/>
      <c r="L241" s="161"/>
      <c r="M241" s="148">
        <f t="shared" si="119"/>
        <v>-622049.04</v>
      </c>
      <c r="N241" s="180" t="s">
        <v>389</v>
      </c>
      <c r="O241" s="181"/>
    </row>
    <row r="242" spans="1:26" s="38" customFormat="1" ht="184.5" hidden="1" customHeight="1" thickTop="1" thickBot="1" x14ac:dyDescent="0.25">
      <c r="A242" s="60"/>
      <c r="B242" s="144" t="s">
        <v>391</v>
      </c>
      <c r="C242" s="144" t="s">
        <v>79</v>
      </c>
      <c r="D242" s="145" t="s">
        <v>398</v>
      </c>
      <c r="E242" s="76">
        <v>0</v>
      </c>
      <c r="F242" s="76">
        <v>0</v>
      </c>
      <c r="G242" s="73">
        <v>0</v>
      </c>
      <c r="H242" s="76">
        <v>0</v>
      </c>
      <c r="I242" s="76">
        <v>0</v>
      </c>
      <c r="J242" s="73" t="e">
        <f>I242/H242</f>
        <v>#DIV/0!</v>
      </c>
      <c r="K242" s="143"/>
      <c r="L242" s="143"/>
      <c r="M242" s="75">
        <f>F242+I242</f>
        <v>0</v>
      </c>
      <c r="N242" s="180" t="s">
        <v>389</v>
      </c>
      <c r="O242" s="181"/>
    </row>
    <row r="243" spans="1:26" s="38" customFormat="1" ht="138.75" thickTop="1" thickBot="1" x14ac:dyDescent="1.2">
      <c r="A243" s="57"/>
      <c r="B243" s="172" t="s">
        <v>392</v>
      </c>
      <c r="C243" s="172" t="s">
        <v>79</v>
      </c>
      <c r="D243" s="173" t="s">
        <v>399</v>
      </c>
      <c r="E243" s="174"/>
      <c r="F243" s="174"/>
      <c r="G243" s="100"/>
      <c r="H243" s="160">
        <v>0</v>
      </c>
      <c r="I243" s="160">
        <v>-622049.04</v>
      </c>
      <c r="J243" s="94"/>
      <c r="K243" s="174"/>
      <c r="L243" s="174"/>
      <c r="M243" s="147">
        <f t="shared" si="119"/>
        <v>-622049.04</v>
      </c>
      <c r="N243" s="180" t="s">
        <v>389</v>
      </c>
      <c r="O243" s="181"/>
      <c r="Z243" s="56"/>
    </row>
    <row r="244" spans="1:26" s="38" customFormat="1" ht="93" thickTop="1" thickBot="1" x14ac:dyDescent="1.2">
      <c r="A244" s="60"/>
      <c r="B244" s="175" t="s">
        <v>493</v>
      </c>
      <c r="C244" s="175"/>
      <c r="D244" s="176" t="s">
        <v>492</v>
      </c>
      <c r="E244" s="161">
        <f>E245</f>
        <v>0</v>
      </c>
      <c r="F244" s="161">
        <f>F245</f>
        <v>0</v>
      </c>
      <c r="G244" s="95">
        <v>0</v>
      </c>
      <c r="H244" s="161">
        <f>H245</f>
        <v>0</v>
      </c>
      <c r="I244" s="161">
        <f>I245</f>
        <v>-69151.240000000005</v>
      </c>
      <c r="J244" s="95"/>
      <c r="K244" s="161"/>
      <c r="L244" s="161"/>
      <c r="M244" s="148">
        <f t="shared" ref="M244" si="121">F244+I244</f>
        <v>-69151.240000000005</v>
      </c>
      <c r="N244" s="180" t="s">
        <v>389</v>
      </c>
      <c r="O244" s="181"/>
      <c r="Z244" s="56"/>
    </row>
    <row r="245" spans="1:26" s="38" customFormat="1" ht="93" thickTop="1" thickBot="1" x14ac:dyDescent="1.2">
      <c r="A245" s="60"/>
      <c r="B245" s="172" t="s">
        <v>494</v>
      </c>
      <c r="C245" s="172" t="s">
        <v>79</v>
      </c>
      <c r="D245" s="173" t="s">
        <v>495</v>
      </c>
      <c r="E245" s="160"/>
      <c r="F245" s="160"/>
      <c r="G245" s="94"/>
      <c r="H245" s="160">
        <v>0</v>
      </c>
      <c r="I245" s="160">
        <v>-69151.240000000005</v>
      </c>
      <c r="J245" s="94"/>
      <c r="K245" s="174"/>
      <c r="L245" s="174"/>
      <c r="M245" s="147">
        <f>F245+I245</f>
        <v>-69151.240000000005</v>
      </c>
      <c r="N245" s="180" t="s">
        <v>389</v>
      </c>
      <c r="O245" s="181"/>
      <c r="Z245" s="56"/>
    </row>
    <row r="246" spans="1:26" s="38" customFormat="1" ht="93" thickTop="1" thickBot="1" x14ac:dyDescent="1.2">
      <c r="A246" s="57"/>
      <c r="B246" s="175" t="s">
        <v>491</v>
      </c>
      <c r="C246" s="177"/>
      <c r="D246" s="112" t="s">
        <v>488</v>
      </c>
      <c r="E246" s="161">
        <f>SUM(E247:E248)</f>
        <v>0</v>
      </c>
      <c r="F246" s="161">
        <f>SUM(F247:F248)</f>
        <v>0</v>
      </c>
      <c r="G246" s="95">
        <v>0</v>
      </c>
      <c r="H246" s="161">
        <f>SUM(H247:H248)</f>
        <v>0</v>
      </c>
      <c r="I246" s="161">
        <f>SUM(I247:I248)</f>
        <v>0</v>
      </c>
      <c r="J246" s="95">
        <v>0</v>
      </c>
      <c r="K246" s="161"/>
      <c r="L246" s="161"/>
      <c r="M246" s="148">
        <f t="shared" si="119"/>
        <v>0</v>
      </c>
      <c r="N246" s="180" t="s">
        <v>389</v>
      </c>
      <c r="O246" s="181"/>
      <c r="Z246" s="56"/>
    </row>
    <row r="247" spans="1:26" s="38" customFormat="1" ht="93" thickTop="1" thickBot="1" x14ac:dyDescent="1.2">
      <c r="A247" s="60"/>
      <c r="B247" s="172" t="s">
        <v>490</v>
      </c>
      <c r="C247" s="172" t="s">
        <v>36</v>
      </c>
      <c r="D247" s="173" t="s">
        <v>489</v>
      </c>
      <c r="E247" s="174"/>
      <c r="F247" s="174"/>
      <c r="G247" s="100"/>
      <c r="H247" s="160">
        <v>68876235</v>
      </c>
      <c r="I247" s="160">
        <v>0</v>
      </c>
      <c r="J247" s="94">
        <f>I247/H247</f>
        <v>0</v>
      </c>
      <c r="K247" s="174"/>
      <c r="L247" s="174"/>
      <c r="M247" s="147">
        <f>F247+I247</f>
        <v>0</v>
      </c>
      <c r="N247" s="72"/>
      <c r="O247" s="51"/>
      <c r="Z247" s="56"/>
    </row>
    <row r="248" spans="1:26" s="38" customFormat="1" ht="93" thickTop="1" thickBot="1" x14ac:dyDescent="1.2">
      <c r="A248" s="57"/>
      <c r="B248" s="172" t="s">
        <v>506</v>
      </c>
      <c r="C248" s="172" t="s">
        <v>36</v>
      </c>
      <c r="D248" s="173" t="s">
        <v>507</v>
      </c>
      <c r="E248" s="174"/>
      <c r="F248" s="174"/>
      <c r="G248" s="100"/>
      <c r="H248" s="160">
        <v>-68876235</v>
      </c>
      <c r="I248" s="160">
        <v>0</v>
      </c>
      <c r="J248" s="94">
        <f>I248/H248</f>
        <v>0</v>
      </c>
      <c r="K248" s="174"/>
      <c r="L248" s="174"/>
      <c r="M248" s="147">
        <f>F248+I248</f>
        <v>0</v>
      </c>
      <c r="N248" s="72"/>
      <c r="O248" s="51"/>
      <c r="Z248" s="56"/>
    </row>
    <row r="249" spans="1:26" s="38" customFormat="1" ht="119.25" customHeight="1" thickTop="1" thickBot="1" x14ac:dyDescent="0.25">
      <c r="A249" s="60"/>
      <c r="B249" s="63" t="s">
        <v>383</v>
      </c>
      <c r="C249" s="63" t="s">
        <v>383</v>
      </c>
      <c r="D249" s="64" t="s">
        <v>384</v>
      </c>
      <c r="E249" s="65">
        <f>E238+E239</f>
        <v>4654601355.1599998</v>
      </c>
      <c r="F249" s="65">
        <f>F238+F239</f>
        <v>4526946953.8800001</v>
      </c>
      <c r="G249" s="66">
        <f>F249/E249</f>
        <v>0.97257457910149825</v>
      </c>
      <c r="H249" s="65">
        <f>H238+H239</f>
        <v>1367875840.2399993</v>
      </c>
      <c r="I249" s="65">
        <f>I238+I239</f>
        <v>1318323130.3300002</v>
      </c>
      <c r="J249" s="66">
        <f>I249/H249</f>
        <v>0.96377397096120587</v>
      </c>
      <c r="K249" s="65" t="e">
        <f>#REF!+#REF!+#REF!+#REF!+#REF!+#REF!++K163+K173+K232+K199+K213+#REF!+K184+#REF!+#REF!</f>
        <v>#REF!</v>
      </c>
      <c r="L249" s="65" t="e">
        <f>#REF!+#REF!+#REF!+#REF!+#REF!+#REF!++L163+L173+L232+L199+L213+#REF!+L184+#REF!+#REF!</f>
        <v>#REF!</v>
      </c>
      <c r="M249" s="65">
        <f>M238+M239</f>
        <v>5845270084.21</v>
      </c>
      <c r="N249" s="53" t="b">
        <f>M249=I249+F249</f>
        <v>1</v>
      </c>
      <c r="O249" s="51"/>
    </row>
    <row r="250" spans="1:26" ht="46.5" thickTop="1" x14ac:dyDescent="0.2">
      <c r="A250" s="194" t="s">
        <v>473</v>
      </c>
      <c r="B250" s="194"/>
      <c r="C250" s="194"/>
      <c r="D250" s="194"/>
      <c r="E250" s="194"/>
      <c r="F250" s="194"/>
      <c r="G250" s="194"/>
      <c r="H250" s="194"/>
      <c r="I250" s="194"/>
      <c r="J250" s="194"/>
      <c r="K250" s="194"/>
      <c r="L250" s="194"/>
      <c r="M250" s="194"/>
      <c r="N250" s="40"/>
    </row>
    <row r="251" spans="1:26" ht="45.75" x14ac:dyDescent="0.65">
      <c r="A251" s="41"/>
      <c r="B251" s="42"/>
      <c r="C251" s="42"/>
      <c r="D251" s="43" t="s">
        <v>580</v>
      </c>
      <c r="E251"/>
      <c r="F251" s="43"/>
      <c r="G251" s="45"/>
      <c r="H251" s="43" t="s">
        <v>581</v>
      </c>
      <c r="I251" s="45"/>
      <c r="J251" s="45"/>
      <c r="K251" s="45"/>
      <c r="L251" s="45"/>
      <c r="M251" s="45"/>
      <c r="N251" s="40"/>
    </row>
    <row r="252" spans="1:26" ht="45.75" x14ac:dyDescent="0.65">
      <c r="A252" s="61"/>
      <c r="B252" s="62"/>
      <c r="C252" s="62"/>
      <c r="D252" s="195"/>
      <c r="E252" s="195"/>
      <c r="F252" s="195"/>
      <c r="G252" s="195"/>
      <c r="H252" s="195"/>
      <c r="I252" s="195"/>
      <c r="J252" s="195"/>
      <c r="K252" s="195"/>
      <c r="L252" s="195"/>
      <c r="M252" s="195"/>
      <c r="N252" s="40"/>
    </row>
    <row r="253" spans="1:26" ht="45.75" x14ac:dyDescent="0.65">
      <c r="A253" s="41"/>
      <c r="B253" s="42"/>
      <c r="C253" s="42"/>
      <c r="D253" s="43" t="s">
        <v>499</v>
      </c>
      <c r="E253" s="44"/>
      <c r="F253" s="43"/>
      <c r="G253" s="45"/>
      <c r="H253" s="43" t="s">
        <v>500</v>
      </c>
      <c r="I253" s="45"/>
      <c r="J253" s="45"/>
      <c r="K253" s="45"/>
      <c r="L253" s="45"/>
      <c r="M253" s="45"/>
      <c r="N253" s="40"/>
    </row>
    <row r="254" spans="1:26" ht="45.75" x14ac:dyDescent="0.65">
      <c r="A254" s="2"/>
      <c r="B254" s="2"/>
      <c r="C254" s="2"/>
      <c r="D254" s="191"/>
      <c r="E254" s="191"/>
      <c r="F254" s="191"/>
      <c r="G254" s="191"/>
      <c r="H254" s="191"/>
      <c r="I254" s="191"/>
      <c r="J254" s="191"/>
      <c r="K254" s="191"/>
      <c r="L254" s="191"/>
      <c r="M254" s="191"/>
      <c r="N254" s="46"/>
    </row>
    <row r="271" spans="5:9" ht="47.25" hidden="1" thickTop="1" thickBot="1" x14ac:dyDescent="0.25">
      <c r="E271" s="55">
        <f>E238-E230-E228</f>
        <v>4359236001.9099998</v>
      </c>
      <c r="H271" s="55">
        <f>H238-H230-H228</f>
        <v>1196769084.6799994</v>
      </c>
      <c r="I271" s="82"/>
    </row>
    <row r="279" spans="8:8" ht="45.75" x14ac:dyDescent="0.2">
      <c r="H279" s="82"/>
    </row>
    <row r="281" spans="8:8" ht="183" customHeight="1" x14ac:dyDescent="0.2"/>
    <row r="282" spans="8:8" ht="228" customHeight="1" x14ac:dyDescent="0.2"/>
    <row r="283" spans="8:8" ht="294" customHeight="1" x14ac:dyDescent="0.2"/>
    <row r="284" spans="8:8" ht="258" customHeight="1" x14ac:dyDescent="0.2"/>
    <row r="285" spans="8:8" ht="180" customHeight="1" x14ac:dyDescent="0.2"/>
    <row r="286" spans="8:8" ht="249" customHeight="1" x14ac:dyDescent="0.2"/>
  </sheetData>
  <mergeCells count="105">
    <mergeCell ref="B129:B131"/>
    <mergeCell ref="E129:E131"/>
    <mergeCell ref="F129:F131"/>
    <mergeCell ref="G129:G131"/>
    <mergeCell ref="H129:H131"/>
    <mergeCell ref="I129:I131"/>
    <mergeCell ref="J129:J131"/>
    <mergeCell ref="B119:B122"/>
    <mergeCell ref="C119:C122"/>
    <mergeCell ref="B123:B125"/>
    <mergeCell ref="C123:C125"/>
    <mergeCell ref="J2:M2"/>
    <mergeCell ref="I3:M3"/>
    <mergeCell ref="A8:B8"/>
    <mergeCell ref="A4:M4"/>
    <mergeCell ref="M10:M12"/>
    <mergeCell ref="G11:G12"/>
    <mergeCell ref="H11:H12"/>
    <mergeCell ref="I11:I12"/>
    <mergeCell ref="E10:G10"/>
    <mergeCell ref="A10:A12"/>
    <mergeCell ref="B10:B12"/>
    <mergeCell ref="C10:C12"/>
    <mergeCell ref="D10:D12"/>
    <mergeCell ref="L11:L12"/>
    <mergeCell ref="H10:L10"/>
    <mergeCell ref="A5:M5"/>
    <mergeCell ref="A7:B7"/>
    <mergeCell ref="I116:I118"/>
    <mergeCell ref="M116:M118"/>
    <mergeCell ref="D254:M254"/>
    <mergeCell ref="E11:E12"/>
    <mergeCell ref="F11:F12"/>
    <mergeCell ref="J11:J12"/>
    <mergeCell ref="A250:M250"/>
    <mergeCell ref="D252:M252"/>
    <mergeCell ref="B126:B128"/>
    <mergeCell ref="C126:C128"/>
    <mergeCell ref="J116:J118"/>
    <mergeCell ref="E116:E118"/>
    <mergeCell ref="M119:M122"/>
    <mergeCell ref="E123:E125"/>
    <mergeCell ref="F123:F125"/>
    <mergeCell ref="E126:E128"/>
    <mergeCell ref="E119:E122"/>
    <mergeCell ref="B116:B118"/>
    <mergeCell ref="C116:C118"/>
    <mergeCell ref="G116:G118"/>
    <mergeCell ref="G119:G122"/>
    <mergeCell ref="G123:G125"/>
    <mergeCell ref="G126:G128"/>
    <mergeCell ref="C129:C131"/>
    <mergeCell ref="M123:M125"/>
    <mergeCell ref="F116:F118"/>
    <mergeCell ref="J126:J128"/>
    <mergeCell ref="M126:M128"/>
    <mergeCell ref="F126:F128"/>
    <mergeCell ref="F119:F122"/>
    <mergeCell ref="M129:M131"/>
    <mergeCell ref="N227:O227"/>
    <mergeCell ref="N208:O208"/>
    <mergeCell ref="N216:O216"/>
    <mergeCell ref="N182:O182"/>
    <mergeCell ref="N183:O183"/>
    <mergeCell ref="J123:J125"/>
    <mergeCell ref="J119:J122"/>
    <mergeCell ref="H123:H125"/>
    <mergeCell ref="I123:I125"/>
    <mergeCell ref="H119:H122"/>
    <mergeCell ref="I119:I122"/>
    <mergeCell ref="H126:H128"/>
    <mergeCell ref="I126:I128"/>
    <mergeCell ref="N184:O184"/>
    <mergeCell ref="N191:O191"/>
    <mergeCell ref="N205:O205"/>
    <mergeCell ref="H116:H118"/>
    <mergeCell ref="N246:O246"/>
    <mergeCell ref="N242:O242"/>
    <mergeCell ref="N241:O241"/>
    <mergeCell ref="N240:O240"/>
    <mergeCell ref="N239:O239"/>
    <mergeCell ref="N217:O217"/>
    <mergeCell ref="N229:O229"/>
    <mergeCell ref="N228:O228"/>
    <mergeCell ref="N219:O219"/>
    <mergeCell ref="N244:O244"/>
    <mergeCell ref="N233:O233"/>
    <mergeCell ref="O230:P230"/>
    <mergeCell ref="N243:O243"/>
    <mergeCell ref="N245:O245"/>
    <mergeCell ref="N223:O223"/>
    <mergeCell ref="N225:O225"/>
    <mergeCell ref="N231:O231"/>
    <mergeCell ref="N83:O83"/>
    <mergeCell ref="N193:O193"/>
    <mergeCell ref="N195:O195"/>
    <mergeCell ref="N189:O189"/>
    <mergeCell ref="N178:O178"/>
    <mergeCell ref="N179:O179"/>
    <mergeCell ref="N198:O198"/>
    <mergeCell ref="N199:O199"/>
    <mergeCell ref="N200:O200"/>
    <mergeCell ref="N108:O108"/>
    <mergeCell ref="N97:O97"/>
    <mergeCell ref="N157:P157"/>
  </mergeCells>
  <pageMargins left="0.23622047244094491" right="0.27559055118110237" top="0.27559055118110237" bottom="0.15748031496062992" header="0.23622047244094491" footer="0.27559055118110237"/>
  <pageSetup paperSize="9" scale="18" orientation="landscape" horizontalDpi="300" verticalDpi="300" r:id="rId1"/>
  <headerFooter alignWithMargins="0">
    <oddFooter>&amp;C&amp;"Times New Roman Cyr,курсив"Сторінка &amp;P з &amp;N</oddFooter>
  </headerFooter>
  <rowBreaks count="1" manualBreakCount="1">
    <brk id="111"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d2</vt:lpstr>
      <vt:lpstr>'d2'!Заголовки_для_друку</vt:lpstr>
      <vt:lpstr>'d2'!Область_друку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Ковтун Денис Леонідович</dc:creator>
  <cp:lastModifiedBy>Ковтун Денис Леонідович</cp:lastModifiedBy>
  <cp:lastPrinted>2026-01-30T12:12:51Z</cp:lastPrinted>
  <dcterms:created xsi:type="dcterms:W3CDTF">2021-05-18T12:47:38Z</dcterms:created>
  <dcterms:modified xsi:type="dcterms:W3CDTF">2026-02-23T13:49:19Z</dcterms:modified>
</cp:coreProperties>
</file>